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F:\ACTIVE\Cases\UE\UE_UG_200900_901_AVA_2020_GRC\1_Filings\Exhibit_CrossExam_ExhLists\01_Drafts\Rosentrater-La Bolle (AMI)\"/>
    </mc:Choice>
  </mc:AlternateContent>
  <bookViews>
    <workbookView xWindow="32676" yWindow="816" windowWidth="21096" windowHeight="12480" tabRatio="500"/>
  </bookViews>
  <sheets>
    <sheet name="Avoided Costs Reference" sheetId="6" r:id="rId1"/>
    <sheet name="Summary by Year" sheetId="1" r:id="rId2"/>
    <sheet name="Future Grid  Mod" sheetId="2" r:id="rId3"/>
    <sheet name="Grid Mod AMI Augmentation" sheetId="3" r:id="rId4"/>
    <sheet name="X&amp;R Savings" sheetId="4" r:id="rId5"/>
    <sheet name="ESRI_MAPINFO_SHEET" sheetId="7" state="veryHidden" r:id="rId6"/>
  </sheets>
  <definedNames>
    <definedName name="_xlnm._FilterDatabase" localSheetId="2" hidden="1">'Future Grid  Mod'!$A$1:$O$40</definedName>
    <definedName name="AE">'Summary by Year'!$M$4</definedName>
    <definedName name="AMIVoltDrop">'Summary by Year'!$M$8</definedName>
    <definedName name="CBCost">'Summary by Year'!$M$4</definedName>
    <definedName name="CBRural">'Summary by Year'!$M$22</definedName>
    <definedName name="CBUrban">'Summary by Year'!$M$23</definedName>
    <definedName name="CommCell">'Summary by Year'!$M$19</definedName>
    <definedName name="CommFAN">'Summary by Year'!$M$18</definedName>
    <definedName name="CVRf">'Summary by Year'!$M$5</definedName>
    <definedName name="LF">'Summary by Year'!$M$3</definedName>
    <definedName name="Life">'Summary by Year'!$M$4</definedName>
    <definedName name="Monitor">'Summary by Year'!$M$30</definedName>
    <definedName name="_xlnm.Print_Area" localSheetId="0">'Avoided Costs Reference'!$A$1:$O$35</definedName>
    <definedName name="SubCost">'Summary by Year'!$M$17</definedName>
    <definedName name="ViperCost">'Summary by Year'!$M$15</definedName>
    <definedName name="ViperRural">'Summary by Year'!$M$20</definedName>
    <definedName name="ViperUrban">'Summary by Year'!$M$21</definedName>
    <definedName name="XR">'Summary by Year'!$M$7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5" i="1" l="1"/>
  <c r="E35" i="1" s="1"/>
  <c r="E36" i="1" l="1"/>
  <c r="D36" i="1"/>
  <c r="M30" i="1" l="1"/>
  <c r="K34" i="3" l="1"/>
  <c r="K66" i="3"/>
  <c r="M17" i="4"/>
  <c r="M37" i="4"/>
  <c r="M40" i="4"/>
  <c r="M57" i="4"/>
  <c r="M60" i="4"/>
  <c r="M73" i="4"/>
  <c r="M76" i="4"/>
  <c r="M89" i="4"/>
  <c r="M92" i="4"/>
  <c r="G22" i="2"/>
  <c r="L22" i="2" s="1"/>
  <c r="G23" i="2"/>
  <c r="L23" i="2" s="1"/>
  <c r="K23" i="2"/>
  <c r="G24" i="2"/>
  <c r="L24" i="2" s="1"/>
  <c r="G25" i="2"/>
  <c r="E25" i="2" s="1"/>
  <c r="G26" i="2"/>
  <c r="L26" i="2" s="1"/>
  <c r="G27" i="2"/>
  <c r="E27" i="2" s="1"/>
  <c r="K27" i="2"/>
  <c r="G28" i="2"/>
  <c r="K28" i="2" s="1"/>
  <c r="G29" i="2"/>
  <c r="K29" i="2" s="1"/>
  <c r="G30" i="2"/>
  <c r="L30" i="2" s="1"/>
  <c r="G31" i="2"/>
  <c r="L31" i="2" s="1"/>
  <c r="K31" i="2"/>
  <c r="G32" i="2"/>
  <c r="L32" i="2" s="1"/>
  <c r="G33" i="2"/>
  <c r="E33" i="2" s="1"/>
  <c r="G34" i="2"/>
  <c r="L34" i="2" s="1"/>
  <c r="G35" i="2"/>
  <c r="L35" i="2" s="1"/>
  <c r="K35" i="2"/>
  <c r="G36" i="2"/>
  <c r="K36" i="2" s="1"/>
  <c r="G37" i="2"/>
  <c r="K37" i="2" s="1"/>
  <c r="G38" i="2"/>
  <c r="L38" i="2" s="1"/>
  <c r="G39" i="2"/>
  <c r="L39" i="2" s="1"/>
  <c r="K39" i="2"/>
  <c r="G40" i="2"/>
  <c r="L40" i="2" s="1"/>
  <c r="G3" i="2"/>
  <c r="E3" i="2" s="1"/>
  <c r="G4" i="2"/>
  <c r="L4" i="2" s="1"/>
  <c r="G5" i="2"/>
  <c r="L5" i="2" s="1"/>
  <c r="K5" i="2"/>
  <c r="G6" i="2"/>
  <c r="K6" i="2" s="1"/>
  <c r="G7" i="2"/>
  <c r="K7" i="2" s="1"/>
  <c r="G8" i="2"/>
  <c r="L8" i="2" s="1"/>
  <c r="G9" i="2"/>
  <c r="L9" i="2" s="1"/>
  <c r="K9" i="2"/>
  <c r="G10" i="2"/>
  <c r="E10" i="2" s="1"/>
  <c r="G11" i="2"/>
  <c r="K11" i="2" s="1"/>
  <c r="G12" i="2"/>
  <c r="L12" i="2" s="1"/>
  <c r="G13" i="2"/>
  <c r="L13" i="2" s="1"/>
  <c r="K13" i="2"/>
  <c r="G14" i="2"/>
  <c r="K14" i="2" s="1"/>
  <c r="G15" i="2"/>
  <c r="K15" i="2" s="1"/>
  <c r="G16" i="2"/>
  <c r="L16" i="2" s="1"/>
  <c r="G17" i="2"/>
  <c r="L17" i="2" s="1"/>
  <c r="K17" i="2"/>
  <c r="G18" i="2"/>
  <c r="L18" i="2" s="1"/>
  <c r="G19" i="2"/>
  <c r="K19" i="2" s="1"/>
  <c r="G20" i="2"/>
  <c r="L20" i="2" s="1"/>
  <c r="G21" i="2"/>
  <c r="L21" i="2" s="1"/>
  <c r="K21" i="2"/>
  <c r="G2" i="2"/>
  <c r="O2" i="2"/>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H34" i="1"/>
  <c r="I14" i="1"/>
  <c r="M29" i="1"/>
  <c r="M28" i="1"/>
  <c r="M27" i="1"/>
  <c r="F2" i="3"/>
  <c r="M2" i="3"/>
  <c r="F3" i="3"/>
  <c r="K3" i="3" s="1"/>
  <c r="M3" i="3"/>
  <c r="F4" i="3"/>
  <c r="K4" i="3" s="1"/>
  <c r="M4" i="3"/>
  <c r="F5" i="3"/>
  <c r="B5" i="3" s="1"/>
  <c r="M5" i="3"/>
  <c r="F6" i="3"/>
  <c r="E6" i="3" s="1"/>
  <c r="M6" i="3"/>
  <c r="F7" i="3"/>
  <c r="K7" i="3" s="1"/>
  <c r="M7" i="3"/>
  <c r="F8" i="3"/>
  <c r="K8" i="3" s="1"/>
  <c r="M8" i="3"/>
  <c r="F9" i="3"/>
  <c r="B9" i="3" s="1"/>
  <c r="M9" i="3"/>
  <c r="F10" i="3"/>
  <c r="E10" i="3" s="1"/>
  <c r="M10" i="3"/>
  <c r="F11" i="3"/>
  <c r="K11" i="3" s="1"/>
  <c r="M11" i="3"/>
  <c r="F12" i="3"/>
  <c r="K12" i="3" s="1"/>
  <c r="M12" i="3"/>
  <c r="F13" i="3"/>
  <c r="B13" i="3" s="1"/>
  <c r="M13" i="3"/>
  <c r="F14" i="3"/>
  <c r="E14" i="3" s="1"/>
  <c r="M14" i="3"/>
  <c r="F15" i="3"/>
  <c r="K15" i="3" s="1"/>
  <c r="M15" i="3"/>
  <c r="F16" i="3"/>
  <c r="K16" i="3" s="1"/>
  <c r="M16" i="3"/>
  <c r="F17" i="3"/>
  <c r="B17" i="3" s="1"/>
  <c r="M17" i="3"/>
  <c r="F18" i="3"/>
  <c r="E18" i="3" s="1"/>
  <c r="M18" i="3"/>
  <c r="F19" i="3"/>
  <c r="K19" i="3" s="1"/>
  <c r="M19" i="3"/>
  <c r="F20" i="3"/>
  <c r="K20" i="3" s="1"/>
  <c r="M20" i="3"/>
  <c r="F21" i="3"/>
  <c r="B21" i="3" s="1"/>
  <c r="M21" i="3"/>
  <c r="F22" i="3"/>
  <c r="E22" i="3" s="1"/>
  <c r="M22" i="3"/>
  <c r="F23" i="3"/>
  <c r="K23" i="3" s="1"/>
  <c r="M23" i="3"/>
  <c r="F24" i="3"/>
  <c r="K24" i="3" s="1"/>
  <c r="M24" i="3"/>
  <c r="F25" i="3"/>
  <c r="B25" i="3" s="1"/>
  <c r="M25" i="3"/>
  <c r="F26" i="3"/>
  <c r="E26" i="3" s="1"/>
  <c r="M26" i="3"/>
  <c r="F27" i="3"/>
  <c r="K27" i="3" s="1"/>
  <c r="M27" i="3"/>
  <c r="F28" i="3"/>
  <c r="K28" i="3" s="1"/>
  <c r="M28" i="3"/>
  <c r="F29" i="3"/>
  <c r="B29" i="3" s="1"/>
  <c r="M29" i="3"/>
  <c r="F30" i="3"/>
  <c r="E30" i="3" s="1"/>
  <c r="M30" i="3"/>
  <c r="K30" i="3" s="1"/>
  <c r="F31" i="3"/>
  <c r="K31" i="3" s="1"/>
  <c r="M31" i="3"/>
  <c r="F32" i="3"/>
  <c r="K32" i="3" s="1"/>
  <c r="M32" i="3"/>
  <c r="F33" i="3"/>
  <c r="B33" i="3" s="1"/>
  <c r="M33" i="3"/>
  <c r="F34" i="3"/>
  <c r="E34" i="3" s="1"/>
  <c r="M34" i="3"/>
  <c r="F35" i="3"/>
  <c r="K35" i="3" s="1"/>
  <c r="M35" i="3"/>
  <c r="F36" i="3"/>
  <c r="K36" i="3" s="1"/>
  <c r="M36" i="3"/>
  <c r="F37" i="3"/>
  <c r="B37" i="3" s="1"/>
  <c r="M37" i="3"/>
  <c r="F38" i="3"/>
  <c r="E38" i="3" s="1"/>
  <c r="M38" i="3"/>
  <c r="F39" i="3"/>
  <c r="K39" i="3" s="1"/>
  <c r="M39" i="3"/>
  <c r="F40" i="3"/>
  <c r="K40" i="3" s="1"/>
  <c r="M40" i="3"/>
  <c r="F41" i="3"/>
  <c r="B41" i="3" s="1"/>
  <c r="M41" i="3"/>
  <c r="F42" i="3"/>
  <c r="E42" i="3" s="1"/>
  <c r="M42" i="3"/>
  <c r="F43" i="3"/>
  <c r="K43" i="3" s="1"/>
  <c r="M43" i="3"/>
  <c r="F44" i="3"/>
  <c r="K44" i="3" s="1"/>
  <c r="M44" i="3"/>
  <c r="F45" i="3"/>
  <c r="B45" i="3" s="1"/>
  <c r="M45" i="3"/>
  <c r="F46" i="3"/>
  <c r="E46" i="3" s="1"/>
  <c r="M46" i="3"/>
  <c r="F47" i="3"/>
  <c r="K47" i="3" s="1"/>
  <c r="M47" i="3"/>
  <c r="F48" i="3"/>
  <c r="K48" i="3" s="1"/>
  <c r="M48" i="3"/>
  <c r="F49" i="3"/>
  <c r="B49" i="3" s="1"/>
  <c r="M49" i="3"/>
  <c r="F50" i="3"/>
  <c r="E50" i="3" s="1"/>
  <c r="M50" i="3"/>
  <c r="F51" i="3"/>
  <c r="K51" i="3" s="1"/>
  <c r="M51" i="3"/>
  <c r="F52" i="3"/>
  <c r="K52" i="3" s="1"/>
  <c r="M52" i="3"/>
  <c r="F53" i="3"/>
  <c r="B53" i="3" s="1"/>
  <c r="M53" i="3"/>
  <c r="F54" i="3"/>
  <c r="E54" i="3" s="1"/>
  <c r="M54" i="3"/>
  <c r="F55" i="3"/>
  <c r="K55" i="3" s="1"/>
  <c r="M55" i="3"/>
  <c r="F56" i="3"/>
  <c r="K56" i="3" s="1"/>
  <c r="M56" i="3"/>
  <c r="F57" i="3"/>
  <c r="B57" i="3" s="1"/>
  <c r="M57" i="3"/>
  <c r="F58" i="3"/>
  <c r="E58" i="3" s="1"/>
  <c r="M58" i="3"/>
  <c r="F59" i="3"/>
  <c r="K59" i="3" s="1"/>
  <c r="M59" i="3"/>
  <c r="F60" i="3"/>
  <c r="K60" i="3" s="1"/>
  <c r="M60" i="3"/>
  <c r="F61" i="3"/>
  <c r="B61" i="3" s="1"/>
  <c r="M61" i="3"/>
  <c r="F62" i="3"/>
  <c r="E62" i="3" s="1"/>
  <c r="M62" i="3"/>
  <c r="K62" i="3" s="1"/>
  <c r="F63" i="3"/>
  <c r="K63" i="3" s="1"/>
  <c r="M63" i="3"/>
  <c r="F64" i="3"/>
  <c r="K64" i="3" s="1"/>
  <c r="M64" i="3"/>
  <c r="F65" i="3"/>
  <c r="B65" i="3" s="1"/>
  <c r="M65" i="3"/>
  <c r="F66" i="3"/>
  <c r="E66" i="3" s="1"/>
  <c r="M66" i="3"/>
  <c r="F67" i="3"/>
  <c r="K67" i="3" s="1"/>
  <c r="M67" i="3"/>
  <c r="F68" i="3"/>
  <c r="K68" i="3" s="1"/>
  <c r="M68" i="3"/>
  <c r="F69" i="3"/>
  <c r="B69" i="3" s="1"/>
  <c r="M69" i="3"/>
  <c r="F70" i="3"/>
  <c r="E70" i="3" s="1"/>
  <c r="M70" i="3"/>
  <c r="F71" i="3"/>
  <c r="K71" i="3" s="1"/>
  <c r="M71" i="3"/>
  <c r="F72" i="3"/>
  <c r="K72" i="3" s="1"/>
  <c r="M72" i="3"/>
  <c r="F73" i="3"/>
  <c r="B73" i="3" s="1"/>
  <c r="M73" i="3"/>
  <c r="F74" i="3"/>
  <c r="E74" i="3" s="1"/>
  <c r="M74" i="3"/>
  <c r="F75" i="3"/>
  <c r="K75" i="3" s="1"/>
  <c r="M75" i="3"/>
  <c r="F76" i="3"/>
  <c r="K76" i="3" s="1"/>
  <c r="M76" i="3"/>
  <c r="F95" i="4"/>
  <c r="M95" i="4" s="1"/>
  <c r="L95" i="4"/>
  <c r="J95" i="4"/>
  <c r="B95" i="4"/>
  <c r="F94" i="4"/>
  <c r="E94" i="4" s="1"/>
  <c r="L94" i="4"/>
  <c r="J94" i="4"/>
  <c r="F93" i="4"/>
  <c r="B93" i="4" s="1"/>
  <c r="L93" i="4"/>
  <c r="J93" i="4"/>
  <c r="E93" i="4"/>
  <c r="F92" i="4"/>
  <c r="E92" i="4" s="1"/>
  <c r="L92" i="4"/>
  <c r="J92" i="4"/>
  <c r="F91" i="4"/>
  <c r="B91" i="4" s="1"/>
  <c r="L91" i="4"/>
  <c r="J91" i="4"/>
  <c r="F90" i="4"/>
  <c r="M90" i="4" s="1"/>
  <c r="L90" i="4"/>
  <c r="J90" i="4"/>
  <c r="F89" i="4"/>
  <c r="L89" i="4"/>
  <c r="J89" i="4"/>
  <c r="E89" i="4"/>
  <c r="B89" i="4"/>
  <c r="F88" i="4"/>
  <c r="B88" i="4" s="1"/>
  <c r="L88" i="4"/>
  <c r="J88" i="4"/>
  <c r="F87" i="4"/>
  <c r="M87" i="4" s="1"/>
  <c r="L87" i="4"/>
  <c r="J87" i="4"/>
  <c r="B87" i="4"/>
  <c r="F86" i="4"/>
  <c r="E86" i="4" s="1"/>
  <c r="L86" i="4"/>
  <c r="J86" i="4"/>
  <c r="F85" i="4"/>
  <c r="B85" i="4" s="1"/>
  <c r="L85" i="4"/>
  <c r="J85" i="4"/>
  <c r="E85" i="4"/>
  <c r="F84" i="4"/>
  <c r="M84" i="4" s="1"/>
  <c r="L84" i="4"/>
  <c r="J84" i="4"/>
  <c r="F83" i="4"/>
  <c r="B83" i="4" s="1"/>
  <c r="L83" i="4"/>
  <c r="J83" i="4"/>
  <c r="F82" i="4"/>
  <c r="M82" i="4" s="1"/>
  <c r="L82" i="4"/>
  <c r="J82" i="4"/>
  <c r="F81" i="4"/>
  <c r="M81" i="4" s="1"/>
  <c r="L81" i="4"/>
  <c r="J81" i="4"/>
  <c r="E81" i="4"/>
  <c r="B81" i="4"/>
  <c r="F80" i="4"/>
  <c r="B80" i="4" s="1"/>
  <c r="L80" i="4"/>
  <c r="J80" i="4"/>
  <c r="F79" i="4"/>
  <c r="M79" i="4" s="1"/>
  <c r="L79" i="4"/>
  <c r="J79" i="4"/>
  <c r="B79" i="4"/>
  <c r="F78" i="4"/>
  <c r="E78" i="4" s="1"/>
  <c r="L78" i="4"/>
  <c r="J78" i="4"/>
  <c r="F77" i="4"/>
  <c r="B77" i="4" s="1"/>
  <c r="L77" i="4"/>
  <c r="J77" i="4"/>
  <c r="E77" i="4"/>
  <c r="F76" i="4"/>
  <c r="E76" i="4" s="1"/>
  <c r="L76" i="4"/>
  <c r="J76" i="4"/>
  <c r="F75" i="4"/>
  <c r="M75" i="4" s="1"/>
  <c r="L75" i="4"/>
  <c r="J75" i="4"/>
  <c r="F74" i="4"/>
  <c r="M74" i="4" s="1"/>
  <c r="L74" i="4"/>
  <c r="J74" i="4"/>
  <c r="F73" i="4"/>
  <c r="L73" i="4"/>
  <c r="J73" i="4"/>
  <c r="E73" i="4"/>
  <c r="B73" i="4"/>
  <c r="F72" i="4"/>
  <c r="B72" i="4" s="1"/>
  <c r="L72" i="4"/>
  <c r="J72" i="4"/>
  <c r="F71" i="4"/>
  <c r="M71" i="4" s="1"/>
  <c r="L71" i="4"/>
  <c r="J71" i="4"/>
  <c r="B71" i="4"/>
  <c r="F70" i="4"/>
  <c r="E70" i="4" s="1"/>
  <c r="L70" i="4"/>
  <c r="J70" i="4"/>
  <c r="F69" i="4"/>
  <c r="B69" i="4" s="1"/>
  <c r="L69" i="4"/>
  <c r="J69" i="4"/>
  <c r="E69" i="4"/>
  <c r="F68" i="4"/>
  <c r="M68" i="4" s="1"/>
  <c r="L68" i="4"/>
  <c r="J68" i="4"/>
  <c r="F67" i="4"/>
  <c r="M67" i="4" s="1"/>
  <c r="L67" i="4"/>
  <c r="J67" i="4"/>
  <c r="F66" i="4"/>
  <c r="M66" i="4" s="1"/>
  <c r="L66" i="4"/>
  <c r="J66" i="4"/>
  <c r="F65" i="4"/>
  <c r="M65" i="4" s="1"/>
  <c r="L65" i="4"/>
  <c r="J65" i="4"/>
  <c r="E65" i="4"/>
  <c r="B65" i="4"/>
  <c r="F64" i="4"/>
  <c r="B64" i="4" s="1"/>
  <c r="L64" i="4"/>
  <c r="J64" i="4"/>
  <c r="F63" i="4"/>
  <c r="M63" i="4" s="1"/>
  <c r="L63" i="4"/>
  <c r="J63" i="4"/>
  <c r="B63" i="4"/>
  <c r="F62" i="4"/>
  <c r="E62" i="4" s="1"/>
  <c r="L62" i="4"/>
  <c r="J62" i="4"/>
  <c r="F61" i="4"/>
  <c r="E61" i="4" s="1"/>
  <c r="L61" i="4"/>
  <c r="B61" i="4"/>
  <c r="F60" i="4"/>
  <c r="E60" i="4" s="1"/>
  <c r="L60" i="4"/>
  <c r="F59" i="4"/>
  <c r="M59" i="4" s="1"/>
  <c r="L59" i="4"/>
  <c r="B59" i="4"/>
  <c r="F58" i="4"/>
  <c r="M58" i="4" s="1"/>
  <c r="L58" i="4"/>
  <c r="F57" i="4"/>
  <c r="E57" i="4" s="1"/>
  <c r="L57" i="4"/>
  <c r="B57" i="4"/>
  <c r="F56" i="4"/>
  <c r="M56" i="4" s="1"/>
  <c r="L56" i="4"/>
  <c r="F55" i="4"/>
  <c r="M55" i="4" s="1"/>
  <c r="L55" i="4"/>
  <c r="B55" i="4"/>
  <c r="F54" i="4"/>
  <c r="M54" i="4" s="1"/>
  <c r="L54" i="4"/>
  <c r="F53" i="4"/>
  <c r="M53" i="4" s="1"/>
  <c r="L53" i="4"/>
  <c r="B53" i="4"/>
  <c r="F52" i="4"/>
  <c r="M52" i="4" s="1"/>
  <c r="L52" i="4"/>
  <c r="F51" i="4"/>
  <c r="M51" i="4" s="1"/>
  <c r="L51" i="4"/>
  <c r="B51" i="4"/>
  <c r="F50" i="4"/>
  <c r="M50" i="4" s="1"/>
  <c r="L50" i="4"/>
  <c r="F49" i="4"/>
  <c r="M49" i="4" s="1"/>
  <c r="L49" i="4"/>
  <c r="B49" i="4"/>
  <c r="F48" i="4"/>
  <c r="E48" i="4" s="1"/>
  <c r="L48" i="4"/>
  <c r="F47" i="4"/>
  <c r="M47" i="4" s="1"/>
  <c r="L47" i="4"/>
  <c r="B47" i="4"/>
  <c r="F46" i="4"/>
  <c r="M46" i="4" s="1"/>
  <c r="L46" i="4"/>
  <c r="F45" i="4"/>
  <c r="E45" i="4" s="1"/>
  <c r="L45" i="4"/>
  <c r="B45" i="4"/>
  <c r="F44" i="4"/>
  <c r="M44" i="4" s="1"/>
  <c r="L44" i="4"/>
  <c r="F43" i="4"/>
  <c r="M43" i="4" s="1"/>
  <c r="L43" i="4"/>
  <c r="B43" i="4"/>
  <c r="F42" i="4"/>
  <c r="M42" i="4" s="1"/>
  <c r="L42" i="4"/>
  <c r="F41" i="4"/>
  <c r="E41" i="4" s="1"/>
  <c r="L41" i="4"/>
  <c r="B41" i="4"/>
  <c r="F40" i="4"/>
  <c r="E40" i="4" s="1"/>
  <c r="L40" i="4"/>
  <c r="F39" i="4"/>
  <c r="M39" i="4" s="1"/>
  <c r="L39" i="4"/>
  <c r="B39" i="4"/>
  <c r="F38" i="4"/>
  <c r="M38" i="4" s="1"/>
  <c r="L38" i="4"/>
  <c r="F37" i="4"/>
  <c r="E37" i="4" s="1"/>
  <c r="L37" i="4"/>
  <c r="B37" i="4"/>
  <c r="F36" i="4"/>
  <c r="M36" i="4" s="1"/>
  <c r="L36" i="4"/>
  <c r="F35" i="4"/>
  <c r="M35" i="4" s="1"/>
  <c r="L35" i="4"/>
  <c r="B35" i="4"/>
  <c r="F34" i="4"/>
  <c r="M34" i="4" s="1"/>
  <c r="L34" i="4"/>
  <c r="F33" i="4"/>
  <c r="E33" i="4" s="1"/>
  <c r="L33" i="4"/>
  <c r="B33" i="4"/>
  <c r="F32" i="4"/>
  <c r="M32" i="4" s="1"/>
  <c r="L32" i="4"/>
  <c r="F31" i="4"/>
  <c r="M31" i="4" s="1"/>
  <c r="L31" i="4"/>
  <c r="B31" i="4"/>
  <c r="F30" i="4"/>
  <c r="M30" i="4" s="1"/>
  <c r="L30" i="4"/>
  <c r="F29" i="4"/>
  <c r="M29" i="4" s="1"/>
  <c r="L29" i="4"/>
  <c r="B29" i="4"/>
  <c r="F28" i="4"/>
  <c r="M28" i="4" s="1"/>
  <c r="L28" i="4"/>
  <c r="F27" i="4"/>
  <c r="M27" i="4" s="1"/>
  <c r="L27" i="4"/>
  <c r="B27" i="4"/>
  <c r="F26" i="4"/>
  <c r="M26" i="4" s="1"/>
  <c r="L26" i="4"/>
  <c r="F25" i="4"/>
  <c r="E25" i="4" s="1"/>
  <c r="L25" i="4"/>
  <c r="B25" i="4"/>
  <c r="F24" i="4"/>
  <c r="E24" i="4" s="1"/>
  <c r="L24" i="4"/>
  <c r="F23" i="4"/>
  <c r="M23" i="4" s="1"/>
  <c r="L23" i="4"/>
  <c r="B23" i="4"/>
  <c r="F22" i="4"/>
  <c r="M22" i="4" s="1"/>
  <c r="L22" i="4"/>
  <c r="F21" i="4"/>
  <c r="E21" i="4" s="1"/>
  <c r="L21" i="4"/>
  <c r="F20" i="4"/>
  <c r="M20" i="4" s="1"/>
  <c r="L20" i="4"/>
  <c r="F19" i="4"/>
  <c r="M19" i="4" s="1"/>
  <c r="L19" i="4"/>
  <c r="F18" i="4"/>
  <c r="M18" i="4" s="1"/>
  <c r="L18" i="4"/>
  <c r="F17" i="4"/>
  <c r="E17" i="4" s="1"/>
  <c r="L17" i="4"/>
  <c r="F16" i="4"/>
  <c r="M16" i="4" s="1"/>
  <c r="L16" i="4"/>
  <c r="F15" i="4"/>
  <c r="M15" i="4" s="1"/>
  <c r="L15" i="4"/>
  <c r="F14" i="4"/>
  <c r="M14" i="4" s="1"/>
  <c r="L14" i="4"/>
  <c r="F13" i="4"/>
  <c r="E13" i="4" s="1"/>
  <c r="L13" i="4"/>
  <c r="F12" i="4"/>
  <c r="M12" i="4" s="1"/>
  <c r="L12" i="4"/>
  <c r="F11" i="4"/>
  <c r="M11" i="4" s="1"/>
  <c r="L11" i="4"/>
  <c r="F10" i="4"/>
  <c r="M10" i="4" s="1"/>
  <c r="L10" i="4"/>
  <c r="F9" i="4"/>
  <c r="M9" i="4" s="1"/>
  <c r="L9" i="4"/>
  <c r="F8" i="4"/>
  <c r="M8" i="4" s="1"/>
  <c r="L8" i="4"/>
  <c r="F7" i="4"/>
  <c r="M7" i="4" s="1"/>
  <c r="L7" i="4"/>
  <c r="F6" i="4"/>
  <c r="M6" i="4" s="1"/>
  <c r="L6" i="4"/>
  <c r="F5" i="4"/>
  <c r="E5" i="4" s="1"/>
  <c r="L5" i="4"/>
  <c r="F4" i="4"/>
  <c r="E4" i="4" s="1"/>
  <c r="L4" i="4"/>
  <c r="F3" i="4"/>
  <c r="L3" i="4"/>
  <c r="F2" i="4"/>
  <c r="M2" i="4" s="1"/>
  <c r="L2" i="4"/>
  <c r="B14" i="1"/>
  <c r="B15" i="1" s="1"/>
  <c r="B16" i="1" s="1"/>
  <c r="B17" i="1" s="1"/>
  <c r="B18" i="1" s="1"/>
  <c r="B19" i="1" s="1"/>
  <c r="B20" i="1" s="1"/>
  <c r="B21" i="1" s="1"/>
  <c r="B22" i="1" s="1"/>
  <c r="B23" i="1" s="1"/>
  <c r="B24" i="1" s="1"/>
  <c r="B25" i="1" s="1"/>
  <c r="B26" i="1" s="1"/>
  <c r="B27" i="1" s="1"/>
  <c r="B28" i="1" s="1"/>
  <c r="B29" i="1" s="1"/>
  <c r="B30" i="1" s="1"/>
  <c r="B31" i="1" s="1"/>
  <c r="B32" i="1" s="1"/>
  <c r="B33" i="1" s="1"/>
  <c r="B76" i="3"/>
  <c r="B74" i="3"/>
  <c r="E73" i="3"/>
  <c r="B72" i="3"/>
  <c r="B70" i="3"/>
  <c r="E69" i="3"/>
  <c r="B68" i="3"/>
  <c r="B66" i="3"/>
  <c r="E65" i="3"/>
  <c r="B64" i="3"/>
  <c r="B62" i="3"/>
  <c r="E61" i="3"/>
  <c r="B60" i="3"/>
  <c r="B58" i="3"/>
  <c r="E57" i="3"/>
  <c r="B56" i="3"/>
  <c r="B54" i="3"/>
  <c r="E53" i="3"/>
  <c r="B52" i="3"/>
  <c r="B50" i="3"/>
  <c r="E49" i="3"/>
  <c r="B48" i="3"/>
  <c r="B46" i="3"/>
  <c r="E45" i="3"/>
  <c r="B44" i="3"/>
  <c r="B42" i="3"/>
  <c r="E41" i="3"/>
  <c r="B40" i="3"/>
  <c r="B38" i="3"/>
  <c r="E37" i="3"/>
  <c r="B36" i="3"/>
  <c r="B34" i="3"/>
  <c r="E33" i="3"/>
  <c r="B32" i="3"/>
  <c r="B30" i="3"/>
  <c r="E29" i="3"/>
  <c r="B28" i="3"/>
  <c r="B26" i="3"/>
  <c r="E25" i="3"/>
  <c r="B24" i="3"/>
  <c r="B22" i="3"/>
  <c r="E21" i="3"/>
  <c r="B20" i="3"/>
  <c r="B18" i="3"/>
  <c r="E17" i="3"/>
  <c r="B16" i="3"/>
  <c r="B14" i="3"/>
  <c r="E13" i="3"/>
  <c r="B12" i="3"/>
  <c r="B10" i="3"/>
  <c r="E9" i="3"/>
  <c r="B8" i="3"/>
  <c r="B6" i="3"/>
  <c r="E5" i="3"/>
  <c r="B4" i="3"/>
  <c r="B2" i="3"/>
  <c r="G42" i="2"/>
  <c r="K42" i="2" s="1"/>
  <c r="B35" i="2"/>
  <c r="E11" i="2"/>
  <c r="B11" i="2"/>
  <c r="B3" i="2"/>
  <c r="E29" i="2"/>
  <c r="B25" i="2"/>
  <c r="E24" i="2"/>
  <c r="E28" i="2"/>
  <c r="E19" i="2"/>
  <c r="B19" i="2"/>
  <c r="B14" i="2"/>
  <c r="E39" i="2"/>
  <c r="B39" i="2"/>
  <c r="E18" i="2"/>
  <c r="B33" i="2"/>
  <c r="E4" i="2"/>
  <c r="B4" i="2"/>
  <c r="E34" i="2"/>
  <c r="B34" i="2"/>
  <c r="E12" i="2"/>
  <c r="B12" i="2"/>
  <c r="B37" i="2"/>
  <c r="E7" i="2"/>
  <c r="B6" i="2"/>
  <c r="E8" i="2"/>
  <c r="B8" i="2"/>
  <c r="E22" i="2"/>
  <c r="B22" i="2"/>
  <c r="E26" i="2"/>
  <c r="B26" i="2"/>
  <c r="E16" i="2"/>
  <c r="B16" i="2"/>
  <c r="E32" i="2"/>
  <c r="E38" i="2"/>
  <c r="B38" i="2"/>
  <c r="E36" i="2"/>
  <c r="E30" i="2"/>
  <c r="B30" i="2"/>
  <c r="E21" i="2"/>
  <c r="E20" i="2"/>
  <c r="B20" i="2"/>
  <c r="E64" i="4" l="1"/>
  <c r="B68" i="4"/>
  <c r="E72" i="4"/>
  <c r="B76" i="4"/>
  <c r="E80" i="4"/>
  <c r="B84" i="4"/>
  <c r="E88" i="4"/>
  <c r="B92" i="4"/>
  <c r="L19" i="2"/>
  <c r="L15" i="2"/>
  <c r="L11" i="2"/>
  <c r="L7" i="2"/>
  <c r="L3" i="2"/>
  <c r="L37" i="2"/>
  <c r="L33" i="2"/>
  <c r="L29" i="2"/>
  <c r="M29" i="2" s="1"/>
  <c r="L25" i="2"/>
  <c r="M4" i="4"/>
  <c r="M48" i="4"/>
  <c r="M25" i="4"/>
  <c r="M5" i="4"/>
  <c r="K46" i="3"/>
  <c r="K14" i="3"/>
  <c r="B13" i="2"/>
  <c r="F97" i="4"/>
  <c r="E13" i="2"/>
  <c r="B2" i="4"/>
  <c r="B10" i="4"/>
  <c r="B16" i="4"/>
  <c r="B22" i="4"/>
  <c r="B28" i="4"/>
  <c r="B32" i="4"/>
  <c r="B36" i="4"/>
  <c r="B42" i="4"/>
  <c r="B46" i="4"/>
  <c r="B48" i="4"/>
  <c r="B52" i="4"/>
  <c r="B54" i="4"/>
  <c r="B58" i="4"/>
  <c r="E68" i="4"/>
  <c r="B74" i="4"/>
  <c r="B82" i="4"/>
  <c r="E84" i="4"/>
  <c r="B90" i="4"/>
  <c r="M3" i="4"/>
  <c r="M80" i="4"/>
  <c r="M64" i="4"/>
  <c r="M45" i="4"/>
  <c r="M24" i="4"/>
  <c r="K74" i="3"/>
  <c r="K42" i="3"/>
  <c r="K10" i="3"/>
  <c r="B17" i="2"/>
  <c r="B4" i="4"/>
  <c r="B6" i="4"/>
  <c r="B8" i="4"/>
  <c r="B12" i="4"/>
  <c r="B14" i="4"/>
  <c r="B18" i="4"/>
  <c r="B20" i="4"/>
  <c r="B24" i="4"/>
  <c r="B26" i="4"/>
  <c r="B30" i="4"/>
  <c r="B34" i="4"/>
  <c r="B38" i="4"/>
  <c r="B40" i="4"/>
  <c r="B44" i="4"/>
  <c r="B50" i="4"/>
  <c r="B56" i="4"/>
  <c r="B60" i="4"/>
  <c r="B66" i="4"/>
  <c r="B21" i="2"/>
  <c r="B5" i="2"/>
  <c r="B23" i="2"/>
  <c r="E7" i="3"/>
  <c r="E15" i="3"/>
  <c r="E23" i="3"/>
  <c r="E31" i="3"/>
  <c r="E39" i="3"/>
  <c r="E47" i="3"/>
  <c r="E55" i="3"/>
  <c r="E63" i="3"/>
  <c r="E71" i="3"/>
  <c r="E2" i="4"/>
  <c r="E6" i="4"/>
  <c r="E8" i="4"/>
  <c r="E10" i="4"/>
  <c r="E12" i="4"/>
  <c r="E14" i="4"/>
  <c r="E16" i="4"/>
  <c r="E18" i="4"/>
  <c r="E20" i="4"/>
  <c r="E22" i="4"/>
  <c r="E26" i="4"/>
  <c r="E28" i="4"/>
  <c r="E30" i="4"/>
  <c r="E32" i="4"/>
  <c r="E34" i="4"/>
  <c r="E36" i="4"/>
  <c r="E38" i="4"/>
  <c r="E42" i="4"/>
  <c r="E44" i="4"/>
  <c r="E46" i="4"/>
  <c r="E50" i="4"/>
  <c r="E52" i="4"/>
  <c r="E54" i="4"/>
  <c r="E56" i="4"/>
  <c r="E58" i="4"/>
  <c r="E2" i="2"/>
  <c r="K2" i="2"/>
  <c r="M93" i="4"/>
  <c r="M77" i="4"/>
  <c r="M61" i="4"/>
  <c r="M41" i="4"/>
  <c r="M21" i="4"/>
  <c r="K70" i="3"/>
  <c r="K38" i="3"/>
  <c r="K6" i="3"/>
  <c r="B9" i="4"/>
  <c r="B17" i="4"/>
  <c r="K2" i="3"/>
  <c r="K20" i="2"/>
  <c r="K16" i="2"/>
  <c r="K12" i="2"/>
  <c r="K8" i="2"/>
  <c r="K4" i="2"/>
  <c r="K38" i="2"/>
  <c r="K34" i="2"/>
  <c r="K30" i="2"/>
  <c r="K26" i="2"/>
  <c r="K22" i="2"/>
  <c r="M88" i="4"/>
  <c r="M72" i="4"/>
  <c r="M33" i="4"/>
  <c r="M13" i="4"/>
  <c r="K58" i="3"/>
  <c r="K26" i="3"/>
  <c r="B3" i="4"/>
  <c r="B5" i="4"/>
  <c r="B7" i="4"/>
  <c r="B11" i="4"/>
  <c r="B13" i="4"/>
  <c r="B15" i="4"/>
  <c r="B19" i="4"/>
  <c r="B21" i="4"/>
  <c r="B31" i="2"/>
  <c r="B9" i="2"/>
  <c r="E3" i="3"/>
  <c r="E11" i="3"/>
  <c r="E19" i="3"/>
  <c r="E27" i="3"/>
  <c r="E35" i="3"/>
  <c r="E43" i="3"/>
  <c r="E51" i="3"/>
  <c r="E59" i="3"/>
  <c r="E67" i="3"/>
  <c r="E75" i="3"/>
  <c r="E3" i="4"/>
  <c r="E7" i="4"/>
  <c r="E9" i="4"/>
  <c r="E11" i="4"/>
  <c r="E15" i="4"/>
  <c r="E19" i="4"/>
  <c r="E23" i="4"/>
  <c r="E27" i="4"/>
  <c r="E29" i="4"/>
  <c r="E31" i="4"/>
  <c r="E35" i="4"/>
  <c r="E39" i="4"/>
  <c r="E43" i="4"/>
  <c r="E47" i="4"/>
  <c r="E49" i="4"/>
  <c r="E51" i="4"/>
  <c r="E53" i="4"/>
  <c r="E55" i="4"/>
  <c r="E59" i="4"/>
  <c r="K73" i="3"/>
  <c r="K65" i="3"/>
  <c r="K57" i="3"/>
  <c r="K49" i="3"/>
  <c r="K41" i="3"/>
  <c r="K33" i="3"/>
  <c r="K25" i="3"/>
  <c r="K17" i="3"/>
  <c r="K9" i="3"/>
  <c r="M85" i="4"/>
  <c r="M69" i="4"/>
  <c r="K54" i="3"/>
  <c r="K22" i="3"/>
  <c r="E31" i="2"/>
  <c r="B27" i="2"/>
  <c r="E9" i="2"/>
  <c r="K50" i="3"/>
  <c r="K18" i="3"/>
  <c r="G13" i="1"/>
  <c r="G34" i="1" s="1"/>
  <c r="I15" i="1"/>
  <c r="B10" i="2"/>
  <c r="E66" i="4"/>
  <c r="E74" i="4"/>
  <c r="E82" i="4"/>
  <c r="E90" i="4"/>
  <c r="M31" i="2"/>
  <c r="M23" i="2"/>
  <c r="E6" i="2"/>
  <c r="B36" i="2"/>
  <c r="B7" i="2"/>
  <c r="B40" i="2"/>
  <c r="B29" i="2"/>
  <c r="B3" i="3"/>
  <c r="B7" i="3"/>
  <c r="B11" i="3"/>
  <c r="B15" i="3"/>
  <c r="B19" i="3"/>
  <c r="B23" i="3"/>
  <c r="B27" i="3"/>
  <c r="B31" i="3"/>
  <c r="B35" i="3"/>
  <c r="B39" i="3"/>
  <c r="B43" i="3"/>
  <c r="B47" i="3"/>
  <c r="B51" i="3"/>
  <c r="B55" i="3"/>
  <c r="B59" i="3"/>
  <c r="B63" i="3"/>
  <c r="B67" i="3"/>
  <c r="B71" i="3"/>
  <c r="B75" i="3"/>
  <c r="L2" i="2"/>
  <c r="L14" i="2"/>
  <c r="M14" i="2" s="1"/>
  <c r="L6" i="2"/>
  <c r="K3" i="2"/>
  <c r="L36" i="2"/>
  <c r="M36" i="2" s="1"/>
  <c r="K33" i="2"/>
  <c r="L28" i="2"/>
  <c r="K25" i="2"/>
  <c r="M25" i="2" s="1"/>
  <c r="M94" i="4"/>
  <c r="M86" i="4"/>
  <c r="M78" i="4"/>
  <c r="M70" i="4"/>
  <c r="M62" i="4"/>
  <c r="E40" i="2"/>
  <c r="B62" i="4"/>
  <c r="B70" i="4"/>
  <c r="B78" i="4"/>
  <c r="B86" i="4"/>
  <c r="B2" i="2"/>
  <c r="B15" i="2"/>
  <c r="B67" i="4"/>
  <c r="B75" i="4"/>
  <c r="M35" i="2"/>
  <c r="K69" i="3"/>
  <c r="K61" i="3"/>
  <c r="K53" i="3"/>
  <c r="K45" i="3"/>
  <c r="K37" i="3"/>
  <c r="K29" i="3"/>
  <c r="K21" i="3"/>
  <c r="K13" i="3"/>
  <c r="K5" i="3"/>
  <c r="E37" i="2"/>
  <c r="E5" i="2"/>
  <c r="E17" i="2"/>
  <c r="E23" i="2"/>
  <c r="E15" i="2"/>
  <c r="E35" i="2"/>
  <c r="E4" i="3"/>
  <c r="E8" i="3"/>
  <c r="E12" i="3"/>
  <c r="E16" i="3"/>
  <c r="E20" i="3"/>
  <c r="E24" i="3"/>
  <c r="E28" i="3"/>
  <c r="E32" i="3"/>
  <c r="E36" i="3"/>
  <c r="E40" i="3"/>
  <c r="E44" i="3"/>
  <c r="E48" i="3"/>
  <c r="E52" i="3"/>
  <c r="E56" i="3"/>
  <c r="E60" i="3"/>
  <c r="E64" i="3"/>
  <c r="E68" i="3"/>
  <c r="E72" i="3"/>
  <c r="E76" i="3"/>
  <c r="E67" i="4"/>
  <c r="E75" i="4"/>
  <c r="E83" i="4"/>
  <c r="E91" i="4"/>
  <c r="K18" i="2"/>
  <c r="M18" i="2" s="1"/>
  <c r="K10" i="2"/>
  <c r="K40" i="2"/>
  <c r="M40" i="2" s="1"/>
  <c r="K32" i="2"/>
  <c r="L27" i="2"/>
  <c r="M27" i="2" s="1"/>
  <c r="K24" i="2"/>
  <c r="M91" i="4"/>
  <c r="M83" i="4"/>
  <c r="B94" i="4"/>
  <c r="B32" i="2"/>
  <c r="B18" i="2"/>
  <c r="B28" i="2"/>
  <c r="B24" i="2"/>
  <c r="L10" i="2"/>
  <c r="E14" i="2"/>
  <c r="E2" i="3"/>
  <c r="E63" i="4"/>
  <c r="E71" i="4"/>
  <c r="E79" i="4"/>
  <c r="E87" i="4"/>
  <c r="E95" i="4"/>
  <c r="M30" i="2"/>
  <c r="M26" i="2"/>
  <c r="M32" i="2"/>
  <c r="M28" i="2"/>
  <c r="M24" i="2"/>
  <c r="M34" i="2"/>
  <c r="M22" i="2"/>
  <c r="M33" i="2"/>
  <c r="M21" i="2"/>
  <c r="M17" i="2"/>
  <c r="M13" i="2"/>
  <c r="M9" i="2"/>
  <c r="M5" i="2"/>
  <c r="M39" i="2"/>
  <c r="O42" i="2"/>
  <c r="M20" i="2"/>
  <c r="M15" i="2"/>
  <c r="M16" i="2"/>
  <c r="M12" i="2"/>
  <c r="M8" i="2"/>
  <c r="M4" i="2"/>
  <c r="M38" i="2"/>
  <c r="M19" i="2"/>
  <c r="M11" i="2"/>
  <c r="M7" i="2"/>
  <c r="M37" i="2"/>
  <c r="F34" i="1"/>
  <c r="E23" i="1" l="1"/>
  <c r="E31" i="1"/>
  <c r="E26" i="1"/>
  <c r="E17" i="1"/>
  <c r="M10" i="2"/>
  <c r="E25" i="1" s="1"/>
  <c r="M3" i="2"/>
  <c r="E13" i="1"/>
  <c r="K78" i="3"/>
  <c r="D13" i="1" s="1"/>
  <c r="D14" i="1" s="1"/>
  <c r="M6" i="2"/>
  <c r="E21" i="1" s="1"/>
  <c r="M2" i="2"/>
  <c r="E22" i="1" s="1"/>
  <c r="M97" i="4"/>
  <c r="C13" i="1" s="1"/>
  <c r="C14" i="1" s="1"/>
  <c r="C15" i="1" s="1"/>
  <c r="C16" i="1" s="1"/>
  <c r="C17" i="1" s="1"/>
  <c r="C18" i="1" s="1"/>
  <c r="C19" i="1" s="1"/>
  <c r="C20" i="1" s="1"/>
  <c r="C21" i="1" s="1"/>
  <c r="C22" i="1" s="1"/>
  <c r="C23" i="1" s="1"/>
  <c r="C24" i="1" s="1"/>
  <c r="C25" i="1" s="1"/>
  <c r="C26" i="1" s="1"/>
  <c r="C27" i="1" s="1"/>
  <c r="C28" i="1" s="1"/>
  <c r="C29" i="1" s="1"/>
  <c r="C30" i="1" s="1"/>
  <c r="C31" i="1" s="1"/>
  <c r="C32" i="1" s="1"/>
  <c r="C33" i="1" s="1"/>
  <c r="D15" i="1"/>
  <c r="D16" i="1" s="1"/>
  <c r="D17" i="1" s="1"/>
  <c r="D18" i="1" s="1"/>
  <c r="D19" i="1" s="1"/>
  <c r="D20" i="1" s="1"/>
  <c r="D21" i="1" s="1"/>
  <c r="D22" i="1" s="1"/>
  <c r="D23" i="1" s="1"/>
  <c r="D24" i="1" s="1"/>
  <c r="D25" i="1" s="1"/>
  <c r="D26" i="1" s="1"/>
  <c r="D27" i="1" s="1"/>
  <c r="D28" i="1" s="1"/>
  <c r="D29" i="1" s="1"/>
  <c r="D30" i="1" s="1"/>
  <c r="D31" i="1" s="1"/>
  <c r="D32" i="1" s="1"/>
  <c r="D33" i="1" s="1"/>
  <c r="I16" i="1"/>
  <c r="K79" i="3"/>
  <c r="E20" i="1" l="1"/>
  <c r="E18" i="1"/>
  <c r="E19" i="1"/>
  <c r="E27" i="1"/>
  <c r="E16" i="1"/>
  <c r="E28" i="1"/>
  <c r="E24" i="1"/>
  <c r="E14" i="1"/>
  <c r="E29" i="1"/>
  <c r="E32" i="1"/>
  <c r="E15" i="1"/>
  <c r="E30" i="1"/>
  <c r="E33" i="1"/>
  <c r="I17" i="1"/>
  <c r="I18" i="1" l="1"/>
  <c r="I19" i="1" l="1"/>
  <c r="I20" i="1" l="1"/>
  <c r="I21" i="1" l="1"/>
  <c r="I22" i="1" l="1"/>
  <c r="I23" i="1" l="1"/>
  <c r="I24" i="1" l="1"/>
  <c r="I25" i="1" l="1"/>
  <c r="I26" i="1" l="1"/>
  <c r="I27" i="1" l="1"/>
  <c r="I28" i="1" l="1"/>
  <c r="I29" i="1" l="1"/>
  <c r="I30" i="1" l="1"/>
  <c r="I31" i="1" l="1"/>
  <c r="I32" i="1" l="1"/>
  <c r="I33" i="1" l="1"/>
  <c r="I34" i="1" l="1"/>
  <c r="D34" i="1" l="1"/>
  <c r="C34" i="1"/>
  <c r="E34" i="1" l="1"/>
</calcChain>
</file>

<file path=xl/comments1.xml><?xml version="1.0" encoding="utf-8"?>
<comments xmlns="http://schemas.openxmlformats.org/spreadsheetml/2006/main">
  <authors>
    <author>tzmj9b</author>
  </authors>
  <commentList>
    <comment ref="N30" authorId="0" shapeId="0">
      <text>
        <r>
          <rPr>
            <b/>
            <sz val="9"/>
            <color indexed="81"/>
            <rFont val="Tahoma"/>
            <family val="2"/>
          </rPr>
          <t>tzmj9b:</t>
        </r>
        <r>
          <rPr>
            <sz val="9"/>
            <color indexed="81"/>
            <rFont val="Tahoma"/>
            <family val="2"/>
          </rPr>
          <t xml:space="preserve">
Per Gibson</t>
        </r>
      </text>
    </comment>
  </commentList>
</comments>
</file>

<file path=xl/sharedStrings.xml><?xml version="1.0" encoding="utf-8"?>
<sst xmlns="http://schemas.openxmlformats.org/spreadsheetml/2006/main" count="559" uniqueCount="290">
  <si>
    <t>CVR</t>
  </si>
  <si>
    <t>AMI Augmentation</t>
  </si>
  <si>
    <t>2 volt drop possible</t>
  </si>
  <si>
    <t>.026% mitigation for low voltage</t>
  </si>
  <si>
    <t>Grid Mod IVVC/CVR</t>
  </si>
  <si>
    <t>2 volt drop after implementation</t>
  </si>
  <si>
    <t>1.25% savings prior to Grid Mod</t>
  </si>
  <si>
    <t>.75% after grid mod</t>
  </si>
  <si>
    <t>&lt;300 amps</t>
  </si>
  <si>
    <t>&gt;300 amps</t>
  </si>
  <si>
    <t>FeederName</t>
  </si>
  <si>
    <t>&gt; 6.7 MVA</t>
  </si>
  <si>
    <t>DMS</t>
  </si>
  <si>
    <t>SPEC</t>
  </si>
  <si>
    <t>FUTURE IVVC</t>
  </si>
  <si>
    <t>MVA</t>
  </si>
  <si>
    <t>AmpsA</t>
  </si>
  <si>
    <t>AmpsB</t>
  </si>
  <si>
    <t>AmpsC</t>
  </si>
  <si>
    <t>AIR12F1</t>
  </si>
  <si>
    <t>N</t>
  </si>
  <si>
    <t>AIR12F2</t>
  </si>
  <si>
    <t>BEA12F1</t>
  </si>
  <si>
    <t>BEA12F6</t>
  </si>
  <si>
    <t>BKR12F1</t>
  </si>
  <si>
    <t>BKR12F2</t>
  </si>
  <si>
    <t>CHE12F3</t>
  </si>
  <si>
    <t>CLV12F4</t>
  </si>
  <si>
    <t>COB12F1</t>
  </si>
  <si>
    <t>COB12F2</t>
  </si>
  <si>
    <t>DEP12F1</t>
  </si>
  <si>
    <t>H&amp;W12F1</t>
  </si>
  <si>
    <t>Y</t>
  </si>
  <si>
    <t>INT12F1</t>
  </si>
  <si>
    <t>INT12F2</t>
  </si>
  <si>
    <t>KET12F1</t>
  </si>
  <si>
    <t>?</t>
  </si>
  <si>
    <t>L&amp;R512</t>
  </si>
  <si>
    <t>LIB12F1</t>
  </si>
  <si>
    <t>LIB12F2</t>
  </si>
  <si>
    <t>LIB12F3</t>
  </si>
  <si>
    <t>LIB12F4</t>
  </si>
  <si>
    <t>MEA12F1</t>
  </si>
  <si>
    <t>MEA12F2</t>
  </si>
  <si>
    <t>MIL12F2</t>
  </si>
  <si>
    <t>MIL12F4</t>
  </si>
  <si>
    <t>OPT12F1</t>
  </si>
  <si>
    <t>OPT12F2</t>
  </si>
  <si>
    <t>OTH502</t>
  </si>
  <si>
    <t>OTH505</t>
  </si>
  <si>
    <t>PDL1201</t>
  </si>
  <si>
    <t>PDL1203</t>
  </si>
  <si>
    <t>SIP12F3</t>
  </si>
  <si>
    <t>SIP12F5</t>
  </si>
  <si>
    <t>SLK12F1</t>
  </si>
  <si>
    <t>SUN12F2</t>
  </si>
  <si>
    <t>SUN12F4</t>
  </si>
  <si>
    <t>WAK12F1</t>
  </si>
  <si>
    <t>WAK12F2</t>
  </si>
  <si>
    <t>WAK12F3</t>
  </si>
  <si>
    <t>WAK12F4</t>
  </si>
  <si>
    <t>SUM</t>
  </si>
  <si>
    <t>Annual Benefit</t>
  </si>
  <si>
    <t>Annual GridMod Benefit</t>
  </si>
  <si>
    <t>Annual R&amp;X Benefit</t>
  </si>
  <si>
    <t>GridMod YR</t>
  </si>
  <si>
    <t>CVRf</t>
  </si>
  <si>
    <t>$CVR</t>
  </si>
  <si>
    <t>3HT12F1</t>
  </si>
  <si>
    <t>VDROP:</t>
  </si>
  <si>
    <t>%VDROP</t>
  </si>
  <si>
    <t>3HT12F2</t>
  </si>
  <si>
    <t>3HT12F3</t>
  </si>
  <si>
    <t>3HT12F4</t>
  </si>
  <si>
    <t>3HT12F5</t>
  </si>
  <si>
    <t>3HT12F6</t>
  </si>
  <si>
    <t>3HT12F7</t>
  </si>
  <si>
    <t>3HT12F8</t>
  </si>
  <si>
    <t>9CE12F1</t>
  </si>
  <si>
    <t>9CE12F2</t>
  </si>
  <si>
    <t>9CE12F3</t>
  </si>
  <si>
    <t>9CE12F4</t>
  </si>
  <si>
    <t>BEA12F2</t>
  </si>
  <si>
    <t>BEA12F3</t>
  </si>
  <si>
    <t>BEA12F4</t>
  </si>
  <si>
    <t>BEA12F5</t>
  </si>
  <si>
    <t>C&amp;W12F1</t>
  </si>
  <si>
    <t>C&amp;W12F2</t>
  </si>
  <si>
    <t>C&amp;W12F3</t>
  </si>
  <si>
    <t>C&amp;W12F4</t>
  </si>
  <si>
    <t>C&amp;W12F5</t>
  </si>
  <si>
    <t>C&amp;W12F6</t>
  </si>
  <si>
    <t>F&amp;C12F1</t>
  </si>
  <si>
    <t>F&amp;C12F2</t>
  </si>
  <si>
    <t>F&amp;C12F3</t>
  </si>
  <si>
    <t>F&amp;C12F4</t>
  </si>
  <si>
    <t>F&amp;C12F5</t>
  </si>
  <si>
    <t>F&amp;C12F6</t>
  </si>
  <si>
    <t>FWT12F1</t>
  </si>
  <si>
    <t>FWT12F2</t>
  </si>
  <si>
    <t>FWT12F3</t>
  </si>
  <si>
    <t>FWT12F4</t>
  </si>
  <si>
    <t>GLN12F1</t>
  </si>
  <si>
    <t>GLN12F2</t>
  </si>
  <si>
    <t>L&amp;S12F1</t>
  </si>
  <si>
    <t>L&amp;S12F2</t>
  </si>
  <si>
    <t>L&amp;S12F3</t>
  </si>
  <si>
    <t>L&amp;S12F4</t>
  </si>
  <si>
    <t>L&amp;S12F5</t>
  </si>
  <si>
    <t>NE12F1</t>
  </si>
  <si>
    <t>NE12F2</t>
  </si>
  <si>
    <t>NE12F3</t>
  </si>
  <si>
    <t>NE12F4</t>
  </si>
  <si>
    <t>NE12F5</t>
  </si>
  <si>
    <t>NW12F1</t>
  </si>
  <si>
    <t>NW12F2</t>
  </si>
  <si>
    <t>NW12F3</t>
  </si>
  <si>
    <t>NW12F4</t>
  </si>
  <si>
    <t>PST12F1</t>
  </si>
  <si>
    <t>ROS12F1</t>
  </si>
  <si>
    <t>ROS12F2</t>
  </si>
  <si>
    <t>ROS12F3</t>
  </si>
  <si>
    <t>ROS12F4</t>
  </si>
  <si>
    <t>ROS12F5</t>
  </si>
  <si>
    <t>ROS12F6</t>
  </si>
  <si>
    <t>SE12F1</t>
  </si>
  <si>
    <t>SE12F2</t>
  </si>
  <si>
    <t>SE12F3</t>
  </si>
  <si>
    <t>SE12F4</t>
  </si>
  <si>
    <t>SE12F5</t>
  </si>
  <si>
    <t>SPU121</t>
  </si>
  <si>
    <t>SPU122</t>
  </si>
  <si>
    <t>SPU123</t>
  </si>
  <si>
    <t>SPU124</t>
  </si>
  <si>
    <t>SPU125</t>
  </si>
  <si>
    <t>SUN12F1</t>
  </si>
  <si>
    <t>SUN12F3</t>
  </si>
  <si>
    <t>SUN12F6</t>
  </si>
  <si>
    <t>TUR111</t>
  </si>
  <si>
    <t>TUR113</t>
  </si>
  <si>
    <t>TUR115</t>
  </si>
  <si>
    <t>TUR116</t>
  </si>
  <si>
    <t>TUR117</t>
  </si>
  <si>
    <t>TVW131</t>
  </si>
  <si>
    <t>TVW132</t>
  </si>
  <si>
    <t>AIR12F3</t>
  </si>
  <si>
    <t>ARD12F1</t>
  </si>
  <si>
    <t>ARD12F2</t>
  </si>
  <si>
    <t>BKR12F3</t>
  </si>
  <si>
    <t>CFD1210</t>
  </si>
  <si>
    <t>CFD1211</t>
  </si>
  <si>
    <t>CHE12F1</t>
  </si>
  <si>
    <t>CHE12F2</t>
  </si>
  <si>
    <t>CHE12F4</t>
  </si>
  <si>
    <t>CHW12F1</t>
  </si>
  <si>
    <t>CHW12F2</t>
  </si>
  <si>
    <t>CHW12F3</t>
  </si>
  <si>
    <t>CHW12F4</t>
  </si>
  <si>
    <t>CLV12F1</t>
  </si>
  <si>
    <t>CLV12F2</t>
  </si>
  <si>
    <t>CLV12F3</t>
  </si>
  <si>
    <t>CLV34F1</t>
  </si>
  <si>
    <t>DEP12F2</t>
  </si>
  <si>
    <t>DIA231</t>
  </si>
  <si>
    <t>DIA232</t>
  </si>
  <si>
    <t>DRY1208</t>
  </si>
  <si>
    <t>DRY1209</t>
  </si>
  <si>
    <t>DVP12F1</t>
  </si>
  <si>
    <t>DVP12F2</t>
  </si>
  <si>
    <t>ECL221</t>
  </si>
  <si>
    <t>ECL222</t>
  </si>
  <si>
    <t>EFM12F1</t>
  </si>
  <si>
    <t>EFM12F2</t>
  </si>
  <si>
    <t>EWN241</t>
  </si>
  <si>
    <t>FOR12F1</t>
  </si>
  <si>
    <t>FOR2kV</t>
  </si>
  <si>
    <t>GAR461</t>
  </si>
  <si>
    <t>GIF34F1</t>
  </si>
  <si>
    <t>GIF34F2</t>
  </si>
  <si>
    <t>GRN12F1</t>
  </si>
  <si>
    <t>GRN12F2</t>
  </si>
  <si>
    <t>GRN12F3</t>
  </si>
  <si>
    <t>H&amp;W12F2</t>
  </si>
  <si>
    <t>HAR4F1</t>
  </si>
  <si>
    <t>HAR4F2</t>
  </si>
  <si>
    <t>KET12F2</t>
  </si>
  <si>
    <t>L&amp;R511</t>
  </si>
  <si>
    <t>LAT421</t>
  </si>
  <si>
    <t>LAT422</t>
  </si>
  <si>
    <t>LEO612</t>
  </si>
  <si>
    <t>LF34F1</t>
  </si>
  <si>
    <t>LIN711</t>
  </si>
  <si>
    <t>LL12F1</t>
  </si>
  <si>
    <t>LOO12F1</t>
  </si>
  <si>
    <t>LOO12F2</t>
  </si>
  <si>
    <t>MIL12F1</t>
  </si>
  <si>
    <t>MIL12F3</t>
  </si>
  <si>
    <t>MLN12F1</t>
  </si>
  <si>
    <t>MLN12F2</t>
  </si>
  <si>
    <t>ODS12F1</t>
  </si>
  <si>
    <t>ORI12F1</t>
  </si>
  <si>
    <t>ORI12F2</t>
  </si>
  <si>
    <t>ORI12F3</t>
  </si>
  <si>
    <t>OTH501</t>
  </si>
  <si>
    <t>OTH503</t>
  </si>
  <si>
    <t>PAL311</t>
  </si>
  <si>
    <t>PAL312</t>
  </si>
  <si>
    <t>PDL1202</t>
  </si>
  <si>
    <t>PDL1204</t>
  </si>
  <si>
    <t>PST12F2</t>
  </si>
  <si>
    <t>RDN12F1</t>
  </si>
  <si>
    <t>RDN12F2</t>
  </si>
  <si>
    <t>RIT731</t>
  </si>
  <si>
    <t>RIT732</t>
  </si>
  <si>
    <t>ROK451</t>
  </si>
  <si>
    <t>ROX751</t>
  </si>
  <si>
    <t>RSA431</t>
  </si>
  <si>
    <t>SIP12F1</t>
  </si>
  <si>
    <t>SIP12F2</t>
  </si>
  <si>
    <t>SIP12F4</t>
  </si>
  <si>
    <t>SLK12F2</t>
  </si>
  <si>
    <t>SLK12F3</t>
  </si>
  <si>
    <t>SOT521</t>
  </si>
  <si>
    <t>SOT522</t>
  </si>
  <si>
    <t>SOT523</t>
  </si>
  <si>
    <t>SPA442</t>
  </si>
  <si>
    <t>SPI12F1</t>
  </si>
  <si>
    <t>SPI12F2</t>
  </si>
  <si>
    <t>SPR761</t>
  </si>
  <si>
    <t>SUN12F5</t>
  </si>
  <si>
    <t>TKO411</t>
  </si>
  <si>
    <t>TKO412</t>
  </si>
  <si>
    <t>TUR112</t>
  </si>
  <si>
    <t>VAL12F1</t>
  </si>
  <si>
    <t>VAL12F2</t>
  </si>
  <si>
    <t>VAL12F3</t>
  </si>
  <si>
    <t>WAS781</t>
  </si>
  <si>
    <t>WIL12F1</t>
  </si>
  <si>
    <t>WIL12F2</t>
  </si>
  <si>
    <t>SUM:</t>
  </si>
  <si>
    <t>Project Life (years)</t>
  </si>
  <si>
    <t>Avoided Cost of Energy ($/MWh)</t>
  </si>
  <si>
    <t>Load Factor</t>
  </si>
  <si>
    <t>CVR Factor (if not known)</t>
  </si>
  <si>
    <t>X&amp;R Volt Drop</t>
  </si>
  <si>
    <t>X&amp;R Settings</t>
  </si>
  <si>
    <t>AMI Volt Drop</t>
  </si>
  <si>
    <t>Year</t>
  </si>
  <si>
    <t>X&amp;R Savings</t>
  </si>
  <si>
    <t>* Note Year 21 is 0.75 years</t>
  </si>
  <si>
    <t>VDROP</t>
  </si>
  <si>
    <t>VDROP%</t>
  </si>
  <si>
    <t>Totals</t>
  </si>
  <si>
    <t>Future Grid Mod</t>
  </si>
  <si>
    <t>Key Benefit Assumptions:</t>
  </si>
  <si>
    <t>Viper Per Unit Cost</t>
  </si>
  <si>
    <t>Substation Costs</t>
  </si>
  <si>
    <t>Key Grid Mod Cost Assumptions (2016 Basis):</t>
  </si>
  <si>
    <t>Cap Bank Cost</t>
  </si>
  <si>
    <t>Communications - FAN</t>
  </si>
  <si>
    <t>Communications - Cell</t>
  </si>
  <si>
    <t>Vipers per Feeder - Rural</t>
  </si>
  <si>
    <t>Vipers per Feeder - Urban</t>
  </si>
  <si>
    <t>Cap Banks per Feeder Rural</t>
  </si>
  <si>
    <t>Cap Banks per Feeder Urban</t>
  </si>
  <si>
    <t>Rural/Urban</t>
  </si>
  <si>
    <t>U</t>
  </si>
  <si>
    <t>Grid Mod Cost</t>
  </si>
  <si>
    <t>Key Cost Assumptions Other (2016 Basis):</t>
  </si>
  <si>
    <t xml:space="preserve">PI Dashboard Metrics </t>
  </si>
  <si>
    <t>(1 resource, $60/hr, 1.92 loading)</t>
  </si>
  <si>
    <t>X&amp;R Relay Shop Labor</t>
  </si>
  <si>
    <t>(.5 resource, $60/hr, 1.92 loading)</t>
  </si>
  <si>
    <t>DMS Integration/Design</t>
  </si>
  <si>
    <t>Monitoring &amp; Tuning</t>
  </si>
  <si>
    <t>Mitigation (Capital)</t>
  </si>
  <si>
    <t>Additional AMI Benefit After Grid Mod</t>
  </si>
  <si>
    <t>CVR/AMI Cost Other (Capital)</t>
  </si>
  <si>
    <t>CVR/AMI Cost Other (O&amp;M)</t>
  </si>
  <si>
    <t>Annual Benefits</t>
  </si>
  <si>
    <t>Total Capital Cost</t>
  </si>
  <si>
    <t>Total Benefits</t>
  </si>
  <si>
    <t>Anuual Benefit</t>
  </si>
  <si>
    <t>*Note the beenfits must be cashflowed with Grid Mod Schedule</t>
  </si>
  <si>
    <t>Benefits</t>
  </si>
  <si>
    <t>Costs</t>
  </si>
  <si>
    <t>labor</t>
  </si>
  <si>
    <t>Load</t>
  </si>
  <si>
    <t>Inflation</t>
  </si>
  <si>
    <t>O&amp;M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</si>
</sst>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_(&quot;$&quot;* #,##0_);_(&quot;$&quot;* \(#,##0\);_(&quot;$&quot;* &quot;-&quot;??_);_(@_)"/>
    <numFmt numFmtId="166" formatCode="0.0%"/>
  </numFmts>
  <fonts count="7" x14ac:knownFonts="1">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8"/>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00000"/>
        <bgColor indexed="64"/>
      </patternFill>
    </fill>
    <fill>
      <patternFill patternType="solid">
        <fgColor theme="9" tint="0.39997558519241921"/>
        <bgColor indexed="64"/>
      </patternFill>
    </fill>
  </fills>
  <borders count="24">
    <border>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3" xfId="0" applyBorder="1"/>
    <xf numFmtId="0" fontId="3" fillId="0" borderId="0" xfId="0" applyFont="1"/>
    <xf numFmtId="164" fontId="3" fillId="0" borderId="0" xfId="0" applyNumberFormat="1" applyFont="1"/>
    <xf numFmtId="44" fontId="0" fillId="0" borderId="0" xfId="1" applyNumberFormat="1" applyFont="1"/>
    <xf numFmtId="165" fontId="0" fillId="0" borderId="0" xfId="1" applyNumberFormat="1" applyFont="1"/>
    <xf numFmtId="0" fontId="0" fillId="2" borderId="0" xfId="0" applyFill="1"/>
    <xf numFmtId="0" fontId="0" fillId="0" borderId="0" xfId="0" applyFill="1"/>
    <xf numFmtId="0" fontId="2" fillId="0" borderId="0" xfId="0" applyFont="1" applyAlignment="1">
      <alignment horizontal="right"/>
    </xf>
    <xf numFmtId="0" fontId="0" fillId="0" borderId="15" xfId="0" applyBorder="1"/>
    <xf numFmtId="0" fontId="2" fillId="0" borderId="16" xfId="0" applyFont="1" applyBorder="1" applyAlignment="1">
      <alignment wrapText="1"/>
    </xf>
    <xf numFmtId="0" fontId="2" fillId="0" borderId="14" xfId="0" applyFont="1" applyBorder="1" applyAlignment="1">
      <alignment wrapText="1"/>
    </xf>
    <xf numFmtId="0" fontId="2" fillId="0" borderId="17" xfId="0" applyFont="1" applyFill="1" applyBorder="1" applyAlignment="1">
      <alignment wrapText="1"/>
    </xf>
    <xf numFmtId="0" fontId="2" fillId="0" borderId="0" xfId="0" applyFont="1" applyFill="1" applyBorder="1" applyAlignment="1">
      <alignment wrapText="1"/>
    </xf>
    <xf numFmtId="2" fontId="0" fillId="3" borderId="11" xfId="0" applyNumberFormat="1" applyFill="1" applyBorder="1"/>
    <xf numFmtId="2" fontId="0" fillId="3" borderId="12" xfId="0" applyNumberFormat="1" applyFill="1" applyBorder="1"/>
    <xf numFmtId="2" fontId="0" fillId="3" borderId="13" xfId="0" applyNumberFormat="1" applyFill="1" applyBorder="1"/>
    <xf numFmtId="0" fontId="2" fillId="0" borderId="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2" xfId="0" applyFont="1" applyFill="1" applyBorder="1" applyAlignment="1">
      <alignment wrapText="1"/>
    </xf>
    <xf numFmtId="0" fontId="2" fillId="0" borderId="13" xfId="0" applyFont="1" applyFill="1" applyBorder="1" applyAlignment="1">
      <alignment wrapText="1"/>
    </xf>
    <xf numFmtId="165" fontId="0" fillId="3" borderId="11" xfId="1" applyNumberFormat="1" applyFont="1" applyFill="1" applyBorder="1"/>
    <xf numFmtId="165" fontId="0" fillId="3" borderId="12" xfId="1" applyNumberFormat="1" applyFont="1" applyFill="1" applyBorder="1"/>
    <xf numFmtId="1" fontId="0" fillId="3" borderId="12" xfId="0" applyNumberFormat="1" applyFill="1" applyBorder="1"/>
    <xf numFmtId="1" fontId="0" fillId="3" borderId="13" xfId="0" applyNumberFormat="1" applyFill="1" applyBorder="1"/>
    <xf numFmtId="0" fontId="2" fillId="0" borderId="13" xfId="0" applyFont="1" applyBorder="1" applyAlignment="1">
      <alignment wrapText="1"/>
    </xf>
    <xf numFmtId="165" fontId="0" fillId="3" borderId="13" xfId="1" applyNumberFormat="1" applyFont="1" applyFill="1" applyBorder="1"/>
    <xf numFmtId="165" fontId="0" fillId="0" borderId="0" xfId="1" applyNumberFormat="1" applyFont="1" applyFill="1" applyBorder="1"/>
    <xf numFmtId="1" fontId="0" fillId="0" borderId="0" xfId="0" applyNumberFormat="1" applyFill="1" applyBorder="1"/>
    <xf numFmtId="165" fontId="0" fillId="4" borderId="0" xfId="1" applyNumberFormat="1" applyFont="1" applyFill="1" applyAlignment="1">
      <alignment wrapText="1"/>
    </xf>
    <xf numFmtId="165" fontId="0" fillId="4" borderId="0" xfId="1" applyNumberFormat="1" applyFont="1" applyFill="1"/>
    <xf numFmtId="0" fontId="0" fillId="0" borderId="14" xfId="0" applyBorder="1"/>
    <xf numFmtId="165" fontId="0" fillId="0" borderId="19" xfId="1" applyNumberFormat="1" applyFont="1" applyBorder="1"/>
    <xf numFmtId="165" fontId="0" fillId="0" borderId="16" xfId="1" applyNumberFormat="1" applyFont="1" applyBorder="1"/>
    <xf numFmtId="165" fontId="0" fillId="0" borderId="0" xfId="1" applyNumberFormat="1" applyFont="1" applyBorder="1"/>
    <xf numFmtId="165" fontId="0" fillId="0" borderId="2" xfId="1" applyNumberFormat="1" applyFont="1" applyBorder="1"/>
    <xf numFmtId="165" fontId="0" fillId="0" borderId="17" xfId="1" applyNumberFormat="1" applyFont="1" applyBorder="1"/>
    <xf numFmtId="165" fontId="0" fillId="0" borderId="20" xfId="1" applyNumberFormat="1" applyFont="1" applyBorder="1"/>
    <xf numFmtId="165" fontId="0" fillId="0" borderId="18" xfId="1" applyNumberFormat="1" applyFont="1" applyBorder="1"/>
    <xf numFmtId="165" fontId="0" fillId="0" borderId="14" xfId="1" applyNumberFormat="1" applyFont="1" applyBorder="1"/>
    <xf numFmtId="0" fontId="0" fillId="0" borderId="21" xfId="0" applyBorder="1" applyAlignment="1">
      <alignment wrapText="1"/>
    </xf>
    <xf numFmtId="0" fontId="0" fillId="0" borderId="4" xfId="0" applyBorder="1" applyAlignment="1">
      <alignment wrapText="1"/>
    </xf>
    <xf numFmtId="0" fontId="0" fillId="0" borderId="22" xfId="0" applyBorder="1" applyAlignment="1">
      <alignment wrapText="1"/>
    </xf>
    <xf numFmtId="165" fontId="2" fillId="5" borderId="3" xfId="1" applyNumberFormat="1" applyFont="1" applyFill="1" applyBorder="1"/>
    <xf numFmtId="165" fontId="2" fillId="5" borderId="21" xfId="1" applyNumberFormat="1" applyFont="1" applyFill="1" applyBorder="1"/>
    <xf numFmtId="165" fontId="2" fillId="5" borderId="4" xfId="1" applyNumberFormat="1" applyFont="1" applyFill="1" applyBorder="1"/>
    <xf numFmtId="0" fontId="2" fillId="3" borderId="1" xfId="0" applyFont="1" applyFill="1" applyBorder="1"/>
    <xf numFmtId="164" fontId="0" fillId="6" borderId="0" xfId="0" applyNumberFormat="1" applyFill="1"/>
    <xf numFmtId="0" fontId="0" fillId="6" borderId="0" xfId="0" applyFill="1"/>
    <xf numFmtId="164" fontId="2" fillId="6" borderId="0" xfId="0" applyNumberFormat="1" applyFont="1" applyFill="1"/>
    <xf numFmtId="165" fontId="0" fillId="6" borderId="0" xfId="1" applyNumberFormat="1" applyFont="1" applyFill="1"/>
    <xf numFmtId="0" fontId="0" fillId="6" borderId="0" xfId="0" applyFill="1" applyAlignment="1">
      <alignment wrapText="1"/>
    </xf>
    <xf numFmtId="165" fontId="0" fillId="6" borderId="0" xfId="0" applyNumberFormat="1" applyFill="1"/>
    <xf numFmtId="0" fontId="0" fillId="5" borderId="0" xfId="0" applyFill="1" applyAlignment="1">
      <alignment wrapText="1"/>
    </xf>
    <xf numFmtId="0" fontId="0" fillId="5" borderId="0" xfId="0" applyFill="1" applyAlignment="1"/>
    <xf numFmtId="0" fontId="0" fillId="5" borderId="0" xfId="0" applyFill="1"/>
    <xf numFmtId="165" fontId="0" fillId="5" borderId="0" xfId="1" applyNumberFormat="1" applyFont="1" applyFill="1"/>
    <xf numFmtId="0" fontId="2" fillId="5" borderId="0" xfId="0" applyFont="1" applyFill="1" applyAlignment="1">
      <alignment horizontal="right"/>
    </xf>
    <xf numFmtId="165" fontId="0" fillId="5" borderId="0" xfId="0" applyNumberFormat="1" applyFill="1"/>
    <xf numFmtId="0" fontId="0" fillId="0" borderId="20" xfId="0" applyBorder="1" applyAlignment="1"/>
    <xf numFmtId="165" fontId="0" fillId="0" borderId="15" xfId="1" applyNumberFormat="1" applyFont="1" applyBorder="1"/>
    <xf numFmtId="9" fontId="0" fillId="0" borderId="0" xfId="0" applyNumberFormat="1"/>
    <xf numFmtId="10" fontId="0" fillId="0" borderId="0" xfId="0" applyNumberFormat="1"/>
    <xf numFmtId="0" fontId="0" fillId="0" borderId="16" xfId="0" applyBorder="1"/>
    <xf numFmtId="0" fontId="0" fillId="0" borderId="17" xfId="0" applyBorder="1"/>
    <xf numFmtId="0" fontId="0" fillId="0" borderId="19" xfId="0" applyBorder="1"/>
    <xf numFmtId="0" fontId="0" fillId="0" borderId="23" xfId="0" applyBorder="1"/>
    <xf numFmtId="0" fontId="0" fillId="0" borderId="19" xfId="0" applyBorder="1" applyAlignment="1">
      <alignment wrapText="1"/>
    </xf>
    <xf numFmtId="165" fontId="2" fillId="3" borderId="17" xfId="1" applyNumberFormat="1" applyFont="1" applyFill="1" applyBorder="1"/>
    <xf numFmtId="165" fontId="2" fillId="3" borderId="20" xfId="1" applyNumberFormat="1" applyFont="1" applyFill="1" applyBorder="1"/>
    <xf numFmtId="165" fontId="2" fillId="3" borderId="18" xfId="1" applyNumberFormat="1" applyFont="1" applyFill="1" applyBorder="1"/>
    <xf numFmtId="166" fontId="0" fillId="0" borderId="0" xfId="0" applyNumberFormat="1"/>
    <xf numFmtId="0" fontId="2" fillId="0" borderId="14" xfId="0" applyFont="1" applyBorder="1" applyAlignment="1">
      <alignment horizontal="center"/>
    </xf>
    <xf numFmtId="0" fontId="2" fillId="0" borderId="15" xfId="0" applyFont="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20" xfId="0" applyBorder="1" applyAlignment="1">
      <alignment horizontal="center"/>
    </xf>
    <xf numFmtId="164" fontId="0" fillId="0" borderId="0" xfId="0" applyNumberFormat="1" applyAlignment="1">
      <alignment horizontal="center"/>
    </xf>
    <xf numFmtId="44" fontId="3" fillId="0" borderId="0" xfId="1" applyNumberFormat="1" applyFont="1" applyAlignment="1">
      <alignment horizontal="center"/>
    </xf>
    <xf numFmtId="165" fontId="2" fillId="0" borderId="0" xfId="0" applyNumberFormat="1" applyFont="1" applyAlignment="1">
      <alignment horizontal="center"/>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400050</xdr:colOff>
      <xdr:row>20</xdr:row>
      <xdr:rowOff>142874</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0" y="0"/>
          <a:ext cx="6572250" cy="4143374"/>
        </a:xfrm>
        <a:prstGeom prst="rect">
          <a:avLst/>
        </a:prstGeom>
        <a:noFill/>
        <a:ln w="9525">
          <a:noFill/>
          <a:miter lim="800000"/>
          <a:headEnd/>
          <a:tailEnd/>
        </a:ln>
      </xdr:spPr>
    </xdr:pic>
    <xdr:clientData/>
  </xdr:twoCellAnchor>
  <xdr:twoCellAnchor editAs="oneCell">
    <xdr:from>
      <xdr:col>0</xdr:col>
      <xdr:colOff>0</xdr:colOff>
      <xdr:row>21</xdr:row>
      <xdr:rowOff>0</xdr:rowOff>
    </xdr:from>
    <xdr:to>
      <xdr:col>9</xdr:col>
      <xdr:colOff>419100</xdr:colOff>
      <xdr:row>34</xdr:row>
      <xdr:rowOff>123825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rcRect/>
        <a:stretch>
          <a:fillRect/>
        </a:stretch>
      </xdr:blipFill>
      <xdr:spPr bwMode="auto">
        <a:xfrm>
          <a:off x="0" y="4200525"/>
          <a:ext cx="6591300" cy="2724150"/>
        </a:xfrm>
        <a:prstGeom prst="rect">
          <a:avLst/>
        </a:prstGeom>
        <a:noFill/>
        <a:ln w="9525">
          <a:noFill/>
          <a:miter lim="800000"/>
          <a:headEnd/>
          <a:tailEnd/>
        </a:ln>
      </xdr:spPr>
    </xdr:pic>
    <xdr:clientData/>
  </xdr:twoCellAnchor>
  <xdr:twoCellAnchor>
    <xdr:from>
      <xdr:col>10</xdr:col>
      <xdr:colOff>400050</xdr:colOff>
      <xdr:row>0</xdr:row>
      <xdr:rowOff>190499</xdr:rowOff>
    </xdr:from>
    <xdr:to>
      <xdr:col>14</xdr:col>
      <xdr:colOff>590550</xdr:colOff>
      <xdr:row>32</xdr:row>
      <xdr:rowOff>200024</xdr:rowOff>
    </xdr:to>
    <xdr:sp macro="" textlink="">
      <xdr:nvSpPr>
        <xdr:cNvPr id="7169" name="Text Box 1">
          <a:extLst>
            <a:ext uri="{FF2B5EF4-FFF2-40B4-BE49-F238E27FC236}">
              <a16:creationId xmlns:a16="http://schemas.microsoft.com/office/drawing/2014/main" id="{00000000-0008-0000-0000-0000011C0000}"/>
            </a:ext>
          </a:extLst>
        </xdr:cNvPr>
        <xdr:cNvSpPr txBox="1">
          <a:spLocks noChangeArrowheads="1"/>
        </xdr:cNvSpPr>
      </xdr:nvSpPr>
      <xdr:spPr bwMode="auto">
        <a:xfrm>
          <a:off x="7258050" y="190499"/>
          <a:ext cx="2933700" cy="641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800" b="0" i="0" u="none" strike="noStrike" baseline="0">
              <a:solidFill>
                <a:srgbClr val="000000"/>
              </a:solidFill>
              <a:latin typeface="Calibri"/>
            </a:rPr>
            <a:t>The avoided cost calculation to the left is from a 2013 TAC presentation.  The table bottom left labeled Table 8.8 is from the 2013 IRP.  As noted earlier, it is important to stay consistent with these values.  The assumption is that the demand response is reliable (dispatchable) so that you would not need to build capacity with traditional generating resources.</a:t>
          </a:r>
        </a:p>
        <a:p>
          <a:pPr algn="l" rtl="0">
            <a:defRPr sz="1000"/>
          </a:pPr>
          <a:endParaRPr lang="en-US" sz="1800" b="0" i="0" u="none" strike="noStrike" baseline="0">
            <a:solidFill>
              <a:srgbClr val="000000"/>
            </a:solidFill>
            <a:latin typeface="Calibri"/>
          </a:endParaRPr>
        </a:p>
        <a:p>
          <a:pPr algn="l" rtl="0">
            <a:defRPr sz="1000"/>
          </a:pPr>
          <a:r>
            <a:rPr lang="en-US" sz="1200" b="0" i="0" u="none" strike="noStrike" baseline="0">
              <a:solidFill>
                <a:srgbClr val="000000"/>
              </a:solidFill>
              <a:latin typeface="Calibri"/>
            </a:rPr>
            <a:t>Note: DR assets and associated costs would be included in the Avista Supply Resource Stack</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alibri"/>
            </a:rPr>
            <a:t>Both tables have similar total levelized costs of approximately $68 with the Risk Premium showing the largest delta.</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217947</xdr:colOff>
      <xdr:row>8</xdr:row>
      <xdr:rowOff>50765</xdr:rowOff>
    </xdr:to>
    <xdr:sp macro="" textlink="">
      <xdr:nvSpPr>
        <xdr:cNvPr id="2" name="EsriDoNotEdit">
          <a:extLst>
            <a:ext uri="{FF2B5EF4-FFF2-40B4-BE49-F238E27FC236}">
              <a16:creationId xmlns:a16="http://schemas.microsoft.com/office/drawing/2014/main" id="{632B7F40-BCED-41F5-846B-0DD8779371B8}"/>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55" zoomScaleNormal="55" workbookViewId="0">
      <selection activeCell="R9" sqref="R9"/>
    </sheetView>
  </sheetViews>
  <sheetFormatPr defaultRowHeight="15.6" x14ac:dyDescent="0.3"/>
  <sheetData/>
  <pageMargins left="0.7" right="0.7" top="0.75" bottom="0.75" header="0.3" footer="0.3"/>
  <pageSetup scale="63"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38"/>
  <sheetViews>
    <sheetView zoomScale="90" zoomScaleNormal="90" workbookViewId="0">
      <selection activeCell="P13" sqref="P13"/>
    </sheetView>
  </sheetViews>
  <sheetFormatPr defaultColWidth="11" defaultRowHeight="15.6" x14ac:dyDescent="0.3"/>
  <cols>
    <col min="1" max="1" width="3" customWidth="1"/>
    <col min="3" max="3" width="12.8984375" customWidth="1"/>
    <col min="4" max="4" width="12.3984375" customWidth="1"/>
    <col min="5" max="5" width="18" customWidth="1"/>
    <col min="6" max="8" width="12.5" bestFit="1" customWidth="1"/>
    <col min="9" max="9" width="11.3984375" bestFit="1" customWidth="1"/>
    <col min="12" max="12" width="30.8984375" customWidth="1"/>
    <col min="13" max="13" width="11.3984375" bestFit="1" customWidth="1"/>
  </cols>
  <sheetData>
    <row r="1" spans="2:13" ht="16.2" thickBot="1" x14ac:dyDescent="0.35"/>
    <row r="2" spans="2:13" ht="16.2" thickBot="1" x14ac:dyDescent="0.35">
      <c r="D2" s="81" t="s">
        <v>0</v>
      </c>
      <c r="E2" s="82"/>
      <c r="L2" s="83" t="s">
        <v>254</v>
      </c>
      <c r="M2" s="84"/>
    </row>
    <row r="3" spans="2:13" x14ac:dyDescent="0.3">
      <c r="C3" s="2" t="s">
        <v>8</v>
      </c>
      <c r="D3" s="1"/>
      <c r="E3" s="2"/>
      <c r="F3" s="2" t="s">
        <v>9</v>
      </c>
      <c r="G3" s="2"/>
      <c r="H3" s="2"/>
      <c r="I3" s="2"/>
      <c r="L3" s="17" t="s">
        <v>242</v>
      </c>
      <c r="M3" s="20">
        <v>0.38</v>
      </c>
    </row>
    <row r="4" spans="2:13" ht="16.2" thickBot="1" x14ac:dyDescent="0.35">
      <c r="C4" s="3"/>
      <c r="G4" s="4"/>
      <c r="I4" s="4"/>
      <c r="L4" s="16" t="s">
        <v>241</v>
      </c>
      <c r="M4" s="21">
        <v>68</v>
      </c>
    </row>
    <row r="5" spans="2:13" ht="16.2" thickBot="1" x14ac:dyDescent="0.35">
      <c r="B5" s="81" t="s">
        <v>245</v>
      </c>
      <c r="C5" s="82"/>
      <c r="F5" s="2"/>
      <c r="G5" s="6"/>
      <c r="I5" s="5"/>
      <c r="L5" s="16" t="s">
        <v>243</v>
      </c>
      <c r="M5" s="21">
        <v>0.87</v>
      </c>
    </row>
    <row r="6" spans="2:13" ht="16.2" thickBot="1" x14ac:dyDescent="0.35">
      <c r="B6" t="s">
        <v>6</v>
      </c>
      <c r="F6" s="3"/>
      <c r="I6" s="81" t="s">
        <v>4</v>
      </c>
      <c r="J6" s="82"/>
      <c r="L6" s="16" t="s">
        <v>240</v>
      </c>
      <c r="M6" s="21">
        <v>20.75</v>
      </c>
    </row>
    <row r="7" spans="2:13" ht="16.2" thickBot="1" x14ac:dyDescent="0.35">
      <c r="B7" t="s">
        <v>7</v>
      </c>
      <c r="E7" s="81" t="s">
        <v>1</v>
      </c>
      <c r="F7" s="82"/>
      <c r="I7" t="s">
        <v>5</v>
      </c>
      <c r="L7" s="16" t="s">
        <v>244</v>
      </c>
      <c r="M7" s="21">
        <v>1.25</v>
      </c>
    </row>
    <row r="8" spans="2:13" ht="16.2" thickBot="1" x14ac:dyDescent="0.35">
      <c r="E8" t="s">
        <v>2</v>
      </c>
      <c r="L8" s="18" t="s">
        <v>246</v>
      </c>
      <c r="M8" s="22">
        <v>2</v>
      </c>
    </row>
    <row r="9" spans="2:13" x14ac:dyDescent="0.3">
      <c r="E9" t="s">
        <v>3</v>
      </c>
    </row>
    <row r="11" spans="2:13" ht="16.2" thickBot="1" x14ac:dyDescent="0.35">
      <c r="C11" s="66" t="s">
        <v>284</v>
      </c>
      <c r="D11" s="66"/>
      <c r="E11" s="66"/>
      <c r="F11" s="85" t="s">
        <v>285</v>
      </c>
      <c r="G11" s="85"/>
      <c r="H11" s="85"/>
      <c r="I11" s="85"/>
    </row>
    <row r="12" spans="2:13" ht="47.4" thickBot="1" x14ac:dyDescent="0.35">
      <c r="B12" s="7" t="s">
        <v>247</v>
      </c>
      <c r="C12" s="73" t="s">
        <v>248</v>
      </c>
      <c r="D12" s="74" t="s">
        <v>1</v>
      </c>
      <c r="E12" s="74" t="s">
        <v>253</v>
      </c>
      <c r="F12" s="49" t="s">
        <v>267</v>
      </c>
      <c r="G12" s="47" t="s">
        <v>277</v>
      </c>
      <c r="H12" s="47" t="s">
        <v>275</v>
      </c>
      <c r="I12" s="48" t="s">
        <v>278</v>
      </c>
    </row>
    <row r="13" spans="2:13" ht="16.2" thickBot="1" x14ac:dyDescent="0.35">
      <c r="B13" s="38">
        <v>1</v>
      </c>
      <c r="C13" s="46">
        <f>'X&amp;R Savings'!M97</f>
        <v>914973.60919540224</v>
      </c>
      <c r="D13" s="39">
        <f>'Grid Mod AMI Augmentation'!K78</f>
        <v>2212474.6061175107</v>
      </c>
      <c r="E13" s="67">
        <f>SUM('Future Grid  Mod'!L2:L40)</f>
        <v>920665.09195402276</v>
      </c>
      <c r="F13" s="72">
        <v>0</v>
      </c>
      <c r="G13" s="39">
        <f>M27+M28+M29</f>
        <v>599028.47999999998</v>
      </c>
      <c r="H13" s="39">
        <v>580000</v>
      </c>
      <c r="I13" s="15"/>
    </row>
    <row r="14" spans="2:13" ht="16.2" thickBot="1" x14ac:dyDescent="0.35">
      <c r="B14" s="70">
        <f>B13+1</f>
        <v>2</v>
      </c>
      <c r="C14" s="40">
        <f>C13*(1+$C$35+$C$36)</f>
        <v>953402.50078160898</v>
      </c>
      <c r="D14" s="41">
        <f>D13*(1+$D$35+$D$36)</f>
        <v>2305398.5395744457</v>
      </c>
      <c r="E14" s="42">
        <f>SUM('Future Grid  Mod'!L2:L40)+SUM('Future Grid  Mod'!M2:M3)*(1+$D$35+$D$36)^(COUNT(B$13:B14))</f>
        <v>952799.04880086414</v>
      </c>
      <c r="F14" s="41">
        <v>0</v>
      </c>
      <c r="G14" s="41">
        <v>0</v>
      </c>
      <c r="H14" s="41">
        <v>100000</v>
      </c>
      <c r="I14" s="42">
        <f t="shared" ref="I14" si="0">Monitor</f>
        <v>239611.39199999999</v>
      </c>
      <c r="L14" s="79" t="s">
        <v>257</v>
      </c>
      <c r="M14" s="80"/>
    </row>
    <row r="15" spans="2:13" x14ac:dyDescent="0.3">
      <c r="B15" s="70">
        <f t="shared" ref="B15:B33" si="1">B14+1</f>
        <v>3</v>
      </c>
      <c r="C15" s="40">
        <f t="shared" ref="C15:C33" si="2">C14*(1+$C$35+$C$36)</f>
        <v>993445.40581443638</v>
      </c>
      <c r="D15" s="41">
        <f t="shared" ref="D15:D33" si="3">D14*(1+$D$35+$D$36)</f>
        <v>2402225.2782365722</v>
      </c>
      <c r="E15" s="42">
        <f>(SUM('Future Grid  Mod'!L2:L40)+SUM('Future Grid  Mod'!M2:M5))*(1+$D$35+$D$36)^(COUNT(B$13:B15))</f>
        <v>1110048.2353586662</v>
      </c>
      <c r="F15" s="41">
        <v>0</v>
      </c>
      <c r="G15" s="41">
        <v>0</v>
      </c>
      <c r="H15" s="41">
        <v>100000</v>
      </c>
      <c r="I15" s="42">
        <f>I14*(1+$I$35)</f>
        <v>246799.73376</v>
      </c>
      <c r="L15" s="24" t="s">
        <v>255</v>
      </c>
      <c r="M15" s="28">
        <v>75000</v>
      </c>
    </row>
    <row r="16" spans="2:13" x14ac:dyDescent="0.3">
      <c r="B16" s="70">
        <f t="shared" si="1"/>
        <v>4</v>
      </c>
      <c r="C16" s="40">
        <f t="shared" si="2"/>
        <v>1035170.1128586425</v>
      </c>
      <c r="D16" s="41">
        <f t="shared" si="3"/>
        <v>2503118.7399225077</v>
      </c>
      <c r="E16" s="42">
        <f>SUM('Future Grid  Mod'!L2:L40)+SUM('Future Grid  Mod'!M2:M7)*(1+$D$35+$D$36)^(COUNT(B$13:B16))</f>
        <v>1033386.2864092429</v>
      </c>
      <c r="F16" s="41">
        <v>0</v>
      </c>
      <c r="G16" s="41">
        <v>0</v>
      </c>
      <c r="H16" s="41">
        <v>100000</v>
      </c>
      <c r="I16" s="42">
        <f t="shared" ref="I16:I33" si="4">I15*(1+$I$35)</f>
        <v>254203.72577280001</v>
      </c>
      <c r="L16" s="25" t="s">
        <v>258</v>
      </c>
      <c r="M16" s="29">
        <v>25000</v>
      </c>
    </row>
    <row r="17" spans="2:14" x14ac:dyDescent="0.3">
      <c r="B17" s="70">
        <f t="shared" si="1"/>
        <v>5</v>
      </c>
      <c r="C17" s="40">
        <f t="shared" si="2"/>
        <v>1078647.2575987054</v>
      </c>
      <c r="D17" s="41">
        <f t="shared" si="3"/>
        <v>2608249.7269992526</v>
      </c>
      <c r="E17" s="42">
        <f>SUM('Future Grid  Mod'!L2:L40)+SUM('Future Grid  Mod'!M2:M9)*(1+$D$35+$D$36)^(COUNT(B$13:B17))</f>
        <v>1080068.9639414833</v>
      </c>
      <c r="F17" s="41">
        <v>0</v>
      </c>
      <c r="G17" s="41">
        <v>0</v>
      </c>
      <c r="H17" s="41">
        <v>100000</v>
      </c>
      <c r="I17" s="42">
        <f t="shared" si="4"/>
        <v>261829.83754598402</v>
      </c>
      <c r="L17" s="25" t="s">
        <v>256</v>
      </c>
      <c r="M17" s="29">
        <v>50000</v>
      </c>
    </row>
    <row r="18" spans="2:14" x14ac:dyDescent="0.3">
      <c r="B18" s="70">
        <f t="shared" si="1"/>
        <v>6</v>
      </c>
      <c r="C18" s="40">
        <f t="shared" si="2"/>
        <v>1123950.4424178507</v>
      </c>
      <c r="D18" s="41">
        <f t="shared" si="3"/>
        <v>2717796.2155332207</v>
      </c>
      <c r="E18" s="42">
        <f>SUM('Future Grid  Mod'!L2:L40)+SUM('Future Grid  Mod'!M2:M11)*(1+$D$35+$D$36)^(COUNT(B$13:B18))</f>
        <v>1129225.2827812857</v>
      </c>
      <c r="F18" s="41">
        <v>0</v>
      </c>
      <c r="G18" s="41">
        <v>0</v>
      </c>
      <c r="H18" s="41">
        <v>100000</v>
      </c>
      <c r="I18" s="42">
        <f t="shared" si="4"/>
        <v>269684.73267236352</v>
      </c>
      <c r="L18" s="25" t="s">
        <v>259</v>
      </c>
      <c r="M18" s="29">
        <v>20000</v>
      </c>
    </row>
    <row r="19" spans="2:14" x14ac:dyDescent="0.3">
      <c r="B19" s="70">
        <f t="shared" si="1"/>
        <v>7</v>
      </c>
      <c r="C19" s="40">
        <f t="shared" si="2"/>
        <v>1171156.3609994003</v>
      </c>
      <c r="D19" s="41">
        <f t="shared" si="3"/>
        <v>2831943.6565856156</v>
      </c>
      <c r="E19" s="42">
        <f>SUM('Future Grid  Mod'!L2:L40)+SUM('Future Grid  Mod'!M2:M13)*(1+$D$35+$D$36)^(COUNT(B$13:B19))</f>
        <v>1180494.4563978605</v>
      </c>
      <c r="F19" s="41">
        <v>0</v>
      </c>
      <c r="G19" s="41">
        <v>0</v>
      </c>
      <c r="H19" s="41">
        <v>100000</v>
      </c>
      <c r="I19" s="42">
        <f t="shared" si="4"/>
        <v>277775.27465253446</v>
      </c>
      <c r="L19" s="25" t="s">
        <v>260</v>
      </c>
      <c r="M19" s="29">
        <v>3600</v>
      </c>
    </row>
    <row r="20" spans="2:14" x14ac:dyDescent="0.3">
      <c r="B20" s="70">
        <f t="shared" si="1"/>
        <v>8</v>
      </c>
      <c r="C20" s="40">
        <f t="shared" si="2"/>
        <v>1220344.9281613748</v>
      </c>
      <c r="D20" s="41">
        <f t="shared" si="3"/>
        <v>2950885.2901622108</v>
      </c>
      <c r="E20" s="42">
        <f>SUM('Future Grid  Mod'!L2:L40)+SUM('Future Grid  Mod'!M2:M15)*(1+$D$35+$D$36)^(COUNT(B$13:B20))</f>
        <v>1233442.3888544089</v>
      </c>
      <c r="F20" s="41">
        <v>0</v>
      </c>
      <c r="G20" s="41">
        <v>0</v>
      </c>
      <c r="H20" s="41">
        <v>100000</v>
      </c>
      <c r="I20" s="42">
        <f t="shared" si="4"/>
        <v>286108.53289211052</v>
      </c>
      <c r="L20" s="26" t="s">
        <v>261</v>
      </c>
      <c r="M20" s="30">
        <v>1</v>
      </c>
    </row>
    <row r="21" spans="2:14" x14ac:dyDescent="0.3">
      <c r="B21" s="70">
        <f t="shared" si="1"/>
        <v>9</v>
      </c>
      <c r="C21" s="40">
        <f t="shared" si="2"/>
        <v>1271599.4151441522</v>
      </c>
      <c r="D21" s="41">
        <f t="shared" si="3"/>
        <v>3074822.472349023</v>
      </c>
      <c r="E21" s="42">
        <f>SUM('Future Grid  Mod'!L2:L40)+SUM('Future Grid  Mod'!M2:M17)*(1+$D$35+$D$36)^(COUNT(B$13:B21))</f>
        <v>1289673.147778522</v>
      </c>
      <c r="F21" s="41">
        <v>0</v>
      </c>
      <c r="G21" s="41">
        <v>0</v>
      </c>
      <c r="H21" s="41">
        <v>100000</v>
      </c>
      <c r="I21" s="42">
        <f t="shared" si="4"/>
        <v>294691.78887887386</v>
      </c>
      <c r="L21" s="26" t="s">
        <v>262</v>
      </c>
      <c r="M21" s="30">
        <v>2</v>
      </c>
    </row>
    <row r="22" spans="2:14" x14ac:dyDescent="0.3">
      <c r="B22" s="70">
        <f t="shared" si="1"/>
        <v>10</v>
      </c>
      <c r="C22" s="40">
        <f t="shared" si="2"/>
        <v>1325006.5905802064</v>
      </c>
      <c r="D22" s="41">
        <f t="shared" si="3"/>
        <v>3203965.0161876814</v>
      </c>
      <c r="E22" s="42">
        <f>SUM('Future Grid  Mod'!L1:L40)+SUM('Future Grid  Mod'!M2:M19)*(1+$D$35+$D$36)^(COUNT(B$13:B22))</f>
        <v>1349584.7964898467</v>
      </c>
      <c r="F22" s="41">
        <v>0</v>
      </c>
      <c r="G22" s="41">
        <v>0</v>
      </c>
      <c r="H22" s="41">
        <v>100000</v>
      </c>
      <c r="I22" s="42">
        <f t="shared" si="4"/>
        <v>303532.54254524008</v>
      </c>
      <c r="L22" s="26" t="s">
        <v>263</v>
      </c>
      <c r="M22" s="30">
        <v>1</v>
      </c>
    </row>
    <row r="23" spans="2:14" ht="16.2" thickBot="1" x14ac:dyDescent="0.35">
      <c r="B23" s="70">
        <f t="shared" si="1"/>
        <v>11</v>
      </c>
      <c r="C23" s="40">
        <f t="shared" si="2"/>
        <v>1380656.8673845748</v>
      </c>
      <c r="D23" s="41">
        <f t="shared" si="3"/>
        <v>3338531.5468675634</v>
      </c>
      <c r="E23" s="42">
        <f>SUM('Future Grid  Mod'!L2:L40)+SUM('Future Grid  Mod'!M2:M21)*(1+$D$35+$D$36)^(COUNT(B$13:B23))</f>
        <v>1412343.993944257</v>
      </c>
      <c r="F23" s="41">
        <v>0</v>
      </c>
      <c r="G23" s="41">
        <v>0</v>
      </c>
      <c r="H23" s="41">
        <v>100000</v>
      </c>
      <c r="I23" s="42">
        <f t="shared" si="4"/>
        <v>312638.51882159727</v>
      </c>
      <c r="L23" s="27" t="s">
        <v>264</v>
      </c>
      <c r="M23" s="31">
        <v>2</v>
      </c>
    </row>
    <row r="24" spans="2:14" x14ac:dyDescent="0.3">
      <c r="B24" s="70">
        <f t="shared" si="1"/>
        <v>12</v>
      </c>
      <c r="C24" s="40">
        <f t="shared" si="2"/>
        <v>1438644.4558147267</v>
      </c>
      <c r="D24" s="41">
        <f t="shared" si="3"/>
        <v>3478749.8718360006</v>
      </c>
      <c r="E24" s="42">
        <f>SUM('Future Grid  Mod'!L2:L40)+SUM('Future Grid  Mod'!M2:M23)*(1+$D$35+$D$36)^(COUNT(B$13:B24))</f>
        <v>1478819.083766639</v>
      </c>
      <c r="F24" s="41">
        <v>0</v>
      </c>
      <c r="G24" s="41">
        <v>0</v>
      </c>
      <c r="H24" s="41">
        <v>100000</v>
      </c>
      <c r="I24" s="42">
        <f t="shared" si="4"/>
        <v>322017.6743862452</v>
      </c>
    </row>
    <row r="25" spans="2:14" ht="16.2" thickBot="1" x14ac:dyDescent="0.35">
      <c r="B25" s="70">
        <f t="shared" si="1"/>
        <v>13</v>
      </c>
      <c r="C25" s="40">
        <f t="shared" si="2"/>
        <v>1499067.522958945</v>
      </c>
      <c r="D25" s="41">
        <f t="shared" si="3"/>
        <v>3624857.3664531121</v>
      </c>
      <c r="E25" s="42">
        <f>SUM('Future Grid  Mod'!L2:L40)+SUM('Future Grid  Mod'!M2:M25)*(1+$D$35+$D$36)^(COUNT(B$13:B25))</f>
        <v>1550010.7595509905</v>
      </c>
      <c r="F25" s="41">
        <v>0</v>
      </c>
      <c r="G25" s="41">
        <v>0</v>
      </c>
      <c r="H25" s="41">
        <v>100000</v>
      </c>
      <c r="I25" s="42">
        <f t="shared" si="4"/>
        <v>331678.20461783255</v>
      </c>
    </row>
    <row r="26" spans="2:14" ht="16.2" thickBot="1" x14ac:dyDescent="0.35">
      <c r="B26" s="70">
        <f t="shared" si="1"/>
        <v>14</v>
      </c>
      <c r="C26" s="40">
        <f t="shared" si="2"/>
        <v>1562028.3589232205</v>
      </c>
      <c r="D26" s="41">
        <f t="shared" si="3"/>
        <v>3777101.3758441419</v>
      </c>
      <c r="E26" s="42">
        <f>SUM('Future Grid  Mod'!L2:L40)+SUM('Future Grid  Mod'!M2:M27)*(1+$D$35+$D$36)^(COUNT(B$13:B26))</f>
        <v>1624173.0529010231</v>
      </c>
      <c r="F26" s="41">
        <v>0</v>
      </c>
      <c r="G26" s="41">
        <v>0</v>
      </c>
      <c r="H26" s="41">
        <v>100000</v>
      </c>
      <c r="I26" s="42">
        <f t="shared" si="4"/>
        <v>341628.55075636756</v>
      </c>
      <c r="L26" s="79" t="s">
        <v>268</v>
      </c>
      <c r="M26" s="80"/>
    </row>
    <row r="27" spans="2:14" x14ac:dyDescent="0.3">
      <c r="B27" s="70">
        <f t="shared" si="1"/>
        <v>15</v>
      </c>
      <c r="C27" s="40">
        <f t="shared" si="2"/>
        <v>1627633.5499979956</v>
      </c>
      <c r="D27" s="41">
        <f t="shared" si="3"/>
        <v>3935739.6336295954</v>
      </c>
      <c r="E27" s="42">
        <f>SUM('Future Grid  Mod'!L2:L40)+SUM('Future Grid  Mod'!M2:M29)*(1+$D$35+$D$36)^(COUNT(B$13:B27))</f>
        <v>1702249.130083326</v>
      </c>
      <c r="F27" s="41">
        <v>0</v>
      </c>
      <c r="G27" s="41">
        <v>0</v>
      </c>
      <c r="H27" s="41">
        <v>100000</v>
      </c>
      <c r="I27" s="42">
        <f t="shared" si="4"/>
        <v>351877.40727905859</v>
      </c>
      <c r="L27" s="24" t="s">
        <v>269</v>
      </c>
      <c r="M27" s="28">
        <f>60*1.92*173.33*12</f>
        <v>239611.39199999999</v>
      </c>
      <c r="N27" t="s">
        <v>270</v>
      </c>
    </row>
    <row r="28" spans="2:14" x14ac:dyDescent="0.3">
      <c r="B28" s="70">
        <f t="shared" si="1"/>
        <v>16</v>
      </c>
      <c r="C28" s="40">
        <f t="shared" si="2"/>
        <v>1695994.1590979111</v>
      </c>
      <c r="D28" s="41">
        <f t="shared" si="3"/>
        <v>4101040.6982420376</v>
      </c>
      <c r="E28" s="42">
        <f>SUM('Future Grid  Mod'!L2:L40)+SUM('Future Grid  Mod'!M2:M31)*(1+$D$35+$D$36)^(COUNT(B$13:B28))</f>
        <v>1783444.046661437</v>
      </c>
      <c r="F28" s="41">
        <v>0</v>
      </c>
      <c r="G28" s="41">
        <v>0</v>
      </c>
      <c r="H28" s="41">
        <v>100000</v>
      </c>
      <c r="I28" s="42">
        <f t="shared" si="4"/>
        <v>362433.72949743038</v>
      </c>
      <c r="L28" s="25" t="s">
        <v>271</v>
      </c>
      <c r="M28" s="29">
        <f>60*1.92*173.33*12*0.5</f>
        <v>119805.696</v>
      </c>
      <c r="N28" t="s">
        <v>272</v>
      </c>
    </row>
    <row r="29" spans="2:14" x14ac:dyDescent="0.3">
      <c r="B29" s="70">
        <f t="shared" si="1"/>
        <v>17</v>
      </c>
      <c r="C29" s="40">
        <f t="shared" si="2"/>
        <v>1767225.9137800231</v>
      </c>
      <c r="D29" s="41">
        <f t="shared" si="3"/>
        <v>4273284.4075682024</v>
      </c>
      <c r="E29" s="42">
        <f>SUM('Future Grid  Mod'!L2:L40)+SUM('Future Grid  Mod'!M2:M33)*(1+$D$35+$D$36)^(COUNT(B$13:B29))</f>
        <v>1869426.0783624898</v>
      </c>
      <c r="F29" s="41">
        <v>0</v>
      </c>
      <c r="G29" s="41">
        <v>0</v>
      </c>
      <c r="H29" s="41">
        <v>100000</v>
      </c>
      <c r="I29" s="42">
        <f t="shared" si="4"/>
        <v>373306.7413823533</v>
      </c>
      <c r="L29" s="25" t="s">
        <v>273</v>
      </c>
      <c r="M29" s="29">
        <f>60*1.92*173.33*12</f>
        <v>239611.39199999999</v>
      </c>
      <c r="N29" t="s">
        <v>270</v>
      </c>
    </row>
    <row r="30" spans="2:14" ht="16.2" thickBot="1" x14ac:dyDescent="0.35">
      <c r="B30" s="70">
        <f t="shared" si="1"/>
        <v>18</v>
      </c>
      <c r="C30" s="40">
        <f t="shared" si="2"/>
        <v>1841449.4021587837</v>
      </c>
      <c r="D30" s="41">
        <f t="shared" si="3"/>
        <v>4452762.3526860662</v>
      </c>
      <c r="E30" s="42">
        <f>SUM('Future Grid  Mod'!L2:L40)+SUM('Future Grid  Mod'!M2:M35)*(1+$D$35+$D$36)^(COUNT(B$13:B30))</f>
        <v>1959403.5725036599</v>
      </c>
      <c r="F30" s="41">
        <v>0</v>
      </c>
      <c r="G30" s="41">
        <v>0</v>
      </c>
      <c r="H30" s="41">
        <v>100000</v>
      </c>
      <c r="I30" s="42">
        <f t="shared" si="4"/>
        <v>384505.94362382393</v>
      </c>
      <c r="L30" s="32" t="s">
        <v>274</v>
      </c>
      <c r="M30" s="33">
        <f>60*1.92*173.33*12*1</f>
        <v>239611.39199999999</v>
      </c>
      <c r="N30" t="s">
        <v>270</v>
      </c>
    </row>
    <row r="31" spans="2:14" x14ac:dyDescent="0.3">
      <c r="B31" s="70">
        <f t="shared" si="1"/>
        <v>19</v>
      </c>
      <c r="C31" s="40">
        <f t="shared" si="2"/>
        <v>1918790.2770494523</v>
      </c>
      <c r="D31" s="41">
        <f t="shared" si="3"/>
        <v>4639778.37149888</v>
      </c>
      <c r="E31" s="42">
        <f>SUM('Future Grid  Mod'!L2:L40)+SUM('Future Grid  Mod'!M2:M36)*(1+$D$35+$D$36)^(COUNT(B$13:B31))</f>
        <v>2028615.065300256</v>
      </c>
      <c r="F31" s="41">
        <v>0</v>
      </c>
      <c r="G31" s="41">
        <v>0</v>
      </c>
      <c r="H31" s="41">
        <v>100000</v>
      </c>
      <c r="I31" s="42">
        <f t="shared" si="4"/>
        <v>396041.12193253863</v>
      </c>
      <c r="L31" s="23"/>
      <c r="M31" s="34"/>
    </row>
    <row r="32" spans="2:14" x14ac:dyDescent="0.3">
      <c r="B32" s="70">
        <f t="shared" si="1"/>
        <v>20</v>
      </c>
      <c r="C32" s="40">
        <f t="shared" si="2"/>
        <v>1999379.468685529</v>
      </c>
      <c r="D32" s="41">
        <f t="shared" si="3"/>
        <v>4834649.0631018318</v>
      </c>
      <c r="E32" s="42">
        <f>SUM('Future Grid  Mod'!L2:L40)+SUM('Future Grid  Mod'!M2:M38)*(1+$D$35+$D$36)^(COUNT(B$13:B32))</f>
        <v>2127726.4849813748</v>
      </c>
      <c r="F32" s="41">
        <v>0</v>
      </c>
      <c r="G32" s="41">
        <v>0</v>
      </c>
      <c r="H32" s="41">
        <v>100000</v>
      </c>
      <c r="I32" s="42">
        <f t="shared" si="4"/>
        <v>407922.35559051478</v>
      </c>
      <c r="L32" s="19"/>
      <c r="M32" s="35"/>
    </row>
    <row r="33" spans="2:13" ht="16.2" thickBot="1" x14ac:dyDescent="0.35">
      <c r="B33" s="71">
        <f t="shared" si="1"/>
        <v>21</v>
      </c>
      <c r="C33" s="43">
        <f t="shared" si="2"/>
        <v>2083353.4063703208</v>
      </c>
      <c r="D33" s="44">
        <f t="shared" si="3"/>
        <v>5037704.323752108</v>
      </c>
      <c r="E33" s="45">
        <f>(SUM('Future Grid  Mod'!L2:L40)+SUM('Future Grid  Mod'!M2:M40))*(1+$D$35+$D$36)^(COUNT(B$13:B23))</f>
        <v>2316149.3916600114</v>
      </c>
      <c r="F33" s="44">
        <v>0</v>
      </c>
      <c r="G33" s="44">
        <v>0</v>
      </c>
      <c r="H33" s="44">
        <v>50000</v>
      </c>
      <c r="I33" s="45">
        <f t="shared" si="4"/>
        <v>420160.02625823021</v>
      </c>
      <c r="L33" s="19"/>
      <c r="M33" s="35"/>
    </row>
    <row r="34" spans="2:13" ht="16.2" thickBot="1" x14ac:dyDescent="0.35">
      <c r="B34" s="53" t="s">
        <v>252</v>
      </c>
      <c r="C34" s="75">
        <f t="shared" ref="C34:I34" si="5">SUM(C13:C33)</f>
        <v>29901920.005773261</v>
      </c>
      <c r="D34" s="76">
        <f t="shared" si="5"/>
        <v>72305078.553147584</v>
      </c>
      <c r="E34" s="77">
        <f t="shared" si="5"/>
        <v>31131748.358481668</v>
      </c>
      <c r="F34" s="50">
        <f t="shared" si="5"/>
        <v>0</v>
      </c>
      <c r="G34" s="51">
        <f t="shared" si="5"/>
        <v>599028.47999999998</v>
      </c>
      <c r="H34" s="51">
        <f t="shared" si="5"/>
        <v>2530000</v>
      </c>
      <c r="I34" s="52">
        <f t="shared" si="5"/>
        <v>6438447.8348658979</v>
      </c>
      <c r="L34" s="19"/>
      <c r="M34" s="35"/>
    </row>
    <row r="35" spans="2:13" x14ac:dyDescent="0.3">
      <c r="B35" t="s">
        <v>287</v>
      </c>
      <c r="C35" s="69">
        <v>7.0000000000000001E-3</v>
      </c>
      <c r="D35" s="69">
        <f>C35</f>
        <v>7.0000000000000001E-3</v>
      </c>
      <c r="E35" s="69">
        <f>D35</f>
        <v>7.0000000000000001E-3</v>
      </c>
      <c r="H35" t="s">
        <v>289</v>
      </c>
      <c r="I35" s="68">
        <v>0.03</v>
      </c>
      <c r="L35" s="19"/>
      <c r="M35" s="35"/>
    </row>
    <row r="36" spans="2:13" x14ac:dyDescent="0.3">
      <c r="B36" t="s">
        <v>288</v>
      </c>
      <c r="C36" s="78">
        <v>3.5000000000000003E-2</v>
      </c>
      <c r="D36" s="78">
        <f>C36</f>
        <v>3.5000000000000003E-2</v>
      </c>
      <c r="E36" s="78">
        <f>C36</f>
        <v>3.5000000000000003E-2</v>
      </c>
      <c r="I36" s="68"/>
      <c r="L36" s="19"/>
      <c r="M36" s="35"/>
    </row>
    <row r="37" spans="2:13" x14ac:dyDescent="0.3">
      <c r="I37" s="68"/>
      <c r="L37" s="19"/>
      <c r="M37" s="35"/>
    </row>
    <row r="38" spans="2:13" x14ac:dyDescent="0.3">
      <c r="B38" t="s">
        <v>249</v>
      </c>
      <c r="I38" t="s">
        <v>286</v>
      </c>
    </row>
  </sheetData>
  <mergeCells count="8">
    <mergeCell ref="L26:M26"/>
    <mergeCell ref="I6:J6"/>
    <mergeCell ref="D2:E2"/>
    <mergeCell ref="B5:C5"/>
    <mergeCell ref="E7:F7"/>
    <mergeCell ref="L2:M2"/>
    <mergeCell ref="L14:M14"/>
    <mergeCell ref="F11:I11"/>
  </mergeCells>
  <phoneticPr fontId="4" type="noConversion"/>
  <pageMargins left="0.7" right="0.7" top="0.75" bottom="0.75" header="0.3" footer="0.3"/>
  <pageSetup paperSize="3" scale="98" orientation="landscape" horizontalDpi="90" verticalDpi="90" copies="3" r:id="rId1"/>
  <headerFooter>
    <oddFooter>&amp;L&amp;F&amp;R&amp;P of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A19" workbookViewId="0">
      <selection activeCell="K48" sqref="K48:L48"/>
    </sheetView>
  </sheetViews>
  <sheetFormatPr defaultColWidth="11" defaultRowHeight="15.6" x14ac:dyDescent="0.3"/>
  <cols>
    <col min="1" max="1" width="12.5" bestFit="1" customWidth="1"/>
    <col min="2" max="2" width="9.59765625" bestFit="1" customWidth="1"/>
    <col min="3" max="3" width="5" bestFit="1" customWidth="1"/>
    <col min="4" max="4" width="5.3984375" bestFit="1" customWidth="1"/>
    <col min="5" max="5" width="12.5" bestFit="1" customWidth="1"/>
    <col min="6" max="6" width="12.5" customWidth="1"/>
    <col min="7" max="7" width="7.69921875" customWidth="1"/>
    <col min="8" max="8" width="7.3984375" bestFit="1" customWidth="1"/>
    <col min="9" max="10" width="7.09765625" bestFit="1" customWidth="1"/>
    <col min="11" max="11" width="12.3984375" style="11" customWidth="1"/>
    <col min="12" max="12" width="11.3984375" bestFit="1" customWidth="1"/>
    <col min="15" max="15" width="16" bestFit="1" customWidth="1"/>
  </cols>
  <sheetData>
    <row r="1" spans="1:17" ht="62.4" x14ac:dyDescent="0.3">
      <c r="A1" t="s">
        <v>10</v>
      </c>
      <c r="B1" t="s">
        <v>11</v>
      </c>
      <c r="C1" t="s">
        <v>12</v>
      </c>
      <c r="D1" t="s">
        <v>13</v>
      </c>
      <c r="E1" t="s">
        <v>14</v>
      </c>
      <c r="F1" t="s">
        <v>265</v>
      </c>
      <c r="G1" t="s">
        <v>15</v>
      </c>
      <c r="H1" t="s">
        <v>16</v>
      </c>
      <c r="I1" t="s">
        <v>17</v>
      </c>
      <c r="J1" t="s">
        <v>18</v>
      </c>
      <c r="K1" s="36" t="s">
        <v>63</v>
      </c>
      <c r="L1" s="58" t="s">
        <v>64</v>
      </c>
      <c r="M1" s="58" t="s">
        <v>276</v>
      </c>
      <c r="N1" s="60" t="s">
        <v>65</v>
      </c>
      <c r="O1" s="61" t="s">
        <v>267</v>
      </c>
    </row>
    <row r="2" spans="1:17" x14ac:dyDescent="0.3">
      <c r="A2" t="s">
        <v>22</v>
      </c>
      <c r="B2" t="b">
        <f t="shared" ref="B2:B40" si="0" xml:space="preserve"> G2 &gt; 6.6</f>
        <v>1</v>
      </c>
      <c r="C2" t="s">
        <v>20</v>
      </c>
      <c r="E2" t="str">
        <f t="shared" ref="E2:E40" si="1">IF(AND(G2 &gt; 6.6, C2="N"), "Y","N")</f>
        <v>Y</v>
      </c>
      <c r="F2" t="s">
        <v>266</v>
      </c>
      <c r="G2">
        <f t="shared" ref="G2:G40" si="2">ROUND(7.62*(I2*3)/1000, 1)</f>
        <v>7.9</v>
      </c>
      <c r="I2">
        <v>347</v>
      </c>
      <c r="K2" s="37">
        <f t="shared" ref="K2:K40" si="3">G2*LF*8760*AMIVoltDrop/120/CVRf*AE</f>
        <v>34257.30574712644</v>
      </c>
      <c r="L2" s="57">
        <f t="shared" ref="L2:L40" si="4">G2*LF*8760*XR/120/CVRf*AE</f>
        <v>21410.816091954024</v>
      </c>
      <c r="M2" s="59">
        <f>K2-L2</f>
        <v>12846.489655172416</v>
      </c>
      <c r="N2" s="62">
        <v>2</v>
      </c>
      <c r="O2" s="63">
        <f>IF(F2="U",(ViperUrban*ViperCost)+(CBCost*CBUrban)+CommFAN+SubCost,(ViperRural*ViperCost)+(CBCost*CBRural)+SubCost+CommCell)</f>
        <v>220136</v>
      </c>
    </row>
    <row r="3" spans="1:17" x14ac:dyDescent="0.3">
      <c r="A3" t="s">
        <v>58</v>
      </c>
      <c r="B3" t="b">
        <f t="shared" si="0"/>
        <v>1</v>
      </c>
      <c r="C3" t="s">
        <v>20</v>
      </c>
      <c r="E3" t="str">
        <f t="shared" si="1"/>
        <v>Y</v>
      </c>
      <c r="F3" t="s">
        <v>266</v>
      </c>
      <c r="G3">
        <f t="shared" si="2"/>
        <v>10.3</v>
      </c>
      <c r="I3">
        <v>452</v>
      </c>
      <c r="K3" s="37">
        <f t="shared" si="3"/>
        <v>44664.588505747124</v>
      </c>
      <c r="L3" s="57">
        <f t="shared" si="4"/>
        <v>27915.367816091955</v>
      </c>
      <c r="M3" s="59">
        <f t="shared" ref="M3:M21" si="5">K3-L3</f>
        <v>16749.220689655169</v>
      </c>
      <c r="N3" s="62">
        <v>2</v>
      </c>
      <c r="O3" s="63">
        <f>IF(F3="U",(ViperUrban*ViperCost)+(CBCost*CBUrban)+CommFAN,(ViperRural*ViperCost)+(CBCost*CBUrban)+CommCell)</f>
        <v>170136</v>
      </c>
      <c r="Q3">
        <v>33565</v>
      </c>
    </row>
    <row r="4" spans="1:17" x14ac:dyDescent="0.3">
      <c r="A4" t="s">
        <v>39</v>
      </c>
      <c r="B4" t="b">
        <f t="shared" si="0"/>
        <v>1</v>
      </c>
      <c r="C4" t="s">
        <v>20</v>
      </c>
      <c r="E4" t="str">
        <f t="shared" si="1"/>
        <v>Y</v>
      </c>
      <c r="F4" t="s">
        <v>266</v>
      </c>
      <c r="G4">
        <f t="shared" si="2"/>
        <v>12.3</v>
      </c>
      <c r="I4">
        <v>536</v>
      </c>
      <c r="K4" s="37">
        <f t="shared" si="3"/>
        <v>53337.324137931042</v>
      </c>
      <c r="L4" s="57">
        <f t="shared" si="4"/>
        <v>33335.827586206899</v>
      </c>
      <c r="M4" s="59">
        <f t="shared" si="5"/>
        <v>20001.496551724144</v>
      </c>
      <c r="N4" s="62">
        <v>3</v>
      </c>
      <c r="O4" s="63">
        <f>IF(F4="U",(ViperUrban*ViperCost)+(CBCost*CBUrban)+CommFAN,(ViperRural*ViperCost)+(CBCost*CBUrban)+CommCell)</f>
        <v>170136</v>
      </c>
    </row>
    <row r="5" spans="1:17" x14ac:dyDescent="0.3">
      <c r="A5" t="s">
        <v>44</v>
      </c>
      <c r="B5" t="b">
        <f t="shared" si="0"/>
        <v>1</v>
      </c>
      <c r="C5" t="s">
        <v>20</v>
      </c>
      <c r="E5" t="str">
        <f t="shared" si="1"/>
        <v>Y</v>
      </c>
      <c r="F5" t="s">
        <v>266</v>
      </c>
      <c r="G5">
        <f t="shared" si="2"/>
        <v>6.7</v>
      </c>
      <c r="H5">
        <v>329</v>
      </c>
      <c r="I5">
        <v>292</v>
      </c>
      <c r="J5">
        <v>271</v>
      </c>
      <c r="K5" s="37">
        <f t="shared" si="3"/>
        <v>29053.664367816098</v>
      </c>
      <c r="L5" s="57">
        <f t="shared" si="4"/>
        <v>18158.54022988506</v>
      </c>
      <c r="M5" s="59">
        <f t="shared" si="5"/>
        <v>10895.124137931038</v>
      </c>
      <c r="N5" s="62">
        <v>3</v>
      </c>
      <c r="O5" s="63">
        <f>IF(F5="U",(ViperUrban*ViperCost)+(CBCost*CBUrban)+CommFAN+SubCost,(ViperRural*ViperCost)+(CBCost*CBRural)+SubCost+CommCell)</f>
        <v>220136</v>
      </c>
    </row>
    <row r="6" spans="1:17" x14ac:dyDescent="0.3">
      <c r="A6" t="s">
        <v>33</v>
      </c>
      <c r="B6" t="b">
        <f t="shared" si="0"/>
        <v>1</v>
      </c>
      <c r="C6" t="s">
        <v>20</v>
      </c>
      <c r="E6" t="str">
        <f t="shared" si="1"/>
        <v>Y</v>
      </c>
      <c r="F6" t="s">
        <v>266</v>
      </c>
      <c r="G6">
        <f t="shared" si="2"/>
        <v>10.9</v>
      </c>
      <c r="H6">
        <v>470</v>
      </c>
      <c r="I6">
        <v>475</v>
      </c>
      <c r="J6">
        <v>418</v>
      </c>
      <c r="K6" s="37">
        <f t="shared" si="3"/>
        <v>47266.409195402302</v>
      </c>
      <c r="L6" s="57">
        <f t="shared" si="4"/>
        <v>29541.505747126444</v>
      </c>
      <c r="M6" s="59">
        <f t="shared" si="5"/>
        <v>17724.903448275858</v>
      </c>
      <c r="N6" s="62">
        <v>4</v>
      </c>
      <c r="O6" s="63">
        <f>IF(F6="U",(ViperUrban*ViperCost)+(CBCost*CBUrban)+CommFAN+SubCost,(ViperRural*ViperCost)+(CBCost*CBRural)+SubCost+CommCell)</f>
        <v>220136</v>
      </c>
    </row>
    <row r="7" spans="1:17" x14ac:dyDescent="0.3">
      <c r="A7" t="s">
        <v>34</v>
      </c>
      <c r="B7" t="b">
        <f t="shared" si="0"/>
        <v>1</v>
      </c>
      <c r="C7" t="s">
        <v>20</v>
      </c>
      <c r="E7" t="str">
        <f t="shared" si="1"/>
        <v>Y</v>
      </c>
      <c r="F7" t="s">
        <v>266</v>
      </c>
      <c r="G7">
        <f t="shared" si="2"/>
        <v>10.7</v>
      </c>
      <c r="H7">
        <v>364</v>
      </c>
      <c r="I7">
        <v>468</v>
      </c>
      <c r="J7">
        <v>409</v>
      </c>
      <c r="K7" s="37">
        <f t="shared" si="3"/>
        <v>46399.135632183905</v>
      </c>
      <c r="L7" s="57">
        <f t="shared" si="4"/>
        <v>28999.45977011494</v>
      </c>
      <c r="M7" s="59">
        <f t="shared" si="5"/>
        <v>17399.675862068965</v>
      </c>
      <c r="N7" s="62">
        <v>4</v>
      </c>
      <c r="O7" s="63">
        <f>IF(F7="U",(ViperUrban*ViperCost)+(CBCost*CBUrban)+CommFAN,(ViperRural*ViperCost)+(CBCost*CBUrban)+CommCell)</f>
        <v>170136</v>
      </c>
    </row>
    <row r="8" spans="1:17" x14ac:dyDescent="0.3">
      <c r="A8" t="s">
        <v>31</v>
      </c>
      <c r="B8" t="b">
        <f t="shared" si="0"/>
        <v>1</v>
      </c>
      <c r="C8" t="s">
        <v>20</v>
      </c>
      <c r="D8" t="s">
        <v>32</v>
      </c>
      <c r="E8" t="str">
        <f t="shared" si="1"/>
        <v>Y</v>
      </c>
      <c r="F8" t="s">
        <v>266</v>
      </c>
      <c r="G8">
        <f t="shared" si="2"/>
        <v>10.6</v>
      </c>
      <c r="H8">
        <v>459</v>
      </c>
      <c r="I8">
        <v>463</v>
      </c>
      <c r="J8">
        <v>466</v>
      </c>
      <c r="K8" s="37">
        <f t="shared" si="3"/>
        <v>45965.49885057471</v>
      </c>
      <c r="L8" s="57">
        <f t="shared" si="4"/>
        <v>28728.436781609198</v>
      </c>
      <c r="M8" s="59">
        <f t="shared" si="5"/>
        <v>17237.062068965512</v>
      </c>
      <c r="N8" s="62">
        <v>5</v>
      </c>
      <c r="O8" s="63">
        <f>IF(F8="U",(ViperUrban*ViperCost)+(CBCost*CBUrban)+CommFAN+SubCost,(ViperRural*ViperCost)+(CBCost*CBRural)+SubCost+CommCell)</f>
        <v>220136</v>
      </c>
    </row>
    <row r="9" spans="1:17" x14ac:dyDescent="0.3">
      <c r="A9" t="s">
        <v>57</v>
      </c>
      <c r="B9" t="b">
        <f t="shared" si="0"/>
        <v>1</v>
      </c>
      <c r="C9" t="s">
        <v>20</v>
      </c>
      <c r="E9" t="str">
        <f t="shared" si="1"/>
        <v>Y</v>
      </c>
      <c r="F9" t="s">
        <v>266</v>
      </c>
      <c r="G9">
        <f t="shared" si="2"/>
        <v>10.4</v>
      </c>
      <c r="I9">
        <v>457</v>
      </c>
      <c r="K9" s="37">
        <f t="shared" si="3"/>
        <v>45098.225287356327</v>
      </c>
      <c r="L9" s="57">
        <f t="shared" si="4"/>
        <v>28186.390804597708</v>
      </c>
      <c r="M9" s="59">
        <f t="shared" si="5"/>
        <v>16911.834482758619</v>
      </c>
      <c r="N9" s="62">
        <v>5</v>
      </c>
      <c r="O9" s="63">
        <f>IF(F9="U",(ViperUrban*ViperCost)+(CBCost*CBUrban)+CommFAN+SubCost,(ViperRural*ViperCost)+(CBCost*CBRural)+SubCost+CommCell)</f>
        <v>220136</v>
      </c>
    </row>
    <row r="10" spans="1:17" x14ac:dyDescent="0.3">
      <c r="A10" t="s">
        <v>50</v>
      </c>
      <c r="B10" t="b">
        <f t="shared" si="0"/>
        <v>1</v>
      </c>
      <c r="C10" t="s">
        <v>20</v>
      </c>
      <c r="E10" t="str">
        <f t="shared" si="1"/>
        <v>Y</v>
      </c>
      <c r="F10" t="s">
        <v>266</v>
      </c>
      <c r="G10">
        <f t="shared" si="2"/>
        <v>10.199999999999999</v>
      </c>
      <c r="I10">
        <v>447</v>
      </c>
      <c r="K10" s="37">
        <f t="shared" si="3"/>
        <v>44230.951724137936</v>
      </c>
      <c r="L10" s="57">
        <f t="shared" si="4"/>
        <v>27644.34482758621</v>
      </c>
      <c r="M10" s="59">
        <f t="shared" si="5"/>
        <v>16586.606896551726</v>
      </c>
      <c r="N10" s="62">
        <v>6</v>
      </c>
      <c r="O10" s="63">
        <f>IF(F10="U",(ViperUrban*ViperCost)+(CBCost*CBUrban)+CommFAN+SubCost,(ViperRural*ViperCost)+(CBCost*CBRural)+SubCost+CommCell)</f>
        <v>220136</v>
      </c>
    </row>
    <row r="11" spans="1:17" x14ac:dyDescent="0.3">
      <c r="A11" t="s">
        <v>59</v>
      </c>
      <c r="B11" t="b">
        <f t="shared" si="0"/>
        <v>1</v>
      </c>
      <c r="C11" t="s">
        <v>20</v>
      </c>
      <c r="E11" t="str">
        <f t="shared" si="1"/>
        <v>Y</v>
      </c>
      <c r="F11" t="s">
        <v>266</v>
      </c>
      <c r="G11">
        <f t="shared" si="2"/>
        <v>10.199999999999999</v>
      </c>
      <c r="I11">
        <v>448</v>
      </c>
      <c r="K11" s="37">
        <f t="shared" si="3"/>
        <v>44230.951724137936</v>
      </c>
      <c r="L11" s="57">
        <f t="shared" si="4"/>
        <v>27644.34482758621</v>
      </c>
      <c r="M11" s="59">
        <f t="shared" si="5"/>
        <v>16586.606896551726</v>
      </c>
      <c r="N11" s="62">
        <v>6</v>
      </c>
      <c r="O11" s="63">
        <f>IF(F11="U",(ViperUrban*ViperCost)+(CBCost*CBUrban)+CommFAN,(ViperRural*ViperCost)+(CBCost*CBUrban)+CommCell)</f>
        <v>170136</v>
      </c>
    </row>
    <row r="12" spans="1:17" x14ac:dyDescent="0.3">
      <c r="A12" t="s">
        <v>37</v>
      </c>
      <c r="B12" t="b">
        <f t="shared" si="0"/>
        <v>1</v>
      </c>
      <c r="C12" t="s">
        <v>20</v>
      </c>
      <c r="E12" t="str">
        <f t="shared" si="1"/>
        <v>Y</v>
      </c>
      <c r="F12" t="s">
        <v>266</v>
      </c>
      <c r="G12">
        <f t="shared" si="2"/>
        <v>9.6</v>
      </c>
      <c r="H12">
        <v>422</v>
      </c>
      <c r="I12">
        <v>422</v>
      </c>
      <c r="J12">
        <v>411</v>
      </c>
      <c r="K12" s="37">
        <f t="shared" si="3"/>
        <v>41629.131034482751</v>
      </c>
      <c r="L12" s="57">
        <f t="shared" si="4"/>
        <v>26018.206896551717</v>
      </c>
      <c r="M12" s="59">
        <f t="shared" si="5"/>
        <v>15610.924137931033</v>
      </c>
      <c r="N12" s="62">
        <v>7</v>
      </c>
      <c r="O12" s="63">
        <f>IF(F12="U",(ViperUrban*ViperCost)+(CBCost*CBUrban)+CommFAN+SubCost,(ViperRural*ViperCost)+(CBCost*CBRural)+SubCost+CommCell)</f>
        <v>220136</v>
      </c>
    </row>
    <row r="13" spans="1:17" x14ac:dyDescent="0.3">
      <c r="A13" t="s">
        <v>43</v>
      </c>
      <c r="B13" t="b">
        <f t="shared" si="0"/>
        <v>1</v>
      </c>
      <c r="C13" t="s">
        <v>20</v>
      </c>
      <c r="E13" t="str">
        <f t="shared" si="1"/>
        <v>Y</v>
      </c>
      <c r="F13" t="s">
        <v>266</v>
      </c>
      <c r="G13">
        <f t="shared" si="2"/>
        <v>10</v>
      </c>
      <c r="H13">
        <v>462</v>
      </c>
      <c r="I13">
        <v>436</v>
      </c>
      <c r="J13">
        <v>391</v>
      </c>
      <c r="K13" s="37">
        <f t="shared" si="3"/>
        <v>43363.678160919539</v>
      </c>
      <c r="L13" s="57">
        <f t="shared" si="4"/>
        <v>27102.298850574713</v>
      </c>
      <c r="M13" s="59">
        <f t="shared" si="5"/>
        <v>16261.379310344826</v>
      </c>
      <c r="N13" s="62">
        <v>7</v>
      </c>
      <c r="O13" s="63">
        <f>IF(F13="U",(ViperUrban*ViperCost)+(CBCost*CBUrban)+CommFAN,(ViperRural*ViperCost)+(CBCost*CBUrban)+CommCell)</f>
        <v>170136</v>
      </c>
    </row>
    <row r="14" spans="1:17" x14ac:dyDescent="0.3">
      <c r="A14" t="s">
        <v>46</v>
      </c>
      <c r="B14" t="b">
        <f t="shared" si="0"/>
        <v>1</v>
      </c>
      <c r="C14" t="s">
        <v>20</v>
      </c>
      <c r="E14" t="str">
        <f t="shared" si="1"/>
        <v>Y</v>
      </c>
      <c r="F14" t="s">
        <v>266</v>
      </c>
      <c r="G14">
        <f t="shared" si="2"/>
        <v>9.1999999999999993</v>
      </c>
      <c r="I14">
        <v>401</v>
      </c>
      <c r="K14" s="37">
        <f t="shared" si="3"/>
        <v>39894.58390804597</v>
      </c>
      <c r="L14" s="57">
        <f t="shared" si="4"/>
        <v>24934.114942528737</v>
      </c>
      <c r="M14" s="59">
        <f t="shared" si="5"/>
        <v>14960.468965517233</v>
      </c>
      <c r="N14" s="62">
        <v>8</v>
      </c>
      <c r="O14" s="63">
        <f>IF(F14="U",(ViperUrban*ViperCost)+(CBCost*CBUrban)+CommFAN+SubCost,(ViperRural*ViperCost)+(CBCost*CBRural)+SubCost+CommCell)</f>
        <v>220136</v>
      </c>
    </row>
    <row r="15" spans="1:17" x14ac:dyDescent="0.3">
      <c r="A15" t="s">
        <v>56</v>
      </c>
      <c r="B15" t="b">
        <f t="shared" si="0"/>
        <v>1</v>
      </c>
      <c r="C15" t="s">
        <v>20</v>
      </c>
      <c r="E15" t="str">
        <f t="shared" si="1"/>
        <v>Y</v>
      </c>
      <c r="F15" t="s">
        <v>266</v>
      </c>
      <c r="G15">
        <f t="shared" si="2"/>
        <v>9.4</v>
      </c>
      <c r="I15">
        <v>410</v>
      </c>
      <c r="K15" s="37">
        <f t="shared" si="3"/>
        <v>40761.857471264368</v>
      </c>
      <c r="L15" s="57">
        <f t="shared" si="4"/>
        <v>25476.160919540231</v>
      </c>
      <c r="M15" s="59">
        <f t="shared" si="5"/>
        <v>15285.696551724137</v>
      </c>
      <c r="N15" s="62">
        <v>8</v>
      </c>
      <c r="O15" s="63">
        <f>IF(F15="U",(ViperUrban*ViperCost)+(CBCost*CBUrban)+CommFAN,(ViperRural*ViperCost)+(CBCost*CBUrban)+CommCell)</f>
        <v>170136</v>
      </c>
    </row>
    <row r="16" spans="1:17" x14ac:dyDescent="0.3">
      <c r="A16" t="s">
        <v>28</v>
      </c>
      <c r="B16" t="b">
        <f t="shared" si="0"/>
        <v>1</v>
      </c>
      <c r="C16" t="s">
        <v>20</v>
      </c>
      <c r="E16" t="str">
        <f t="shared" si="1"/>
        <v>Y</v>
      </c>
      <c r="F16" t="s">
        <v>266</v>
      </c>
      <c r="G16">
        <f t="shared" si="2"/>
        <v>9.1</v>
      </c>
      <c r="I16">
        <v>399</v>
      </c>
      <c r="K16" s="37">
        <f t="shared" si="3"/>
        <v>39460.947126436782</v>
      </c>
      <c r="L16" s="57">
        <f t="shared" si="4"/>
        <v>24663.091954022988</v>
      </c>
      <c r="M16" s="59">
        <f t="shared" si="5"/>
        <v>14797.855172413794</v>
      </c>
      <c r="N16" s="62">
        <v>9</v>
      </c>
      <c r="O16" s="63">
        <f>IF(F16="U",(ViperUrban*ViperCost)+(CBCost*CBUrban)+CommFAN+SubCost,(ViperRural*ViperCost)+(CBCost*CBRural)+SubCost+CommCell)</f>
        <v>220136</v>
      </c>
    </row>
    <row r="17" spans="1:15" x14ac:dyDescent="0.3">
      <c r="A17" t="s">
        <v>48</v>
      </c>
      <c r="B17" t="b">
        <f t="shared" si="0"/>
        <v>1</v>
      </c>
      <c r="C17" t="s">
        <v>20</v>
      </c>
      <c r="E17" t="str">
        <f t="shared" si="1"/>
        <v>Y</v>
      </c>
      <c r="F17" t="s">
        <v>266</v>
      </c>
      <c r="G17">
        <f t="shared" si="2"/>
        <v>9.1999999999999993</v>
      </c>
      <c r="I17">
        <v>403</v>
      </c>
      <c r="K17" s="37">
        <f t="shared" si="3"/>
        <v>39894.58390804597</v>
      </c>
      <c r="L17" s="57">
        <f t="shared" si="4"/>
        <v>24934.114942528737</v>
      </c>
      <c r="M17" s="59">
        <f t="shared" si="5"/>
        <v>14960.468965517233</v>
      </c>
      <c r="N17" s="62">
        <v>9</v>
      </c>
      <c r="O17" s="63">
        <f>IF(F17="U",(ViperUrban*ViperCost)+(CBCost*CBUrban)+CommFAN+SubCost,(ViperRural*ViperCost)+(CBCost*CBRural)+SubCost+CommCell)</f>
        <v>220136</v>
      </c>
    </row>
    <row r="18" spans="1:15" x14ac:dyDescent="0.3">
      <c r="A18" t="s">
        <v>41</v>
      </c>
      <c r="B18" t="b">
        <f t="shared" si="0"/>
        <v>1</v>
      </c>
      <c r="C18" t="s">
        <v>20</v>
      </c>
      <c r="E18" t="str">
        <f t="shared" si="1"/>
        <v>Y</v>
      </c>
      <c r="F18" t="s">
        <v>266</v>
      </c>
      <c r="G18">
        <f t="shared" si="2"/>
        <v>9.1</v>
      </c>
      <c r="I18">
        <v>400</v>
      </c>
      <c r="K18" s="37">
        <f t="shared" si="3"/>
        <v>39460.947126436782</v>
      </c>
      <c r="L18" s="57">
        <f t="shared" si="4"/>
        <v>24663.091954022988</v>
      </c>
      <c r="M18" s="59">
        <f t="shared" si="5"/>
        <v>14797.855172413794</v>
      </c>
      <c r="N18" s="62">
        <v>10</v>
      </c>
      <c r="O18" s="63">
        <f>IF(F18="U",(ViperUrban*ViperCost)+(CBCost*CBUrban)+CommFAN,(ViperRural*ViperCost)+(CBCost*CBUrban)+CommCell)</f>
        <v>170136</v>
      </c>
    </row>
    <row r="19" spans="1:15" x14ac:dyDescent="0.3">
      <c r="A19" t="s">
        <v>47</v>
      </c>
      <c r="B19" t="b">
        <f t="shared" si="0"/>
        <v>1</v>
      </c>
      <c r="C19" t="s">
        <v>20</v>
      </c>
      <c r="E19" t="str">
        <f t="shared" si="1"/>
        <v>Y</v>
      </c>
      <c r="F19" t="s">
        <v>266</v>
      </c>
      <c r="G19">
        <f t="shared" si="2"/>
        <v>9</v>
      </c>
      <c r="I19">
        <v>392</v>
      </c>
      <c r="K19" s="37">
        <f t="shared" si="3"/>
        <v>39027.310344827587</v>
      </c>
      <c r="L19" s="57">
        <f t="shared" si="4"/>
        <v>24392.068965517239</v>
      </c>
      <c r="M19" s="59">
        <f t="shared" si="5"/>
        <v>14635.241379310348</v>
      </c>
      <c r="N19" s="62">
        <v>10</v>
      </c>
      <c r="O19" s="63">
        <f>IF(F19="U",(ViperUrban*ViperCost)+(CBCost*CBUrban)+CommFAN,(ViperRural*ViperCost)+(CBCost*CBUrban)+CommCell)</f>
        <v>170136</v>
      </c>
    </row>
    <row r="20" spans="1:15" x14ac:dyDescent="0.3">
      <c r="A20" t="s">
        <v>19</v>
      </c>
      <c r="B20" t="b">
        <f t="shared" si="0"/>
        <v>1</v>
      </c>
      <c r="C20" t="s">
        <v>20</v>
      </c>
      <c r="E20" t="str">
        <f t="shared" si="1"/>
        <v>Y</v>
      </c>
      <c r="F20" t="s">
        <v>266</v>
      </c>
      <c r="G20">
        <f t="shared" si="2"/>
        <v>8.6999999999999993</v>
      </c>
      <c r="I20">
        <v>382</v>
      </c>
      <c r="K20" s="37">
        <f t="shared" si="3"/>
        <v>37726.399999999994</v>
      </c>
      <c r="L20" s="57">
        <f t="shared" si="4"/>
        <v>23578.999999999996</v>
      </c>
      <c r="M20" s="59">
        <f t="shared" si="5"/>
        <v>14147.399999999998</v>
      </c>
      <c r="N20" s="62">
        <v>11</v>
      </c>
      <c r="O20" s="63">
        <f>IF(F20="U",(ViperUrban*ViperCost)+(CBCost*CBUrban)+CommFAN+SubCost,(ViperRural*ViperCost)+(CBCost*CBRural)+SubCost+CommCell)</f>
        <v>220136</v>
      </c>
    </row>
    <row r="21" spans="1:15" x14ac:dyDescent="0.3">
      <c r="A21" t="s">
        <v>21</v>
      </c>
      <c r="B21" t="b">
        <f t="shared" si="0"/>
        <v>1</v>
      </c>
      <c r="C21" t="s">
        <v>20</v>
      </c>
      <c r="E21" t="str">
        <f t="shared" si="1"/>
        <v>Y</v>
      </c>
      <c r="F21" t="s">
        <v>266</v>
      </c>
      <c r="G21">
        <f t="shared" si="2"/>
        <v>8.8000000000000007</v>
      </c>
      <c r="I21">
        <v>384</v>
      </c>
      <c r="K21" s="37">
        <f t="shared" si="3"/>
        <v>38160.036781609204</v>
      </c>
      <c r="L21" s="57">
        <f t="shared" si="4"/>
        <v>23850.022988505749</v>
      </c>
      <c r="M21" s="59">
        <f t="shared" si="5"/>
        <v>14310.013793103455</v>
      </c>
      <c r="N21" s="62">
        <v>11</v>
      </c>
      <c r="O21" s="63">
        <f>IF(F21="U",(ViperUrban*ViperCost)+(CBCost*CBUrban)+CommFAN,(ViperRural*ViperCost)+(CBCost*CBRural)+CommCell)</f>
        <v>170136</v>
      </c>
    </row>
    <row r="22" spans="1:15" x14ac:dyDescent="0.3">
      <c r="A22" t="s">
        <v>30</v>
      </c>
      <c r="B22" t="b">
        <f t="shared" si="0"/>
        <v>1</v>
      </c>
      <c r="C22" t="s">
        <v>20</v>
      </c>
      <c r="E22" t="str">
        <f t="shared" si="1"/>
        <v>Y</v>
      </c>
      <c r="F22" t="s">
        <v>266</v>
      </c>
      <c r="G22">
        <f t="shared" si="2"/>
        <v>8.6</v>
      </c>
      <c r="H22">
        <v>462</v>
      </c>
      <c r="I22">
        <v>377</v>
      </c>
      <c r="J22">
        <v>376</v>
      </c>
      <c r="K22" s="37">
        <f t="shared" si="3"/>
        <v>37292.763218390799</v>
      </c>
      <c r="L22" s="57">
        <f t="shared" si="4"/>
        <v>23307.977011494251</v>
      </c>
      <c r="M22" s="59">
        <f t="shared" ref="M22:M40" si="6">K22-L22</f>
        <v>13984.786206896548</v>
      </c>
      <c r="N22" s="62">
        <v>12</v>
      </c>
      <c r="O22" s="63">
        <f>IF(F22="U",(ViperUrban*ViperCost)+(CBCost*CBUrban)+CommFAN+SubCost,(ViperRural*ViperCost)+(CBCost*CBRural)+SubCost+CommCell)</f>
        <v>220136</v>
      </c>
    </row>
    <row r="23" spans="1:15" x14ac:dyDescent="0.3">
      <c r="A23" t="s">
        <v>52</v>
      </c>
      <c r="B23" t="b">
        <f t="shared" si="0"/>
        <v>1</v>
      </c>
      <c r="C23" t="s">
        <v>20</v>
      </c>
      <c r="E23" t="str">
        <f t="shared" si="1"/>
        <v>Y</v>
      </c>
      <c r="F23" t="s">
        <v>266</v>
      </c>
      <c r="G23">
        <f t="shared" si="2"/>
        <v>8.6</v>
      </c>
      <c r="I23">
        <v>377</v>
      </c>
      <c r="K23" s="37">
        <f t="shared" si="3"/>
        <v>37292.763218390799</v>
      </c>
      <c r="L23" s="57">
        <f t="shared" si="4"/>
        <v>23307.977011494251</v>
      </c>
      <c r="M23" s="59">
        <f t="shared" si="6"/>
        <v>13984.786206896548</v>
      </c>
      <c r="N23" s="62">
        <v>12</v>
      </c>
      <c r="O23" s="63">
        <f>IF(F23="U",(ViperUrban*ViperCost)+(CBCost*CBUrban)+CommFAN+SubCost,(ViperRural*ViperCost)+(CBCost*CBRural)+SubCost+CommCell)</f>
        <v>220136</v>
      </c>
    </row>
    <row r="24" spans="1:15" x14ac:dyDescent="0.3">
      <c r="A24" t="s">
        <v>53</v>
      </c>
      <c r="B24" t="b">
        <f t="shared" si="0"/>
        <v>1</v>
      </c>
      <c r="C24" t="s">
        <v>20</v>
      </c>
      <c r="E24" t="str">
        <f t="shared" si="1"/>
        <v>Y</v>
      </c>
      <c r="F24" t="s">
        <v>266</v>
      </c>
      <c r="G24">
        <f t="shared" si="2"/>
        <v>8.6</v>
      </c>
      <c r="I24">
        <v>377</v>
      </c>
      <c r="K24" s="37">
        <f t="shared" si="3"/>
        <v>37292.763218390799</v>
      </c>
      <c r="L24" s="57">
        <f t="shared" si="4"/>
        <v>23307.977011494251</v>
      </c>
      <c r="M24" s="59">
        <f t="shared" si="6"/>
        <v>13984.786206896548</v>
      </c>
      <c r="N24" s="62">
        <v>13</v>
      </c>
      <c r="O24" s="63">
        <f>IF(F24="U",(ViperUrban*ViperCost)+(CBCost*CBUrban)+CommFAN,(ViperRural*ViperCost)+(CBCost*CBUrban)+CommCell)</f>
        <v>170136</v>
      </c>
    </row>
    <row r="25" spans="1:15" x14ac:dyDescent="0.3">
      <c r="A25" t="s">
        <v>54</v>
      </c>
      <c r="B25" t="b">
        <f t="shared" si="0"/>
        <v>1</v>
      </c>
      <c r="C25" t="s">
        <v>20</v>
      </c>
      <c r="E25" t="str">
        <f t="shared" si="1"/>
        <v>Y</v>
      </c>
      <c r="F25" t="s">
        <v>266</v>
      </c>
      <c r="G25">
        <f t="shared" si="2"/>
        <v>8.6</v>
      </c>
      <c r="H25">
        <v>328</v>
      </c>
      <c r="I25">
        <v>378</v>
      </c>
      <c r="J25">
        <v>281</v>
      </c>
      <c r="K25" s="37">
        <f t="shared" si="3"/>
        <v>37292.763218390799</v>
      </c>
      <c r="L25" s="57">
        <f t="shared" si="4"/>
        <v>23307.977011494251</v>
      </c>
      <c r="M25" s="59">
        <f t="shared" si="6"/>
        <v>13984.786206896548</v>
      </c>
      <c r="N25" s="62">
        <v>13</v>
      </c>
      <c r="O25" s="63">
        <f>IF(F25="U",(ViperUrban*ViperCost)+(CBCost*CBUrban)+CommFAN+SubCost,(ViperRural*ViperCost)+(CBCost*CBRural)+SubCost+CommCell)</f>
        <v>220136</v>
      </c>
    </row>
    <row r="26" spans="1:15" x14ac:dyDescent="0.3">
      <c r="A26" t="s">
        <v>29</v>
      </c>
      <c r="B26" t="b">
        <f t="shared" si="0"/>
        <v>1</v>
      </c>
      <c r="C26" t="s">
        <v>20</v>
      </c>
      <c r="E26" t="str">
        <f t="shared" si="1"/>
        <v>Y</v>
      </c>
      <c r="F26" t="s">
        <v>266</v>
      </c>
      <c r="G26">
        <f t="shared" si="2"/>
        <v>8.1999999999999993</v>
      </c>
      <c r="I26">
        <v>357</v>
      </c>
      <c r="K26" s="37">
        <f t="shared" si="3"/>
        <v>35558.216091954018</v>
      </c>
      <c r="L26" s="57">
        <f t="shared" si="4"/>
        <v>22223.885057471263</v>
      </c>
      <c r="M26" s="59">
        <f t="shared" si="6"/>
        <v>13334.331034482755</v>
      </c>
      <c r="N26" s="62">
        <v>14</v>
      </c>
      <c r="O26" s="63">
        <f>IF(F26="U",(ViperUrban*ViperCost)+(CBCost*CBUrban)+CommFAN,(ViperRural*ViperCost)+(CBCost*CBUrban)+CommCell)</f>
        <v>170136</v>
      </c>
    </row>
    <row r="27" spans="1:15" x14ac:dyDescent="0.3">
      <c r="A27" t="s">
        <v>42</v>
      </c>
      <c r="B27" t="b">
        <f t="shared" si="0"/>
        <v>1</v>
      </c>
      <c r="C27" t="s">
        <v>20</v>
      </c>
      <c r="E27" t="str">
        <f t="shared" si="1"/>
        <v>Y</v>
      </c>
      <c r="F27" t="s">
        <v>266</v>
      </c>
      <c r="G27">
        <f t="shared" si="2"/>
        <v>8.3000000000000007</v>
      </c>
      <c r="H27">
        <v>390</v>
      </c>
      <c r="I27">
        <v>365</v>
      </c>
      <c r="J27">
        <v>370</v>
      </c>
      <c r="K27" s="37">
        <f t="shared" si="3"/>
        <v>35991.852873563228</v>
      </c>
      <c r="L27" s="57">
        <f t="shared" si="4"/>
        <v>22494.908045977012</v>
      </c>
      <c r="M27" s="59">
        <f t="shared" si="6"/>
        <v>13496.944827586216</v>
      </c>
      <c r="N27" s="62">
        <v>14</v>
      </c>
      <c r="O27" s="63">
        <f>IF(F27="U",(ViperUrban*ViperCost)+(CBCost*CBUrban)+CommFAN+SubCost,(ViperRural*ViperCost)+(CBCost*CBRural)+SubCost+CommCell)</f>
        <v>220136</v>
      </c>
    </row>
    <row r="28" spans="1:15" x14ac:dyDescent="0.3">
      <c r="A28" t="s">
        <v>49</v>
      </c>
      <c r="B28" t="b">
        <f t="shared" si="0"/>
        <v>1</v>
      </c>
      <c r="C28" t="s">
        <v>20</v>
      </c>
      <c r="E28" t="str">
        <f t="shared" si="1"/>
        <v>Y</v>
      </c>
      <c r="F28" t="s">
        <v>266</v>
      </c>
      <c r="G28">
        <f t="shared" si="2"/>
        <v>8.1999999999999993</v>
      </c>
      <c r="I28">
        <v>359</v>
      </c>
      <c r="K28" s="37">
        <f t="shared" si="3"/>
        <v>35558.216091954018</v>
      </c>
      <c r="L28" s="57">
        <f t="shared" si="4"/>
        <v>22223.885057471263</v>
      </c>
      <c r="M28" s="59">
        <f t="shared" si="6"/>
        <v>13334.331034482755</v>
      </c>
      <c r="N28" s="62">
        <v>15</v>
      </c>
      <c r="O28" s="63">
        <f>IF(F28="U",(ViperUrban*ViperCost)+(CBCost*CBUrban)+CommFAN,(ViperRural*ViperCost)+(CBCost*CBUrban)+CommCell)</f>
        <v>170136</v>
      </c>
    </row>
    <row r="29" spans="1:15" x14ac:dyDescent="0.3">
      <c r="A29" t="s">
        <v>55</v>
      </c>
      <c r="B29" t="b">
        <f t="shared" si="0"/>
        <v>1</v>
      </c>
      <c r="C29" t="s">
        <v>20</v>
      </c>
      <c r="E29" t="str">
        <f t="shared" si="1"/>
        <v>Y</v>
      </c>
      <c r="F29" t="s">
        <v>266</v>
      </c>
      <c r="G29">
        <f t="shared" si="2"/>
        <v>7.9</v>
      </c>
      <c r="I29">
        <v>344</v>
      </c>
      <c r="K29" s="37">
        <f t="shared" si="3"/>
        <v>34257.30574712644</v>
      </c>
      <c r="L29" s="57">
        <f t="shared" si="4"/>
        <v>21410.816091954024</v>
      </c>
      <c r="M29" s="59">
        <f t="shared" si="6"/>
        <v>12846.489655172416</v>
      </c>
      <c r="N29" s="62">
        <v>15</v>
      </c>
      <c r="O29" s="63">
        <f>IF(F29="U",(ViperUrban*ViperCost)+(CBCost*CBUrban)+CommFAN+SubCost,(ViperRural*ViperCost)+(CBCost*CBRural)+SubCost+CommCell)</f>
        <v>220136</v>
      </c>
    </row>
    <row r="30" spans="1:15" x14ac:dyDescent="0.3">
      <c r="A30" t="s">
        <v>23</v>
      </c>
      <c r="B30" t="b">
        <f t="shared" si="0"/>
        <v>1</v>
      </c>
      <c r="C30" t="s">
        <v>20</v>
      </c>
      <c r="E30" t="str">
        <f t="shared" si="1"/>
        <v>Y</v>
      </c>
      <c r="F30" t="s">
        <v>266</v>
      </c>
      <c r="G30">
        <f t="shared" si="2"/>
        <v>7.7</v>
      </c>
      <c r="I30">
        <v>335</v>
      </c>
      <c r="K30" s="37">
        <f t="shared" si="3"/>
        <v>33390.03218390805</v>
      </c>
      <c r="L30" s="57">
        <f t="shared" si="4"/>
        <v>20868.770114942534</v>
      </c>
      <c r="M30" s="59">
        <f t="shared" si="6"/>
        <v>12521.262068965516</v>
      </c>
      <c r="N30" s="62">
        <v>16</v>
      </c>
      <c r="O30" s="63">
        <f>IF(F30="U",(ViperUrban*ViperCost)+(CBCost*CBUrban)+CommFAN,(ViperRural*ViperCost)+(CBCost*CBUrban)+CommCell)</f>
        <v>170136</v>
      </c>
    </row>
    <row r="31" spans="1:15" x14ac:dyDescent="0.3">
      <c r="A31" t="s">
        <v>24</v>
      </c>
      <c r="B31" t="b">
        <f t="shared" si="0"/>
        <v>1</v>
      </c>
      <c r="C31" t="s">
        <v>20</v>
      </c>
      <c r="E31" t="str">
        <f t="shared" si="1"/>
        <v>Y</v>
      </c>
      <c r="F31" t="s">
        <v>266</v>
      </c>
      <c r="G31">
        <f t="shared" si="2"/>
        <v>7.7</v>
      </c>
      <c r="H31">
        <v>364</v>
      </c>
      <c r="I31">
        <v>335</v>
      </c>
      <c r="J31">
        <v>281</v>
      </c>
      <c r="K31" s="37">
        <f t="shared" si="3"/>
        <v>33390.03218390805</v>
      </c>
      <c r="L31" s="57">
        <f t="shared" si="4"/>
        <v>20868.770114942534</v>
      </c>
      <c r="M31" s="59">
        <f t="shared" si="6"/>
        <v>12521.262068965516</v>
      </c>
      <c r="N31" s="62">
        <v>16</v>
      </c>
      <c r="O31" s="63">
        <f>IF(F31="U",(ViperUrban*ViperCost)+(CBCost*CBUrban)+CommFAN+SubCost,(ViperRural*ViperCost)+(CBCost*CBRural)+SubCost+CommCell)</f>
        <v>220136</v>
      </c>
    </row>
    <row r="32" spans="1:15" x14ac:dyDescent="0.3">
      <c r="A32" t="s">
        <v>27</v>
      </c>
      <c r="B32" t="b">
        <f t="shared" si="0"/>
        <v>1</v>
      </c>
      <c r="C32" t="s">
        <v>20</v>
      </c>
      <c r="E32" t="str">
        <f t="shared" si="1"/>
        <v>Y</v>
      </c>
      <c r="F32" t="s">
        <v>266</v>
      </c>
      <c r="G32">
        <f t="shared" si="2"/>
        <v>7.7</v>
      </c>
      <c r="I32">
        <v>337</v>
      </c>
      <c r="K32" s="37">
        <f t="shared" si="3"/>
        <v>33390.03218390805</v>
      </c>
      <c r="L32" s="57">
        <f t="shared" si="4"/>
        <v>20868.770114942534</v>
      </c>
      <c r="M32" s="59">
        <f t="shared" si="6"/>
        <v>12521.262068965516</v>
      </c>
      <c r="N32" s="62">
        <v>17</v>
      </c>
      <c r="O32" s="63">
        <f>IF(F32="U",(ViperUrban*ViperCost)+(CBCost*CBUrban)+CommFAN+SubCost,(ViperRural*ViperCost)+(CBCost*CBRural)+SubCost+CommCell)</f>
        <v>220136</v>
      </c>
    </row>
    <row r="33" spans="1:15" x14ac:dyDescent="0.3">
      <c r="A33" t="s">
        <v>40</v>
      </c>
      <c r="B33" t="b">
        <f t="shared" si="0"/>
        <v>1</v>
      </c>
      <c r="C33" t="s">
        <v>20</v>
      </c>
      <c r="E33" t="str">
        <f t="shared" si="1"/>
        <v>Y</v>
      </c>
      <c r="F33" t="s">
        <v>266</v>
      </c>
      <c r="G33">
        <f t="shared" si="2"/>
        <v>7.5</v>
      </c>
      <c r="I33">
        <v>330</v>
      </c>
      <c r="K33" s="37">
        <f t="shared" si="3"/>
        <v>32522.758620689656</v>
      </c>
      <c r="L33" s="57">
        <f t="shared" si="4"/>
        <v>20326.724137931033</v>
      </c>
      <c r="M33" s="59">
        <f t="shared" si="6"/>
        <v>12196.034482758623</v>
      </c>
      <c r="N33" s="62">
        <v>17</v>
      </c>
      <c r="O33" s="63">
        <f>IF(F33="U",(ViperUrban*ViperCost)+(CBCost*CBUrban)+CommFAN,(ViperRural*ViperCost)+(CBCost*CBUrban)+CommCell)</f>
        <v>170136</v>
      </c>
    </row>
    <row r="34" spans="1:15" x14ac:dyDescent="0.3">
      <c r="A34" t="s">
        <v>38</v>
      </c>
      <c r="B34" t="b">
        <f t="shared" si="0"/>
        <v>1</v>
      </c>
      <c r="C34" t="s">
        <v>20</v>
      </c>
      <c r="E34" t="str">
        <f t="shared" si="1"/>
        <v>Y</v>
      </c>
      <c r="F34" t="s">
        <v>266</v>
      </c>
      <c r="G34">
        <f t="shared" si="2"/>
        <v>7.4</v>
      </c>
      <c r="I34">
        <v>324</v>
      </c>
      <c r="K34" s="37">
        <f t="shared" si="3"/>
        <v>32089.121839080464</v>
      </c>
      <c r="L34" s="57">
        <f t="shared" si="4"/>
        <v>20055.701149425287</v>
      </c>
      <c r="M34" s="59">
        <f t="shared" si="6"/>
        <v>12033.420689655177</v>
      </c>
      <c r="N34" s="62">
        <v>18</v>
      </c>
      <c r="O34" s="63">
        <f>IF(F34="U",(ViperUrban*ViperCost)+(CBCost*CBUrban)+CommFAN+SubCost,(ViperRural*ViperCost)+(CBCost*CBRural)+SubCost+CommCell)</f>
        <v>220136</v>
      </c>
    </row>
    <row r="35" spans="1:15" x14ac:dyDescent="0.3">
      <c r="A35" t="s">
        <v>60</v>
      </c>
      <c r="B35" t="b">
        <f t="shared" si="0"/>
        <v>1</v>
      </c>
      <c r="C35" t="s">
        <v>20</v>
      </c>
      <c r="E35" t="str">
        <f t="shared" si="1"/>
        <v>Y</v>
      </c>
      <c r="F35" t="s">
        <v>266</v>
      </c>
      <c r="G35">
        <f t="shared" si="2"/>
        <v>7.3</v>
      </c>
      <c r="I35">
        <v>318</v>
      </c>
      <c r="K35" s="37">
        <f t="shared" si="3"/>
        <v>31655.485057471269</v>
      </c>
      <c r="L35" s="57">
        <f t="shared" si="4"/>
        <v>19784.678160919542</v>
      </c>
      <c r="M35" s="59">
        <f t="shared" si="6"/>
        <v>11870.806896551727</v>
      </c>
      <c r="N35" s="62">
        <v>18</v>
      </c>
      <c r="O35" s="63">
        <f>IF(F35="U",(ViperUrban*ViperCost)+(CBCost*CBUrban)+CommFAN,(ViperRural*ViperCost)+(CBCost*CBUrban)+CommCell)</f>
        <v>170136</v>
      </c>
    </row>
    <row r="36" spans="1:15" x14ac:dyDescent="0.3">
      <c r="A36" t="s">
        <v>25</v>
      </c>
      <c r="B36" t="b">
        <f t="shared" si="0"/>
        <v>1</v>
      </c>
      <c r="C36" t="s">
        <v>20</v>
      </c>
      <c r="E36" t="str">
        <f t="shared" si="1"/>
        <v>Y</v>
      </c>
      <c r="F36" t="s">
        <v>266</v>
      </c>
      <c r="G36">
        <f t="shared" si="2"/>
        <v>7.2</v>
      </c>
      <c r="H36">
        <v>364</v>
      </c>
      <c r="I36">
        <v>317</v>
      </c>
      <c r="J36">
        <v>252</v>
      </c>
      <c r="K36" s="37">
        <f t="shared" si="3"/>
        <v>31221.84827586207</v>
      </c>
      <c r="L36" s="57">
        <f t="shared" si="4"/>
        <v>19513.655172413793</v>
      </c>
      <c r="M36" s="59">
        <f t="shared" si="6"/>
        <v>11708.193103448277</v>
      </c>
      <c r="N36" s="62">
        <v>19</v>
      </c>
      <c r="O36" s="63">
        <f>IF(F36="U",(ViperUrban*ViperCost)+(CBCost*CBUrban)+CommFAN,(ViperRural*ViperCost)+(CBCost*CBUrban)+CommCell)</f>
        <v>170136</v>
      </c>
    </row>
    <row r="37" spans="1:15" x14ac:dyDescent="0.3">
      <c r="A37" t="s">
        <v>35</v>
      </c>
      <c r="B37" t="b">
        <f t="shared" si="0"/>
        <v>1</v>
      </c>
      <c r="C37" t="s">
        <v>20</v>
      </c>
      <c r="D37" t="s">
        <v>36</v>
      </c>
      <c r="E37" t="str">
        <f t="shared" si="1"/>
        <v>Y</v>
      </c>
      <c r="F37" t="s">
        <v>266</v>
      </c>
      <c r="G37">
        <f t="shared" si="2"/>
        <v>7.2</v>
      </c>
      <c r="I37">
        <v>316</v>
      </c>
      <c r="K37" s="37">
        <f t="shared" si="3"/>
        <v>31221.84827586207</v>
      </c>
      <c r="L37" s="57">
        <f t="shared" si="4"/>
        <v>19513.655172413793</v>
      </c>
      <c r="M37" s="59">
        <f t="shared" si="6"/>
        <v>11708.193103448277</v>
      </c>
      <c r="N37" s="62">
        <v>19</v>
      </c>
      <c r="O37" s="63">
        <f>IF(F37="U",(ViperUrban*ViperCost)+(CBCost*CBUrban)+CommFAN+SubCost,(ViperRural*ViperCost)+(CBCost*CBRural)+SubCost+CommCell)</f>
        <v>220136</v>
      </c>
    </row>
    <row r="38" spans="1:15" x14ac:dyDescent="0.3">
      <c r="A38" t="s">
        <v>26</v>
      </c>
      <c r="B38" t="b">
        <f t="shared" si="0"/>
        <v>1</v>
      </c>
      <c r="C38" t="s">
        <v>20</v>
      </c>
      <c r="E38" t="str">
        <f t="shared" si="1"/>
        <v>Y</v>
      </c>
      <c r="F38" t="s">
        <v>266</v>
      </c>
      <c r="G38">
        <f t="shared" si="2"/>
        <v>7</v>
      </c>
      <c r="I38">
        <v>307</v>
      </c>
      <c r="K38" s="37">
        <f t="shared" si="3"/>
        <v>30354.57471264368</v>
      </c>
      <c r="L38" s="57">
        <f t="shared" si="4"/>
        <v>18971.6091954023</v>
      </c>
      <c r="M38" s="59">
        <f t="shared" si="6"/>
        <v>11382.96551724138</v>
      </c>
      <c r="N38" s="62">
        <v>20</v>
      </c>
      <c r="O38" s="63">
        <f>IF(F38="U",(ViperUrban*ViperCost)+(CBCost*CBUrban)+CommFAN+SubCost,(ViperRural*ViperCost)+(CBCost*CBRural)+SubCost+CommCell)</f>
        <v>220136</v>
      </c>
    </row>
    <row r="39" spans="1:15" x14ac:dyDescent="0.3">
      <c r="A39" t="s">
        <v>45</v>
      </c>
      <c r="B39" t="b">
        <f t="shared" si="0"/>
        <v>1</v>
      </c>
      <c r="C39" t="s">
        <v>20</v>
      </c>
      <c r="E39" t="str">
        <f t="shared" si="1"/>
        <v>Y</v>
      </c>
      <c r="F39" t="s">
        <v>266</v>
      </c>
      <c r="G39">
        <f t="shared" si="2"/>
        <v>6.8</v>
      </c>
      <c r="H39">
        <v>318</v>
      </c>
      <c r="I39">
        <v>296</v>
      </c>
      <c r="J39">
        <v>356</v>
      </c>
      <c r="K39" s="37">
        <f t="shared" si="3"/>
        <v>29487.301149425286</v>
      </c>
      <c r="L39" s="57">
        <f t="shared" si="4"/>
        <v>18429.563218390802</v>
      </c>
      <c r="M39" s="59">
        <f t="shared" si="6"/>
        <v>11057.737931034484</v>
      </c>
      <c r="N39" s="62">
        <v>20</v>
      </c>
      <c r="O39" s="63">
        <f>IF(F39="U",(ViperUrban*ViperCost)+(CBCost*CBUrban)+CommFAN,(ViperRural*ViperCost)+(CBCost*CBUrban)+CommCell)</f>
        <v>170136</v>
      </c>
    </row>
    <row r="40" spans="1:15" x14ac:dyDescent="0.3">
      <c r="A40" t="s">
        <v>51</v>
      </c>
      <c r="B40" t="b">
        <f t="shared" si="0"/>
        <v>1</v>
      </c>
      <c r="C40" t="s">
        <v>20</v>
      </c>
      <c r="E40" t="str">
        <f t="shared" si="1"/>
        <v>Y</v>
      </c>
      <c r="F40" t="s">
        <v>266</v>
      </c>
      <c r="G40">
        <f t="shared" si="2"/>
        <v>6.9</v>
      </c>
      <c r="I40">
        <v>304</v>
      </c>
      <c r="K40" s="37">
        <f t="shared" si="3"/>
        <v>29920.937931034481</v>
      </c>
      <c r="L40" s="57">
        <f t="shared" si="4"/>
        <v>18700.586206896551</v>
      </c>
      <c r="M40" s="59">
        <f t="shared" si="6"/>
        <v>11220.35172413793</v>
      </c>
      <c r="N40" s="62">
        <v>21</v>
      </c>
      <c r="O40" s="63">
        <f>IF(F40="U",(ViperUrban*ViperCost)+(CBCost*CBUrban)+CommFAN,(ViperRural*ViperCost)+(CBCost*CBUrban)+CommCell)</f>
        <v>170136</v>
      </c>
    </row>
    <row r="41" spans="1:15" x14ac:dyDescent="0.3">
      <c r="K41" s="37"/>
      <c r="L41" s="11"/>
    </row>
    <row r="42" spans="1:15" x14ac:dyDescent="0.3">
      <c r="E42" s="8" t="s">
        <v>61</v>
      </c>
      <c r="F42" s="8"/>
      <c r="G42" s="8">
        <f>SUM(G2:G40)</f>
        <v>339.69999999999987</v>
      </c>
      <c r="J42" s="14" t="s">
        <v>279</v>
      </c>
      <c r="K42" s="37">
        <f t="shared" ref="K42" si="7">G42*0.5*8760*0.0167/0.87*62</f>
        <v>1770755.3613793096</v>
      </c>
      <c r="L42" s="11"/>
      <c r="M42" s="63"/>
      <c r="N42" s="64" t="s">
        <v>280</v>
      </c>
      <c r="O42" s="65">
        <f>SUM(O2:O40)</f>
        <v>7685304</v>
      </c>
    </row>
    <row r="43" spans="1:15" x14ac:dyDescent="0.3">
      <c r="I43" t="s">
        <v>283</v>
      </c>
    </row>
    <row r="44" spans="1:15" x14ac:dyDescent="0.3">
      <c r="E44" s="8"/>
      <c r="F44" s="8"/>
      <c r="G44" s="9"/>
    </row>
  </sheetData>
  <autoFilter ref="A1:O40">
    <sortState ref="A2:P40">
      <sortCondition ref="N1:N40"/>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workbookViewId="0">
      <selection activeCell="O75" sqref="O75"/>
    </sheetView>
  </sheetViews>
  <sheetFormatPr defaultColWidth="11" defaultRowHeight="15.6" x14ac:dyDescent="0.3"/>
  <cols>
    <col min="11" max="11" width="11.59765625" customWidth="1"/>
  </cols>
  <sheetData>
    <row r="1" spans="1:13" x14ac:dyDescent="0.3">
      <c r="A1" t="s">
        <v>10</v>
      </c>
      <c r="B1" t="s">
        <v>11</v>
      </c>
      <c r="C1" t="s">
        <v>12</v>
      </c>
      <c r="D1" t="s">
        <v>13</v>
      </c>
      <c r="E1" t="s">
        <v>14</v>
      </c>
      <c r="F1" t="s">
        <v>15</v>
      </c>
      <c r="G1" t="s">
        <v>16</v>
      </c>
      <c r="H1" t="s">
        <v>17</v>
      </c>
      <c r="I1" t="s">
        <v>18</v>
      </c>
      <c r="J1" t="s">
        <v>66</v>
      </c>
      <c r="K1" s="55" t="s">
        <v>67</v>
      </c>
      <c r="L1" s="12" t="s">
        <v>69</v>
      </c>
      <c r="M1" s="12" t="s">
        <v>70</v>
      </c>
    </row>
    <row r="2" spans="1:13" x14ac:dyDescent="0.3">
      <c r="A2" s="12" t="s">
        <v>68</v>
      </c>
      <c r="B2" s="12" t="b">
        <f t="shared" ref="B2:B65" si="0" xml:space="preserve"> F2 &gt; 6.6</f>
        <v>1</v>
      </c>
      <c r="C2" s="12" t="s">
        <v>32</v>
      </c>
      <c r="D2" s="12"/>
      <c r="E2" s="12" t="str">
        <f t="shared" ref="E2:E65" si="1">IF(AND(F2 &gt; 6.6, C2="N"), "Y","N")</f>
        <v>N</v>
      </c>
      <c r="F2" s="12">
        <f t="shared" ref="F2:F65" si="2">ROUND(7.62*(H2*3)/1000, 1)</f>
        <v>8.1</v>
      </c>
      <c r="G2" s="12">
        <v>376</v>
      </c>
      <c r="H2" s="12">
        <v>356</v>
      </c>
      <c r="I2" s="12">
        <v>365</v>
      </c>
      <c r="J2" s="12">
        <v>0.81</v>
      </c>
      <c r="K2" s="57">
        <f>F2*LF*8760*(M2/J2)*AE</f>
        <v>37726.399999999994</v>
      </c>
      <c r="L2">
        <v>2</v>
      </c>
      <c r="M2">
        <f>L2/120</f>
        <v>1.6666666666666666E-2</v>
      </c>
    </row>
    <row r="3" spans="1:13" x14ac:dyDescent="0.3">
      <c r="A3" t="s">
        <v>71</v>
      </c>
      <c r="B3" t="b">
        <f t="shared" si="0"/>
        <v>0</v>
      </c>
      <c r="C3" t="s">
        <v>32</v>
      </c>
      <c r="E3" t="str">
        <f t="shared" si="1"/>
        <v>N</v>
      </c>
      <c r="F3">
        <f t="shared" si="2"/>
        <v>6.2</v>
      </c>
      <c r="G3">
        <v>271</v>
      </c>
      <c r="H3">
        <v>270</v>
      </c>
      <c r="I3">
        <v>285</v>
      </c>
      <c r="J3">
        <v>0.87</v>
      </c>
      <c r="K3" s="57">
        <f t="shared" ref="K3:K33" si="3">F3*LF*8760*(M3/J3)*AE</f>
        <v>26885.480459770115</v>
      </c>
      <c r="L3">
        <v>2</v>
      </c>
      <c r="M3">
        <f>L3/120</f>
        <v>1.6666666666666666E-2</v>
      </c>
    </row>
    <row r="4" spans="1:13" x14ac:dyDescent="0.3">
      <c r="A4" t="s">
        <v>72</v>
      </c>
      <c r="B4" t="b">
        <f t="shared" si="0"/>
        <v>0</v>
      </c>
      <c r="C4" t="s">
        <v>32</v>
      </c>
      <c r="E4" t="str">
        <f t="shared" si="1"/>
        <v>N</v>
      </c>
      <c r="F4">
        <f t="shared" si="2"/>
        <v>5.3</v>
      </c>
      <c r="G4">
        <v>247</v>
      </c>
      <c r="H4">
        <v>230</v>
      </c>
      <c r="I4">
        <v>218</v>
      </c>
      <c r="J4">
        <v>0.87</v>
      </c>
      <c r="K4" s="57">
        <f t="shared" si="3"/>
        <v>22982.749425287355</v>
      </c>
      <c r="L4">
        <v>2</v>
      </c>
      <c r="M4">
        <f>L4/120</f>
        <v>1.6666666666666666E-2</v>
      </c>
    </row>
    <row r="5" spans="1:13" x14ac:dyDescent="0.3">
      <c r="A5" t="s">
        <v>73</v>
      </c>
      <c r="B5" t="b">
        <f t="shared" si="0"/>
        <v>1</v>
      </c>
      <c r="C5" t="s">
        <v>32</v>
      </c>
      <c r="E5" t="str">
        <f t="shared" si="1"/>
        <v>N</v>
      </c>
      <c r="F5">
        <f t="shared" si="2"/>
        <v>8.3000000000000007</v>
      </c>
      <c r="G5">
        <v>401</v>
      </c>
      <c r="H5">
        <v>361</v>
      </c>
      <c r="I5">
        <v>374</v>
      </c>
      <c r="J5">
        <v>0.87</v>
      </c>
      <c r="K5" s="57">
        <f t="shared" si="3"/>
        <v>35991.852873563221</v>
      </c>
      <c r="L5">
        <v>2</v>
      </c>
      <c r="M5">
        <f>L5/120</f>
        <v>1.6666666666666666E-2</v>
      </c>
    </row>
    <row r="6" spans="1:13" x14ac:dyDescent="0.3">
      <c r="A6" t="s">
        <v>74</v>
      </c>
      <c r="B6" t="b">
        <f t="shared" si="0"/>
        <v>1</v>
      </c>
      <c r="C6" t="s">
        <v>32</v>
      </c>
      <c r="E6" t="str">
        <f t="shared" si="1"/>
        <v>N</v>
      </c>
      <c r="F6">
        <f t="shared" si="2"/>
        <v>7.8</v>
      </c>
      <c r="G6">
        <v>378</v>
      </c>
      <c r="H6">
        <v>343</v>
      </c>
      <c r="I6">
        <v>342</v>
      </c>
      <c r="J6">
        <v>0.87</v>
      </c>
      <c r="K6" s="57">
        <f t="shared" si="3"/>
        <v>33823.668965517238</v>
      </c>
      <c r="L6">
        <v>2</v>
      </c>
      <c r="M6">
        <f>L6/120</f>
        <v>1.6666666666666666E-2</v>
      </c>
    </row>
    <row r="7" spans="1:13" x14ac:dyDescent="0.3">
      <c r="A7" t="s">
        <v>75</v>
      </c>
      <c r="B7" t="b">
        <f t="shared" si="0"/>
        <v>0</v>
      </c>
      <c r="C7" t="s">
        <v>32</v>
      </c>
      <c r="E7" t="str">
        <f t="shared" si="1"/>
        <v>N</v>
      </c>
      <c r="F7">
        <f t="shared" si="2"/>
        <v>5.9</v>
      </c>
      <c r="G7">
        <v>245</v>
      </c>
      <c r="H7">
        <v>259</v>
      </c>
      <c r="I7">
        <v>236</v>
      </c>
      <c r="J7">
        <v>0.87</v>
      </c>
      <c r="K7" s="57">
        <f t="shared" si="3"/>
        <v>25584.570114942526</v>
      </c>
      <c r="L7">
        <v>2</v>
      </c>
      <c r="M7">
        <f t="shared" ref="M7:M70" si="4">L7/120</f>
        <v>1.6666666666666666E-2</v>
      </c>
    </row>
    <row r="8" spans="1:13" x14ac:dyDescent="0.3">
      <c r="A8" t="s">
        <v>76</v>
      </c>
      <c r="B8" t="b">
        <f t="shared" si="0"/>
        <v>0</v>
      </c>
      <c r="C8" t="s">
        <v>32</v>
      </c>
      <c r="E8" t="str">
        <f t="shared" si="1"/>
        <v>N</v>
      </c>
      <c r="F8">
        <f t="shared" si="2"/>
        <v>4</v>
      </c>
      <c r="G8">
        <v>183</v>
      </c>
      <c r="H8">
        <v>175</v>
      </c>
      <c r="I8">
        <v>176</v>
      </c>
      <c r="J8">
        <v>0.87</v>
      </c>
      <c r="K8" s="57">
        <f t="shared" si="3"/>
        <v>17345.471264367818</v>
      </c>
      <c r="L8">
        <v>2</v>
      </c>
      <c r="M8">
        <f t="shared" si="4"/>
        <v>1.6666666666666666E-2</v>
      </c>
    </row>
    <row r="9" spans="1:13" x14ac:dyDescent="0.3">
      <c r="A9" t="s">
        <v>77</v>
      </c>
      <c r="B9" t="b">
        <f t="shared" si="0"/>
        <v>1</v>
      </c>
      <c r="C9" t="s">
        <v>32</v>
      </c>
      <c r="E9" t="str">
        <f t="shared" si="1"/>
        <v>N</v>
      </c>
      <c r="F9">
        <f t="shared" si="2"/>
        <v>8.6999999999999993</v>
      </c>
      <c r="G9">
        <v>367</v>
      </c>
      <c r="H9">
        <v>380</v>
      </c>
      <c r="I9">
        <v>373</v>
      </c>
      <c r="J9">
        <v>0.87</v>
      </c>
      <c r="K9" s="57">
        <f t="shared" si="3"/>
        <v>37726.399999999994</v>
      </c>
      <c r="L9">
        <v>2</v>
      </c>
      <c r="M9">
        <f t="shared" si="4"/>
        <v>1.6666666666666666E-2</v>
      </c>
    </row>
    <row r="10" spans="1:13" x14ac:dyDescent="0.3">
      <c r="A10" t="s">
        <v>78</v>
      </c>
      <c r="B10" t="b">
        <f t="shared" si="0"/>
        <v>1</v>
      </c>
      <c r="C10" t="s">
        <v>32</v>
      </c>
      <c r="E10" t="str">
        <f t="shared" si="1"/>
        <v>N</v>
      </c>
      <c r="F10">
        <f t="shared" si="2"/>
        <v>8.6999999999999993</v>
      </c>
      <c r="G10">
        <v>348</v>
      </c>
      <c r="H10">
        <v>381</v>
      </c>
      <c r="I10">
        <v>351</v>
      </c>
      <c r="J10">
        <v>0.87</v>
      </c>
      <c r="K10" s="57">
        <f t="shared" si="3"/>
        <v>37726.399999999994</v>
      </c>
      <c r="L10">
        <v>2</v>
      </c>
      <c r="M10">
        <f t="shared" si="4"/>
        <v>1.6666666666666666E-2</v>
      </c>
    </row>
    <row r="11" spans="1:13" x14ac:dyDescent="0.3">
      <c r="A11" t="s">
        <v>79</v>
      </c>
      <c r="B11" t="b">
        <f t="shared" si="0"/>
        <v>1</v>
      </c>
      <c r="C11" t="s">
        <v>32</v>
      </c>
      <c r="E11" t="str">
        <f t="shared" si="1"/>
        <v>N</v>
      </c>
      <c r="F11">
        <f t="shared" si="2"/>
        <v>7.7</v>
      </c>
      <c r="H11">
        <v>336</v>
      </c>
      <c r="J11">
        <v>0.87</v>
      </c>
      <c r="K11" s="57">
        <f t="shared" si="3"/>
        <v>33390.03218390805</v>
      </c>
      <c r="L11">
        <v>2</v>
      </c>
      <c r="M11">
        <f t="shared" si="4"/>
        <v>1.6666666666666666E-2</v>
      </c>
    </row>
    <row r="12" spans="1:13" x14ac:dyDescent="0.3">
      <c r="A12" t="s">
        <v>80</v>
      </c>
      <c r="B12" t="b">
        <f t="shared" si="0"/>
        <v>1</v>
      </c>
      <c r="C12" t="s">
        <v>32</v>
      </c>
      <c r="E12" t="str">
        <f t="shared" si="1"/>
        <v>N</v>
      </c>
      <c r="F12">
        <f t="shared" si="2"/>
        <v>7.6</v>
      </c>
      <c r="H12">
        <v>332</v>
      </c>
      <c r="J12">
        <v>0.87</v>
      </c>
      <c r="K12" s="57">
        <f t="shared" si="3"/>
        <v>32956.395402298847</v>
      </c>
      <c r="L12" s="12">
        <v>2</v>
      </c>
      <c r="M12">
        <f t="shared" si="4"/>
        <v>1.6666666666666666E-2</v>
      </c>
    </row>
    <row r="13" spans="1:13" x14ac:dyDescent="0.3">
      <c r="A13" s="12" t="s">
        <v>81</v>
      </c>
      <c r="B13" s="12" t="b">
        <f t="shared" si="0"/>
        <v>1</v>
      </c>
      <c r="C13" s="12" t="s">
        <v>32</v>
      </c>
      <c r="D13" s="12"/>
      <c r="E13" s="12" t="str">
        <f t="shared" si="1"/>
        <v>N</v>
      </c>
      <c r="F13" s="12">
        <f t="shared" si="2"/>
        <v>8.1</v>
      </c>
      <c r="G13" s="12">
        <v>374</v>
      </c>
      <c r="H13" s="12">
        <v>355</v>
      </c>
      <c r="I13" s="12">
        <v>315</v>
      </c>
      <c r="J13" s="12">
        <v>0.75</v>
      </c>
      <c r="K13" s="57">
        <f t="shared" si="3"/>
        <v>40744.511999999995</v>
      </c>
      <c r="L13">
        <v>2</v>
      </c>
      <c r="M13">
        <f t="shared" si="4"/>
        <v>1.6666666666666666E-2</v>
      </c>
    </row>
    <row r="14" spans="1:13" x14ac:dyDescent="0.3">
      <c r="A14" t="s">
        <v>82</v>
      </c>
      <c r="B14" t="b">
        <f t="shared" si="0"/>
        <v>1</v>
      </c>
      <c r="C14" t="s">
        <v>32</v>
      </c>
      <c r="E14" t="str">
        <f t="shared" si="1"/>
        <v>N</v>
      </c>
      <c r="F14">
        <f t="shared" si="2"/>
        <v>10.3</v>
      </c>
      <c r="G14">
        <v>323</v>
      </c>
      <c r="H14">
        <v>449</v>
      </c>
      <c r="I14">
        <v>343</v>
      </c>
      <c r="J14">
        <v>0.87</v>
      </c>
      <c r="K14" s="57">
        <f t="shared" si="3"/>
        <v>44664.588505747117</v>
      </c>
      <c r="L14" s="12">
        <v>2</v>
      </c>
      <c r="M14">
        <f t="shared" si="4"/>
        <v>1.6666666666666666E-2</v>
      </c>
    </row>
    <row r="15" spans="1:13" x14ac:dyDescent="0.3">
      <c r="A15" s="12" t="s">
        <v>83</v>
      </c>
      <c r="B15" s="12" t="b">
        <f t="shared" si="0"/>
        <v>1</v>
      </c>
      <c r="C15" s="12" t="s">
        <v>32</v>
      </c>
      <c r="D15" s="12"/>
      <c r="E15" s="12" t="str">
        <f t="shared" si="1"/>
        <v>N</v>
      </c>
      <c r="F15" s="12">
        <f t="shared" si="2"/>
        <v>7.4</v>
      </c>
      <c r="G15" s="12">
        <v>335</v>
      </c>
      <c r="H15" s="12">
        <v>322</v>
      </c>
      <c r="I15" s="12">
        <v>344</v>
      </c>
      <c r="J15" s="12">
        <v>1.25</v>
      </c>
      <c r="K15" s="57">
        <f t="shared" si="3"/>
        <v>22334.0288</v>
      </c>
      <c r="L15" s="12">
        <v>2</v>
      </c>
      <c r="M15">
        <f t="shared" si="4"/>
        <v>1.6666666666666666E-2</v>
      </c>
    </row>
    <row r="16" spans="1:13" x14ac:dyDescent="0.3">
      <c r="A16" s="12" t="s">
        <v>84</v>
      </c>
      <c r="B16" s="12" t="b">
        <f t="shared" si="0"/>
        <v>1</v>
      </c>
      <c r="C16" s="12" t="s">
        <v>32</v>
      </c>
      <c r="D16" s="12"/>
      <c r="E16" s="12" t="str">
        <f t="shared" si="1"/>
        <v>N</v>
      </c>
      <c r="F16" s="12">
        <f t="shared" si="2"/>
        <v>7.8</v>
      </c>
      <c r="G16" s="12">
        <v>340</v>
      </c>
      <c r="H16" s="12">
        <v>343</v>
      </c>
      <c r="I16" s="12">
        <v>341</v>
      </c>
      <c r="J16" s="12">
        <v>1.06</v>
      </c>
      <c r="K16" s="57">
        <f t="shared" si="3"/>
        <v>27760.935849056601</v>
      </c>
      <c r="L16" s="12">
        <v>2</v>
      </c>
      <c r="M16">
        <f t="shared" si="4"/>
        <v>1.6666666666666666E-2</v>
      </c>
    </row>
    <row r="17" spans="1:13" x14ac:dyDescent="0.3">
      <c r="A17" s="12" t="s">
        <v>85</v>
      </c>
      <c r="B17" s="12" t="b">
        <f t="shared" si="0"/>
        <v>1</v>
      </c>
      <c r="C17" s="12" t="s">
        <v>32</v>
      </c>
      <c r="D17" s="12"/>
      <c r="E17" s="12" t="str">
        <f t="shared" si="1"/>
        <v>N</v>
      </c>
      <c r="F17" s="12">
        <f t="shared" si="2"/>
        <v>8.9</v>
      </c>
      <c r="G17" s="12">
        <v>306</v>
      </c>
      <c r="H17" s="12">
        <v>391</v>
      </c>
      <c r="I17" s="12">
        <v>326</v>
      </c>
      <c r="J17" s="12">
        <v>0.73</v>
      </c>
      <c r="K17" s="57">
        <f t="shared" si="3"/>
        <v>45995.199999999997</v>
      </c>
      <c r="L17" s="12">
        <v>2</v>
      </c>
      <c r="M17">
        <f t="shared" si="4"/>
        <v>1.6666666666666666E-2</v>
      </c>
    </row>
    <row r="18" spans="1:13" x14ac:dyDescent="0.3">
      <c r="A18" t="s">
        <v>86</v>
      </c>
      <c r="B18" t="b">
        <f t="shared" si="0"/>
        <v>1</v>
      </c>
      <c r="C18" t="s">
        <v>32</v>
      </c>
      <c r="E18" t="str">
        <f t="shared" si="1"/>
        <v>N</v>
      </c>
      <c r="F18">
        <f t="shared" si="2"/>
        <v>7.2</v>
      </c>
      <c r="G18">
        <v>209</v>
      </c>
      <c r="H18">
        <v>315</v>
      </c>
      <c r="I18">
        <v>287</v>
      </c>
      <c r="J18">
        <v>0.87</v>
      </c>
      <c r="K18" s="57">
        <f t="shared" si="3"/>
        <v>31221.848275862067</v>
      </c>
      <c r="L18" s="12">
        <v>2</v>
      </c>
      <c r="M18">
        <f t="shared" si="4"/>
        <v>1.6666666666666666E-2</v>
      </c>
    </row>
    <row r="19" spans="1:13" x14ac:dyDescent="0.3">
      <c r="A19" t="s">
        <v>87</v>
      </c>
      <c r="B19" t="b">
        <f t="shared" si="0"/>
        <v>0</v>
      </c>
      <c r="C19" t="s">
        <v>32</v>
      </c>
      <c r="E19" t="str">
        <f t="shared" si="1"/>
        <v>N</v>
      </c>
      <c r="F19">
        <f t="shared" si="2"/>
        <v>6</v>
      </c>
      <c r="G19">
        <v>301</v>
      </c>
      <c r="H19">
        <v>264</v>
      </c>
      <c r="I19">
        <v>252</v>
      </c>
      <c r="J19">
        <v>0.87</v>
      </c>
      <c r="K19" s="57">
        <f t="shared" si="3"/>
        <v>26018.206896551725</v>
      </c>
      <c r="L19" s="12">
        <v>2</v>
      </c>
      <c r="M19">
        <f t="shared" si="4"/>
        <v>1.6666666666666666E-2</v>
      </c>
    </row>
    <row r="20" spans="1:13" x14ac:dyDescent="0.3">
      <c r="A20" t="s">
        <v>88</v>
      </c>
      <c r="B20" t="b">
        <f t="shared" si="0"/>
        <v>1</v>
      </c>
      <c r="C20" t="s">
        <v>32</v>
      </c>
      <c r="E20" t="str">
        <f t="shared" si="1"/>
        <v>N</v>
      </c>
      <c r="F20">
        <f t="shared" si="2"/>
        <v>7.4</v>
      </c>
      <c r="G20">
        <v>349</v>
      </c>
      <c r="H20">
        <v>324</v>
      </c>
      <c r="I20">
        <v>339</v>
      </c>
      <c r="J20">
        <v>0.87</v>
      </c>
      <c r="K20" s="57">
        <f t="shared" si="3"/>
        <v>32089.121839080461</v>
      </c>
      <c r="L20" s="12">
        <v>2</v>
      </c>
      <c r="M20">
        <f t="shared" si="4"/>
        <v>1.6666666666666666E-2</v>
      </c>
    </row>
    <row r="21" spans="1:13" x14ac:dyDescent="0.3">
      <c r="A21" t="s">
        <v>89</v>
      </c>
      <c r="B21" t="b">
        <f t="shared" si="0"/>
        <v>1</v>
      </c>
      <c r="C21" t="s">
        <v>32</v>
      </c>
      <c r="E21" t="str">
        <f t="shared" si="1"/>
        <v>N</v>
      </c>
      <c r="F21">
        <f t="shared" si="2"/>
        <v>8.3000000000000007</v>
      </c>
      <c r="G21">
        <v>361</v>
      </c>
      <c r="H21">
        <v>363</v>
      </c>
      <c r="I21">
        <v>348</v>
      </c>
      <c r="J21">
        <v>0.87</v>
      </c>
      <c r="K21" s="57">
        <f t="shared" si="3"/>
        <v>35991.852873563221</v>
      </c>
      <c r="L21" s="12">
        <v>2</v>
      </c>
      <c r="M21">
        <f t="shared" si="4"/>
        <v>1.6666666666666666E-2</v>
      </c>
    </row>
    <row r="22" spans="1:13" x14ac:dyDescent="0.3">
      <c r="A22" t="s">
        <v>90</v>
      </c>
      <c r="B22" t="b">
        <f t="shared" si="0"/>
        <v>0</v>
      </c>
      <c r="C22" t="s">
        <v>32</v>
      </c>
      <c r="E22" t="str">
        <f t="shared" si="1"/>
        <v>N</v>
      </c>
      <c r="F22">
        <f t="shared" si="2"/>
        <v>4.3</v>
      </c>
      <c r="G22">
        <v>243</v>
      </c>
      <c r="H22">
        <v>187</v>
      </c>
      <c r="I22">
        <v>267</v>
      </c>
      <c r="J22">
        <v>0.87</v>
      </c>
      <c r="K22" s="57">
        <f t="shared" si="3"/>
        <v>18646.3816091954</v>
      </c>
      <c r="L22" s="12">
        <v>2</v>
      </c>
      <c r="M22">
        <f t="shared" si="4"/>
        <v>1.6666666666666666E-2</v>
      </c>
    </row>
    <row r="23" spans="1:13" x14ac:dyDescent="0.3">
      <c r="A23" t="s">
        <v>91</v>
      </c>
      <c r="B23" t="b">
        <f t="shared" si="0"/>
        <v>0</v>
      </c>
      <c r="C23" t="s">
        <v>32</v>
      </c>
      <c r="E23" t="str">
        <f t="shared" si="1"/>
        <v>N</v>
      </c>
      <c r="F23">
        <f t="shared" si="2"/>
        <v>6.4</v>
      </c>
      <c r="G23">
        <v>297</v>
      </c>
      <c r="H23">
        <v>280</v>
      </c>
      <c r="I23">
        <v>345</v>
      </c>
      <c r="J23">
        <v>0.87</v>
      </c>
      <c r="K23" s="57">
        <f t="shared" si="3"/>
        <v>27752.754022988505</v>
      </c>
      <c r="L23" s="12">
        <v>2</v>
      </c>
      <c r="M23">
        <f t="shared" si="4"/>
        <v>1.6666666666666666E-2</v>
      </c>
    </row>
    <row r="24" spans="1:13" x14ac:dyDescent="0.3">
      <c r="A24" t="s">
        <v>92</v>
      </c>
      <c r="B24" t="b">
        <f t="shared" si="0"/>
        <v>1</v>
      </c>
      <c r="C24" t="s">
        <v>32</v>
      </c>
      <c r="E24" t="str">
        <f t="shared" si="1"/>
        <v>N</v>
      </c>
      <c r="F24">
        <f t="shared" si="2"/>
        <v>7.7</v>
      </c>
      <c r="G24">
        <v>324</v>
      </c>
      <c r="H24">
        <v>336</v>
      </c>
      <c r="I24">
        <v>413</v>
      </c>
      <c r="J24">
        <v>0.87</v>
      </c>
      <c r="K24" s="57">
        <f t="shared" si="3"/>
        <v>33390.03218390805</v>
      </c>
      <c r="L24" s="12">
        <v>2</v>
      </c>
      <c r="M24">
        <f t="shared" si="4"/>
        <v>1.6666666666666666E-2</v>
      </c>
    </row>
    <row r="25" spans="1:13" x14ac:dyDescent="0.3">
      <c r="A25" t="s">
        <v>93</v>
      </c>
      <c r="B25" t="b">
        <f t="shared" si="0"/>
        <v>1</v>
      </c>
      <c r="C25" t="s">
        <v>32</v>
      </c>
      <c r="E25" t="str">
        <f t="shared" si="1"/>
        <v>N</v>
      </c>
      <c r="F25">
        <f t="shared" si="2"/>
        <v>10.3</v>
      </c>
      <c r="G25">
        <v>362</v>
      </c>
      <c r="H25">
        <v>451</v>
      </c>
      <c r="I25">
        <v>325</v>
      </c>
      <c r="J25">
        <v>0.87</v>
      </c>
      <c r="K25" s="57">
        <f t="shared" si="3"/>
        <v>44664.588505747117</v>
      </c>
      <c r="L25" s="12">
        <v>2</v>
      </c>
      <c r="M25">
        <f t="shared" si="4"/>
        <v>1.6666666666666666E-2</v>
      </c>
    </row>
    <row r="26" spans="1:13" x14ac:dyDescent="0.3">
      <c r="A26" t="s">
        <v>94</v>
      </c>
      <c r="B26" t="b">
        <f t="shared" si="0"/>
        <v>1</v>
      </c>
      <c r="C26" t="s">
        <v>32</v>
      </c>
      <c r="E26" t="str">
        <f t="shared" si="1"/>
        <v>N</v>
      </c>
      <c r="F26">
        <f t="shared" si="2"/>
        <v>6.7</v>
      </c>
      <c r="G26">
        <v>297</v>
      </c>
      <c r="H26">
        <v>295</v>
      </c>
      <c r="I26">
        <v>283</v>
      </c>
      <c r="J26">
        <v>0.87</v>
      </c>
      <c r="K26" s="57">
        <f t="shared" si="3"/>
        <v>29053.664367816094</v>
      </c>
      <c r="L26" s="12">
        <v>2</v>
      </c>
      <c r="M26">
        <f t="shared" si="4"/>
        <v>1.6666666666666666E-2</v>
      </c>
    </row>
    <row r="27" spans="1:13" x14ac:dyDescent="0.3">
      <c r="A27" s="12" t="s">
        <v>95</v>
      </c>
      <c r="B27" s="12" t="b">
        <f t="shared" si="0"/>
        <v>1</v>
      </c>
      <c r="C27" s="12" t="s">
        <v>32</v>
      </c>
      <c r="D27" s="12"/>
      <c r="E27" s="12" t="str">
        <f t="shared" si="1"/>
        <v>N</v>
      </c>
      <c r="F27" s="12">
        <f t="shared" si="2"/>
        <v>7.5</v>
      </c>
      <c r="G27" s="12">
        <v>356</v>
      </c>
      <c r="H27" s="12">
        <v>327</v>
      </c>
      <c r="I27" s="12">
        <v>326</v>
      </c>
      <c r="J27" s="12">
        <v>0.86</v>
      </c>
      <c r="K27" s="57">
        <f t="shared" si="3"/>
        <v>32900.930232558138</v>
      </c>
      <c r="L27" s="12">
        <v>2</v>
      </c>
      <c r="M27">
        <f t="shared" si="4"/>
        <v>1.6666666666666666E-2</v>
      </c>
    </row>
    <row r="28" spans="1:13" x14ac:dyDescent="0.3">
      <c r="A28" s="12" t="s">
        <v>96</v>
      </c>
      <c r="B28" s="12" t="b">
        <f t="shared" si="0"/>
        <v>0</v>
      </c>
      <c r="C28" s="12" t="s">
        <v>32</v>
      </c>
      <c r="D28" s="12"/>
      <c r="E28" s="12" t="str">
        <f t="shared" si="1"/>
        <v>N</v>
      </c>
      <c r="F28" s="12">
        <f t="shared" si="2"/>
        <v>5.0999999999999996</v>
      </c>
      <c r="G28" s="12">
        <v>284</v>
      </c>
      <c r="H28" s="12">
        <v>225</v>
      </c>
      <c r="I28" s="12">
        <v>266</v>
      </c>
      <c r="J28" s="12">
        <v>1.62</v>
      </c>
      <c r="K28" s="57">
        <f t="shared" si="3"/>
        <v>11876.82962962963</v>
      </c>
      <c r="L28" s="12">
        <v>2</v>
      </c>
      <c r="M28">
        <f t="shared" si="4"/>
        <v>1.6666666666666666E-2</v>
      </c>
    </row>
    <row r="29" spans="1:13" x14ac:dyDescent="0.3">
      <c r="A29" s="12" t="s">
        <v>97</v>
      </c>
      <c r="B29" s="12" t="b">
        <f t="shared" si="0"/>
        <v>0</v>
      </c>
      <c r="C29" s="12" t="s">
        <v>32</v>
      </c>
      <c r="D29" s="12"/>
      <c r="E29" s="12" t="str">
        <f t="shared" si="1"/>
        <v>N</v>
      </c>
      <c r="F29" s="12">
        <f t="shared" si="2"/>
        <v>6.3</v>
      </c>
      <c r="G29" s="12">
        <v>340</v>
      </c>
      <c r="H29" s="12">
        <v>274</v>
      </c>
      <c r="I29" s="12">
        <v>294</v>
      </c>
      <c r="J29" s="12">
        <v>1.88</v>
      </c>
      <c r="K29" s="57">
        <f t="shared" si="3"/>
        <v>12642.357446808513</v>
      </c>
      <c r="L29" s="12">
        <v>2</v>
      </c>
      <c r="M29">
        <f t="shared" si="4"/>
        <v>1.6666666666666666E-2</v>
      </c>
    </row>
    <row r="30" spans="1:13" x14ac:dyDescent="0.3">
      <c r="A30" t="s">
        <v>98</v>
      </c>
      <c r="B30" t="b">
        <f t="shared" si="0"/>
        <v>0</v>
      </c>
      <c r="C30" t="s">
        <v>32</v>
      </c>
      <c r="E30" t="str">
        <f t="shared" si="1"/>
        <v>N</v>
      </c>
      <c r="F30">
        <f t="shared" si="2"/>
        <v>5.4</v>
      </c>
      <c r="G30">
        <v>215</v>
      </c>
      <c r="H30">
        <v>236</v>
      </c>
      <c r="I30">
        <v>303</v>
      </c>
      <c r="J30">
        <v>0.87</v>
      </c>
      <c r="K30" s="57">
        <f t="shared" si="3"/>
        <v>23416.38620689655</v>
      </c>
      <c r="L30" s="12">
        <v>2</v>
      </c>
      <c r="M30">
        <f t="shared" si="4"/>
        <v>1.6666666666666666E-2</v>
      </c>
    </row>
    <row r="31" spans="1:13" x14ac:dyDescent="0.3">
      <c r="A31" t="s">
        <v>99</v>
      </c>
      <c r="B31" t="b">
        <f t="shared" si="0"/>
        <v>0</v>
      </c>
      <c r="C31" t="s">
        <v>32</v>
      </c>
      <c r="E31" t="str">
        <f t="shared" si="1"/>
        <v>N</v>
      </c>
      <c r="F31">
        <f t="shared" si="2"/>
        <v>5.5</v>
      </c>
      <c r="G31">
        <v>230</v>
      </c>
      <c r="H31">
        <v>240</v>
      </c>
      <c r="I31">
        <v>274</v>
      </c>
      <c r="J31">
        <v>0.87</v>
      </c>
      <c r="K31" s="57">
        <f t="shared" si="3"/>
        <v>23850.022988505742</v>
      </c>
      <c r="L31" s="12">
        <v>2</v>
      </c>
      <c r="M31">
        <f t="shared" si="4"/>
        <v>1.6666666666666666E-2</v>
      </c>
    </row>
    <row r="32" spans="1:13" x14ac:dyDescent="0.3">
      <c r="A32" t="s">
        <v>100</v>
      </c>
      <c r="B32" t="b">
        <f t="shared" si="0"/>
        <v>0</v>
      </c>
      <c r="C32" t="s">
        <v>32</v>
      </c>
      <c r="E32" t="str">
        <f t="shared" si="1"/>
        <v>N</v>
      </c>
      <c r="F32">
        <f t="shared" si="2"/>
        <v>5.0999999999999996</v>
      </c>
      <c r="G32">
        <v>204</v>
      </c>
      <c r="H32">
        <v>224</v>
      </c>
      <c r="I32">
        <v>293</v>
      </c>
      <c r="J32">
        <v>0.87</v>
      </c>
      <c r="K32" s="57">
        <f t="shared" si="3"/>
        <v>22115.475862068964</v>
      </c>
      <c r="L32" s="12">
        <v>2</v>
      </c>
      <c r="M32">
        <f t="shared" si="4"/>
        <v>1.6666666666666666E-2</v>
      </c>
    </row>
    <row r="33" spans="1:13" x14ac:dyDescent="0.3">
      <c r="A33" t="s">
        <v>101</v>
      </c>
      <c r="B33" t="b">
        <f t="shared" si="0"/>
        <v>0</v>
      </c>
      <c r="C33" t="s">
        <v>32</v>
      </c>
      <c r="E33" t="str">
        <f t="shared" si="1"/>
        <v>N</v>
      </c>
      <c r="F33">
        <f t="shared" si="2"/>
        <v>5.8</v>
      </c>
      <c r="G33">
        <v>268</v>
      </c>
      <c r="H33">
        <v>254</v>
      </c>
      <c r="I33">
        <v>295</v>
      </c>
      <c r="J33">
        <v>0.87</v>
      </c>
      <c r="K33" s="57">
        <f t="shared" si="3"/>
        <v>25150.933333333327</v>
      </c>
      <c r="L33" s="12">
        <v>2</v>
      </c>
      <c r="M33">
        <f t="shared" si="4"/>
        <v>1.6666666666666666E-2</v>
      </c>
    </row>
    <row r="34" spans="1:13" x14ac:dyDescent="0.3">
      <c r="A34" s="12" t="s">
        <v>102</v>
      </c>
      <c r="B34" s="12" t="b">
        <f t="shared" si="0"/>
        <v>1</v>
      </c>
      <c r="C34" s="12" t="s">
        <v>32</v>
      </c>
      <c r="D34" s="12"/>
      <c r="E34" s="12" t="str">
        <f t="shared" si="1"/>
        <v>N</v>
      </c>
      <c r="F34" s="12">
        <f t="shared" si="2"/>
        <v>8.4</v>
      </c>
      <c r="G34" s="12">
        <v>342</v>
      </c>
      <c r="H34" s="12">
        <v>369</v>
      </c>
      <c r="I34" s="12">
        <v>407</v>
      </c>
      <c r="J34" s="12">
        <v>0.73</v>
      </c>
      <c r="K34" s="57">
        <f t="shared" ref="K34:K65" si="5">F34*LF*8760*(M34/J34)*AE</f>
        <v>43411.199999999997</v>
      </c>
      <c r="L34" s="12">
        <v>2</v>
      </c>
      <c r="M34">
        <f t="shared" si="4"/>
        <v>1.6666666666666666E-2</v>
      </c>
    </row>
    <row r="35" spans="1:13" x14ac:dyDescent="0.3">
      <c r="A35" t="s">
        <v>103</v>
      </c>
      <c r="B35" t="b">
        <f t="shared" si="0"/>
        <v>1</v>
      </c>
      <c r="C35" t="s">
        <v>32</v>
      </c>
      <c r="E35" t="str">
        <f t="shared" si="1"/>
        <v>N</v>
      </c>
      <c r="F35">
        <f t="shared" si="2"/>
        <v>7.5</v>
      </c>
      <c r="G35">
        <v>405</v>
      </c>
      <c r="H35">
        <v>326</v>
      </c>
      <c r="I35">
        <v>345</v>
      </c>
      <c r="J35">
        <v>0.87</v>
      </c>
      <c r="K35" s="57">
        <f t="shared" si="5"/>
        <v>32522.758620689652</v>
      </c>
      <c r="L35" s="12">
        <v>2</v>
      </c>
      <c r="M35">
        <f t="shared" si="4"/>
        <v>1.6666666666666666E-2</v>
      </c>
    </row>
    <row r="36" spans="1:13" x14ac:dyDescent="0.3">
      <c r="A36" s="12" t="s">
        <v>104</v>
      </c>
      <c r="B36" s="12" t="b">
        <f t="shared" si="0"/>
        <v>1</v>
      </c>
      <c r="C36" s="12" t="s">
        <v>32</v>
      </c>
      <c r="D36" s="12"/>
      <c r="E36" s="12" t="str">
        <f t="shared" si="1"/>
        <v>N</v>
      </c>
      <c r="F36" s="12">
        <f t="shared" si="2"/>
        <v>6.9</v>
      </c>
      <c r="G36" s="12">
        <v>277</v>
      </c>
      <c r="H36" s="12">
        <v>300</v>
      </c>
      <c r="I36" s="12">
        <v>280</v>
      </c>
      <c r="J36" s="12">
        <v>0.62</v>
      </c>
      <c r="K36" s="57">
        <f t="shared" si="5"/>
        <v>41985.832258064518</v>
      </c>
      <c r="L36" s="12">
        <v>2</v>
      </c>
      <c r="M36">
        <f t="shared" si="4"/>
        <v>1.6666666666666666E-2</v>
      </c>
    </row>
    <row r="37" spans="1:13" x14ac:dyDescent="0.3">
      <c r="A37" s="12" t="s">
        <v>105</v>
      </c>
      <c r="B37" s="12" t="b">
        <f t="shared" si="0"/>
        <v>1</v>
      </c>
      <c r="C37" s="12" t="s">
        <v>32</v>
      </c>
      <c r="D37" s="12"/>
      <c r="E37" s="12" t="str">
        <f t="shared" si="1"/>
        <v>N</v>
      </c>
      <c r="F37" s="12">
        <f t="shared" si="2"/>
        <v>9.1999999999999993</v>
      </c>
      <c r="G37" s="12">
        <v>435</v>
      </c>
      <c r="H37" s="12">
        <v>401</v>
      </c>
      <c r="I37" s="12">
        <v>360</v>
      </c>
      <c r="J37" s="12">
        <v>0.71</v>
      </c>
      <c r="K37" s="57">
        <f t="shared" si="5"/>
        <v>48884.912676056338</v>
      </c>
      <c r="L37" s="12">
        <v>2</v>
      </c>
      <c r="M37">
        <f t="shared" si="4"/>
        <v>1.6666666666666666E-2</v>
      </c>
    </row>
    <row r="38" spans="1:13" x14ac:dyDescent="0.3">
      <c r="A38" s="13" t="s">
        <v>106</v>
      </c>
      <c r="B38" t="b">
        <f t="shared" si="0"/>
        <v>1</v>
      </c>
      <c r="C38" s="13" t="s">
        <v>32</v>
      </c>
      <c r="D38" s="13"/>
      <c r="E38" s="13" t="str">
        <f t="shared" si="1"/>
        <v>N</v>
      </c>
      <c r="F38" s="13">
        <f t="shared" si="2"/>
        <v>8.1</v>
      </c>
      <c r="G38" s="13">
        <v>308</v>
      </c>
      <c r="H38" s="13">
        <v>355</v>
      </c>
      <c r="I38" s="13">
        <v>316</v>
      </c>
      <c r="J38">
        <v>0.87</v>
      </c>
      <c r="K38" s="57">
        <f t="shared" si="5"/>
        <v>35124.579310344823</v>
      </c>
      <c r="L38" s="12">
        <v>2</v>
      </c>
      <c r="M38">
        <f t="shared" si="4"/>
        <v>1.6666666666666666E-2</v>
      </c>
    </row>
    <row r="39" spans="1:13" x14ac:dyDescent="0.3">
      <c r="A39" s="13" t="s">
        <v>107</v>
      </c>
      <c r="B39" t="b">
        <f t="shared" si="0"/>
        <v>1</v>
      </c>
      <c r="C39" s="13" t="s">
        <v>32</v>
      </c>
      <c r="D39" s="13"/>
      <c r="E39" s="13" t="str">
        <f t="shared" si="1"/>
        <v>N</v>
      </c>
      <c r="F39" s="13">
        <f t="shared" si="2"/>
        <v>8.3000000000000007</v>
      </c>
      <c r="G39" s="13">
        <v>286</v>
      </c>
      <c r="H39" s="13">
        <v>365</v>
      </c>
      <c r="I39" s="13">
        <v>317</v>
      </c>
      <c r="J39">
        <v>0.87</v>
      </c>
      <c r="K39" s="57">
        <f t="shared" si="5"/>
        <v>35991.852873563221</v>
      </c>
      <c r="L39" s="12">
        <v>2</v>
      </c>
      <c r="M39">
        <f t="shared" si="4"/>
        <v>1.6666666666666666E-2</v>
      </c>
    </row>
    <row r="40" spans="1:13" x14ac:dyDescent="0.3">
      <c r="A40" t="s">
        <v>108</v>
      </c>
      <c r="B40" t="b">
        <f t="shared" si="0"/>
        <v>0</v>
      </c>
      <c r="C40" t="s">
        <v>32</v>
      </c>
      <c r="E40" t="str">
        <f t="shared" si="1"/>
        <v>N</v>
      </c>
      <c r="F40">
        <f t="shared" si="2"/>
        <v>4.3</v>
      </c>
      <c r="G40">
        <v>192</v>
      </c>
      <c r="H40">
        <v>186</v>
      </c>
      <c r="I40">
        <v>165</v>
      </c>
      <c r="J40">
        <v>0.87</v>
      </c>
      <c r="K40" s="57">
        <f t="shared" si="5"/>
        <v>18646.3816091954</v>
      </c>
      <c r="L40" s="12">
        <v>2</v>
      </c>
      <c r="M40">
        <f t="shared" si="4"/>
        <v>1.6666666666666666E-2</v>
      </c>
    </row>
    <row r="41" spans="1:13" x14ac:dyDescent="0.3">
      <c r="A41" t="s">
        <v>109</v>
      </c>
      <c r="B41" t="b">
        <f t="shared" si="0"/>
        <v>1</v>
      </c>
      <c r="C41" t="s">
        <v>32</v>
      </c>
      <c r="E41" t="str">
        <f t="shared" si="1"/>
        <v>N</v>
      </c>
      <c r="F41">
        <f t="shared" si="2"/>
        <v>7.3</v>
      </c>
      <c r="G41">
        <v>263</v>
      </c>
      <c r="H41">
        <v>319</v>
      </c>
      <c r="I41">
        <v>280</v>
      </c>
      <c r="J41">
        <v>0.87</v>
      </c>
      <c r="K41" s="57">
        <f t="shared" si="5"/>
        <v>31655.485057471262</v>
      </c>
      <c r="L41" s="12">
        <v>2</v>
      </c>
      <c r="M41">
        <f t="shared" si="4"/>
        <v>1.6666666666666666E-2</v>
      </c>
    </row>
    <row r="42" spans="1:13" x14ac:dyDescent="0.3">
      <c r="A42" t="s">
        <v>110</v>
      </c>
      <c r="B42" t="b">
        <f t="shared" si="0"/>
        <v>0</v>
      </c>
      <c r="C42" t="s">
        <v>32</v>
      </c>
      <c r="E42" t="str">
        <f t="shared" si="1"/>
        <v>N</v>
      </c>
      <c r="F42">
        <f t="shared" si="2"/>
        <v>5.8</v>
      </c>
      <c r="G42">
        <v>358</v>
      </c>
      <c r="H42">
        <v>252</v>
      </c>
      <c r="I42">
        <v>273</v>
      </c>
      <c r="J42">
        <v>0.87</v>
      </c>
      <c r="K42" s="57">
        <f t="shared" si="5"/>
        <v>25150.933333333327</v>
      </c>
      <c r="L42" s="12">
        <v>2</v>
      </c>
      <c r="M42">
        <f t="shared" si="4"/>
        <v>1.6666666666666666E-2</v>
      </c>
    </row>
    <row r="43" spans="1:13" x14ac:dyDescent="0.3">
      <c r="A43" t="s">
        <v>111</v>
      </c>
      <c r="B43" t="b">
        <f t="shared" si="0"/>
        <v>0</v>
      </c>
      <c r="C43" t="s">
        <v>32</v>
      </c>
      <c r="E43" t="str">
        <f t="shared" si="1"/>
        <v>N</v>
      </c>
      <c r="F43">
        <f t="shared" si="2"/>
        <v>4.5999999999999996</v>
      </c>
      <c r="G43">
        <v>144</v>
      </c>
      <c r="H43">
        <v>201</v>
      </c>
      <c r="I43">
        <v>250</v>
      </c>
      <c r="J43">
        <v>0.87</v>
      </c>
      <c r="K43" s="57">
        <f t="shared" si="5"/>
        <v>19947.291954022985</v>
      </c>
      <c r="L43" s="12">
        <v>2</v>
      </c>
      <c r="M43">
        <f t="shared" si="4"/>
        <v>1.6666666666666666E-2</v>
      </c>
    </row>
    <row r="44" spans="1:13" x14ac:dyDescent="0.3">
      <c r="A44" t="s">
        <v>112</v>
      </c>
      <c r="B44" t="b">
        <f t="shared" si="0"/>
        <v>1</v>
      </c>
      <c r="C44" t="s">
        <v>32</v>
      </c>
      <c r="E44" t="str">
        <f t="shared" si="1"/>
        <v>N</v>
      </c>
      <c r="F44">
        <f t="shared" si="2"/>
        <v>7.2</v>
      </c>
      <c r="G44">
        <v>332</v>
      </c>
      <c r="H44">
        <v>315</v>
      </c>
      <c r="I44">
        <v>313</v>
      </c>
      <c r="J44">
        <v>0.87</v>
      </c>
      <c r="K44" s="57">
        <f t="shared" si="5"/>
        <v>31221.848275862067</v>
      </c>
      <c r="L44" s="12">
        <v>2</v>
      </c>
      <c r="M44">
        <f t="shared" si="4"/>
        <v>1.6666666666666666E-2</v>
      </c>
    </row>
    <row r="45" spans="1:13" x14ac:dyDescent="0.3">
      <c r="A45" s="12" t="s">
        <v>113</v>
      </c>
      <c r="B45" s="12" t="b">
        <f t="shared" si="0"/>
        <v>0</v>
      </c>
      <c r="C45" s="12" t="s">
        <v>32</v>
      </c>
      <c r="D45" s="12"/>
      <c r="E45" s="12" t="str">
        <f t="shared" si="1"/>
        <v>N</v>
      </c>
      <c r="F45" s="12">
        <f t="shared" si="2"/>
        <v>3</v>
      </c>
      <c r="G45" s="12">
        <v>83</v>
      </c>
      <c r="H45" s="12">
        <v>133</v>
      </c>
      <c r="I45" s="12">
        <v>93</v>
      </c>
      <c r="J45" s="12">
        <v>1.89</v>
      </c>
      <c r="K45" s="57">
        <f t="shared" si="5"/>
        <v>5988.3174603174612</v>
      </c>
      <c r="L45" s="12">
        <v>2</v>
      </c>
      <c r="M45">
        <f t="shared" si="4"/>
        <v>1.6666666666666666E-2</v>
      </c>
    </row>
    <row r="46" spans="1:13" x14ac:dyDescent="0.3">
      <c r="A46" t="s">
        <v>114</v>
      </c>
      <c r="B46" t="b">
        <f t="shared" si="0"/>
        <v>1</v>
      </c>
      <c r="C46" t="s">
        <v>32</v>
      </c>
      <c r="E46" t="str">
        <f t="shared" si="1"/>
        <v>N</v>
      </c>
      <c r="F46">
        <f t="shared" si="2"/>
        <v>7.2</v>
      </c>
      <c r="H46">
        <v>317</v>
      </c>
      <c r="J46">
        <v>0.87</v>
      </c>
      <c r="K46" s="57">
        <f t="shared" si="5"/>
        <v>31221.848275862067</v>
      </c>
      <c r="L46" s="12">
        <v>2</v>
      </c>
      <c r="M46">
        <f t="shared" si="4"/>
        <v>1.6666666666666666E-2</v>
      </c>
    </row>
    <row r="47" spans="1:13" x14ac:dyDescent="0.3">
      <c r="A47" t="s">
        <v>115</v>
      </c>
      <c r="B47" t="b">
        <f t="shared" si="0"/>
        <v>0</v>
      </c>
      <c r="C47" t="s">
        <v>32</v>
      </c>
      <c r="E47" t="str">
        <f t="shared" si="1"/>
        <v>N</v>
      </c>
      <c r="F47">
        <f t="shared" si="2"/>
        <v>5</v>
      </c>
      <c r="G47">
        <v>243</v>
      </c>
      <c r="H47">
        <v>217</v>
      </c>
      <c r="I47">
        <v>220</v>
      </c>
      <c r="J47">
        <v>0.87</v>
      </c>
      <c r="K47" s="57">
        <f t="shared" si="5"/>
        <v>21681.839080459769</v>
      </c>
      <c r="L47" s="12">
        <v>2</v>
      </c>
      <c r="M47">
        <f t="shared" si="4"/>
        <v>1.6666666666666666E-2</v>
      </c>
    </row>
    <row r="48" spans="1:13" x14ac:dyDescent="0.3">
      <c r="A48" t="s">
        <v>116</v>
      </c>
      <c r="B48" t="b">
        <f t="shared" si="0"/>
        <v>1</v>
      </c>
      <c r="C48" t="s">
        <v>32</v>
      </c>
      <c r="E48" t="str">
        <f t="shared" si="1"/>
        <v>N</v>
      </c>
      <c r="F48">
        <f t="shared" si="2"/>
        <v>8.1999999999999993</v>
      </c>
      <c r="H48">
        <v>360</v>
      </c>
      <c r="J48">
        <v>0.87</v>
      </c>
      <c r="K48" s="57">
        <f t="shared" si="5"/>
        <v>35558.216091954018</v>
      </c>
      <c r="L48" s="12">
        <v>2</v>
      </c>
      <c r="M48">
        <f t="shared" si="4"/>
        <v>1.6666666666666666E-2</v>
      </c>
    </row>
    <row r="49" spans="1:13" x14ac:dyDescent="0.3">
      <c r="A49" t="s">
        <v>117</v>
      </c>
      <c r="B49" t="b">
        <f t="shared" si="0"/>
        <v>1</v>
      </c>
      <c r="C49" t="s">
        <v>32</v>
      </c>
      <c r="E49" t="str">
        <f t="shared" si="1"/>
        <v>N</v>
      </c>
      <c r="F49">
        <f t="shared" si="2"/>
        <v>6.7</v>
      </c>
      <c r="G49">
        <v>330</v>
      </c>
      <c r="H49">
        <v>293</v>
      </c>
      <c r="I49">
        <v>338</v>
      </c>
      <c r="J49">
        <v>0.87</v>
      </c>
      <c r="K49" s="57">
        <f t="shared" si="5"/>
        <v>29053.664367816094</v>
      </c>
      <c r="L49" s="12">
        <v>2</v>
      </c>
      <c r="M49">
        <f t="shared" si="4"/>
        <v>1.6666666666666666E-2</v>
      </c>
    </row>
    <row r="50" spans="1:13" x14ac:dyDescent="0.3">
      <c r="A50" t="s">
        <v>118</v>
      </c>
      <c r="B50" t="b">
        <f t="shared" si="0"/>
        <v>0</v>
      </c>
      <c r="C50" t="s">
        <v>32</v>
      </c>
      <c r="E50" t="str">
        <f t="shared" si="1"/>
        <v>N</v>
      </c>
      <c r="F50">
        <f t="shared" si="2"/>
        <v>5.7</v>
      </c>
      <c r="G50">
        <v>284</v>
      </c>
      <c r="H50">
        <v>251</v>
      </c>
      <c r="I50">
        <v>259</v>
      </c>
      <c r="J50">
        <v>0.87</v>
      </c>
      <c r="K50" s="57">
        <f t="shared" si="5"/>
        <v>24717.296551724139</v>
      </c>
      <c r="L50" s="12">
        <v>2</v>
      </c>
      <c r="M50">
        <f t="shared" si="4"/>
        <v>1.6666666666666666E-2</v>
      </c>
    </row>
    <row r="51" spans="1:13" x14ac:dyDescent="0.3">
      <c r="A51" t="s">
        <v>119</v>
      </c>
      <c r="B51" t="b">
        <f t="shared" si="0"/>
        <v>1</v>
      </c>
      <c r="C51" t="s">
        <v>32</v>
      </c>
      <c r="E51" t="str">
        <f t="shared" si="1"/>
        <v>N</v>
      </c>
      <c r="F51">
        <f t="shared" si="2"/>
        <v>9.6999999999999993</v>
      </c>
      <c r="G51">
        <v>497</v>
      </c>
      <c r="H51">
        <v>423</v>
      </c>
      <c r="I51">
        <v>395</v>
      </c>
      <c r="J51">
        <v>0.87</v>
      </c>
      <c r="K51" s="57">
        <f t="shared" si="5"/>
        <v>42062.767816091953</v>
      </c>
      <c r="L51" s="12">
        <v>2</v>
      </c>
      <c r="M51">
        <f t="shared" si="4"/>
        <v>1.6666666666666666E-2</v>
      </c>
    </row>
    <row r="52" spans="1:13" x14ac:dyDescent="0.3">
      <c r="A52" t="s">
        <v>120</v>
      </c>
      <c r="B52" t="b">
        <f t="shared" si="0"/>
        <v>1</v>
      </c>
      <c r="C52" t="s">
        <v>32</v>
      </c>
      <c r="E52" t="str">
        <f t="shared" si="1"/>
        <v>N</v>
      </c>
      <c r="F52">
        <f t="shared" si="2"/>
        <v>9</v>
      </c>
      <c r="G52">
        <v>386</v>
      </c>
      <c r="H52">
        <v>394</v>
      </c>
      <c r="I52">
        <v>360</v>
      </c>
      <c r="J52">
        <v>0.87</v>
      </c>
      <c r="K52" s="57">
        <f t="shared" si="5"/>
        <v>39027.310344827587</v>
      </c>
      <c r="L52" s="12">
        <v>2</v>
      </c>
      <c r="M52">
        <f t="shared" si="4"/>
        <v>1.6666666666666666E-2</v>
      </c>
    </row>
    <row r="53" spans="1:13" x14ac:dyDescent="0.3">
      <c r="A53" t="s">
        <v>121</v>
      </c>
      <c r="B53" t="b">
        <f t="shared" si="0"/>
        <v>1</v>
      </c>
      <c r="C53" t="s">
        <v>32</v>
      </c>
      <c r="E53" t="str">
        <f t="shared" si="1"/>
        <v>N</v>
      </c>
      <c r="F53">
        <f t="shared" si="2"/>
        <v>7</v>
      </c>
      <c r="G53">
        <v>295</v>
      </c>
      <c r="H53">
        <v>307</v>
      </c>
      <c r="I53">
        <v>330</v>
      </c>
      <c r="J53">
        <v>0.87</v>
      </c>
      <c r="K53" s="57">
        <f t="shared" si="5"/>
        <v>30354.57471264368</v>
      </c>
      <c r="L53" s="12">
        <v>2</v>
      </c>
      <c r="M53">
        <f t="shared" si="4"/>
        <v>1.6666666666666666E-2</v>
      </c>
    </row>
    <row r="54" spans="1:13" x14ac:dyDescent="0.3">
      <c r="A54" t="s">
        <v>122</v>
      </c>
      <c r="B54" t="b">
        <f t="shared" si="0"/>
        <v>1</v>
      </c>
      <c r="C54" t="s">
        <v>32</v>
      </c>
      <c r="E54" t="str">
        <f t="shared" si="1"/>
        <v>N</v>
      </c>
      <c r="F54">
        <f t="shared" si="2"/>
        <v>8.9</v>
      </c>
      <c r="G54">
        <v>286</v>
      </c>
      <c r="H54">
        <v>390</v>
      </c>
      <c r="I54">
        <v>449</v>
      </c>
      <c r="J54">
        <v>0.87</v>
      </c>
      <c r="K54" s="57">
        <f t="shared" si="5"/>
        <v>38593.673563218392</v>
      </c>
      <c r="L54" s="12">
        <v>2</v>
      </c>
      <c r="M54">
        <f t="shared" si="4"/>
        <v>1.6666666666666666E-2</v>
      </c>
    </row>
    <row r="55" spans="1:13" x14ac:dyDescent="0.3">
      <c r="A55" t="s">
        <v>123</v>
      </c>
      <c r="B55" t="b">
        <f t="shared" si="0"/>
        <v>0</v>
      </c>
      <c r="C55" t="s">
        <v>32</v>
      </c>
      <c r="E55" t="str">
        <f t="shared" si="1"/>
        <v>N</v>
      </c>
      <c r="F55">
        <f t="shared" si="2"/>
        <v>6.2</v>
      </c>
      <c r="G55">
        <v>283</v>
      </c>
      <c r="H55">
        <v>273</v>
      </c>
      <c r="I55">
        <v>337</v>
      </c>
      <c r="J55">
        <v>0.87</v>
      </c>
      <c r="K55" s="57">
        <f t="shared" si="5"/>
        <v>26885.480459770115</v>
      </c>
      <c r="L55" s="12">
        <v>2</v>
      </c>
      <c r="M55">
        <f t="shared" si="4"/>
        <v>1.6666666666666666E-2</v>
      </c>
    </row>
    <row r="56" spans="1:13" x14ac:dyDescent="0.3">
      <c r="A56" t="s">
        <v>124</v>
      </c>
      <c r="B56" t="b">
        <f t="shared" si="0"/>
        <v>1</v>
      </c>
      <c r="C56" t="s">
        <v>32</v>
      </c>
      <c r="E56" t="str">
        <f t="shared" si="1"/>
        <v>N</v>
      </c>
      <c r="F56">
        <f t="shared" si="2"/>
        <v>7.1</v>
      </c>
      <c r="G56">
        <v>311</v>
      </c>
      <c r="H56">
        <v>312</v>
      </c>
      <c r="I56">
        <v>333</v>
      </c>
      <c r="J56">
        <v>0.87</v>
      </c>
      <c r="K56" s="57">
        <f t="shared" si="5"/>
        <v>30788.211494252871</v>
      </c>
      <c r="L56" s="12">
        <v>2</v>
      </c>
      <c r="M56">
        <f t="shared" si="4"/>
        <v>1.6666666666666666E-2</v>
      </c>
    </row>
    <row r="57" spans="1:13" x14ac:dyDescent="0.3">
      <c r="A57" t="s">
        <v>125</v>
      </c>
      <c r="B57" t="b">
        <f t="shared" si="0"/>
        <v>1</v>
      </c>
      <c r="C57" t="s">
        <v>32</v>
      </c>
      <c r="E57" t="str">
        <f t="shared" si="1"/>
        <v>N</v>
      </c>
      <c r="F57">
        <f t="shared" si="2"/>
        <v>7.1</v>
      </c>
      <c r="G57">
        <v>269</v>
      </c>
      <c r="H57">
        <v>310</v>
      </c>
      <c r="I57">
        <v>263</v>
      </c>
      <c r="J57">
        <v>0.87</v>
      </c>
      <c r="K57" s="57">
        <f t="shared" si="5"/>
        <v>30788.211494252871</v>
      </c>
      <c r="L57" s="12">
        <v>2</v>
      </c>
      <c r="M57">
        <f t="shared" si="4"/>
        <v>1.6666666666666666E-2</v>
      </c>
    </row>
    <row r="58" spans="1:13" x14ac:dyDescent="0.3">
      <c r="A58" t="s">
        <v>126</v>
      </c>
      <c r="B58" t="b">
        <f t="shared" si="0"/>
        <v>1</v>
      </c>
      <c r="C58" t="s">
        <v>32</v>
      </c>
      <c r="E58" t="str">
        <f t="shared" si="1"/>
        <v>N</v>
      </c>
      <c r="F58">
        <f t="shared" si="2"/>
        <v>8.6999999999999993</v>
      </c>
      <c r="G58">
        <v>453</v>
      </c>
      <c r="H58">
        <v>382</v>
      </c>
      <c r="I58">
        <v>508</v>
      </c>
      <c r="J58">
        <v>0.87</v>
      </c>
      <c r="K58" s="57">
        <f t="shared" si="5"/>
        <v>37726.399999999994</v>
      </c>
      <c r="L58" s="12">
        <v>2</v>
      </c>
      <c r="M58">
        <f t="shared" si="4"/>
        <v>1.6666666666666666E-2</v>
      </c>
    </row>
    <row r="59" spans="1:13" x14ac:dyDescent="0.3">
      <c r="A59" t="s">
        <v>127</v>
      </c>
      <c r="B59" t="b">
        <f t="shared" si="0"/>
        <v>1</v>
      </c>
      <c r="C59" t="s">
        <v>32</v>
      </c>
      <c r="E59" t="str">
        <f t="shared" si="1"/>
        <v>N</v>
      </c>
      <c r="F59">
        <f t="shared" si="2"/>
        <v>8.6999999999999993</v>
      </c>
      <c r="G59">
        <v>322</v>
      </c>
      <c r="H59">
        <v>379</v>
      </c>
      <c r="I59">
        <v>270</v>
      </c>
      <c r="J59">
        <v>0.87</v>
      </c>
      <c r="K59" s="57">
        <f t="shared" si="5"/>
        <v>37726.399999999994</v>
      </c>
      <c r="L59" s="12">
        <v>2</v>
      </c>
      <c r="M59">
        <f t="shared" si="4"/>
        <v>1.6666666666666666E-2</v>
      </c>
    </row>
    <row r="60" spans="1:13" x14ac:dyDescent="0.3">
      <c r="A60" t="s">
        <v>128</v>
      </c>
      <c r="B60" t="b">
        <f t="shared" si="0"/>
        <v>1</v>
      </c>
      <c r="C60" t="s">
        <v>32</v>
      </c>
      <c r="E60" t="str">
        <f t="shared" si="1"/>
        <v>N</v>
      </c>
      <c r="F60">
        <f t="shared" si="2"/>
        <v>9.3000000000000007</v>
      </c>
      <c r="G60">
        <v>364</v>
      </c>
      <c r="H60">
        <v>406</v>
      </c>
      <c r="I60">
        <v>428</v>
      </c>
      <c r="J60">
        <v>0.87</v>
      </c>
      <c r="K60" s="57">
        <f t="shared" si="5"/>
        <v>40328.220689655172</v>
      </c>
      <c r="L60" s="12">
        <v>2</v>
      </c>
      <c r="M60">
        <f t="shared" si="4"/>
        <v>1.6666666666666666E-2</v>
      </c>
    </row>
    <row r="61" spans="1:13" x14ac:dyDescent="0.3">
      <c r="A61" t="s">
        <v>129</v>
      </c>
      <c r="B61" t="b">
        <f t="shared" si="0"/>
        <v>0</v>
      </c>
      <c r="C61" t="s">
        <v>32</v>
      </c>
      <c r="E61" t="str">
        <f t="shared" si="1"/>
        <v>N</v>
      </c>
      <c r="F61">
        <f t="shared" si="2"/>
        <v>5.9</v>
      </c>
      <c r="G61">
        <v>291</v>
      </c>
      <c r="H61">
        <v>257</v>
      </c>
      <c r="I61">
        <v>236</v>
      </c>
      <c r="J61">
        <v>0.87</v>
      </c>
      <c r="K61" s="57">
        <f t="shared" si="5"/>
        <v>25584.570114942526</v>
      </c>
      <c r="L61" s="12">
        <v>2</v>
      </c>
      <c r="M61">
        <f t="shared" si="4"/>
        <v>1.6666666666666666E-2</v>
      </c>
    </row>
    <row r="62" spans="1:13" x14ac:dyDescent="0.3">
      <c r="A62" t="s">
        <v>130</v>
      </c>
      <c r="B62" t="b">
        <f t="shared" si="0"/>
        <v>0</v>
      </c>
      <c r="C62" t="s">
        <v>32</v>
      </c>
      <c r="E62" t="str">
        <f t="shared" si="1"/>
        <v>N</v>
      </c>
      <c r="F62">
        <f t="shared" si="2"/>
        <v>6.4</v>
      </c>
      <c r="G62">
        <v>375</v>
      </c>
      <c r="H62">
        <v>280</v>
      </c>
      <c r="I62">
        <v>239</v>
      </c>
      <c r="J62">
        <v>0.87</v>
      </c>
      <c r="K62" s="57">
        <f t="shared" si="5"/>
        <v>27752.754022988505</v>
      </c>
      <c r="L62" s="12">
        <v>2</v>
      </c>
      <c r="M62">
        <f t="shared" si="4"/>
        <v>1.6666666666666666E-2</v>
      </c>
    </row>
    <row r="63" spans="1:13" x14ac:dyDescent="0.3">
      <c r="A63" t="s">
        <v>131</v>
      </c>
      <c r="B63" t="b">
        <f t="shared" si="0"/>
        <v>0</v>
      </c>
      <c r="C63" t="s">
        <v>32</v>
      </c>
      <c r="E63" t="str">
        <f t="shared" si="1"/>
        <v>N</v>
      </c>
      <c r="F63">
        <f t="shared" si="2"/>
        <v>5.7</v>
      </c>
      <c r="G63">
        <v>249</v>
      </c>
      <c r="H63">
        <v>249</v>
      </c>
      <c r="I63">
        <v>252</v>
      </c>
      <c r="J63">
        <v>0.87</v>
      </c>
      <c r="K63" s="57">
        <f t="shared" si="5"/>
        <v>24717.296551724139</v>
      </c>
      <c r="L63" s="12">
        <v>2</v>
      </c>
      <c r="M63">
        <f t="shared" si="4"/>
        <v>1.6666666666666666E-2</v>
      </c>
    </row>
    <row r="64" spans="1:13" x14ac:dyDescent="0.3">
      <c r="A64" t="s">
        <v>132</v>
      </c>
      <c r="B64" t="b">
        <f t="shared" si="0"/>
        <v>0</v>
      </c>
      <c r="C64" t="s">
        <v>32</v>
      </c>
      <c r="E64" t="str">
        <f t="shared" si="1"/>
        <v>N</v>
      </c>
      <c r="F64">
        <f t="shared" si="2"/>
        <v>5.8</v>
      </c>
      <c r="G64">
        <v>333</v>
      </c>
      <c r="H64">
        <v>253</v>
      </c>
      <c r="I64">
        <v>276</v>
      </c>
      <c r="J64">
        <v>0.87</v>
      </c>
      <c r="K64" s="57">
        <f t="shared" si="5"/>
        <v>25150.933333333327</v>
      </c>
      <c r="L64" s="12">
        <v>2</v>
      </c>
      <c r="M64">
        <f t="shared" si="4"/>
        <v>1.6666666666666666E-2</v>
      </c>
    </row>
    <row r="65" spans="1:13" x14ac:dyDescent="0.3">
      <c r="A65" t="s">
        <v>133</v>
      </c>
      <c r="B65" t="b">
        <f t="shared" si="0"/>
        <v>0</v>
      </c>
      <c r="C65" t="s">
        <v>32</v>
      </c>
      <c r="E65" t="str">
        <f t="shared" si="1"/>
        <v>N</v>
      </c>
      <c r="F65">
        <f t="shared" si="2"/>
        <v>5.5</v>
      </c>
      <c r="G65">
        <v>246</v>
      </c>
      <c r="H65">
        <v>241</v>
      </c>
      <c r="I65">
        <v>238</v>
      </c>
      <c r="J65">
        <v>0.87</v>
      </c>
      <c r="K65" s="57">
        <f t="shared" si="5"/>
        <v>23850.022988505742</v>
      </c>
      <c r="L65" s="12">
        <v>2</v>
      </c>
      <c r="M65">
        <f t="shared" si="4"/>
        <v>1.6666666666666666E-2</v>
      </c>
    </row>
    <row r="66" spans="1:13" x14ac:dyDescent="0.3">
      <c r="A66" s="12" t="s">
        <v>134</v>
      </c>
      <c r="B66" s="12" t="b">
        <f t="shared" ref="B66:B76" si="6" xml:space="preserve"> F66 &gt; 6.6</f>
        <v>1</v>
      </c>
      <c r="C66" s="12" t="s">
        <v>32</v>
      </c>
      <c r="D66" s="12"/>
      <c r="E66" s="12" t="str">
        <f t="shared" ref="E66:E76" si="7">IF(AND(F66 &gt; 6.6, C66="N"), "Y","N")</f>
        <v>N</v>
      </c>
      <c r="F66" s="12">
        <f t="shared" ref="F66:F76" si="8">ROUND(7.62*(H66*3)/1000, 1)</f>
        <v>6.9</v>
      </c>
      <c r="G66" s="12">
        <v>304</v>
      </c>
      <c r="H66" s="12">
        <v>300</v>
      </c>
      <c r="I66" s="12">
        <v>293</v>
      </c>
      <c r="J66" s="12">
        <v>1.17</v>
      </c>
      <c r="K66" s="57">
        <f t="shared" ref="K66:K76" si="9">F66*LF*8760*(M66/J66)*AE</f>
        <v>22248.902564102566</v>
      </c>
      <c r="L66" s="12">
        <v>2</v>
      </c>
      <c r="M66">
        <f t="shared" si="4"/>
        <v>1.6666666666666666E-2</v>
      </c>
    </row>
    <row r="67" spans="1:13" x14ac:dyDescent="0.3">
      <c r="A67" t="s">
        <v>135</v>
      </c>
      <c r="B67" t="b">
        <f t="shared" si="6"/>
        <v>1</v>
      </c>
      <c r="C67" t="s">
        <v>32</v>
      </c>
      <c r="E67" t="str">
        <f t="shared" si="7"/>
        <v>N</v>
      </c>
      <c r="F67">
        <f t="shared" si="8"/>
        <v>7.6</v>
      </c>
      <c r="G67">
        <v>361</v>
      </c>
      <c r="H67">
        <v>333</v>
      </c>
      <c r="I67">
        <v>387</v>
      </c>
      <c r="J67">
        <v>0.87</v>
      </c>
      <c r="K67" s="57">
        <f t="shared" si="9"/>
        <v>32956.395402298847</v>
      </c>
      <c r="L67" s="12">
        <v>2</v>
      </c>
      <c r="M67">
        <f t="shared" si="4"/>
        <v>1.6666666666666666E-2</v>
      </c>
    </row>
    <row r="68" spans="1:13" x14ac:dyDescent="0.3">
      <c r="A68" t="s">
        <v>136</v>
      </c>
      <c r="B68" t="b">
        <f t="shared" si="6"/>
        <v>1</v>
      </c>
      <c r="C68" t="s">
        <v>32</v>
      </c>
      <c r="E68" t="str">
        <f t="shared" si="7"/>
        <v>N</v>
      </c>
      <c r="F68">
        <f t="shared" si="8"/>
        <v>7.8</v>
      </c>
      <c r="G68">
        <v>326</v>
      </c>
      <c r="H68">
        <v>343</v>
      </c>
      <c r="I68">
        <v>289</v>
      </c>
      <c r="J68">
        <v>0.87</v>
      </c>
      <c r="K68" s="57">
        <f t="shared" si="9"/>
        <v>33823.668965517238</v>
      </c>
      <c r="L68" s="12">
        <v>2</v>
      </c>
      <c r="M68">
        <f t="shared" si="4"/>
        <v>1.6666666666666666E-2</v>
      </c>
    </row>
    <row r="69" spans="1:13" x14ac:dyDescent="0.3">
      <c r="A69" t="s">
        <v>137</v>
      </c>
      <c r="B69" t="b">
        <f t="shared" si="6"/>
        <v>0</v>
      </c>
      <c r="C69" t="s">
        <v>32</v>
      </c>
      <c r="E69" t="str">
        <f t="shared" si="7"/>
        <v>N</v>
      </c>
      <c r="F69">
        <f t="shared" si="8"/>
        <v>5.5</v>
      </c>
      <c r="G69">
        <v>314</v>
      </c>
      <c r="H69">
        <v>241</v>
      </c>
      <c r="I69">
        <v>166</v>
      </c>
      <c r="J69">
        <v>0.87</v>
      </c>
      <c r="K69" s="57">
        <f t="shared" si="9"/>
        <v>23850.022988505742</v>
      </c>
      <c r="L69" s="12">
        <v>2</v>
      </c>
      <c r="M69">
        <f t="shared" si="4"/>
        <v>1.6666666666666666E-2</v>
      </c>
    </row>
    <row r="70" spans="1:13" x14ac:dyDescent="0.3">
      <c r="A70" t="s">
        <v>138</v>
      </c>
      <c r="B70" t="b">
        <f t="shared" si="6"/>
        <v>0</v>
      </c>
      <c r="C70" t="s">
        <v>32</v>
      </c>
      <c r="E70" t="str">
        <f t="shared" si="7"/>
        <v>N</v>
      </c>
      <c r="F70">
        <f t="shared" si="8"/>
        <v>4.3</v>
      </c>
      <c r="G70">
        <v>206</v>
      </c>
      <c r="H70">
        <v>190</v>
      </c>
      <c r="I70">
        <v>213</v>
      </c>
      <c r="J70">
        <v>0.87</v>
      </c>
      <c r="K70" s="57">
        <f t="shared" si="9"/>
        <v>18646.3816091954</v>
      </c>
      <c r="L70" s="12">
        <v>2</v>
      </c>
      <c r="M70">
        <f t="shared" si="4"/>
        <v>1.6666666666666666E-2</v>
      </c>
    </row>
    <row r="71" spans="1:13" x14ac:dyDescent="0.3">
      <c r="A71" s="12" t="s">
        <v>139</v>
      </c>
      <c r="B71" s="12" t="b">
        <f t="shared" si="6"/>
        <v>1</v>
      </c>
      <c r="C71" s="12" t="s">
        <v>32</v>
      </c>
      <c r="D71" s="12"/>
      <c r="E71" s="12" t="str">
        <f t="shared" si="7"/>
        <v>N</v>
      </c>
      <c r="F71" s="12">
        <f t="shared" si="8"/>
        <v>7.1</v>
      </c>
      <c r="G71" s="12">
        <v>280</v>
      </c>
      <c r="H71" s="12">
        <v>311</v>
      </c>
      <c r="I71" s="12">
        <v>218</v>
      </c>
      <c r="J71" s="12">
        <v>1.44</v>
      </c>
      <c r="K71" s="57">
        <f t="shared" si="9"/>
        <v>18601.211111111112</v>
      </c>
      <c r="L71" s="12">
        <v>2</v>
      </c>
      <c r="M71">
        <f t="shared" ref="M71:M75" si="10">L71/120</f>
        <v>1.6666666666666666E-2</v>
      </c>
    </row>
    <row r="72" spans="1:13" x14ac:dyDescent="0.3">
      <c r="A72" t="s">
        <v>140</v>
      </c>
      <c r="B72" t="b">
        <f t="shared" si="6"/>
        <v>0</v>
      </c>
      <c r="C72" t="s">
        <v>32</v>
      </c>
      <c r="E72" t="str">
        <f t="shared" si="7"/>
        <v>N</v>
      </c>
      <c r="F72">
        <f t="shared" si="8"/>
        <v>5.5</v>
      </c>
      <c r="G72">
        <v>255</v>
      </c>
      <c r="H72">
        <v>242</v>
      </c>
      <c r="I72">
        <v>241</v>
      </c>
      <c r="J72">
        <v>0.87</v>
      </c>
      <c r="K72" s="57">
        <f t="shared" si="9"/>
        <v>23850.022988505742</v>
      </c>
      <c r="L72" s="12">
        <v>2</v>
      </c>
      <c r="M72">
        <f t="shared" si="10"/>
        <v>1.6666666666666666E-2</v>
      </c>
    </row>
    <row r="73" spans="1:13" x14ac:dyDescent="0.3">
      <c r="A73" t="s">
        <v>141</v>
      </c>
      <c r="B73" t="b">
        <f t="shared" si="6"/>
        <v>0</v>
      </c>
      <c r="C73" t="s">
        <v>32</v>
      </c>
      <c r="E73" t="str">
        <f t="shared" si="7"/>
        <v>N</v>
      </c>
      <c r="F73">
        <f t="shared" si="8"/>
        <v>5.9</v>
      </c>
      <c r="G73">
        <v>314</v>
      </c>
      <c r="H73">
        <v>260</v>
      </c>
      <c r="I73">
        <v>272</v>
      </c>
      <c r="J73">
        <v>0.87</v>
      </c>
      <c r="K73" s="57">
        <f t="shared" si="9"/>
        <v>25584.570114942526</v>
      </c>
      <c r="L73" s="12">
        <v>2</v>
      </c>
      <c r="M73">
        <f t="shared" si="10"/>
        <v>1.6666666666666666E-2</v>
      </c>
    </row>
    <row r="74" spans="1:13" x14ac:dyDescent="0.3">
      <c r="A74" s="12" t="s">
        <v>142</v>
      </c>
      <c r="B74" s="12" t="b">
        <f t="shared" si="6"/>
        <v>1</v>
      </c>
      <c r="C74" s="12" t="s">
        <v>32</v>
      </c>
      <c r="D74" s="12"/>
      <c r="E74" s="12" t="str">
        <f t="shared" si="7"/>
        <v>N</v>
      </c>
      <c r="F74" s="12">
        <f t="shared" si="8"/>
        <v>9.1999999999999993</v>
      </c>
      <c r="G74" s="12">
        <v>365</v>
      </c>
      <c r="H74" s="12">
        <v>401</v>
      </c>
      <c r="I74" s="12">
        <v>371</v>
      </c>
      <c r="J74" s="12">
        <v>1.7</v>
      </c>
      <c r="K74" s="57">
        <f t="shared" si="9"/>
        <v>20416.639999999996</v>
      </c>
      <c r="L74" s="12">
        <v>2</v>
      </c>
      <c r="M74">
        <f t="shared" si="10"/>
        <v>1.6666666666666666E-2</v>
      </c>
    </row>
    <row r="75" spans="1:13" x14ac:dyDescent="0.3">
      <c r="A75" s="12" t="s">
        <v>143</v>
      </c>
      <c r="B75" s="12" t="b">
        <f t="shared" si="6"/>
        <v>0</v>
      </c>
      <c r="C75" s="12" t="s">
        <v>32</v>
      </c>
      <c r="D75" s="12"/>
      <c r="E75" s="12" t="str">
        <f t="shared" si="7"/>
        <v>N</v>
      </c>
      <c r="F75" s="12">
        <f t="shared" si="8"/>
        <v>6.2</v>
      </c>
      <c r="G75" s="12">
        <v>284</v>
      </c>
      <c r="H75" s="12">
        <v>273</v>
      </c>
      <c r="I75" s="12">
        <v>272</v>
      </c>
      <c r="J75" s="12">
        <v>1.07</v>
      </c>
      <c r="K75" s="57">
        <f t="shared" si="9"/>
        <v>21860.157009345792</v>
      </c>
      <c r="L75" s="12">
        <v>2</v>
      </c>
      <c r="M75">
        <f t="shared" si="10"/>
        <v>1.6666666666666666E-2</v>
      </c>
    </row>
    <row r="76" spans="1:13" x14ac:dyDescent="0.3">
      <c r="A76" t="s">
        <v>144</v>
      </c>
      <c r="B76" t="b">
        <f t="shared" si="6"/>
        <v>0</v>
      </c>
      <c r="C76" t="s">
        <v>32</v>
      </c>
      <c r="E76" t="str">
        <f t="shared" si="7"/>
        <v>N</v>
      </c>
      <c r="F76">
        <f t="shared" si="8"/>
        <v>5.0999999999999996</v>
      </c>
      <c r="G76">
        <v>210</v>
      </c>
      <c r="H76">
        <v>221</v>
      </c>
      <c r="I76">
        <v>194</v>
      </c>
      <c r="J76">
        <v>0.87</v>
      </c>
      <c r="K76" s="57">
        <f t="shared" si="9"/>
        <v>22115.475862068964</v>
      </c>
      <c r="L76" s="12">
        <v>2</v>
      </c>
      <c r="M76">
        <f t="shared" ref="M76" si="11">L76/120</f>
        <v>1.6666666666666666E-2</v>
      </c>
    </row>
    <row r="78" spans="1:13" x14ac:dyDescent="0.3">
      <c r="J78" s="14" t="s">
        <v>62</v>
      </c>
      <c r="K78" s="88">
        <f>SUM(K2:K76)</f>
        <v>2212474.6061175107</v>
      </c>
      <c r="L78" s="88"/>
    </row>
    <row r="79" spans="1:13" x14ac:dyDescent="0.3">
      <c r="J79" s="14" t="s">
        <v>281</v>
      </c>
      <c r="K79" s="87">
        <f>20.75*K78</f>
        <v>45908848.076938346</v>
      </c>
      <c r="L79" s="87"/>
    </row>
    <row r="80" spans="1:13" x14ac:dyDescent="0.3">
      <c r="J80" s="14"/>
      <c r="K80" s="86"/>
      <c r="L80" s="86"/>
    </row>
  </sheetData>
  <mergeCells count="3">
    <mergeCell ref="K80:L80"/>
    <mergeCell ref="K79:L79"/>
    <mergeCell ref="K78:L7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topLeftCell="A66" workbookViewId="0">
      <selection activeCell="F99" sqref="E99:F99"/>
    </sheetView>
  </sheetViews>
  <sheetFormatPr defaultColWidth="11" defaultRowHeight="15.6" x14ac:dyDescent="0.3"/>
  <cols>
    <col min="1" max="1" width="12.5" bestFit="1" customWidth="1"/>
    <col min="2" max="2" width="9.59765625" bestFit="1" customWidth="1"/>
    <col min="3" max="3" width="5" bestFit="1" customWidth="1"/>
    <col min="4" max="4" width="5.3984375" bestFit="1" customWidth="1"/>
    <col min="5" max="5" width="12.5" bestFit="1" customWidth="1"/>
    <col min="6" max="6" width="12.59765625" bestFit="1" customWidth="1"/>
    <col min="7" max="7" width="7.3984375" bestFit="1" customWidth="1"/>
    <col min="8" max="9" width="7.09765625" bestFit="1" customWidth="1"/>
    <col min="10" max="10" width="6" bestFit="1" customWidth="1"/>
    <col min="11" max="11" width="15" style="11" bestFit="1" customWidth="1"/>
    <col min="13" max="13" width="12.59765625" bestFit="1" customWidth="1"/>
  </cols>
  <sheetData>
    <row r="1" spans="1:13" x14ac:dyDescent="0.3">
      <c r="A1" t="s">
        <v>10</v>
      </c>
      <c r="B1" t="s">
        <v>11</v>
      </c>
      <c r="C1" t="s">
        <v>12</v>
      </c>
      <c r="D1" t="s">
        <v>13</v>
      </c>
      <c r="E1" t="s">
        <v>14</v>
      </c>
      <c r="F1" t="s">
        <v>15</v>
      </c>
      <c r="G1" t="s">
        <v>16</v>
      </c>
      <c r="H1" t="s">
        <v>17</v>
      </c>
      <c r="I1" t="s">
        <v>18</v>
      </c>
      <c r="J1" t="s">
        <v>66</v>
      </c>
      <c r="K1" t="s">
        <v>250</v>
      </c>
      <c r="L1" t="s">
        <v>251</v>
      </c>
      <c r="M1" s="55" t="s">
        <v>67</v>
      </c>
    </row>
    <row r="2" spans="1:13" x14ac:dyDescent="0.3">
      <c r="A2" t="s">
        <v>145</v>
      </c>
      <c r="B2" t="b">
        <f t="shared" ref="B2:B65" si="0" xml:space="preserve"> F2 &gt; 6.6</f>
        <v>0</v>
      </c>
      <c r="C2" t="s">
        <v>20</v>
      </c>
      <c r="E2" t="str">
        <f t="shared" ref="E2:E65" si="1">IF(AND(F2 &gt; 6.6, C2="N"), "Y","N")</f>
        <v>N</v>
      </c>
      <c r="F2">
        <f t="shared" ref="F2:F65" si="2">ROUND(7.62*(H2*3)/1000, 1)</f>
        <v>6.3</v>
      </c>
      <c r="H2">
        <v>276</v>
      </c>
      <c r="J2">
        <v>0.87</v>
      </c>
      <c r="K2">
        <v>1.25</v>
      </c>
      <c r="L2">
        <f>K2/120</f>
        <v>1.0416666666666666E-2</v>
      </c>
      <c r="M2" s="54">
        <f t="shared" ref="M2:M33" si="3">F2*LF*8760*(XR/120/CVRf)*AE</f>
        <v>17074.448275862069</v>
      </c>
    </row>
    <row r="3" spans="1:13" x14ac:dyDescent="0.3">
      <c r="A3" t="s">
        <v>146</v>
      </c>
      <c r="B3" t="b">
        <f t="shared" si="0"/>
        <v>0</v>
      </c>
      <c r="C3" t="s">
        <v>20</v>
      </c>
      <c r="E3" t="str">
        <f t="shared" si="1"/>
        <v>N</v>
      </c>
      <c r="F3">
        <f t="shared" si="2"/>
        <v>3.9</v>
      </c>
      <c r="G3">
        <v>162</v>
      </c>
      <c r="H3">
        <v>172</v>
      </c>
      <c r="I3">
        <v>190</v>
      </c>
      <c r="J3">
        <v>0.87</v>
      </c>
      <c r="K3">
        <v>1.25</v>
      </c>
      <c r="L3">
        <f t="shared" ref="L3:L66" si="4">K3/120</f>
        <v>1.0416666666666666E-2</v>
      </c>
      <c r="M3" s="54">
        <f t="shared" si="3"/>
        <v>10569.896551724138</v>
      </c>
    </row>
    <row r="4" spans="1:13" x14ac:dyDescent="0.3">
      <c r="A4" t="s">
        <v>147</v>
      </c>
      <c r="B4" t="b">
        <f t="shared" si="0"/>
        <v>0</v>
      </c>
      <c r="C4" t="s">
        <v>20</v>
      </c>
      <c r="E4" t="str">
        <f t="shared" si="1"/>
        <v>N</v>
      </c>
      <c r="F4">
        <f t="shared" si="2"/>
        <v>3.9</v>
      </c>
      <c r="G4">
        <v>156</v>
      </c>
      <c r="H4">
        <v>171</v>
      </c>
      <c r="I4">
        <v>171</v>
      </c>
      <c r="J4">
        <v>0.87</v>
      </c>
      <c r="K4">
        <v>1.25</v>
      </c>
      <c r="L4">
        <f t="shared" si="4"/>
        <v>1.0416666666666666E-2</v>
      </c>
      <c r="M4" s="54">
        <f t="shared" si="3"/>
        <v>10569.896551724138</v>
      </c>
    </row>
    <row r="5" spans="1:13" x14ac:dyDescent="0.3">
      <c r="A5" t="s">
        <v>148</v>
      </c>
      <c r="B5" t="b">
        <f t="shared" si="0"/>
        <v>0</v>
      </c>
      <c r="C5" t="s">
        <v>20</v>
      </c>
      <c r="E5" t="str">
        <f t="shared" si="1"/>
        <v>N</v>
      </c>
      <c r="F5">
        <f t="shared" si="2"/>
        <v>6.4</v>
      </c>
      <c r="G5">
        <v>353</v>
      </c>
      <c r="H5">
        <v>282</v>
      </c>
      <c r="I5">
        <v>285</v>
      </c>
      <c r="J5">
        <v>0.87</v>
      </c>
      <c r="K5">
        <v>1.25</v>
      </c>
      <c r="L5">
        <f t="shared" si="4"/>
        <v>1.0416666666666666E-2</v>
      </c>
      <c r="M5" s="54">
        <f t="shared" si="3"/>
        <v>17345.471264367818</v>
      </c>
    </row>
    <row r="6" spans="1:13" x14ac:dyDescent="0.3">
      <c r="A6" t="s">
        <v>149</v>
      </c>
      <c r="B6" t="b">
        <f t="shared" si="0"/>
        <v>0</v>
      </c>
      <c r="C6" t="s">
        <v>20</v>
      </c>
      <c r="E6" t="str">
        <f t="shared" si="1"/>
        <v>N</v>
      </c>
      <c r="F6">
        <f t="shared" si="2"/>
        <v>5.2</v>
      </c>
      <c r="G6">
        <v>417</v>
      </c>
      <c r="H6">
        <v>227</v>
      </c>
      <c r="I6">
        <v>319</v>
      </c>
      <c r="J6">
        <v>0.87</v>
      </c>
      <c r="K6">
        <v>1.25</v>
      </c>
      <c r="L6">
        <f t="shared" si="4"/>
        <v>1.0416666666666666E-2</v>
      </c>
      <c r="M6" s="54">
        <f t="shared" si="3"/>
        <v>14093.195402298852</v>
      </c>
    </row>
    <row r="7" spans="1:13" x14ac:dyDescent="0.3">
      <c r="A7" t="s">
        <v>150</v>
      </c>
      <c r="B7" t="b">
        <f t="shared" si="0"/>
        <v>0</v>
      </c>
      <c r="C7" t="s">
        <v>20</v>
      </c>
      <c r="E7" t="str">
        <f t="shared" si="1"/>
        <v>N</v>
      </c>
      <c r="F7">
        <f t="shared" si="2"/>
        <v>5.3</v>
      </c>
      <c r="G7">
        <v>221</v>
      </c>
      <c r="H7">
        <v>234</v>
      </c>
      <c r="I7">
        <v>208</v>
      </c>
      <c r="J7">
        <v>0.87</v>
      </c>
      <c r="K7">
        <v>1.25</v>
      </c>
      <c r="L7">
        <f t="shared" si="4"/>
        <v>1.0416666666666666E-2</v>
      </c>
      <c r="M7" s="54">
        <f t="shared" si="3"/>
        <v>14364.218390804595</v>
      </c>
    </row>
    <row r="8" spans="1:13" x14ac:dyDescent="0.3">
      <c r="A8" t="s">
        <v>151</v>
      </c>
      <c r="B8" t="b">
        <f t="shared" si="0"/>
        <v>0</v>
      </c>
      <c r="C8" t="s">
        <v>20</v>
      </c>
      <c r="E8" t="str">
        <f t="shared" si="1"/>
        <v>N</v>
      </c>
      <c r="F8">
        <f t="shared" si="2"/>
        <v>6.2</v>
      </c>
      <c r="H8">
        <v>270</v>
      </c>
      <c r="J8">
        <v>0.87</v>
      </c>
      <c r="K8">
        <v>1.25</v>
      </c>
      <c r="L8">
        <f t="shared" si="4"/>
        <v>1.0416666666666666E-2</v>
      </c>
      <c r="M8" s="54">
        <f t="shared" si="3"/>
        <v>16803.42528735632</v>
      </c>
    </row>
    <row r="9" spans="1:13" x14ac:dyDescent="0.3">
      <c r="A9" t="s">
        <v>152</v>
      </c>
      <c r="B9" t="b">
        <f t="shared" si="0"/>
        <v>0</v>
      </c>
      <c r="C9" t="s">
        <v>20</v>
      </c>
      <c r="E9" t="str">
        <f t="shared" si="1"/>
        <v>N</v>
      </c>
      <c r="F9">
        <f t="shared" si="2"/>
        <v>5.9</v>
      </c>
      <c r="H9">
        <v>260</v>
      </c>
      <c r="J9">
        <v>0.87</v>
      </c>
      <c r="K9">
        <v>1.25</v>
      </c>
      <c r="L9">
        <f t="shared" si="4"/>
        <v>1.0416666666666666E-2</v>
      </c>
      <c r="M9" s="54">
        <f t="shared" si="3"/>
        <v>15990.356321839077</v>
      </c>
    </row>
    <row r="10" spans="1:13" x14ac:dyDescent="0.3">
      <c r="A10" t="s">
        <v>153</v>
      </c>
      <c r="B10" t="b">
        <f t="shared" si="0"/>
        <v>0</v>
      </c>
      <c r="C10" t="s">
        <v>20</v>
      </c>
      <c r="E10" t="str">
        <f t="shared" si="1"/>
        <v>N</v>
      </c>
      <c r="F10">
        <f t="shared" si="2"/>
        <v>6.6</v>
      </c>
      <c r="H10">
        <v>289</v>
      </c>
      <c r="J10">
        <v>0.87</v>
      </c>
      <c r="K10">
        <v>1.25</v>
      </c>
      <c r="L10">
        <f t="shared" si="4"/>
        <v>1.0416666666666666E-2</v>
      </c>
      <c r="M10" s="54">
        <f t="shared" si="3"/>
        <v>17887.517241379312</v>
      </c>
    </row>
    <row r="11" spans="1:13" x14ac:dyDescent="0.3">
      <c r="A11" t="s">
        <v>154</v>
      </c>
      <c r="B11" t="b">
        <f t="shared" si="0"/>
        <v>0</v>
      </c>
      <c r="C11" t="s">
        <v>20</v>
      </c>
      <c r="E11" t="str">
        <f t="shared" si="1"/>
        <v>N</v>
      </c>
      <c r="F11">
        <f t="shared" si="2"/>
        <v>6</v>
      </c>
      <c r="G11">
        <v>220</v>
      </c>
      <c r="H11">
        <v>264</v>
      </c>
      <c r="I11">
        <v>232</v>
      </c>
      <c r="J11">
        <v>0.87</v>
      </c>
      <c r="K11">
        <v>1.25</v>
      </c>
      <c r="L11">
        <f t="shared" si="4"/>
        <v>1.0416666666666666E-2</v>
      </c>
      <c r="M11" s="54">
        <f t="shared" si="3"/>
        <v>16261.379310344828</v>
      </c>
    </row>
    <row r="12" spans="1:13" x14ac:dyDescent="0.3">
      <c r="A12" t="s">
        <v>155</v>
      </c>
      <c r="B12" t="b">
        <f t="shared" si="0"/>
        <v>0</v>
      </c>
      <c r="C12" t="s">
        <v>20</v>
      </c>
      <c r="E12" t="str">
        <f t="shared" si="1"/>
        <v>N</v>
      </c>
      <c r="F12">
        <f t="shared" si="2"/>
        <v>2.8</v>
      </c>
      <c r="G12">
        <v>204</v>
      </c>
      <c r="H12">
        <v>122</v>
      </c>
      <c r="I12">
        <v>234</v>
      </c>
      <c r="J12">
        <v>0.87</v>
      </c>
      <c r="K12">
        <v>1.25</v>
      </c>
      <c r="L12">
        <f t="shared" si="4"/>
        <v>1.0416666666666666E-2</v>
      </c>
      <c r="M12" s="54">
        <f t="shared" si="3"/>
        <v>7588.6436781609182</v>
      </c>
    </row>
    <row r="13" spans="1:13" x14ac:dyDescent="0.3">
      <c r="A13" t="s">
        <v>156</v>
      </c>
      <c r="B13" t="b">
        <f t="shared" si="0"/>
        <v>0</v>
      </c>
      <c r="C13" t="s">
        <v>20</v>
      </c>
      <c r="E13" t="str">
        <f t="shared" si="1"/>
        <v>N</v>
      </c>
      <c r="F13">
        <f t="shared" si="2"/>
        <v>3.1</v>
      </c>
      <c r="G13">
        <v>129</v>
      </c>
      <c r="H13">
        <v>134</v>
      </c>
      <c r="I13">
        <v>147</v>
      </c>
      <c r="J13">
        <v>0.87</v>
      </c>
      <c r="K13">
        <v>1.25</v>
      </c>
      <c r="L13">
        <f t="shared" si="4"/>
        <v>1.0416666666666666E-2</v>
      </c>
      <c r="M13" s="54">
        <f t="shared" si="3"/>
        <v>8401.71264367816</v>
      </c>
    </row>
    <row r="14" spans="1:13" x14ac:dyDescent="0.3">
      <c r="A14" t="s">
        <v>157</v>
      </c>
      <c r="B14" t="b">
        <f t="shared" si="0"/>
        <v>0</v>
      </c>
      <c r="C14" t="s">
        <v>20</v>
      </c>
      <c r="E14" t="str">
        <f t="shared" si="1"/>
        <v>N</v>
      </c>
      <c r="F14">
        <f t="shared" si="2"/>
        <v>2.6</v>
      </c>
      <c r="G14">
        <v>139</v>
      </c>
      <c r="H14">
        <v>115</v>
      </c>
      <c r="I14">
        <v>108</v>
      </c>
      <c r="J14">
        <v>0.87</v>
      </c>
      <c r="K14">
        <v>1.25</v>
      </c>
      <c r="L14">
        <f t="shared" si="4"/>
        <v>1.0416666666666666E-2</v>
      </c>
      <c r="M14" s="54">
        <f t="shared" si="3"/>
        <v>7046.597701149426</v>
      </c>
    </row>
    <row r="15" spans="1:13" x14ac:dyDescent="0.3">
      <c r="A15" t="s">
        <v>158</v>
      </c>
      <c r="B15" t="b">
        <f t="shared" si="0"/>
        <v>0</v>
      </c>
      <c r="C15" t="s">
        <v>20</v>
      </c>
      <c r="E15" t="str">
        <f t="shared" si="1"/>
        <v>N</v>
      </c>
      <c r="F15">
        <f t="shared" si="2"/>
        <v>3.8</v>
      </c>
      <c r="H15">
        <v>166</v>
      </c>
      <c r="J15">
        <v>0.87</v>
      </c>
      <c r="K15">
        <v>1.25</v>
      </c>
      <c r="L15">
        <f t="shared" si="4"/>
        <v>1.0416666666666666E-2</v>
      </c>
      <c r="M15" s="54">
        <f t="shared" si="3"/>
        <v>10298.873563218389</v>
      </c>
    </row>
    <row r="16" spans="1:13" x14ac:dyDescent="0.3">
      <c r="A16" t="s">
        <v>159</v>
      </c>
      <c r="B16" t="b">
        <f t="shared" si="0"/>
        <v>0</v>
      </c>
      <c r="C16" t="s">
        <v>20</v>
      </c>
      <c r="E16" t="str">
        <f t="shared" si="1"/>
        <v>N</v>
      </c>
      <c r="F16">
        <f t="shared" si="2"/>
        <v>5.3</v>
      </c>
      <c r="H16">
        <v>230</v>
      </c>
      <c r="J16">
        <v>0.87</v>
      </c>
      <c r="K16">
        <v>1.25</v>
      </c>
      <c r="L16">
        <f t="shared" si="4"/>
        <v>1.0416666666666666E-2</v>
      </c>
      <c r="M16" s="54">
        <f t="shared" si="3"/>
        <v>14364.218390804595</v>
      </c>
    </row>
    <row r="17" spans="1:13" x14ac:dyDescent="0.3">
      <c r="A17" t="s">
        <v>160</v>
      </c>
      <c r="B17" t="b">
        <f t="shared" si="0"/>
        <v>0</v>
      </c>
      <c r="C17" t="s">
        <v>20</v>
      </c>
      <c r="E17" t="str">
        <f t="shared" si="1"/>
        <v>N</v>
      </c>
      <c r="F17">
        <f t="shared" si="2"/>
        <v>6.4</v>
      </c>
      <c r="H17">
        <v>281</v>
      </c>
      <c r="J17">
        <v>0.87</v>
      </c>
      <c r="K17">
        <v>1.25</v>
      </c>
      <c r="L17">
        <f t="shared" si="4"/>
        <v>1.0416666666666666E-2</v>
      </c>
      <c r="M17" s="54">
        <f t="shared" si="3"/>
        <v>17345.471264367818</v>
      </c>
    </row>
    <row r="18" spans="1:13" x14ac:dyDescent="0.3">
      <c r="A18" t="s">
        <v>161</v>
      </c>
      <c r="B18" t="b">
        <f t="shared" si="0"/>
        <v>0</v>
      </c>
      <c r="C18" t="s">
        <v>20</v>
      </c>
      <c r="E18" t="str">
        <f t="shared" si="1"/>
        <v>N</v>
      </c>
      <c r="F18">
        <f t="shared" si="2"/>
        <v>2.2999999999999998</v>
      </c>
      <c r="H18">
        <v>100</v>
      </c>
      <c r="J18">
        <v>0.87</v>
      </c>
      <c r="K18">
        <v>1.25</v>
      </c>
      <c r="L18">
        <f t="shared" si="4"/>
        <v>1.0416666666666666E-2</v>
      </c>
      <c r="M18" s="54">
        <f t="shared" si="3"/>
        <v>6233.5287356321824</v>
      </c>
    </row>
    <row r="19" spans="1:13" x14ac:dyDescent="0.3">
      <c r="A19" t="s">
        <v>162</v>
      </c>
      <c r="B19" t="b">
        <f t="shared" si="0"/>
        <v>0</v>
      </c>
      <c r="C19" t="s">
        <v>20</v>
      </c>
      <c r="E19" t="str">
        <f t="shared" si="1"/>
        <v>N</v>
      </c>
      <c r="F19">
        <f t="shared" si="2"/>
        <v>4.5999999999999996</v>
      </c>
      <c r="G19">
        <v>194</v>
      </c>
      <c r="H19">
        <v>202</v>
      </c>
      <c r="I19">
        <v>181</v>
      </c>
      <c r="J19">
        <v>0.87</v>
      </c>
      <c r="K19">
        <v>1.25</v>
      </c>
      <c r="L19">
        <f t="shared" si="4"/>
        <v>1.0416666666666666E-2</v>
      </c>
      <c r="M19" s="54">
        <f t="shared" si="3"/>
        <v>12467.057471264365</v>
      </c>
    </row>
    <row r="20" spans="1:13" x14ac:dyDescent="0.3">
      <c r="A20" t="s">
        <v>163</v>
      </c>
      <c r="B20" t="b">
        <f t="shared" si="0"/>
        <v>0</v>
      </c>
      <c r="C20" t="s">
        <v>20</v>
      </c>
      <c r="E20" t="str">
        <f t="shared" si="1"/>
        <v>N</v>
      </c>
      <c r="F20">
        <f t="shared" si="2"/>
        <v>1.1000000000000001</v>
      </c>
      <c r="G20">
        <v>50</v>
      </c>
      <c r="H20">
        <v>50</v>
      </c>
      <c r="I20">
        <v>49</v>
      </c>
      <c r="J20">
        <v>0.87</v>
      </c>
      <c r="K20">
        <v>1.25</v>
      </c>
      <c r="L20">
        <f t="shared" si="4"/>
        <v>1.0416666666666666E-2</v>
      </c>
      <c r="M20" s="54">
        <f t="shared" si="3"/>
        <v>2981.2528735632181</v>
      </c>
    </row>
    <row r="21" spans="1:13" x14ac:dyDescent="0.3">
      <c r="A21" t="s">
        <v>164</v>
      </c>
      <c r="B21" t="b">
        <f t="shared" si="0"/>
        <v>0</v>
      </c>
      <c r="C21" t="s">
        <v>20</v>
      </c>
      <c r="E21" t="str">
        <f t="shared" si="1"/>
        <v>N</v>
      </c>
      <c r="F21">
        <f t="shared" si="2"/>
        <v>0.9</v>
      </c>
      <c r="G21">
        <v>47</v>
      </c>
      <c r="H21">
        <v>41</v>
      </c>
      <c r="I21">
        <v>48</v>
      </c>
      <c r="J21">
        <v>0.87</v>
      </c>
      <c r="K21">
        <v>1.25</v>
      </c>
      <c r="L21">
        <f t="shared" si="4"/>
        <v>1.0416666666666666E-2</v>
      </c>
      <c r="M21" s="54">
        <f t="shared" si="3"/>
        <v>2439.2068965517242</v>
      </c>
    </row>
    <row r="22" spans="1:13" x14ac:dyDescent="0.3">
      <c r="A22" t="s">
        <v>165</v>
      </c>
      <c r="B22" t="b">
        <f t="shared" si="0"/>
        <v>0</v>
      </c>
      <c r="C22" t="s">
        <v>20</v>
      </c>
      <c r="E22" t="str">
        <f t="shared" si="1"/>
        <v>N</v>
      </c>
      <c r="F22">
        <f t="shared" si="2"/>
        <v>5.0999999999999996</v>
      </c>
      <c r="G22">
        <v>248</v>
      </c>
      <c r="H22">
        <v>222</v>
      </c>
      <c r="I22">
        <v>217</v>
      </c>
      <c r="J22">
        <v>0.87</v>
      </c>
      <c r="K22">
        <v>1.25</v>
      </c>
      <c r="L22">
        <f t="shared" si="4"/>
        <v>1.0416666666666666E-2</v>
      </c>
      <c r="M22" s="54">
        <f t="shared" si="3"/>
        <v>13822.172413793103</v>
      </c>
    </row>
    <row r="23" spans="1:13" x14ac:dyDescent="0.3">
      <c r="A23" t="s">
        <v>166</v>
      </c>
      <c r="B23" t="b">
        <f t="shared" si="0"/>
        <v>0</v>
      </c>
      <c r="C23" t="s">
        <v>20</v>
      </c>
      <c r="E23" t="str">
        <f t="shared" si="1"/>
        <v>N</v>
      </c>
      <c r="F23">
        <f t="shared" si="2"/>
        <v>4.2</v>
      </c>
      <c r="G23">
        <v>196</v>
      </c>
      <c r="H23">
        <v>182</v>
      </c>
      <c r="I23">
        <v>171</v>
      </c>
      <c r="J23">
        <v>0.87</v>
      </c>
      <c r="K23">
        <v>1.25</v>
      </c>
      <c r="L23">
        <f t="shared" si="4"/>
        <v>1.0416666666666666E-2</v>
      </c>
      <c r="M23" s="54">
        <f t="shared" si="3"/>
        <v>11382.96551724138</v>
      </c>
    </row>
    <row r="24" spans="1:13" x14ac:dyDescent="0.3">
      <c r="A24" t="s">
        <v>167</v>
      </c>
      <c r="B24" t="b">
        <f t="shared" si="0"/>
        <v>0</v>
      </c>
      <c r="C24" t="s">
        <v>20</v>
      </c>
      <c r="E24" t="str">
        <f t="shared" si="1"/>
        <v>N</v>
      </c>
      <c r="F24">
        <f t="shared" si="2"/>
        <v>4</v>
      </c>
      <c r="G24">
        <v>206</v>
      </c>
      <c r="H24">
        <v>174</v>
      </c>
      <c r="I24">
        <v>169</v>
      </c>
      <c r="J24">
        <v>0.87</v>
      </c>
      <c r="K24">
        <v>1.25</v>
      </c>
      <c r="L24">
        <f t="shared" si="4"/>
        <v>1.0416666666666666E-2</v>
      </c>
      <c r="M24" s="54">
        <f t="shared" si="3"/>
        <v>10840.919540229885</v>
      </c>
    </row>
    <row r="25" spans="1:13" x14ac:dyDescent="0.3">
      <c r="A25" t="s">
        <v>168</v>
      </c>
      <c r="B25" t="b">
        <f t="shared" si="0"/>
        <v>0</v>
      </c>
      <c r="C25" t="s">
        <v>20</v>
      </c>
      <c r="E25" t="str">
        <f t="shared" si="1"/>
        <v>N</v>
      </c>
      <c r="F25">
        <f t="shared" si="2"/>
        <v>2.2000000000000002</v>
      </c>
      <c r="G25">
        <v>71</v>
      </c>
      <c r="H25">
        <v>98</v>
      </c>
      <c r="I25">
        <v>103</v>
      </c>
      <c r="J25">
        <v>0.87</v>
      </c>
      <c r="K25">
        <v>1.25</v>
      </c>
      <c r="L25">
        <f t="shared" si="4"/>
        <v>1.0416666666666666E-2</v>
      </c>
      <c r="M25" s="54">
        <f t="shared" si="3"/>
        <v>5962.5057471264363</v>
      </c>
    </row>
    <row r="26" spans="1:13" x14ac:dyDescent="0.3">
      <c r="A26" t="s">
        <v>169</v>
      </c>
      <c r="B26" t="b">
        <f t="shared" si="0"/>
        <v>0</v>
      </c>
      <c r="C26" t="s">
        <v>20</v>
      </c>
      <c r="E26" t="str">
        <f t="shared" si="1"/>
        <v>N</v>
      </c>
      <c r="F26">
        <f t="shared" si="2"/>
        <v>2.2000000000000002</v>
      </c>
      <c r="G26">
        <v>155</v>
      </c>
      <c r="H26">
        <v>98</v>
      </c>
      <c r="I26">
        <v>48</v>
      </c>
      <c r="J26">
        <v>0.87</v>
      </c>
      <c r="K26">
        <v>1.25</v>
      </c>
      <c r="L26">
        <f t="shared" si="4"/>
        <v>1.0416666666666666E-2</v>
      </c>
      <c r="M26" s="54">
        <f t="shared" si="3"/>
        <v>5962.5057471264363</v>
      </c>
    </row>
    <row r="27" spans="1:13" x14ac:dyDescent="0.3">
      <c r="A27" t="s">
        <v>170</v>
      </c>
      <c r="B27" t="b">
        <f t="shared" si="0"/>
        <v>0</v>
      </c>
      <c r="C27" t="s">
        <v>20</v>
      </c>
      <c r="E27" t="str">
        <f t="shared" si="1"/>
        <v>N</v>
      </c>
      <c r="F27">
        <f t="shared" si="2"/>
        <v>6.5</v>
      </c>
      <c r="G27">
        <v>240</v>
      </c>
      <c r="H27">
        <v>283</v>
      </c>
      <c r="I27">
        <v>224</v>
      </c>
      <c r="J27">
        <v>0.87</v>
      </c>
      <c r="K27">
        <v>1.25</v>
      </c>
      <c r="L27">
        <f t="shared" si="4"/>
        <v>1.0416666666666666E-2</v>
      </c>
      <c r="M27" s="54">
        <f t="shared" si="3"/>
        <v>17616.494252873563</v>
      </c>
    </row>
    <row r="28" spans="1:13" x14ac:dyDescent="0.3">
      <c r="A28" t="s">
        <v>171</v>
      </c>
      <c r="B28" t="b">
        <f t="shared" si="0"/>
        <v>0</v>
      </c>
      <c r="C28" t="s">
        <v>20</v>
      </c>
      <c r="E28" t="str">
        <f t="shared" si="1"/>
        <v>N</v>
      </c>
      <c r="F28">
        <f t="shared" si="2"/>
        <v>6.5</v>
      </c>
      <c r="G28">
        <v>264</v>
      </c>
      <c r="H28">
        <v>284</v>
      </c>
      <c r="I28">
        <v>322</v>
      </c>
      <c r="J28">
        <v>0.87</v>
      </c>
      <c r="K28">
        <v>1.25</v>
      </c>
      <c r="L28">
        <f t="shared" si="4"/>
        <v>1.0416666666666666E-2</v>
      </c>
      <c r="M28" s="54">
        <f t="shared" si="3"/>
        <v>17616.494252873563</v>
      </c>
    </row>
    <row r="29" spans="1:13" x14ac:dyDescent="0.3">
      <c r="A29" t="s">
        <v>172</v>
      </c>
      <c r="B29" t="b">
        <f t="shared" si="0"/>
        <v>0</v>
      </c>
      <c r="C29" t="s">
        <v>20</v>
      </c>
      <c r="E29" t="str">
        <f t="shared" si="1"/>
        <v>N</v>
      </c>
      <c r="F29">
        <f t="shared" si="2"/>
        <v>6.1</v>
      </c>
      <c r="G29">
        <v>312</v>
      </c>
      <c r="H29">
        <v>266</v>
      </c>
      <c r="I29">
        <v>284</v>
      </c>
      <c r="J29">
        <v>0.87</v>
      </c>
      <c r="K29">
        <v>1.25</v>
      </c>
      <c r="L29">
        <f t="shared" si="4"/>
        <v>1.0416666666666666E-2</v>
      </c>
      <c r="M29" s="54">
        <f t="shared" si="3"/>
        <v>16532.402298850575</v>
      </c>
    </row>
    <row r="30" spans="1:13" x14ac:dyDescent="0.3">
      <c r="A30" t="s">
        <v>173</v>
      </c>
      <c r="B30" t="b">
        <f t="shared" si="0"/>
        <v>0</v>
      </c>
      <c r="C30" t="s">
        <v>20</v>
      </c>
      <c r="E30" t="str">
        <f t="shared" si="1"/>
        <v>N</v>
      </c>
      <c r="F30">
        <f t="shared" si="2"/>
        <v>1.5</v>
      </c>
      <c r="G30">
        <v>70</v>
      </c>
      <c r="H30">
        <v>66</v>
      </c>
      <c r="I30">
        <v>70</v>
      </c>
      <c r="J30">
        <v>0.87</v>
      </c>
      <c r="K30">
        <v>1.25</v>
      </c>
      <c r="L30">
        <f t="shared" si="4"/>
        <v>1.0416666666666666E-2</v>
      </c>
      <c r="M30" s="54">
        <f t="shared" si="3"/>
        <v>4065.344827586207</v>
      </c>
    </row>
    <row r="31" spans="1:13" x14ac:dyDescent="0.3">
      <c r="A31" t="s">
        <v>174</v>
      </c>
      <c r="B31" t="b">
        <f t="shared" si="0"/>
        <v>0</v>
      </c>
      <c r="C31" t="s">
        <v>20</v>
      </c>
      <c r="E31" t="str">
        <f t="shared" si="1"/>
        <v>N</v>
      </c>
      <c r="F31">
        <f t="shared" si="2"/>
        <v>2.1</v>
      </c>
      <c r="G31">
        <v>63</v>
      </c>
      <c r="H31">
        <v>94</v>
      </c>
      <c r="I31">
        <v>83</v>
      </c>
      <c r="J31">
        <v>0.87</v>
      </c>
      <c r="K31">
        <v>1.25</v>
      </c>
      <c r="L31">
        <f t="shared" si="4"/>
        <v>1.0416666666666666E-2</v>
      </c>
      <c r="M31" s="54">
        <f t="shared" si="3"/>
        <v>5691.4827586206902</v>
      </c>
    </row>
    <row r="32" spans="1:13" x14ac:dyDescent="0.3">
      <c r="A32" t="s">
        <v>175</v>
      </c>
      <c r="B32" t="b">
        <f t="shared" si="0"/>
        <v>0</v>
      </c>
      <c r="C32" t="s">
        <v>20</v>
      </c>
      <c r="E32" t="str">
        <f t="shared" si="1"/>
        <v>N</v>
      </c>
      <c r="F32">
        <f t="shared" si="2"/>
        <v>0.4</v>
      </c>
      <c r="G32">
        <v>17</v>
      </c>
      <c r="H32">
        <v>17</v>
      </c>
      <c r="I32">
        <v>14</v>
      </c>
      <c r="J32">
        <v>0.87</v>
      </c>
      <c r="K32">
        <v>1.25</v>
      </c>
      <c r="L32">
        <f t="shared" si="4"/>
        <v>1.0416666666666666E-2</v>
      </c>
      <c r="M32" s="54">
        <f t="shared" si="3"/>
        <v>1084.0919540229886</v>
      </c>
    </row>
    <row r="33" spans="1:13" x14ac:dyDescent="0.3">
      <c r="A33" t="s">
        <v>176</v>
      </c>
      <c r="B33" t="b">
        <f t="shared" si="0"/>
        <v>0</v>
      </c>
      <c r="C33" t="s">
        <v>20</v>
      </c>
      <c r="E33" t="str">
        <f t="shared" si="1"/>
        <v>N</v>
      </c>
      <c r="F33">
        <f t="shared" si="2"/>
        <v>4</v>
      </c>
      <c r="G33">
        <v>113</v>
      </c>
      <c r="H33">
        <v>175</v>
      </c>
      <c r="I33">
        <v>170</v>
      </c>
      <c r="J33">
        <v>0.87</v>
      </c>
      <c r="K33">
        <v>1.25</v>
      </c>
      <c r="L33">
        <f t="shared" si="4"/>
        <v>1.0416666666666666E-2</v>
      </c>
      <c r="M33" s="54">
        <f t="shared" si="3"/>
        <v>10840.919540229885</v>
      </c>
    </row>
    <row r="34" spans="1:13" x14ac:dyDescent="0.3">
      <c r="A34" t="s">
        <v>177</v>
      </c>
      <c r="B34" t="b">
        <f t="shared" si="0"/>
        <v>0</v>
      </c>
      <c r="C34" t="s">
        <v>20</v>
      </c>
      <c r="E34" t="str">
        <f t="shared" si="1"/>
        <v>N</v>
      </c>
      <c r="F34">
        <f t="shared" si="2"/>
        <v>2.2000000000000002</v>
      </c>
      <c r="H34">
        <v>97</v>
      </c>
      <c r="J34">
        <v>0.87</v>
      </c>
      <c r="K34">
        <v>1.25</v>
      </c>
      <c r="L34">
        <f t="shared" si="4"/>
        <v>1.0416666666666666E-2</v>
      </c>
      <c r="M34" s="54">
        <f t="shared" ref="M34:M65" si="5">F34*LF*8760*(XR/120/CVRf)*AE</f>
        <v>5962.5057471264363</v>
      </c>
    </row>
    <row r="35" spans="1:13" x14ac:dyDescent="0.3">
      <c r="A35" t="s">
        <v>178</v>
      </c>
      <c r="B35" t="b">
        <f t="shared" si="0"/>
        <v>0</v>
      </c>
      <c r="C35" t="s">
        <v>20</v>
      </c>
      <c r="E35" t="str">
        <f t="shared" si="1"/>
        <v>N</v>
      </c>
      <c r="F35">
        <f t="shared" si="2"/>
        <v>1.1000000000000001</v>
      </c>
      <c r="H35">
        <v>47</v>
      </c>
      <c r="J35">
        <v>0.87</v>
      </c>
      <c r="K35">
        <v>1.25</v>
      </c>
      <c r="L35">
        <f t="shared" si="4"/>
        <v>1.0416666666666666E-2</v>
      </c>
      <c r="M35" s="54">
        <f t="shared" si="5"/>
        <v>2981.2528735632181</v>
      </c>
    </row>
    <row r="36" spans="1:13" x14ac:dyDescent="0.3">
      <c r="A36" t="s">
        <v>179</v>
      </c>
      <c r="B36" t="b">
        <f t="shared" si="0"/>
        <v>0</v>
      </c>
      <c r="C36" t="s">
        <v>20</v>
      </c>
      <c r="E36" t="str">
        <f t="shared" si="1"/>
        <v>N</v>
      </c>
      <c r="F36">
        <f t="shared" si="2"/>
        <v>6.4</v>
      </c>
      <c r="G36">
        <v>300</v>
      </c>
      <c r="H36">
        <v>280</v>
      </c>
      <c r="I36">
        <v>430</v>
      </c>
      <c r="J36">
        <v>0.87</v>
      </c>
      <c r="K36">
        <v>1.25</v>
      </c>
      <c r="L36">
        <f t="shared" si="4"/>
        <v>1.0416666666666666E-2</v>
      </c>
      <c r="M36" s="54">
        <f t="shared" si="5"/>
        <v>17345.471264367818</v>
      </c>
    </row>
    <row r="37" spans="1:13" x14ac:dyDescent="0.3">
      <c r="A37" t="s">
        <v>180</v>
      </c>
      <c r="B37" t="b">
        <f t="shared" si="0"/>
        <v>0</v>
      </c>
      <c r="C37" t="s">
        <v>20</v>
      </c>
      <c r="E37" t="str">
        <f t="shared" si="1"/>
        <v>N</v>
      </c>
      <c r="F37">
        <f t="shared" si="2"/>
        <v>1.8</v>
      </c>
      <c r="G37">
        <v>100</v>
      </c>
      <c r="H37">
        <v>80</v>
      </c>
      <c r="I37">
        <v>90</v>
      </c>
      <c r="J37">
        <v>0.87</v>
      </c>
      <c r="K37">
        <v>1.25</v>
      </c>
      <c r="L37">
        <f t="shared" si="4"/>
        <v>1.0416666666666666E-2</v>
      </c>
      <c r="M37" s="54">
        <f t="shared" si="5"/>
        <v>4878.4137931034484</v>
      </c>
    </row>
    <row r="38" spans="1:13" x14ac:dyDescent="0.3">
      <c r="A38" t="s">
        <v>181</v>
      </c>
      <c r="B38" t="b">
        <f t="shared" si="0"/>
        <v>0</v>
      </c>
      <c r="C38" t="s">
        <v>20</v>
      </c>
      <c r="E38" t="str">
        <f t="shared" si="1"/>
        <v>N</v>
      </c>
      <c r="F38">
        <f t="shared" si="2"/>
        <v>1.5</v>
      </c>
      <c r="G38">
        <v>67</v>
      </c>
      <c r="H38">
        <v>67</v>
      </c>
      <c r="I38">
        <v>70</v>
      </c>
      <c r="J38">
        <v>0.87</v>
      </c>
      <c r="K38">
        <v>1.25</v>
      </c>
      <c r="L38">
        <f t="shared" si="4"/>
        <v>1.0416666666666666E-2</v>
      </c>
      <c r="M38" s="54">
        <f t="shared" si="5"/>
        <v>4065.344827586207</v>
      </c>
    </row>
    <row r="39" spans="1:13" x14ac:dyDescent="0.3">
      <c r="A39" t="s">
        <v>182</v>
      </c>
      <c r="B39" t="b">
        <f t="shared" si="0"/>
        <v>0</v>
      </c>
      <c r="C39" t="s">
        <v>20</v>
      </c>
      <c r="E39" t="str">
        <f t="shared" si="1"/>
        <v>N</v>
      </c>
      <c r="F39">
        <f t="shared" si="2"/>
        <v>4.0999999999999996</v>
      </c>
      <c r="G39">
        <v>220</v>
      </c>
      <c r="H39">
        <v>180</v>
      </c>
      <c r="I39">
        <v>164</v>
      </c>
      <c r="J39">
        <v>0.87</v>
      </c>
      <c r="K39">
        <v>1.25</v>
      </c>
      <c r="L39">
        <f t="shared" si="4"/>
        <v>1.0416666666666666E-2</v>
      </c>
      <c r="M39" s="54">
        <f t="shared" si="5"/>
        <v>11111.94252873563</v>
      </c>
    </row>
    <row r="40" spans="1:13" x14ac:dyDescent="0.3">
      <c r="A40" t="s">
        <v>183</v>
      </c>
      <c r="B40" t="b">
        <f t="shared" si="0"/>
        <v>0</v>
      </c>
      <c r="C40" t="s">
        <v>20</v>
      </c>
      <c r="E40" t="str">
        <f t="shared" si="1"/>
        <v>N</v>
      </c>
      <c r="F40">
        <f t="shared" si="2"/>
        <v>0</v>
      </c>
      <c r="G40">
        <v>1</v>
      </c>
      <c r="H40">
        <v>1</v>
      </c>
      <c r="I40">
        <v>1</v>
      </c>
      <c r="J40">
        <v>0.87</v>
      </c>
      <c r="K40">
        <v>1.25</v>
      </c>
      <c r="L40">
        <f t="shared" si="4"/>
        <v>1.0416666666666666E-2</v>
      </c>
      <c r="M40" s="54">
        <f t="shared" si="5"/>
        <v>0</v>
      </c>
    </row>
    <row r="41" spans="1:13" x14ac:dyDescent="0.3">
      <c r="A41" t="s">
        <v>184</v>
      </c>
      <c r="B41" t="b">
        <f t="shared" si="0"/>
        <v>0</v>
      </c>
      <c r="C41" t="s">
        <v>20</v>
      </c>
      <c r="E41" t="str">
        <f t="shared" si="1"/>
        <v>N</v>
      </c>
      <c r="F41">
        <f t="shared" si="2"/>
        <v>0</v>
      </c>
      <c r="G41">
        <v>1</v>
      </c>
      <c r="H41">
        <v>1</v>
      </c>
      <c r="I41">
        <v>1</v>
      </c>
      <c r="J41">
        <v>0.87</v>
      </c>
      <c r="K41">
        <v>1.25</v>
      </c>
      <c r="L41">
        <f t="shared" si="4"/>
        <v>1.0416666666666666E-2</v>
      </c>
      <c r="M41" s="54">
        <f t="shared" si="5"/>
        <v>0</v>
      </c>
    </row>
    <row r="42" spans="1:13" x14ac:dyDescent="0.3">
      <c r="A42" t="s">
        <v>185</v>
      </c>
      <c r="B42" t="b">
        <f t="shared" si="0"/>
        <v>0</v>
      </c>
      <c r="C42" t="s">
        <v>20</v>
      </c>
      <c r="E42" t="str">
        <f t="shared" si="1"/>
        <v>N</v>
      </c>
      <c r="F42">
        <f t="shared" si="2"/>
        <v>0.9</v>
      </c>
      <c r="H42">
        <v>41</v>
      </c>
      <c r="J42">
        <v>0.87</v>
      </c>
      <c r="K42">
        <v>1.25</v>
      </c>
      <c r="L42">
        <f t="shared" si="4"/>
        <v>1.0416666666666666E-2</v>
      </c>
      <c r="M42" s="54">
        <f t="shared" si="5"/>
        <v>2439.2068965517242</v>
      </c>
    </row>
    <row r="43" spans="1:13" x14ac:dyDescent="0.3">
      <c r="A43" t="s">
        <v>186</v>
      </c>
      <c r="B43" t="b">
        <f t="shared" si="0"/>
        <v>0</v>
      </c>
      <c r="C43" t="s">
        <v>20</v>
      </c>
      <c r="E43" t="str">
        <f t="shared" si="1"/>
        <v>N</v>
      </c>
      <c r="F43">
        <f t="shared" si="2"/>
        <v>3.1</v>
      </c>
      <c r="G43">
        <v>112</v>
      </c>
      <c r="H43">
        <v>136</v>
      </c>
      <c r="I43">
        <v>121</v>
      </c>
      <c r="J43">
        <v>0.87</v>
      </c>
      <c r="K43">
        <v>1.25</v>
      </c>
      <c r="L43">
        <f t="shared" si="4"/>
        <v>1.0416666666666666E-2</v>
      </c>
      <c r="M43" s="54">
        <f t="shared" si="5"/>
        <v>8401.71264367816</v>
      </c>
    </row>
    <row r="44" spans="1:13" x14ac:dyDescent="0.3">
      <c r="A44" t="s">
        <v>187</v>
      </c>
      <c r="B44" t="b">
        <f t="shared" si="0"/>
        <v>0</v>
      </c>
      <c r="C44" t="s">
        <v>20</v>
      </c>
      <c r="E44" t="str">
        <f t="shared" si="1"/>
        <v>N</v>
      </c>
      <c r="F44">
        <f t="shared" si="2"/>
        <v>3.9</v>
      </c>
      <c r="G44">
        <v>143</v>
      </c>
      <c r="H44">
        <v>172</v>
      </c>
      <c r="I44">
        <v>141</v>
      </c>
      <c r="J44">
        <v>0.87</v>
      </c>
      <c r="K44">
        <v>1.25</v>
      </c>
      <c r="L44">
        <f t="shared" si="4"/>
        <v>1.0416666666666666E-2</v>
      </c>
      <c r="M44" s="54">
        <f t="shared" si="5"/>
        <v>10569.896551724138</v>
      </c>
    </row>
    <row r="45" spans="1:13" x14ac:dyDescent="0.3">
      <c r="A45" t="s">
        <v>188</v>
      </c>
      <c r="B45" t="b">
        <f t="shared" si="0"/>
        <v>0</v>
      </c>
      <c r="C45" t="s">
        <v>20</v>
      </c>
      <c r="E45" t="str">
        <f t="shared" si="1"/>
        <v>N</v>
      </c>
      <c r="F45">
        <f t="shared" si="2"/>
        <v>1.9</v>
      </c>
      <c r="G45">
        <v>29</v>
      </c>
      <c r="H45">
        <v>85</v>
      </c>
      <c r="I45">
        <v>59</v>
      </c>
      <c r="J45">
        <v>0.87</v>
      </c>
      <c r="K45">
        <v>1.25</v>
      </c>
      <c r="L45">
        <f t="shared" si="4"/>
        <v>1.0416666666666666E-2</v>
      </c>
      <c r="M45" s="54">
        <f t="shared" si="5"/>
        <v>5149.4367816091944</v>
      </c>
    </row>
    <row r="46" spans="1:13" x14ac:dyDescent="0.3">
      <c r="A46" t="s">
        <v>189</v>
      </c>
      <c r="B46" t="b">
        <f t="shared" si="0"/>
        <v>0</v>
      </c>
      <c r="C46" t="s">
        <v>20</v>
      </c>
      <c r="E46" t="str">
        <f t="shared" si="1"/>
        <v>N</v>
      </c>
      <c r="F46">
        <f t="shared" si="2"/>
        <v>2</v>
      </c>
      <c r="G46">
        <v>96</v>
      </c>
      <c r="H46">
        <v>87</v>
      </c>
      <c r="I46">
        <v>130</v>
      </c>
      <c r="J46">
        <v>0.87</v>
      </c>
      <c r="K46">
        <v>1.25</v>
      </c>
      <c r="L46">
        <f t="shared" si="4"/>
        <v>1.0416666666666666E-2</v>
      </c>
      <c r="M46" s="54">
        <f t="shared" si="5"/>
        <v>5420.4597701149423</v>
      </c>
    </row>
    <row r="47" spans="1:13" x14ac:dyDescent="0.3">
      <c r="A47" t="s">
        <v>190</v>
      </c>
      <c r="B47" t="b">
        <f t="shared" si="0"/>
        <v>0</v>
      </c>
      <c r="C47" t="s">
        <v>20</v>
      </c>
      <c r="E47" t="str">
        <f t="shared" si="1"/>
        <v>N</v>
      </c>
      <c r="F47">
        <f t="shared" si="2"/>
        <v>2</v>
      </c>
      <c r="G47">
        <v>88</v>
      </c>
      <c r="H47">
        <v>86</v>
      </c>
      <c r="I47">
        <v>98</v>
      </c>
      <c r="J47">
        <v>0.87</v>
      </c>
      <c r="K47">
        <v>1.25</v>
      </c>
      <c r="L47">
        <f t="shared" si="4"/>
        <v>1.0416666666666666E-2</v>
      </c>
      <c r="M47" s="54">
        <f t="shared" si="5"/>
        <v>5420.4597701149423</v>
      </c>
    </row>
    <row r="48" spans="1:13" x14ac:dyDescent="0.3">
      <c r="A48" t="s">
        <v>191</v>
      </c>
      <c r="B48" t="b">
        <f t="shared" si="0"/>
        <v>0</v>
      </c>
      <c r="C48" t="s">
        <v>20</v>
      </c>
      <c r="E48" t="str">
        <f t="shared" si="1"/>
        <v>N</v>
      </c>
      <c r="F48">
        <f t="shared" si="2"/>
        <v>1.5</v>
      </c>
      <c r="G48">
        <v>70</v>
      </c>
      <c r="H48">
        <v>67</v>
      </c>
      <c r="I48">
        <v>87</v>
      </c>
      <c r="J48">
        <v>0.87</v>
      </c>
      <c r="K48">
        <v>1.25</v>
      </c>
      <c r="L48">
        <f t="shared" si="4"/>
        <v>1.0416666666666666E-2</v>
      </c>
      <c r="M48" s="54">
        <f t="shared" si="5"/>
        <v>4065.344827586207</v>
      </c>
    </row>
    <row r="49" spans="1:13" x14ac:dyDescent="0.3">
      <c r="A49" t="s">
        <v>192</v>
      </c>
      <c r="B49" t="b">
        <f t="shared" si="0"/>
        <v>0</v>
      </c>
      <c r="C49" t="s">
        <v>20</v>
      </c>
      <c r="E49" t="str">
        <f t="shared" si="1"/>
        <v>N</v>
      </c>
      <c r="F49">
        <f t="shared" si="2"/>
        <v>2.7</v>
      </c>
      <c r="G49">
        <v>89</v>
      </c>
      <c r="H49">
        <v>120</v>
      </c>
      <c r="I49">
        <v>51</v>
      </c>
      <c r="J49">
        <v>0.87</v>
      </c>
      <c r="K49">
        <v>1.25</v>
      </c>
      <c r="L49">
        <f t="shared" si="4"/>
        <v>1.0416666666666666E-2</v>
      </c>
      <c r="M49" s="54">
        <f t="shared" si="5"/>
        <v>7317.6206896551721</v>
      </c>
    </row>
    <row r="50" spans="1:13" x14ac:dyDescent="0.3">
      <c r="A50" t="s">
        <v>193</v>
      </c>
      <c r="B50" t="b">
        <f t="shared" si="0"/>
        <v>0</v>
      </c>
      <c r="C50" t="s">
        <v>20</v>
      </c>
      <c r="E50" t="str">
        <f t="shared" si="1"/>
        <v>N</v>
      </c>
      <c r="F50">
        <f t="shared" si="2"/>
        <v>4.4000000000000004</v>
      </c>
      <c r="G50">
        <v>118</v>
      </c>
      <c r="H50">
        <v>191</v>
      </c>
      <c r="I50">
        <v>128</v>
      </c>
      <c r="J50">
        <v>0.87</v>
      </c>
      <c r="K50">
        <v>1.25</v>
      </c>
      <c r="L50">
        <f t="shared" si="4"/>
        <v>1.0416666666666666E-2</v>
      </c>
      <c r="M50" s="54">
        <f t="shared" si="5"/>
        <v>11925.011494252873</v>
      </c>
    </row>
    <row r="51" spans="1:13" x14ac:dyDescent="0.3">
      <c r="A51" t="s">
        <v>194</v>
      </c>
      <c r="B51" t="b">
        <f t="shared" si="0"/>
        <v>0</v>
      </c>
      <c r="C51" t="s">
        <v>20</v>
      </c>
      <c r="E51" t="str">
        <f t="shared" si="1"/>
        <v>N</v>
      </c>
      <c r="F51">
        <f t="shared" si="2"/>
        <v>2.1</v>
      </c>
      <c r="G51">
        <v>109</v>
      </c>
      <c r="H51">
        <v>94</v>
      </c>
      <c r="I51">
        <v>97</v>
      </c>
      <c r="J51">
        <v>0.87</v>
      </c>
      <c r="K51">
        <v>1.25</v>
      </c>
      <c r="L51">
        <f t="shared" si="4"/>
        <v>1.0416666666666666E-2</v>
      </c>
      <c r="M51" s="54">
        <f t="shared" si="5"/>
        <v>5691.4827586206902</v>
      </c>
    </row>
    <row r="52" spans="1:13" x14ac:dyDescent="0.3">
      <c r="A52" t="s">
        <v>195</v>
      </c>
      <c r="B52" t="b">
        <f t="shared" si="0"/>
        <v>0</v>
      </c>
      <c r="C52" t="s">
        <v>20</v>
      </c>
      <c r="E52" t="str">
        <f t="shared" si="1"/>
        <v>N</v>
      </c>
      <c r="F52">
        <f t="shared" si="2"/>
        <v>5.8</v>
      </c>
      <c r="G52">
        <v>290</v>
      </c>
      <c r="H52">
        <v>254</v>
      </c>
      <c r="I52">
        <v>218</v>
      </c>
      <c r="J52">
        <v>0.87</v>
      </c>
      <c r="K52">
        <v>1.25</v>
      </c>
      <c r="L52">
        <f t="shared" si="4"/>
        <v>1.0416666666666666E-2</v>
      </c>
      <c r="M52" s="54">
        <f t="shared" si="5"/>
        <v>15719.333333333328</v>
      </c>
    </row>
    <row r="53" spans="1:13" x14ac:dyDescent="0.3">
      <c r="A53" t="s">
        <v>196</v>
      </c>
      <c r="B53" t="b">
        <f t="shared" si="0"/>
        <v>0</v>
      </c>
      <c r="C53" t="s">
        <v>20</v>
      </c>
      <c r="E53" t="str">
        <f t="shared" si="1"/>
        <v>N</v>
      </c>
      <c r="F53">
        <f t="shared" si="2"/>
        <v>5.9</v>
      </c>
      <c r="G53">
        <v>300</v>
      </c>
      <c r="H53">
        <v>260</v>
      </c>
      <c r="I53">
        <v>259</v>
      </c>
      <c r="J53">
        <v>0.87</v>
      </c>
      <c r="K53">
        <v>1.25</v>
      </c>
      <c r="L53">
        <f t="shared" si="4"/>
        <v>1.0416666666666666E-2</v>
      </c>
      <c r="M53" s="54">
        <f t="shared" si="5"/>
        <v>15990.356321839077</v>
      </c>
    </row>
    <row r="54" spans="1:13" x14ac:dyDescent="0.3">
      <c r="A54" t="s">
        <v>197</v>
      </c>
      <c r="B54" t="b">
        <f t="shared" si="0"/>
        <v>0</v>
      </c>
      <c r="C54" t="s">
        <v>20</v>
      </c>
      <c r="E54" t="str">
        <f t="shared" si="1"/>
        <v>N</v>
      </c>
      <c r="F54">
        <f t="shared" si="2"/>
        <v>3.8</v>
      </c>
      <c r="G54">
        <v>226</v>
      </c>
      <c r="H54">
        <v>167</v>
      </c>
      <c r="I54">
        <v>275</v>
      </c>
      <c r="J54">
        <v>0.87</v>
      </c>
      <c r="K54">
        <v>1.25</v>
      </c>
      <c r="L54">
        <f t="shared" si="4"/>
        <v>1.0416666666666666E-2</v>
      </c>
      <c r="M54" s="54">
        <f t="shared" si="5"/>
        <v>10298.873563218389</v>
      </c>
    </row>
    <row r="55" spans="1:13" x14ac:dyDescent="0.3">
      <c r="A55" t="s">
        <v>198</v>
      </c>
      <c r="B55" t="b">
        <f t="shared" si="0"/>
        <v>0</v>
      </c>
      <c r="C55" t="s">
        <v>20</v>
      </c>
      <c r="E55" t="str">
        <f t="shared" si="1"/>
        <v>N</v>
      </c>
      <c r="F55">
        <f t="shared" si="2"/>
        <v>4.8</v>
      </c>
      <c r="G55">
        <v>151</v>
      </c>
      <c r="H55">
        <v>210</v>
      </c>
      <c r="I55">
        <v>158</v>
      </c>
      <c r="J55">
        <v>0.87</v>
      </c>
      <c r="K55">
        <v>1.25</v>
      </c>
      <c r="L55">
        <f t="shared" si="4"/>
        <v>1.0416666666666666E-2</v>
      </c>
      <c r="M55" s="54">
        <f t="shared" si="5"/>
        <v>13009.103448275859</v>
      </c>
    </row>
    <row r="56" spans="1:13" x14ac:dyDescent="0.3">
      <c r="A56" t="s">
        <v>199</v>
      </c>
      <c r="B56" t="b">
        <f t="shared" si="0"/>
        <v>0</v>
      </c>
      <c r="C56" t="s">
        <v>20</v>
      </c>
      <c r="E56" t="str">
        <f t="shared" si="1"/>
        <v>N</v>
      </c>
      <c r="F56">
        <f t="shared" si="2"/>
        <v>2.9</v>
      </c>
      <c r="G56">
        <v>124</v>
      </c>
      <c r="H56">
        <v>126</v>
      </c>
      <c r="I56">
        <v>129</v>
      </c>
      <c r="J56">
        <v>0.87</v>
      </c>
      <c r="K56">
        <v>1.25</v>
      </c>
      <c r="L56">
        <f t="shared" si="4"/>
        <v>1.0416666666666666E-2</v>
      </c>
      <c r="M56" s="54">
        <f t="shared" si="5"/>
        <v>7859.6666666666642</v>
      </c>
    </row>
    <row r="57" spans="1:13" x14ac:dyDescent="0.3">
      <c r="A57" t="s">
        <v>200</v>
      </c>
      <c r="B57" t="b">
        <f t="shared" si="0"/>
        <v>0</v>
      </c>
      <c r="C57" t="s">
        <v>20</v>
      </c>
      <c r="E57" t="str">
        <f t="shared" si="1"/>
        <v>N</v>
      </c>
      <c r="F57">
        <f t="shared" si="2"/>
        <v>3</v>
      </c>
      <c r="G57">
        <v>104</v>
      </c>
      <c r="H57">
        <v>130</v>
      </c>
      <c r="I57">
        <v>165</v>
      </c>
      <c r="J57">
        <v>0.87</v>
      </c>
      <c r="K57">
        <v>1.25</v>
      </c>
      <c r="L57">
        <f t="shared" si="4"/>
        <v>1.0416666666666666E-2</v>
      </c>
      <c r="M57" s="54">
        <f t="shared" si="5"/>
        <v>8130.6896551724139</v>
      </c>
    </row>
    <row r="58" spans="1:13" x14ac:dyDescent="0.3">
      <c r="A58" t="s">
        <v>201</v>
      </c>
      <c r="B58" t="b">
        <f t="shared" si="0"/>
        <v>0</v>
      </c>
      <c r="C58" t="s">
        <v>20</v>
      </c>
      <c r="E58" t="str">
        <f t="shared" si="1"/>
        <v>N</v>
      </c>
      <c r="F58">
        <f t="shared" si="2"/>
        <v>0.8</v>
      </c>
      <c r="G58">
        <v>65</v>
      </c>
      <c r="H58">
        <v>33</v>
      </c>
      <c r="I58">
        <v>36</v>
      </c>
      <c r="J58">
        <v>0.87</v>
      </c>
      <c r="K58">
        <v>1.25</v>
      </c>
      <c r="L58">
        <f t="shared" si="4"/>
        <v>1.0416666666666666E-2</v>
      </c>
      <c r="M58" s="54">
        <f t="shared" si="5"/>
        <v>2168.1839080459772</v>
      </c>
    </row>
    <row r="59" spans="1:13" x14ac:dyDescent="0.3">
      <c r="A59" t="s">
        <v>202</v>
      </c>
      <c r="B59" t="b">
        <f t="shared" si="0"/>
        <v>0</v>
      </c>
      <c r="C59" t="s">
        <v>20</v>
      </c>
      <c r="E59" t="str">
        <f t="shared" si="1"/>
        <v>N</v>
      </c>
      <c r="F59">
        <f t="shared" si="2"/>
        <v>5.9</v>
      </c>
      <c r="G59">
        <v>205</v>
      </c>
      <c r="H59">
        <v>258</v>
      </c>
      <c r="I59">
        <v>206</v>
      </c>
      <c r="J59">
        <v>0.87</v>
      </c>
      <c r="K59">
        <v>1.25</v>
      </c>
      <c r="L59">
        <f t="shared" si="4"/>
        <v>1.0416666666666666E-2</v>
      </c>
      <c r="M59" s="54">
        <f t="shared" si="5"/>
        <v>15990.356321839077</v>
      </c>
    </row>
    <row r="60" spans="1:13" x14ac:dyDescent="0.3">
      <c r="A60" t="s">
        <v>203</v>
      </c>
      <c r="B60" t="b">
        <f t="shared" si="0"/>
        <v>0</v>
      </c>
      <c r="C60" t="s">
        <v>20</v>
      </c>
      <c r="E60" t="str">
        <f t="shared" si="1"/>
        <v>N</v>
      </c>
      <c r="F60">
        <f t="shared" si="2"/>
        <v>5.4</v>
      </c>
      <c r="H60">
        <v>238</v>
      </c>
      <c r="J60">
        <v>0.87</v>
      </c>
      <c r="K60">
        <v>1.25</v>
      </c>
      <c r="L60">
        <f t="shared" si="4"/>
        <v>1.0416666666666666E-2</v>
      </c>
      <c r="M60" s="54">
        <f t="shared" si="5"/>
        <v>14635.241379310344</v>
      </c>
    </row>
    <row r="61" spans="1:13" x14ac:dyDescent="0.3">
      <c r="A61" t="s">
        <v>204</v>
      </c>
      <c r="B61" t="b">
        <f t="shared" si="0"/>
        <v>0</v>
      </c>
      <c r="C61" t="s">
        <v>20</v>
      </c>
      <c r="E61" t="str">
        <f t="shared" si="1"/>
        <v>N</v>
      </c>
      <c r="F61">
        <f t="shared" si="2"/>
        <v>2.8</v>
      </c>
      <c r="H61">
        <v>121</v>
      </c>
      <c r="J61">
        <v>0.87</v>
      </c>
      <c r="K61">
        <v>1.25</v>
      </c>
      <c r="L61">
        <f t="shared" si="4"/>
        <v>1.0416666666666666E-2</v>
      </c>
      <c r="M61" s="54">
        <f t="shared" si="5"/>
        <v>7588.6436781609182</v>
      </c>
    </row>
    <row r="62" spans="1:13" x14ac:dyDescent="0.3">
      <c r="A62" t="s">
        <v>205</v>
      </c>
      <c r="B62" t="b">
        <f t="shared" si="0"/>
        <v>0</v>
      </c>
      <c r="C62" t="s">
        <v>20</v>
      </c>
      <c r="E62" t="str">
        <f t="shared" si="1"/>
        <v>N</v>
      </c>
      <c r="F62">
        <f t="shared" si="2"/>
        <v>3.3</v>
      </c>
      <c r="G62">
        <v>120</v>
      </c>
      <c r="H62">
        <v>143</v>
      </c>
      <c r="I62">
        <v>96</v>
      </c>
      <c r="J62">
        <f>0.87</f>
        <v>0.87</v>
      </c>
      <c r="K62">
        <v>1.25</v>
      </c>
      <c r="L62">
        <f t="shared" si="4"/>
        <v>1.0416666666666666E-2</v>
      </c>
      <c r="M62" s="54">
        <f t="shared" si="5"/>
        <v>8943.7586206896558</v>
      </c>
    </row>
    <row r="63" spans="1:13" x14ac:dyDescent="0.3">
      <c r="A63" t="s">
        <v>206</v>
      </c>
      <c r="B63" t="b">
        <f t="shared" si="0"/>
        <v>0</v>
      </c>
      <c r="C63" t="s">
        <v>20</v>
      </c>
      <c r="E63" t="str">
        <f t="shared" si="1"/>
        <v>N</v>
      </c>
      <c r="F63">
        <f t="shared" si="2"/>
        <v>1.9</v>
      </c>
      <c r="G63">
        <v>130</v>
      </c>
      <c r="H63">
        <v>83</v>
      </c>
      <c r="I63">
        <v>67</v>
      </c>
      <c r="J63">
        <f t="shared" ref="J63:J95" si="6">0.87</f>
        <v>0.87</v>
      </c>
      <c r="K63">
        <v>1.25</v>
      </c>
      <c r="L63">
        <f t="shared" si="4"/>
        <v>1.0416666666666666E-2</v>
      </c>
      <c r="M63" s="54">
        <f t="shared" si="5"/>
        <v>5149.4367816091944</v>
      </c>
    </row>
    <row r="64" spans="1:13" x14ac:dyDescent="0.3">
      <c r="A64" t="s">
        <v>207</v>
      </c>
      <c r="B64" t="b">
        <f t="shared" si="0"/>
        <v>0</v>
      </c>
      <c r="C64" t="s">
        <v>20</v>
      </c>
      <c r="E64" t="str">
        <f t="shared" si="1"/>
        <v>N</v>
      </c>
      <c r="F64">
        <f t="shared" si="2"/>
        <v>6.4</v>
      </c>
      <c r="H64">
        <v>278</v>
      </c>
      <c r="J64">
        <f t="shared" si="6"/>
        <v>0.87</v>
      </c>
      <c r="K64">
        <v>1.25</v>
      </c>
      <c r="L64">
        <f t="shared" si="4"/>
        <v>1.0416666666666666E-2</v>
      </c>
      <c r="M64" s="54">
        <f t="shared" si="5"/>
        <v>17345.471264367818</v>
      </c>
    </row>
    <row r="65" spans="1:13" x14ac:dyDescent="0.3">
      <c r="A65" t="s">
        <v>208</v>
      </c>
      <c r="B65" t="b">
        <f t="shared" si="0"/>
        <v>0</v>
      </c>
      <c r="C65" t="s">
        <v>20</v>
      </c>
      <c r="E65" t="str">
        <f t="shared" si="1"/>
        <v>N</v>
      </c>
      <c r="F65">
        <f t="shared" si="2"/>
        <v>3.5</v>
      </c>
      <c r="H65">
        <v>154</v>
      </c>
      <c r="J65">
        <f t="shared" si="6"/>
        <v>0.87</v>
      </c>
      <c r="K65">
        <v>1.25</v>
      </c>
      <c r="L65">
        <f t="shared" si="4"/>
        <v>1.0416666666666666E-2</v>
      </c>
      <c r="M65" s="54">
        <f t="shared" si="5"/>
        <v>9485.8045977011479</v>
      </c>
    </row>
    <row r="66" spans="1:13" x14ac:dyDescent="0.3">
      <c r="A66" t="s">
        <v>209</v>
      </c>
      <c r="B66" t="b">
        <f t="shared" ref="B66:B95" si="7" xml:space="preserve"> F66 &gt; 6.6</f>
        <v>0</v>
      </c>
      <c r="C66" t="s">
        <v>20</v>
      </c>
      <c r="E66" t="str">
        <f t="shared" ref="E66:E95" si="8">IF(AND(F66 &gt; 6.6, C66="N"), "Y","N")</f>
        <v>N</v>
      </c>
      <c r="F66">
        <f t="shared" ref="F66:F95" si="9">ROUND(7.62*(H66*3)/1000, 1)</f>
        <v>0</v>
      </c>
      <c r="G66">
        <v>1</v>
      </c>
      <c r="H66">
        <v>1</v>
      </c>
      <c r="I66">
        <v>1</v>
      </c>
      <c r="J66">
        <f t="shared" si="6"/>
        <v>0.87</v>
      </c>
      <c r="K66">
        <v>1.25</v>
      </c>
      <c r="L66">
        <f t="shared" si="4"/>
        <v>1.0416666666666666E-2</v>
      </c>
      <c r="M66" s="54">
        <f t="shared" ref="M66:M95" si="10">F66*LF*8760*(XR/120/CVRf)*AE</f>
        <v>0</v>
      </c>
    </row>
    <row r="67" spans="1:13" x14ac:dyDescent="0.3">
      <c r="A67" t="s">
        <v>210</v>
      </c>
      <c r="B67" t="b">
        <f t="shared" si="7"/>
        <v>0</v>
      </c>
      <c r="C67" t="s">
        <v>20</v>
      </c>
      <c r="E67" t="str">
        <f t="shared" si="8"/>
        <v>N</v>
      </c>
      <c r="F67">
        <f t="shared" si="9"/>
        <v>3.1</v>
      </c>
      <c r="G67">
        <v>81</v>
      </c>
      <c r="H67">
        <v>136</v>
      </c>
      <c r="I67">
        <v>178</v>
      </c>
      <c r="J67">
        <f t="shared" si="6"/>
        <v>0.87</v>
      </c>
      <c r="K67">
        <v>1.25</v>
      </c>
      <c r="L67">
        <f t="shared" ref="L67:L95" si="11">K67/120</f>
        <v>1.0416666666666666E-2</v>
      </c>
      <c r="M67" s="54">
        <f t="shared" si="10"/>
        <v>8401.71264367816</v>
      </c>
    </row>
    <row r="68" spans="1:13" x14ac:dyDescent="0.3">
      <c r="A68" t="s">
        <v>211</v>
      </c>
      <c r="B68" t="b">
        <f t="shared" si="7"/>
        <v>0</v>
      </c>
      <c r="C68" t="s">
        <v>20</v>
      </c>
      <c r="E68" t="str">
        <f t="shared" si="8"/>
        <v>N</v>
      </c>
      <c r="F68">
        <f t="shared" si="9"/>
        <v>1.8</v>
      </c>
      <c r="G68">
        <v>100</v>
      </c>
      <c r="H68">
        <v>78</v>
      </c>
      <c r="I68">
        <v>70</v>
      </c>
      <c r="J68">
        <f t="shared" si="6"/>
        <v>0.87</v>
      </c>
      <c r="K68">
        <v>1.25</v>
      </c>
      <c r="L68">
        <f t="shared" si="11"/>
        <v>1.0416666666666666E-2</v>
      </c>
      <c r="M68" s="54">
        <f t="shared" si="10"/>
        <v>4878.4137931034484</v>
      </c>
    </row>
    <row r="69" spans="1:13" x14ac:dyDescent="0.3">
      <c r="A69" t="s">
        <v>212</v>
      </c>
      <c r="B69" t="b">
        <f t="shared" si="7"/>
        <v>0</v>
      </c>
      <c r="C69" t="s">
        <v>20</v>
      </c>
      <c r="E69" t="str">
        <f t="shared" si="8"/>
        <v>N</v>
      </c>
      <c r="F69">
        <f t="shared" si="9"/>
        <v>2.2999999999999998</v>
      </c>
      <c r="G69">
        <v>104</v>
      </c>
      <c r="H69">
        <v>100</v>
      </c>
      <c r="I69">
        <v>115</v>
      </c>
      <c r="J69">
        <f t="shared" si="6"/>
        <v>0.87</v>
      </c>
      <c r="K69">
        <v>1.25</v>
      </c>
      <c r="L69">
        <f t="shared" si="11"/>
        <v>1.0416666666666666E-2</v>
      </c>
      <c r="M69" s="54">
        <f t="shared" si="10"/>
        <v>6233.5287356321824</v>
      </c>
    </row>
    <row r="70" spans="1:13" x14ac:dyDescent="0.3">
      <c r="A70" t="s">
        <v>213</v>
      </c>
      <c r="B70" t="b">
        <f t="shared" si="7"/>
        <v>0</v>
      </c>
      <c r="C70" t="s">
        <v>20</v>
      </c>
      <c r="E70" t="str">
        <f t="shared" si="8"/>
        <v>N</v>
      </c>
      <c r="F70">
        <f t="shared" si="9"/>
        <v>2</v>
      </c>
      <c r="G70">
        <v>71</v>
      </c>
      <c r="H70">
        <v>88</v>
      </c>
      <c r="I70">
        <v>118</v>
      </c>
      <c r="J70">
        <f t="shared" si="6"/>
        <v>0.87</v>
      </c>
      <c r="K70">
        <v>1.25</v>
      </c>
      <c r="L70">
        <f t="shared" si="11"/>
        <v>1.0416666666666666E-2</v>
      </c>
      <c r="M70" s="54">
        <f t="shared" si="10"/>
        <v>5420.4597701149423</v>
      </c>
    </row>
    <row r="71" spans="1:13" x14ac:dyDescent="0.3">
      <c r="A71" t="s">
        <v>214</v>
      </c>
      <c r="B71" t="b">
        <f t="shared" si="7"/>
        <v>0</v>
      </c>
      <c r="C71" t="s">
        <v>20</v>
      </c>
      <c r="E71" t="str">
        <f t="shared" si="8"/>
        <v>N</v>
      </c>
      <c r="F71">
        <f t="shared" si="9"/>
        <v>1.9</v>
      </c>
      <c r="G71">
        <v>105</v>
      </c>
      <c r="H71">
        <v>84</v>
      </c>
      <c r="I71">
        <v>72</v>
      </c>
      <c r="J71">
        <f t="shared" si="6"/>
        <v>0.87</v>
      </c>
      <c r="K71">
        <v>1.25</v>
      </c>
      <c r="L71">
        <f t="shared" si="11"/>
        <v>1.0416666666666666E-2</v>
      </c>
      <c r="M71" s="54">
        <f t="shared" si="10"/>
        <v>5149.4367816091944</v>
      </c>
    </row>
    <row r="72" spans="1:13" x14ac:dyDescent="0.3">
      <c r="A72" t="s">
        <v>215</v>
      </c>
      <c r="B72" t="b">
        <f t="shared" si="7"/>
        <v>0</v>
      </c>
      <c r="C72" t="s">
        <v>20</v>
      </c>
      <c r="E72" t="str">
        <f t="shared" si="8"/>
        <v>N</v>
      </c>
      <c r="F72">
        <f t="shared" si="9"/>
        <v>5.7</v>
      </c>
      <c r="G72">
        <v>250</v>
      </c>
      <c r="H72">
        <v>250</v>
      </c>
      <c r="I72">
        <v>250</v>
      </c>
      <c r="J72">
        <f t="shared" si="6"/>
        <v>0.87</v>
      </c>
      <c r="K72">
        <v>1.25</v>
      </c>
      <c r="L72">
        <f t="shared" si="11"/>
        <v>1.0416666666666666E-2</v>
      </c>
      <c r="M72" s="54">
        <f t="shared" si="10"/>
        <v>15448.310344827585</v>
      </c>
    </row>
    <row r="73" spans="1:13" x14ac:dyDescent="0.3">
      <c r="A73" t="s">
        <v>216</v>
      </c>
      <c r="B73" t="b">
        <f t="shared" si="7"/>
        <v>0</v>
      </c>
      <c r="C73" t="s">
        <v>20</v>
      </c>
      <c r="E73" t="str">
        <f t="shared" si="8"/>
        <v>N</v>
      </c>
      <c r="F73">
        <f t="shared" si="9"/>
        <v>1.8</v>
      </c>
      <c r="G73">
        <v>108</v>
      </c>
      <c r="H73">
        <v>79</v>
      </c>
      <c r="I73">
        <v>139</v>
      </c>
      <c r="J73">
        <f t="shared" si="6"/>
        <v>0.87</v>
      </c>
      <c r="K73">
        <v>1.25</v>
      </c>
      <c r="L73">
        <f t="shared" si="11"/>
        <v>1.0416666666666666E-2</v>
      </c>
      <c r="M73" s="54">
        <f t="shared" si="10"/>
        <v>4878.4137931034484</v>
      </c>
    </row>
    <row r="74" spans="1:13" x14ac:dyDescent="0.3">
      <c r="A74" t="s">
        <v>217</v>
      </c>
      <c r="B74" t="b">
        <f t="shared" si="7"/>
        <v>0</v>
      </c>
      <c r="C74" t="s">
        <v>20</v>
      </c>
      <c r="E74" t="str">
        <f t="shared" si="8"/>
        <v>N</v>
      </c>
      <c r="F74">
        <f t="shared" si="9"/>
        <v>4.9000000000000004</v>
      </c>
      <c r="G74">
        <v>232</v>
      </c>
      <c r="H74">
        <v>216</v>
      </c>
      <c r="I74">
        <v>215</v>
      </c>
      <c r="J74">
        <f t="shared" si="6"/>
        <v>0.87</v>
      </c>
      <c r="K74">
        <v>1.25</v>
      </c>
      <c r="L74">
        <f t="shared" si="11"/>
        <v>1.0416666666666666E-2</v>
      </c>
      <c r="M74" s="54">
        <f t="shared" si="10"/>
        <v>13280.126436781609</v>
      </c>
    </row>
    <row r="75" spans="1:13" x14ac:dyDescent="0.3">
      <c r="A75" t="s">
        <v>218</v>
      </c>
      <c r="B75" t="b">
        <f t="shared" si="7"/>
        <v>0</v>
      </c>
      <c r="C75" t="s">
        <v>20</v>
      </c>
      <c r="E75" t="str">
        <f t="shared" si="8"/>
        <v>N</v>
      </c>
      <c r="F75">
        <f t="shared" si="9"/>
        <v>5.9</v>
      </c>
      <c r="H75">
        <v>256</v>
      </c>
      <c r="J75">
        <f t="shared" si="6"/>
        <v>0.87</v>
      </c>
      <c r="K75">
        <v>1.25</v>
      </c>
      <c r="L75">
        <f t="shared" si="11"/>
        <v>1.0416666666666666E-2</v>
      </c>
      <c r="M75" s="54">
        <f t="shared" si="10"/>
        <v>15990.356321839077</v>
      </c>
    </row>
    <row r="76" spans="1:13" x14ac:dyDescent="0.3">
      <c r="A76" t="s">
        <v>219</v>
      </c>
      <c r="B76" t="b">
        <f t="shared" si="7"/>
        <v>0</v>
      </c>
      <c r="C76" t="s">
        <v>20</v>
      </c>
      <c r="E76" t="str">
        <f t="shared" si="8"/>
        <v>N</v>
      </c>
      <c r="F76">
        <f t="shared" si="9"/>
        <v>6.6</v>
      </c>
      <c r="H76">
        <v>289</v>
      </c>
      <c r="J76">
        <f t="shared" si="6"/>
        <v>0.87</v>
      </c>
      <c r="K76">
        <v>1.25</v>
      </c>
      <c r="L76">
        <f t="shared" si="11"/>
        <v>1.0416666666666666E-2</v>
      </c>
      <c r="M76" s="54">
        <f t="shared" si="10"/>
        <v>17887.517241379312</v>
      </c>
    </row>
    <row r="77" spans="1:13" x14ac:dyDescent="0.3">
      <c r="A77" t="s">
        <v>220</v>
      </c>
      <c r="B77" t="b">
        <f t="shared" si="7"/>
        <v>0</v>
      </c>
      <c r="C77" t="s">
        <v>20</v>
      </c>
      <c r="E77" t="str">
        <f t="shared" si="8"/>
        <v>N</v>
      </c>
      <c r="F77">
        <f t="shared" si="9"/>
        <v>5.3</v>
      </c>
      <c r="G77">
        <v>222</v>
      </c>
      <c r="H77">
        <v>234</v>
      </c>
      <c r="I77">
        <v>242</v>
      </c>
      <c r="J77">
        <f t="shared" si="6"/>
        <v>0.87</v>
      </c>
      <c r="K77">
        <v>1.25</v>
      </c>
      <c r="L77">
        <f t="shared" si="11"/>
        <v>1.0416666666666666E-2</v>
      </c>
      <c r="M77" s="54">
        <f t="shared" si="10"/>
        <v>14364.218390804595</v>
      </c>
    </row>
    <row r="78" spans="1:13" x14ac:dyDescent="0.3">
      <c r="A78" t="s">
        <v>221</v>
      </c>
      <c r="B78" t="b">
        <f t="shared" si="7"/>
        <v>0</v>
      </c>
      <c r="C78" t="s">
        <v>20</v>
      </c>
      <c r="E78" t="str">
        <f t="shared" si="8"/>
        <v>N</v>
      </c>
      <c r="F78">
        <f t="shared" si="9"/>
        <v>3.6</v>
      </c>
      <c r="G78">
        <v>145</v>
      </c>
      <c r="H78">
        <v>156</v>
      </c>
      <c r="I78">
        <v>155</v>
      </c>
      <c r="J78">
        <f t="shared" si="6"/>
        <v>0.87</v>
      </c>
      <c r="K78">
        <v>1.25</v>
      </c>
      <c r="L78">
        <f t="shared" si="11"/>
        <v>1.0416666666666666E-2</v>
      </c>
      <c r="M78" s="54">
        <f t="shared" si="10"/>
        <v>9756.8275862068967</v>
      </c>
    </row>
    <row r="79" spans="1:13" x14ac:dyDescent="0.3">
      <c r="A79" t="s">
        <v>222</v>
      </c>
      <c r="B79" t="b">
        <f t="shared" si="7"/>
        <v>0</v>
      </c>
      <c r="C79" t="s">
        <v>20</v>
      </c>
      <c r="E79" t="str">
        <f t="shared" si="8"/>
        <v>N</v>
      </c>
      <c r="F79">
        <f t="shared" si="9"/>
        <v>5.0999999999999996</v>
      </c>
      <c r="G79">
        <v>207</v>
      </c>
      <c r="H79">
        <v>222</v>
      </c>
      <c r="I79">
        <v>189</v>
      </c>
      <c r="J79">
        <f t="shared" si="6"/>
        <v>0.87</v>
      </c>
      <c r="K79">
        <v>1.25</v>
      </c>
      <c r="L79">
        <f t="shared" si="11"/>
        <v>1.0416666666666666E-2</v>
      </c>
      <c r="M79" s="54">
        <f t="shared" si="10"/>
        <v>13822.172413793103</v>
      </c>
    </row>
    <row r="80" spans="1:13" x14ac:dyDescent="0.3">
      <c r="A80" t="s">
        <v>223</v>
      </c>
      <c r="B80" t="b">
        <f t="shared" si="7"/>
        <v>0</v>
      </c>
      <c r="C80" t="s">
        <v>20</v>
      </c>
      <c r="E80" t="str">
        <f t="shared" si="8"/>
        <v>N</v>
      </c>
      <c r="F80">
        <f t="shared" si="9"/>
        <v>4.7</v>
      </c>
      <c r="G80">
        <v>203</v>
      </c>
      <c r="H80">
        <v>206</v>
      </c>
      <c r="I80">
        <v>218</v>
      </c>
      <c r="J80">
        <f t="shared" si="6"/>
        <v>0.87</v>
      </c>
      <c r="K80">
        <v>1.25</v>
      </c>
      <c r="L80">
        <f t="shared" si="11"/>
        <v>1.0416666666666666E-2</v>
      </c>
      <c r="M80" s="54">
        <f t="shared" si="10"/>
        <v>12738.080459770114</v>
      </c>
    </row>
    <row r="81" spans="1:13" x14ac:dyDescent="0.3">
      <c r="A81" t="s">
        <v>224</v>
      </c>
      <c r="B81" t="b">
        <f t="shared" si="7"/>
        <v>0</v>
      </c>
      <c r="C81" t="s">
        <v>20</v>
      </c>
      <c r="E81" t="str">
        <f t="shared" si="8"/>
        <v>N</v>
      </c>
      <c r="F81">
        <f t="shared" si="9"/>
        <v>5.6</v>
      </c>
      <c r="G81">
        <v>280</v>
      </c>
      <c r="H81">
        <v>246</v>
      </c>
      <c r="I81">
        <v>268</v>
      </c>
      <c r="J81">
        <f t="shared" si="6"/>
        <v>0.87</v>
      </c>
      <c r="K81">
        <v>1.25</v>
      </c>
      <c r="L81">
        <f t="shared" si="11"/>
        <v>1.0416666666666666E-2</v>
      </c>
      <c r="M81" s="54">
        <f t="shared" si="10"/>
        <v>15177.287356321836</v>
      </c>
    </row>
    <row r="82" spans="1:13" x14ac:dyDescent="0.3">
      <c r="A82" t="s">
        <v>225</v>
      </c>
      <c r="B82" t="b">
        <f t="shared" si="7"/>
        <v>0</v>
      </c>
      <c r="C82" t="s">
        <v>20</v>
      </c>
      <c r="E82" t="str">
        <f t="shared" si="8"/>
        <v>N</v>
      </c>
      <c r="F82">
        <f t="shared" si="9"/>
        <v>1.9</v>
      </c>
      <c r="G82">
        <v>67</v>
      </c>
      <c r="H82">
        <v>83</v>
      </c>
      <c r="I82">
        <v>64</v>
      </c>
      <c r="J82">
        <f t="shared" si="6"/>
        <v>0.87</v>
      </c>
      <c r="K82">
        <v>1.25</v>
      </c>
      <c r="L82">
        <f t="shared" si="11"/>
        <v>1.0416666666666666E-2</v>
      </c>
      <c r="M82" s="54">
        <f t="shared" si="10"/>
        <v>5149.4367816091944</v>
      </c>
    </row>
    <row r="83" spans="1:13" x14ac:dyDescent="0.3">
      <c r="A83" t="s">
        <v>226</v>
      </c>
      <c r="B83" t="b">
        <f t="shared" si="7"/>
        <v>0</v>
      </c>
      <c r="C83" t="s">
        <v>20</v>
      </c>
      <c r="E83" t="str">
        <f t="shared" si="8"/>
        <v>N</v>
      </c>
      <c r="F83">
        <f t="shared" si="9"/>
        <v>3.5</v>
      </c>
      <c r="G83">
        <v>168</v>
      </c>
      <c r="H83">
        <v>152</v>
      </c>
      <c r="I83">
        <v>188</v>
      </c>
      <c r="J83">
        <f t="shared" si="6"/>
        <v>0.87</v>
      </c>
      <c r="K83">
        <v>1.25</v>
      </c>
      <c r="L83">
        <f t="shared" si="11"/>
        <v>1.0416666666666666E-2</v>
      </c>
      <c r="M83" s="54">
        <f t="shared" si="10"/>
        <v>9485.8045977011479</v>
      </c>
    </row>
    <row r="84" spans="1:13" x14ac:dyDescent="0.3">
      <c r="A84" t="s">
        <v>227</v>
      </c>
      <c r="B84" t="b">
        <f t="shared" si="7"/>
        <v>0</v>
      </c>
      <c r="C84" t="s">
        <v>20</v>
      </c>
      <c r="E84" t="str">
        <f t="shared" si="8"/>
        <v>N</v>
      </c>
      <c r="F84">
        <f t="shared" si="9"/>
        <v>1.3</v>
      </c>
      <c r="G84">
        <v>31</v>
      </c>
      <c r="H84">
        <v>57</v>
      </c>
      <c r="I84">
        <v>47</v>
      </c>
      <c r="J84">
        <f t="shared" si="6"/>
        <v>0.87</v>
      </c>
      <c r="K84">
        <v>1.25</v>
      </c>
      <c r="L84">
        <f t="shared" si="11"/>
        <v>1.0416666666666666E-2</v>
      </c>
      <c r="M84" s="54">
        <f t="shared" si="10"/>
        <v>3523.298850574713</v>
      </c>
    </row>
    <row r="85" spans="1:13" x14ac:dyDescent="0.3">
      <c r="A85" t="s">
        <v>228</v>
      </c>
      <c r="B85" t="b">
        <f t="shared" si="7"/>
        <v>0</v>
      </c>
      <c r="C85" t="s">
        <v>20</v>
      </c>
      <c r="E85" t="str">
        <f t="shared" si="8"/>
        <v>N</v>
      </c>
      <c r="F85">
        <f t="shared" si="9"/>
        <v>1.4</v>
      </c>
      <c r="G85">
        <v>87</v>
      </c>
      <c r="H85">
        <v>62</v>
      </c>
      <c r="I85">
        <v>68</v>
      </c>
      <c r="J85">
        <f t="shared" si="6"/>
        <v>0.87</v>
      </c>
      <c r="K85">
        <v>1.25</v>
      </c>
      <c r="L85">
        <f t="shared" si="11"/>
        <v>1.0416666666666666E-2</v>
      </c>
      <c r="M85" s="54">
        <f t="shared" si="10"/>
        <v>3794.3218390804591</v>
      </c>
    </row>
    <row r="86" spans="1:13" x14ac:dyDescent="0.3">
      <c r="A86" t="s">
        <v>229</v>
      </c>
      <c r="B86" t="b">
        <f t="shared" si="7"/>
        <v>0</v>
      </c>
      <c r="C86" t="s">
        <v>20</v>
      </c>
      <c r="E86" t="str">
        <f t="shared" si="8"/>
        <v>N</v>
      </c>
      <c r="F86">
        <f t="shared" si="9"/>
        <v>5.5</v>
      </c>
      <c r="H86">
        <v>239</v>
      </c>
      <c r="J86">
        <f t="shared" si="6"/>
        <v>0.87</v>
      </c>
      <c r="K86">
        <v>1.25</v>
      </c>
      <c r="L86">
        <f t="shared" si="11"/>
        <v>1.0416666666666666E-2</v>
      </c>
      <c r="M86" s="54">
        <f t="shared" si="10"/>
        <v>14906.264367816088</v>
      </c>
    </row>
    <row r="87" spans="1:13" x14ac:dyDescent="0.3">
      <c r="A87" t="s">
        <v>230</v>
      </c>
      <c r="B87" t="b">
        <f t="shared" si="7"/>
        <v>0</v>
      </c>
      <c r="C87" t="s">
        <v>20</v>
      </c>
      <c r="E87" t="str">
        <f t="shared" si="8"/>
        <v>N</v>
      </c>
      <c r="F87">
        <f t="shared" si="9"/>
        <v>3.4</v>
      </c>
      <c r="G87">
        <v>130</v>
      </c>
      <c r="H87">
        <v>150</v>
      </c>
      <c r="I87">
        <v>135</v>
      </c>
      <c r="J87">
        <f t="shared" si="6"/>
        <v>0.87</v>
      </c>
      <c r="K87">
        <v>1.25</v>
      </c>
      <c r="L87">
        <f t="shared" si="11"/>
        <v>1.0416666666666666E-2</v>
      </c>
      <c r="M87" s="54">
        <f t="shared" si="10"/>
        <v>9214.781609195401</v>
      </c>
    </row>
    <row r="88" spans="1:13" x14ac:dyDescent="0.3">
      <c r="A88" t="s">
        <v>231</v>
      </c>
      <c r="B88" t="b">
        <f t="shared" si="7"/>
        <v>0</v>
      </c>
      <c r="C88" t="s">
        <v>20</v>
      </c>
      <c r="E88" t="str">
        <f t="shared" si="8"/>
        <v>N</v>
      </c>
      <c r="F88">
        <f t="shared" si="9"/>
        <v>2.2000000000000002</v>
      </c>
      <c r="G88">
        <v>110</v>
      </c>
      <c r="H88">
        <v>95</v>
      </c>
      <c r="I88">
        <v>95</v>
      </c>
      <c r="J88">
        <f t="shared" si="6"/>
        <v>0.87</v>
      </c>
      <c r="K88">
        <v>1.25</v>
      </c>
      <c r="L88">
        <f t="shared" si="11"/>
        <v>1.0416666666666666E-2</v>
      </c>
      <c r="M88" s="54">
        <f t="shared" si="10"/>
        <v>5962.5057471264363</v>
      </c>
    </row>
    <row r="89" spans="1:13" x14ac:dyDescent="0.3">
      <c r="A89" t="s">
        <v>232</v>
      </c>
      <c r="B89" t="b">
        <f t="shared" si="7"/>
        <v>0</v>
      </c>
      <c r="C89" t="s">
        <v>20</v>
      </c>
      <c r="E89" t="str">
        <f t="shared" si="8"/>
        <v>N</v>
      </c>
      <c r="F89">
        <f t="shared" si="9"/>
        <v>6.6</v>
      </c>
      <c r="G89">
        <v>303</v>
      </c>
      <c r="H89">
        <v>289</v>
      </c>
      <c r="I89">
        <v>307</v>
      </c>
      <c r="J89">
        <f t="shared" si="6"/>
        <v>0.87</v>
      </c>
      <c r="K89">
        <v>1.25</v>
      </c>
      <c r="L89">
        <f t="shared" si="11"/>
        <v>1.0416666666666666E-2</v>
      </c>
      <c r="M89" s="54">
        <f t="shared" si="10"/>
        <v>17887.517241379312</v>
      </c>
    </row>
    <row r="90" spans="1:13" x14ac:dyDescent="0.3">
      <c r="A90" t="s">
        <v>233</v>
      </c>
      <c r="B90" t="b">
        <f t="shared" si="7"/>
        <v>0</v>
      </c>
      <c r="C90" t="s">
        <v>20</v>
      </c>
      <c r="E90" t="str">
        <f t="shared" si="8"/>
        <v>N</v>
      </c>
      <c r="F90">
        <f t="shared" si="9"/>
        <v>5.7</v>
      </c>
      <c r="G90">
        <v>205</v>
      </c>
      <c r="H90">
        <v>251</v>
      </c>
      <c r="I90">
        <v>171</v>
      </c>
      <c r="J90">
        <f t="shared" si="6"/>
        <v>0.87</v>
      </c>
      <c r="K90">
        <v>1.25</v>
      </c>
      <c r="L90">
        <f t="shared" si="11"/>
        <v>1.0416666666666666E-2</v>
      </c>
      <c r="M90" s="54">
        <f t="shared" si="10"/>
        <v>15448.310344827585</v>
      </c>
    </row>
    <row r="91" spans="1:13" x14ac:dyDescent="0.3">
      <c r="A91" t="s">
        <v>234</v>
      </c>
      <c r="B91" t="b">
        <f t="shared" si="7"/>
        <v>0</v>
      </c>
      <c r="C91" t="s">
        <v>20</v>
      </c>
      <c r="E91" t="str">
        <f t="shared" si="8"/>
        <v>N</v>
      </c>
      <c r="F91">
        <f t="shared" si="9"/>
        <v>1.6</v>
      </c>
      <c r="G91">
        <v>79</v>
      </c>
      <c r="H91">
        <v>70</v>
      </c>
      <c r="I91">
        <v>75</v>
      </c>
      <c r="J91">
        <f t="shared" si="6"/>
        <v>0.87</v>
      </c>
      <c r="K91">
        <v>1.25</v>
      </c>
      <c r="L91">
        <f t="shared" si="11"/>
        <v>1.0416666666666666E-2</v>
      </c>
      <c r="M91" s="54">
        <f t="shared" si="10"/>
        <v>4336.3678160919544</v>
      </c>
    </row>
    <row r="92" spans="1:13" x14ac:dyDescent="0.3">
      <c r="A92" t="s">
        <v>235</v>
      </c>
      <c r="B92" t="b">
        <f t="shared" si="7"/>
        <v>0</v>
      </c>
      <c r="C92" t="s">
        <v>20</v>
      </c>
      <c r="E92" t="str">
        <f t="shared" si="8"/>
        <v>N</v>
      </c>
      <c r="F92">
        <f t="shared" si="9"/>
        <v>4</v>
      </c>
      <c r="G92">
        <v>165</v>
      </c>
      <c r="H92">
        <v>177</v>
      </c>
      <c r="I92">
        <v>144</v>
      </c>
      <c r="J92">
        <f t="shared" si="6"/>
        <v>0.87</v>
      </c>
      <c r="K92">
        <v>1.25</v>
      </c>
      <c r="L92">
        <f t="shared" si="11"/>
        <v>1.0416666666666666E-2</v>
      </c>
      <c r="M92" s="54">
        <f t="shared" si="10"/>
        <v>10840.919540229885</v>
      </c>
    </row>
    <row r="93" spans="1:13" x14ac:dyDescent="0.3">
      <c r="A93" t="s">
        <v>236</v>
      </c>
      <c r="B93" t="b">
        <f t="shared" si="7"/>
        <v>0</v>
      </c>
      <c r="C93" t="s">
        <v>20</v>
      </c>
      <c r="E93" t="str">
        <f t="shared" si="8"/>
        <v>N</v>
      </c>
      <c r="F93">
        <f t="shared" si="9"/>
        <v>0</v>
      </c>
      <c r="J93">
        <f t="shared" si="6"/>
        <v>0.87</v>
      </c>
      <c r="K93">
        <v>1.25</v>
      </c>
      <c r="L93">
        <f t="shared" si="11"/>
        <v>1.0416666666666666E-2</v>
      </c>
      <c r="M93" s="54">
        <f t="shared" si="10"/>
        <v>0</v>
      </c>
    </row>
    <row r="94" spans="1:13" x14ac:dyDescent="0.3">
      <c r="A94" t="s">
        <v>237</v>
      </c>
      <c r="B94" t="b">
        <f t="shared" si="7"/>
        <v>0</v>
      </c>
      <c r="C94" t="s">
        <v>20</v>
      </c>
      <c r="E94" t="str">
        <f t="shared" si="8"/>
        <v>N</v>
      </c>
      <c r="F94">
        <f t="shared" si="9"/>
        <v>4.5</v>
      </c>
      <c r="G94">
        <v>154</v>
      </c>
      <c r="H94">
        <v>198</v>
      </c>
      <c r="I94">
        <v>189</v>
      </c>
      <c r="J94">
        <f t="shared" si="6"/>
        <v>0.87</v>
      </c>
      <c r="K94">
        <v>1.25</v>
      </c>
      <c r="L94">
        <f t="shared" si="11"/>
        <v>1.0416666666666666E-2</v>
      </c>
      <c r="M94" s="54">
        <f t="shared" si="10"/>
        <v>12196.03448275862</v>
      </c>
    </row>
    <row r="95" spans="1:13" x14ac:dyDescent="0.3">
      <c r="A95" t="s">
        <v>238</v>
      </c>
      <c r="B95" t="b">
        <f t="shared" si="7"/>
        <v>0</v>
      </c>
      <c r="C95" t="s">
        <v>20</v>
      </c>
      <c r="E95" t="str">
        <f t="shared" si="8"/>
        <v>N</v>
      </c>
      <c r="F95">
        <f t="shared" si="9"/>
        <v>4.5</v>
      </c>
      <c r="G95">
        <v>222</v>
      </c>
      <c r="H95">
        <v>196</v>
      </c>
      <c r="I95">
        <v>222</v>
      </c>
      <c r="J95">
        <f t="shared" si="6"/>
        <v>0.87</v>
      </c>
      <c r="K95">
        <v>1.25</v>
      </c>
      <c r="L95">
        <f t="shared" si="11"/>
        <v>1.0416666666666666E-2</v>
      </c>
      <c r="M95" s="54">
        <f t="shared" si="10"/>
        <v>12196.03448275862</v>
      </c>
    </row>
    <row r="97" spans="5:13" x14ac:dyDescent="0.3">
      <c r="E97" s="8" t="s">
        <v>239</v>
      </c>
      <c r="F97" s="8">
        <f>SUM(F2:F95)</f>
        <v>337.60000000000019</v>
      </c>
      <c r="L97" s="14" t="s">
        <v>282</v>
      </c>
      <c r="M97" s="56">
        <f>SUM(M2:M95)</f>
        <v>914973.60919540224</v>
      </c>
    </row>
    <row r="98" spans="5:13" x14ac:dyDescent="0.3">
      <c r="E98" s="8"/>
      <c r="F98" s="8"/>
      <c r="K98" s="10"/>
    </row>
    <row r="99" spans="5:13" x14ac:dyDescent="0.3">
      <c r="E99" s="8"/>
      <c r="F99" s="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6"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refix xmlns="dc463f71-b30c-4ab2-9473-d307f9d35888">UE</Prefix>
    <DocumentSetType xmlns="dc463f71-b30c-4ab2-9473-d307f9d35888">Exhibit - Proposed</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Date1 xmlns="dc463f71-b30c-4ab2-9473-d307f9d35888">2021-06-30T07:00:00+00:00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DelegatedOrder xmlns="dc463f71-b30c-4ab2-9473-d307f9d35888">false</DelegatedOrder>
  </documentManagement>
</p: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AC7B725-27D5-4218-947C-770791377F84}">
  <ds:schemaRefs>
    <ds:schemaRef ds:uri="http://schemas.microsoft.com/sharepoint/v3/contenttype/forms"/>
  </ds:schemaRefs>
</ds:datastoreItem>
</file>

<file path=customXml/itemProps2.xml><?xml version="1.0" encoding="utf-8"?>
<ds:datastoreItem xmlns:ds="http://schemas.openxmlformats.org/officeDocument/2006/customXml" ds:itemID="{F8581688-CD46-45DA-8E07-00A31F947409}">
  <ds:schemaRefs>
    <ds:schemaRef ds:uri="http://schemas.microsoft.com/office/2006/documentManagement/types"/>
    <ds:schemaRef ds:uri="http://schemas.microsoft.com/office/infopath/2007/PartnerControls"/>
    <ds:schemaRef ds:uri="http://purl.org/dc/dcmitype/"/>
    <ds:schemaRef ds:uri="http://www.w3.org/XML/1998/namespace"/>
    <ds:schemaRef ds:uri="http://purl.org/dc/terms/"/>
    <ds:schemaRef ds:uri="http://schemas.microsoft.com/office/2006/metadata/properties"/>
    <ds:schemaRef ds:uri="http://purl.org/dc/elements/1.1/"/>
    <ds:schemaRef ds:uri="http://schemas.openxmlformats.org/package/2006/metadata/core-properties"/>
    <ds:schemaRef ds:uri="cee72a49-0225-498e-9094-e3b3c613a582"/>
  </ds:schemaRefs>
</ds:datastoreItem>
</file>

<file path=customXml/itemProps3.xml><?xml version="1.0" encoding="utf-8"?>
<ds:datastoreItem xmlns:ds="http://schemas.openxmlformats.org/officeDocument/2006/customXml" ds:itemID="{213BB1A6-246E-42CB-BD6C-F8F507E77FE5}"/>
</file>

<file path=customXml/itemProps4.xml><?xml version="1.0" encoding="utf-8"?>
<ds:datastoreItem xmlns:ds="http://schemas.openxmlformats.org/officeDocument/2006/customXml" ds:itemID="{59AECA2C-895C-49A0-8160-7CD0ED3A68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Avoided Costs Reference</vt:lpstr>
      <vt:lpstr>Summary by Year</vt:lpstr>
      <vt:lpstr>Future Grid  Mod</vt:lpstr>
      <vt:lpstr>Grid Mod AMI Augmentation</vt:lpstr>
      <vt:lpstr>X&amp;R Savings</vt:lpstr>
      <vt:lpstr>AE</vt:lpstr>
      <vt:lpstr>AMIVoltDrop</vt:lpstr>
      <vt:lpstr>CBCost</vt:lpstr>
      <vt:lpstr>CBRural</vt:lpstr>
      <vt:lpstr>CBUrban</vt:lpstr>
      <vt:lpstr>CommCell</vt:lpstr>
      <vt:lpstr>CommFAN</vt:lpstr>
      <vt:lpstr>CVRf</vt:lpstr>
      <vt:lpstr>LF</vt:lpstr>
      <vt:lpstr>Life</vt:lpstr>
      <vt:lpstr>Monitor</vt:lpstr>
      <vt:lpstr>'Avoided Costs Reference'!Print_Area</vt:lpstr>
      <vt:lpstr>SubCost</vt:lpstr>
      <vt:lpstr>ViperCost</vt:lpstr>
      <vt:lpstr>ViperRural</vt:lpstr>
      <vt:lpstr>ViperUrban</vt:lpstr>
      <vt:lpstr>XR</vt:lpstr>
    </vt:vector>
  </TitlesOfParts>
  <Company>Avista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Curtis Kirkeby</dc:creator>
  <cp:lastModifiedBy>Author</cp:lastModifiedBy>
  <cp:lastPrinted>2021-06-30T19:44:57Z</cp:lastPrinted>
  <dcterms:created xsi:type="dcterms:W3CDTF">2015-12-09T16:09:52Z</dcterms:created>
  <dcterms:modified xsi:type="dcterms:W3CDTF">2021-06-30T19:45:40Z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ESRI_WORKBOOK_ID">
    <vt:lpwstr>4c2d56212ac840508f311644fc3bd20e</vt:lpwstr>
  </property>
  <property fmtid="{D5CDD505-2E9C-101B-9397-08002B2CF9AE}" pid="4" name="_docset_NoMedatataSyncRequired">
    <vt:lpwstr>False</vt:lpwstr>
  </property>
  <property fmtid="{D5CDD505-2E9C-101B-9397-08002B2CF9AE}" pid="5" name="IsEFSEC">
    <vt:bool>false</vt:bool>
  </property>
</Properties>
</file>