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6632" windowHeight="9552" activeTab="1"/>
  </bookViews>
  <sheets>
    <sheet name="Historical Impl Premiums" sheetId="1" r:id="rId1"/>
    <sheet name="Implied Premiums" sheetId="2" r:id="rId2"/>
    <sheet name="implpremvsriskfre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<sst xmlns="http://schemas.openxmlformats.org/spreadsheetml/2006/main" count="36" uniqueCount="35">
  <si>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</si>
  <si>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</si>
  <si>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</si>
  <si>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</si>
  <si>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</si>
  <si>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</si>
  <si>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</si>
  <si>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</si>
  <si>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</si>
  <si>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</si>
  <si>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</si>
  <si>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</si>
  <si>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</si>
  <si>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</si>
  <si>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</si>
  <si>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</si>
  <si>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</si>
  <si>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</si>
  <si>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</si>
  <si>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</si>
  <si>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</si>
  <si>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</si>
  <si>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</si>
  <si>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</si>
  <si>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</si>
  <si>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Implied Equity Risk Premiums (by year)</t>
  </si>
  <si>
    <t>Period</t>
  </si>
  <si>
    <t>ERP</t>
  </si>
  <si>
    <t>ERP + Riskfree Rate</t>
  </si>
  <si>
    <t>Implied ERP (FCFE)</t>
  </si>
  <si>
    <t>1960-2021</t>
  </si>
  <si>
    <t>2002-2021</t>
  </si>
  <si>
    <t>2012-2021</t>
  </si>
  <si>
    <t>End of 2023</t>
  </si>
  <si>
    <t>https://pages.stern.nyu.edu/~adamodar/New_Home_Page/data.html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</si>
</sst>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Times"/>
      <family val="0"/>
    </font>
    <font>
      <i/>
      <sz val="16"/>
      <color indexed="8"/>
      <name val="Times"/>
      <family val="0"/>
    </font>
    <font>
      <i/>
      <sz val="14"/>
      <color indexed="8"/>
      <name val="Times"/>
      <family val="0"/>
    </font>
    <font>
      <sz val="10.1"/>
      <color indexed="8"/>
      <name val="Times"/>
      <family val="0"/>
    </font>
    <font>
      <sz val="10"/>
      <color indexed="8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7" fillId="0" borderId="10" xfId="59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0" fontId="27" fillId="0" borderId="10" xfId="59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0" fontId="27" fillId="0" borderId="10" xfId="59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1" fontId="27" fillId="0" borderId="14" xfId="0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0" xfId="0" applyFont="1" applyFill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15" fontId="57" fillId="34" borderId="17" xfId="0" applyNumberFormat="1" applyFont="1" applyFill="1" applyBorder="1" applyAlignment="1">
      <alignment horizontal="left"/>
    </xf>
    <xf numFmtId="15" fontId="57" fillId="34" borderId="18" xfId="0" applyNumberFormat="1" applyFont="1" applyFill="1" applyBorder="1" applyAlignment="1">
      <alignment horizontal="left"/>
    </xf>
    <xf numFmtId="15" fontId="57" fillId="34" borderId="19" xfId="0" applyNumberFormat="1" applyFont="1" applyFill="1" applyBorder="1" applyAlignment="1">
      <alignment horizontal="left"/>
    </xf>
    <xf numFmtId="0" fontId="4" fillId="34" borderId="11" xfId="53" applyFill="1" applyBorder="1" applyAlignment="1" applyProtection="1">
      <alignment horizontal="left"/>
      <protection/>
    </xf>
    <xf numFmtId="0" fontId="4" fillId="34" borderId="20" xfId="53" applyFill="1" applyBorder="1" applyAlignment="1" applyProtection="1">
      <alignment horizontal="left"/>
      <protection/>
    </xf>
    <xf numFmtId="0" fontId="4" fillId="34" borderId="21" xfId="53" applyFill="1" applyBorder="1" applyAlignment="1" applyProtection="1">
      <alignment horizontal="left"/>
      <protection/>
    </xf>
    <xf numFmtId="0" fontId="9" fillId="34" borderId="11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15" fontId="4" fillId="34" borderId="11" xfId="53" applyNumberFormat="1" applyFill="1" applyBorder="1" applyAlignment="1" applyProtection="1">
      <alignment horizontal="left"/>
      <protection/>
    </xf>
    <xf numFmtId="15" fontId="4" fillId="34" borderId="20" xfId="53" applyNumberFormat="1" applyFill="1" applyBorder="1" applyAlignment="1" applyProtection="1">
      <alignment horizontal="left"/>
      <protection/>
    </xf>
    <xf numFmtId="15" fontId="4" fillId="34" borderId="21" xfId="53" applyNumberFormat="1" applyFill="1" applyBorder="1" applyAlignment="1" applyProtection="1">
      <alignment horizontal="left"/>
      <protection/>
    </xf>
    <xf numFmtId="0" fontId="4" fillId="34" borderId="11" xfId="53" applyFill="1" applyBorder="1" applyAlignment="1" applyProtection="1">
      <alignment/>
      <protection/>
    </xf>
    <xf numFmtId="0" fontId="4" fillId="34" borderId="20" xfId="53" applyFill="1" applyBorder="1" applyAlignment="1" applyProtection="1">
      <alignment/>
      <protection/>
    </xf>
    <xf numFmtId="0" fontId="4" fillId="34" borderId="21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Implied Equity Risk Premium for US Equity Market: 1960-2022</a:t>
            </a:r>
          </a:p>
        </c:rich>
      </c:tx>
      <c:layout>
        <c:manualLayout>
          <c:xMode val="factor"/>
          <c:yMode val="factor"/>
          <c:x val="0.026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525"/>
          <c:w val="0.96225"/>
          <c:h val="0.767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Premiums'!$A$8:$A$70</c:f>
              <c:num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'Historical Impl Premiums'!$P$8:$P$70</c:f>
              <c:numCache>
                <c:ptCount val="63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  <c:pt idx="59">
                  <c:v>0.052</c:v>
                </c:pt>
                <c:pt idx="60">
                  <c:v>0.0472</c:v>
                </c:pt>
                <c:pt idx="61">
                  <c:v>0.0424</c:v>
                </c:pt>
                <c:pt idx="62">
                  <c:v>0.0594</c:v>
                </c:pt>
              </c:numCache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 val="autoZero"/>
        <c:auto val="0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0.01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525"/>
          <c:w val="0.94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Premiums'!$K$9:$K$70</c:f>
              <c:numCache>
                <c:ptCount val="62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  <c:pt idx="57">
                  <c:v>0.0268</c:v>
                </c:pt>
                <c:pt idx="58">
                  <c:v>0.0192</c:v>
                </c:pt>
                <c:pt idx="59">
                  <c:v>0.0093</c:v>
                </c:pt>
                <c:pt idx="60">
                  <c:v>0.0151</c:v>
                </c:pt>
                <c:pt idx="61">
                  <c:v>0.0388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ERP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Premiums'!$P$9:$P$70</c:f>
              <c:numCache>
                <c:ptCount val="62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  <c:pt idx="57">
                  <c:v>0.0596</c:v>
                </c:pt>
                <c:pt idx="58">
                  <c:v>0.052</c:v>
                </c:pt>
                <c:pt idx="59">
                  <c:v>0.0472</c:v>
                </c:pt>
                <c:pt idx="60">
                  <c:v>0.0424</c:v>
                </c:pt>
                <c:pt idx="61">
                  <c:v>0.0594</c:v>
                </c:pt>
              </c:numCache>
            </c:numRef>
          </c:val>
        </c:ser>
        <c:overlap val="100"/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929"/>
          <c:w val="0.486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0.73425</cdr:y>
    </cdr:from>
    <cdr:to>
      <cdr:x>0.9575</cdr:x>
      <cdr:y>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43400"/>
          <a:ext cx="74390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implied equity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risk premium is what stocks are priced to earn over and above the risk free rate. At the end of 2022, that premium was 5.94%, well above the historical average rate.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0.72025</cdr:y>
    </cdr:from>
    <cdr:to>
      <cdr:x>0.56275</cdr:x>
      <cdr:y>0.74975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800475" y="4257675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0.37025</cdr:x>
      <cdr:y>0.1275</cdr:y>
    </cdr:from>
    <cdr:to>
      <cdr:x>0.989</cdr:x>
      <cdr:y>0.22575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200400" y="752475"/>
          <a:ext cx="5362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Based upon how stocks are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priced, this is the expected annual return for the long term on stocks.</a:t>
          </a:r>
        </a:p>
      </cdr:txBody>
    </cdr:sp>
  </cdr:relSizeAnchor>
  <cdr:relSizeAnchor xmlns:cdr="http://schemas.openxmlformats.org/drawingml/2006/chartDrawing">
    <cdr:from>
      <cdr:x>0.426</cdr:x>
      <cdr:y>0.22475</cdr:y>
    </cdr:from>
    <cdr:to>
      <cdr:x>0.53625</cdr:x>
      <cdr:y>0.309</cdr:y>
    </cdr:to>
    <cdr:sp>
      <cdr:nvSpPr>
        <cdr:cNvPr id="3" name="Line 6"/>
        <cdr:cNvSpPr>
          <a:spLocks/>
        </cdr:cNvSpPr>
      </cdr:nvSpPr>
      <cdr:spPr>
        <a:xfrm flipH="1">
          <a:off x="3686175" y="13239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0.25275</cdr:y>
    </cdr:from>
    <cdr:to>
      <cdr:x>0.975</cdr:x>
      <cdr:y>0.54175</cdr:y>
    </cdr:to>
    <cdr:sp>
      <cdr:nvSpPr>
        <cdr:cNvPr id="4" name="TextBox 1"/>
        <cdr:cNvSpPr txBox="1">
          <a:spLocks noChangeArrowheads="1"/>
        </cdr:cNvSpPr>
      </cdr:nvSpPr>
      <cdr:spPr>
        <a:xfrm>
          <a:off x="5076825" y="1495425"/>
          <a:ext cx="3371850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ERP of 4.24%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 the end of 2021 does not look abnormal, but the expected return on stocks of 5.75% (=1.51%+4.24%) has not been this low in 60 years. By the end of 2022, both the ERP and the risk free rate had risen pushing up rexpected return to 9.82%, the biggest increase in expected return in history.</a:t>
          </a:r>
        </a:p>
      </cdr:txBody>
    </cdr:sp>
  </cdr:relSizeAnchor>
  <cdr:relSizeAnchor xmlns:cdr="http://schemas.openxmlformats.org/drawingml/2006/chartDrawing">
    <cdr:from>
      <cdr:x>0.92125</cdr:x>
      <cdr:y>0.54175</cdr:y>
    </cdr:from>
    <cdr:to>
      <cdr:x>0.94775</cdr:x>
      <cdr:y>0.69175</cdr:y>
    </cdr:to>
    <cdr:sp>
      <cdr:nvSpPr>
        <cdr:cNvPr id="5" name="Straight Arrow Connector 3"/>
        <cdr:cNvSpPr>
          <a:spLocks/>
        </cdr:cNvSpPr>
      </cdr:nvSpPr>
      <cdr:spPr>
        <a:xfrm>
          <a:off x="7981950" y="3200400"/>
          <a:ext cx="228600" cy="885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0.671</cdr:y>
    </cdr:from>
    <cdr:to>
      <cdr:x>0.87275</cdr:x>
      <cdr:y>0.70025</cdr:y>
    </cdr:to>
    <cdr:sp>
      <cdr:nvSpPr>
        <cdr:cNvPr id="6" name="Text Box 3"/>
        <cdr:cNvSpPr txBox="1">
          <a:spLocks noChangeArrowheads="1"/>
        </cdr:cNvSpPr>
      </cdr:nvSpPr>
      <cdr:spPr>
        <a:xfrm>
          <a:off x="6477000" y="3971925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ERP</a:t>
          </a:r>
        </a:p>
      </cdr:txBody>
    </cdr:sp>
  </cdr:relSizeAnchor>
  <cdr:relSizeAnchor xmlns:cdr="http://schemas.openxmlformats.org/drawingml/2006/chartDrawing">
    <cdr:from>
      <cdr:x>0.9355</cdr:x>
      <cdr:y>0.54175</cdr:y>
    </cdr:from>
    <cdr:to>
      <cdr:x>0.9575</cdr:x>
      <cdr:y>0.56425</cdr:y>
    </cdr:to>
    <cdr:sp>
      <cdr:nvSpPr>
        <cdr:cNvPr id="7" name="Straight Arrow Connector 4"/>
        <cdr:cNvSpPr>
          <a:spLocks/>
        </cdr:cNvSpPr>
      </cdr:nvSpPr>
      <cdr:spPr>
        <a:xfrm>
          <a:off x="8105775" y="3200400"/>
          <a:ext cx="190500" cy="1333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70" comment="" totalsRowShown="0">
  <autoFilter ref="A7:R70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ERP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D6" sqref="D6"/>
    </sheetView>
  </sheetViews>
  <sheetFormatPr defaultColWidth="10.625" defaultRowHeight="36" customHeight="1"/>
  <cols>
    <col min="1" max="1" width="13.625" style="4" bestFit="1" customWidth="1"/>
    <col min="2" max="3" width="11.50390625" style="4" customWidth="1"/>
    <col min="4" max="4" width="10.50390625" style="4" bestFit="1" customWidth="1"/>
    <col min="5" max="5" width="9.125" style="4" customWidth="1"/>
    <col min="6" max="6" width="9.625" style="4" customWidth="1"/>
    <col min="7" max="7" width="15.875" style="4" customWidth="1"/>
    <col min="8" max="8" width="15.50390625" style="4" bestFit="1" customWidth="1"/>
    <col min="9" max="9" width="15.00390625" style="4" customWidth="1"/>
    <col min="10" max="10" width="9.50390625" style="4" bestFit="1" customWidth="1"/>
    <col min="11" max="11" width="10.50390625" style="4" customWidth="1"/>
    <col min="12" max="12" width="13.50390625" style="4" bestFit="1" customWidth="1"/>
    <col min="13" max="13" width="18.50390625" style="4" bestFit="1" customWidth="1"/>
    <col min="14" max="14" width="18.375" style="4" bestFit="1" customWidth="1"/>
    <col min="15" max="15" width="18.875" style="4" bestFit="1" customWidth="1"/>
    <col min="16" max="16" width="18.875" style="4" customWidth="1"/>
    <col min="17" max="17" width="31.375" style="4" customWidth="1"/>
    <col min="18" max="18" width="13.875" style="1" customWidth="1"/>
    <col min="19" max="16384" width="10.625" style="1" customWidth="1"/>
  </cols>
  <sheetData>
    <row r="1" spans="1:17" s="51" customFormat="1" ht="15">
      <c r="A1" s="52" t="s">
        <v>18</v>
      </c>
      <c r="B1" s="54">
        <v>43469</v>
      </c>
      <c r="C1" s="55"/>
      <c r="D1" s="55"/>
      <c r="E1" s="55"/>
      <c r="F1" s="55"/>
      <c r="G1" s="56"/>
      <c r="H1" s="49"/>
      <c r="I1" s="49"/>
      <c r="J1" s="49"/>
      <c r="K1" s="50"/>
      <c r="L1" s="50"/>
      <c r="M1" s="50"/>
      <c r="N1" s="50"/>
      <c r="O1" s="50"/>
      <c r="P1" s="50"/>
      <c r="Q1" s="50"/>
    </row>
    <row r="2" spans="1:17" s="51" customFormat="1" ht="15">
      <c r="A2" s="53" t="s">
        <v>19</v>
      </c>
      <c r="B2" s="57" t="s">
        <v>20</v>
      </c>
      <c r="C2" s="58"/>
      <c r="D2" s="58"/>
      <c r="E2" s="58"/>
      <c r="F2" s="58"/>
      <c r="G2" s="59"/>
      <c r="H2" s="49"/>
      <c r="I2" s="49"/>
      <c r="J2" s="49"/>
      <c r="K2" s="50"/>
      <c r="L2" s="50"/>
      <c r="M2" s="50"/>
      <c r="N2" s="50"/>
      <c r="O2" s="50"/>
      <c r="P2" s="50"/>
      <c r="Q2" s="50"/>
    </row>
    <row r="3" spans="1:17" s="51" customFormat="1" ht="15">
      <c r="A3" s="53" t="s">
        <v>21</v>
      </c>
      <c r="B3" s="60" t="s">
        <v>25</v>
      </c>
      <c r="C3" s="61"/>
      <c r="D3" s="61"/>
      <c r="E3" s="62"/>
      <c r="F3" s="63" t="s">
        <v>3</v>
      </c>
      <c r="G3" s="64"/>
      <c r="H3" s="49"/>
      <c r="I3" s="49"/>
      <c r="J3" s="49"/>
      <c r="K3" s="50"/>
      <c r="L3" s="50"/>
      <c r="M3" s="50"/>
      <c r="N3" s="50"/>
      <c r="O3" s="50"/>
      <c r="P3" s="50"/>
      <c r="Q3" s="50"/>
    </row>
    <row r="4" spans="1:17" s="51" customFormat="1" ht="15">
      <c r="A4" s="53" t="s">
        <v>22</v>
      </c>
      <c r="B4" s="65" t="s">
        <v>23</v>
      </c>
      <c r="C4" s="66"/>
      <c r="D4" s="66"/>
      <c r="E4" s="66"/>
      <c r="F4" s="66"/>
      <c r="G4" s="67"/>
      <c r="H4" s="49"/>
      <c r="I4" s="49"/>
      <c r="J4" s="49"/>
      <c r="K4" s="50"/>
      <c r="L4" s="50"/>
      <c r="M4" s="50"/>
      <c r="N4" s="50"/>
      <c r="O4" s="50"/>
      <c r="P4" s="50"/>
      <c r="Q4" s="50"/>
    </row>
    <row r="5" spans="1:17" s="51" customFormat="1" ht="15">
      <c r="A5" s="53" t="s">
        <v>24</v>
      </c>
      <c r="B5" s="68" t="s">
        <v>34</v>
      </c>
      <c r="C5" s="69"/>
      <c r="D5" s="69"/>
      <c r="E5" s="69"/>
      <c r="F5" s="69"/>
      <c r="G5" s="70"/>
      <c r="H5" s="49"/>
      <c r="I5" s="49"/>
      <c r="J5" s="49"/>
      <c r="K5" s="50"/>
      <c r="L5" s="50"/>
      <c r="M5" s="50"/>
      <c r="N5" s="50"/>
      <c r="O5" s="50"/>
      <c r="P5" s="50"/>
      <c r="Q5" s="50"/>
    </row>
    <row r="7" spans="1:18" s="6" customFormat="1" ht="27">
      <c r="A7" s="33" t="s">
        <v>0</v>
      </c>
      <c r="B7" s="33" t="s">
        <v>1</v>
      </c>
      <c r="C7" s="33" t="s">
        <v>2</v>
      </c>
      <c r="D7" s="33" t="s">
        <v>3</v>
      </c>
      <c r="E7" s="33" t="s">
        <v>13</v>
      </c>
      <c r="F7" s="33" t="s">
        <v>14</v>
      </c>
      <c r="G7" s="33" t="s">
        <v>17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4" t="s">
        <v>9</v>
      </c>
      <c r="N7" s="33" t="s">
        <v>10</v>
      </c>
      <c r="O7" s="35" t="s">
        <v>11</v>
      </c>
      <c r="P7" s="35" t="s">
        <v>29</v>
      </c>
      <c r="Q7" s="36" t="s">
        <v>16</v>
      </c>
      <c r="R7" s="37" t="s">
        <v>12</v>
      </c>
    </row>
    <row r="8" spans="1:18" s="7" customFormat="1" ht="13.5">
      <c r="A8" s="14">
        <v>1960</v>
      </c>
      <c r="B8" s="15">
        <v>0.0534</v>
      </c>
      <c r="C8" s="15">
        <v>0.0341</v>
      </c>
      <c r="D8" s="14">
        <v>58.11</v>
      </c>
      <c r="E8" s="16">
        <v>3.103074</v>
      </c>
      <c r="F8" s="16">
        <f aca="true" t="shared" si="0" ref="F8:F41">C8*D8</f>
        <v>1.9815509999999998</v>
      </c>
      <c r="G8" s="16"/>
      <c r="H8" s="14"/>
      <c r="I8" s="14"/>
      <c r="J8" s="17">
        <v>0.0266</v>
      </c>
      <c r="K8" s="17">
        <v>0.0276</v>
      </c>
      <c r="L8" s="17">
        <f>K8-J8</f>
        <v>0.0010000000000000009</v>
      </c>
      <c r="M8" s="17">
        <f aca="true" t="shared" si="1" ref="M8:M43">K8*(1/K8)/(((1-(1+K8)^(-5))/K8)+1/K8)+I8*((1-(1+K8)^(-5))/K8)/(((1-(1+K8)^(-5))/K8)+1/K8)</f>
        <v>0.02448391348557358</v>
      </c>
      <c r="N8" s="15"/>
      <c r="O8" s="15"/>
      <c r="P8" s="15"/>
      <c r="Q8" s="15"/>
      <c r="R8" s="30"/>
    </row>
    <row r="9" spans="1:18" s="7" customFormat="1" ht="13.5">
      <c r="A9" s="14">
        <v>1961</v>
      </c>
      <c r="B9" s="15">
        <v>0.0471</v>
      </c>
      <c r="C9" s="15">
        <v>0.0285</v>
      </c>
      <c r="D9" s="14">
        <v>71.55</v>
      </c>
      <c r="E9" s="16">
        <v>3.370005</v>
      </c>
      <c r="F9" s="16">
        <f t="shared" si="0"/>
        <v>2.039175</v>
      </c>
      <c r="G9" s="16"/>
      <c r="H9" s="17">
        <f aca="true" t="shared" si="2" ref="H9:H40">E9/E8-1</f>
        <v>0.08602147418978734</v>
      </c>
      <c r="I9" s="17">
        <f aca="true" t="shared" si="3" ref="I9:I40">F9/F8-1</f>
        <v>0.029080250773258154</v>
      </c>
      <c r="J9" s="17">
        <v>0.0213</v>
      </c>
      <c r="K9" s="17">
        <v>0.0235</v>
      </c>
      <c r="L9" s="17">
        <f aca="true" t="shared" si="4" ref="L9:L50">K9-J9</f>
        <v>0.0022000000000000006</v>
      </c>
      <c r="M9" s="17">
        <f t="shared" si="1"/>
        <v>0.024051412136228283</v>
      </c>
      <c r="N9" s="15">
        <v>0.0292</v>
      </c>
      <c r="O9" s="15"/>
      <c r="P9" s="15">
        <f aca="true" t="shared" si="5" ref="P9:P32">N9</f>
        <v>0.0292</v>
      </c>
      <c r="Q9" s="15"/>
      <c r="R9" s="31">
        <f>P9/K9</f>
        <v>1.2425531914893617</v>
      </c>
    </row>
    <row r="10" spans="1:18" s="7" customFormat="1" ht="13.5">
      <c r="A10" s="14">
        <v>1962</v>
      </c>
      <c r="B10" s="15">
        <v>0.0581</v>
      </c>
      <c r="C10" s="15">
        <v>0.034</v>
      </c>
      <c r="D10" s="14">
        <v>63.1</v>
      </c>
      <c r="E10" s="16">
        <v>3.66611</v>
      </c>
      <c r="F10" s="16">
        <f t="shared" si="0"/>
        <v>2.1454000000000004</v>
      </c>
      <c r="G10" s="16"/>
      <c r="H10" s="17">
        <f t="shared" si="2"/>
        <v>0.08786485479991879</v>
      </c>
      <c r="I10" s="17">
        <f t="shared" si="3"/>
        <v>0.05209214510770299</v>
      </c>
      <c r="J10" s="17">
        <v>0.0273</v>
      </c>
      <c r="K10" s="15">
        <v>0.0385</v>
      </c>
      <c r="L10" s="17">
        <f t="shared" si="4"/>
        <v>0.011199999999999998</v>
      </c>
      <c r="M10" s="17">
        <f t="shared" si="1"/>
        <v>0.0404959370223181</v>
      </c>
      <c r="N10" s="15">
        <v>0.0356</v>
      </c>
      <c r="O10" s="15"/>
      <c r="P10" s="15">
        <f t="shared" si="5"/>
        <v>0.0356</v>
      </c>
      <c r="Q10" s="15"/>
      <c r="R10" s="31">
        <f aca="true" t="shared" si="6" ref="R10:R70">P10/K10</f>
        <v>0.9246753246753247</v>
      </c>
    </row>
    <row r="11" spans="1:18" s="7" customFormat="1" ht="13.5">
      <c r="A11" s="14">
        <v>1963</v>
      </c>
      <c r="B11" s="15">
        <v>0.0551</v>
      </c>
      <c r="C11" s="15">
        <v>0.0313</v>
      </c>
      <c r="D11" s="14">
        <v>75.02</v>
      </c>
      <c r="E11" s="16">
        <v>4.133602</v>
      </c>
      <c r="F11" s="16">
        <f t="shared" si="0"/>
        <v>2.348126</v>
      </c>
      <c r="G11" s="16"/>
      <c r="H11" s="17">
        <f t="shared" si="2"/>
        <v>0.12751717760787318</v>
      </c>
      <c r="I11" s="17">
        <f t="shared" si="3"/>
        <v>0.0944933345763026</v>
      </c>
      <c r="J11" s="17">
        <v>0.0312</v>
      </c>
      <c r="K11" s="15">
        <v>0.0414</v>
      </c>
      <c r="L11" s="17">
        <f t="shared" si="4"/>
        <v>0.0102</v>
      </c>
      <c r="M11" s="17">
        <f t="shared" si="1"/>
        <v>0.049635185632241924</v>
      </c>
      <c r="N11" s="15">
        <v>0.0338</v>
      </c>
      <c r="O11" s="15"/>
      <c r="P11" s="15">
        <f t="shared" si="5"/>
        <v>0.0338</v>
      </c>
      <c r="Q11" s="15"/>
      <c r="R11" s="31">
        <f t="shared" si="6"/>
        <v>0.8164251207729468</v>
      </c>
    </row>
    <row r="12" spans="1:18" s="7" customFormat="1" ht="13.5">
      <c r="A12" s="14">
        <v>1964</v>
      </c>
      <c r="B12" s="15">
        <v>0.0562</v>
      </c>
      <c r="C12" s="15">
        <v>0.0305</v>
      </c>
      <c r="D12" s="14">
        <v>84.75</v>
      </c>
      <c r="E12" s="16">
        <v>4.76295</v>
      </c>
      <c r="F12" s="16">
        <f t="shared" si="0"/>
        <v>2.584875</v>
      </c>
      <c r="G12" s="16"/>
      <c r="H12" s="17">
        <f t="shared" si="2"/>
        <v>0.1522517165416506</v>
      </c>
      <c r="I12" s="17">
        <f t="shared" si="3"/>
        <v>0.10082465762058757</v>
      </c>
      <c r="J12" s="17">
        <v>0.0354</v>
      </c>
      <c r="K12" s="15">
        <v>0.0421</v>
      </c>
      <c r="L12" s="17">
        <f t="shared" si="4"/>
        <v>0.006699999999999998</v>
      </c>
      <c r="M12" s="17">
        <f t="shared" si="1"/>
        <v>0.051323174002281396</v>
      </c>
      <c r="N12" s="15">
        <v>0.0331</v>
      </c>
      <c r="O12" s="15"/>
      <c r="P12" s="15">
        <f t="shared" si="5"/>
        <v>0.0331</v>
      </c>
      <c r="Q12" s="15"/>
      <c r="R12" s="31">
        <f t="shared" si="6"/>
        <v>0.7862232779097387</v>
      </c>
    </row>
    <row r="13" spans="1:18" s="7" customFormat="1" ht="13.5">
      <c r="A13" s="14">
        <v>1965</v>
      </c>
      <c r="B13" s="15">
        <v>0.0573</v>
      </c>
      <c r="C13" s="15">
        <v>0.0306</v>
      </c>
      <c r="D13" s="14">
        <v>92.43</v>
      </c>
      <c r="E13" s="16">
        <v>5.296239</v>
      </c>
      <c r="F13" s="16">
        <f t="shared" si="0"/>
        <v>2.828358</v>
      </c>
      <c r="G13" s="16"/>
      <c r="H13" s="17">
        <f t="shared" si="2"/>
        <v>0.11196611343810026</v>
      </c>
      <c r="I13" s="17">
        <f t="shared" si="3"/>
        <v>0.09419527056434074</v>
      </c>
      <c r="J13" s="17">
        <v>0.0393</v>
      </c>
      <c r="K13" s="15">
        <v>0.0465</v>
      </c>
      <c r="L13" s="17">
        <f t="shared" si="4"/>
        <v>0.007199999999999998</v>
      </c>
      <c r="M13" s="17">
        <f t="shared" si="1"/>
        <v>0.05455766862634297</v>
      </c>
      <c r="N13" s="15">
        <v>0.0332</v>
      </c>
      <c r="O13" s="15"/>
      <c r="P13" s="15">
        <f t="shared" si="5"/>
        <v>0.0332</v>
      </c>
      <c r="Q13" s="15"/>
      <c r="R13" s="31">
        <f t="shared" si="6"/>
        <v>0.7139784946236559</v>
      </c>
    </row>
    <row r="14" spans="1:18" s="7" customFormat="1" ht="13.5">
      <c r="A14" s="14">
        <v>1966</v>
      </c>
      <c r="B14" s="15">
        <v>0.0674</v>
      </c>
      <c r="C14" s="15">
        <v>0.0359</v>
      </c>
      <c r="D14" s="14">
        <v>80.33</v>
      </c>
      <c r="E14" s="16">
        <v>5.414242</v>
      </c>
      <c r="F14" s="16">
        <f t="shared" si="0"/>
        <v>2.883847</v>
      </c>
      <c r="G14" s="16"/>
      <c r="H14" s="17">
        <f t="shared" si="2"/>
        <v>0.022280527748086865</v>
      </c>
      <c r="I14" s="17">
        <f t="shared" si="3"/>
        <v>0.01961880356022805</v>
      </c>
      <c r="J14" s="17">
        <v>0.0476</v>
      </c>
      <c r="K14" s="15">
        <v>0.0464</v>
      </c>
      <c r="L14" s="17">
        <f t="shared" si="4"/>
        <v>-0.0012000000000000066</v>
      </c>
      <c r="M14" s="17">
        <f t="shared" si="1"/>
        <v>0.041882613199841295</v>
      </c>
      <c r="N14" s="15">
        <v>0.0368</v>
      </c>
      <c r="O14" s="15"/>
      <c r="P14" s="15">
        <f t="shared" si="5"/>
        <v>0.0368</v>
      </c>
      <c r="Q14" s="15"/>
      <c r="R14" s="31">
        <f t="shared" si="6"/>
        <v>0.7931034482758621</v>
      </c>
    </row>
    <row r="15" spans="1:18" s="7" customFormat="1" ht="13.5">
      <c r="A15" s="14">
        <v>1967</v>
      </c>
      <c r="B15" s="15">
        <v>0.0566</v>
      </c>
      <c r="C15" s="15">
        <v>0.0309</v>
      </c>
      <c r="D15" s="14">
        <v>96.47</v>
      </c>
      <c r="E15" s="16">
        <v>5.460202</v>
      </c>
      <c r="F15" s="16">
        <f t="shared" si="0"/>
        <v>2.980923</v>
      </c>
      <c r="G15" s="16"/>
      <c r="H15" s="17">
        <f t="shared" si="2"/>
        <v>0.008488722890480416</v>
      </c>
      <c r="I15" s="17">
        <f t="shared" si="3"/>
        <v>0.03366197998714915</v>
      </c>
      <c r="J15" s="17">
        <v>0.0421</v>
      </c>
      <c r="K15" s="15">
        <v>0.057</v>
      </c>
      <c r="L15" s="17">
        <f t="shared" si="4"/>
        <v>0.014900000000000004</v>
      </c>
      <c r="M15" s="17">
        <f t="shared" si="1"/>
        <v>0.05245149083111149</v>
      </c>
      <c r="N15" s="15">
        <v>0.032</v>
      </c>
      <c r="O15" s="15"/>
      <c r="P15" s="15">
        <f t="shared" si="5"/>
        <v>0.032</v>
      </c>
      <c r="Q15" s="15"/>
      <c r="R15" s="31">
        <f t="shared" si="6"/>
        <v>0.5614035087719298</v>
      </c>
    </row>
    <row r="16" spans="1:18" s="7" customFormat="1" ht="13.5">
      <c r="A16" s="14">
        <v>1968</v>
      </c>
      <c r="B16" s="15">
        <v>0.0551</v>
      </c>
      <c r="C16" s="15">
        <v>0.0293</v>
      </c>
      <c r="D16" s="14">
        <v>103.86</v>
      </c>
      <c r="E16" s="16">
        <v>5.722686</v>
      </c>
      <c r="F16" s="16">
        <f t="shared" si="0"/>
        <v>3.043098</v>
      </c>
      <c r="G16" s="16"/>
      <c r="H16" s="17">
        <f t="shared" si="2"/>
        <v>0.04807221417815688</v>
      </c>
      <c r="I16" s="17">
        <f t="shared" si="3"/>
        <v>0.02085763369265159</v>
      </c>
      <c r="J16" s="17">
        <v>0.0521</v>
      </c>
      <c r="K16" s="15">
        <v>0.0616</v>
      </c>
      <c r="L16" s="17">
        <f t="shared" si="4"/>
        <v>0.009500000000000001</v>
      </c>
      <c r="M16" s="17">
        <f t="shared" si="1"/>
        <v>0.053235088299720575</v>
      </c>
      <c r="N16" s="15">
        <v>0.03</v>
      </c>
      <c r="O16" s="15"/>
      <c r="P16" s="15">
        <f t="shared" si="5"/>
        <v>0.03</v>
      </c>
      <c r="Q16" s="15"/>
      <c r="R16" s="31">
        <f t="shared" si="6"/>
        <v>0.48701298701298695</v>
      </c>
    </row>
    <row r="17" spans="1:18" s="7" customFormat="1" ht="13.5">
      <c r="A17" s="14">
        <v>1969</v>
      </c>
      <c r="B17" s="15">
        <v>0.0663</v>
      </c>
      <c r="C17" s="15">
        <v>0.0352</v>
      </c>
      <c r="D17" s="14">
        <v>92.06</v>
      </c>
      <c r="E17" s="16">
        <v>6.103578</v>
      </c>
      <c r="F17" s="16">
        <f t="shared" si="0"/>
        <v>3.2405120000000003</v>
      </c>
      <c r="G17" s="16"/>
      <c r="H17" s="17">
        <f t="shared" si="2"/>
        <v>0.06655825603571452</v>
      </c>
      <c r="I17" s="17">
        <f t="shared" si="3"/>
        <v>0.06487270538116108</v>
      </c>
      <c r="J17" s="17">
        <v>0.0658</v>
      </c>
      <c r="K17" s="15">
        <v>0.0788</v>
      </c>
      <c r="L17" s="17">
        <f t="shared" si="4"/>
        <v>0.012999999999999998</v>
      </c>
      <c r="M17" s="17">
        <f t="shared" si="1"/>
        <v>0.07545878744329677</v>
      </c>
      <c r="N17" s="15">
        <v>0.0374</v>
      </c>
      <c r="O17" s="15"/>
      <c r="P17" s="15">
        <f t="shared" si="5"/>
        <v>0.0374</v>
      </c>
      <c r="Q17" s="15"/>
      <c r="R17" s="31">
        <f t="shared" si="6"/>
        <v>0.4746192893401016</v>
      </c>
    </row>
    <row r="18" spans="1:18" s="7" customFormat="1" ht="13.5">
      <c r="A18" s="14">
        <v>1970</v>
      </c>
      <c r="B18" s="15">
        <v>0.0598</v>
      </c>
      <c r="C18" s="15">
        <v>0.0346</v>
      </c>
      <c r="D18" s="14">
        <v>92.15</v>
      </c>
      <c r="E18" s="16">
        <v>5.51057</v>
      </c>
      <c r="F18" s="16">
        <f t="shared" si="0"/>
        <v>3.18839</v>
      </c>
      <c r="G18" s="16"/>
      <c r="H18" s="17">
        <f t="shared" si="2"/>
        <v>-0.09715743781762098</v>
      </c>
      <c r="I18" s="17">
        <f t="shared" si="3"/>
        <v>-0.016084495289633294</v>
      </c>
      <c r="J18" s="17">
        <v>0.0653</v>
      </c>
      <c r="K18" s="15">
        <v>0.065</v>
      </c>
      <c r="L18" s="17">
        <f t="shared" si="4"/>
        <v>-0.0002999999999999947</v>
      </c>
      <c r="M18" s="17">
        <f t="shared" si="1"/>
        <v>0.04775557391106344</v>
      </c>
      <c r="N18" s="15">
        <v>0.0341</v>
      </c>
      <c r="O18" s="15"/>
      <c r="P18" s="15">
        <f t="shared" si="5"/>
        <v>0.0341</v>
      </c>
      <c r="Q18" s="15"/>
      <c r="R18" s="31">
        <f t="shared" si="6"/>
        <v>0.5246153846153846</v>
      </c>
    </row>
    <row r="19" spans="1:18" s="7" customFormat="1" ht="13.5">
      <c r="A19" s="14">
        <v>1971</v>
      </c>
      <c r="B19" s="15">
        <v>0.0546</v>
      </c>
      <c r="C19" s="15">
        <v>0.031</v>
      </c>
      <c r="D19" s="14">
        <v>102.09</v>
      </c>
      <c r="E19" s="16">
        <v>5.574114</v>
      </c>
      <c r="F19" s="16">
        <f t="shared" si="0"/>
        <v>3.16479</v>
      </c>
      <c r="G19" s="16"/>
      <c r="H19" s="17">
        <f t="shared" si="2"/>
        <v>0.011531293495953943</v>
      </c>
      <c r="I19" s="17">
        <f t="shared" si="3"/>
        <v>-0.007401854854644507</v>
      </c>
      <c r="J19" s="17">
        <v>0.0439</v>
      </c>
      <c r="K19" s="15">
        <v>0.0589</v>
      </c>
      <c r="L19" s="17">
        <f t="shared" si="4"/>
        <v>0.015</v>
      </c>
      <c r="M19" s="17">
        <f t="shared" si="1"/>
        <v>0.04568836822864536</v>
      </c>
      <c r="N19" s="15">
        <v>0.0309</v>
      </c>
      <c r="O19" s="15"/>
      <c r="P19" s="15">
        <f t="shared" si="5"/>
        <v>0.0309</v>
      </c>
      <c r="Q19" s="15"/>
      <c r="R19" s="31">
        <f t="shared" si="6"/>
        <v>0.5246179966044142</v>
      </c>
    </row>
    <row r="20" spans="1:18" s="7" customFormat="1" ht="13.5">
      <c r="A20" s="14">
        <v>1972</v>
      </c>
      <c r="B20" s="15">
        <v>0.0523</v>
      </c>
      <c r="C20" s="15">
        <v>0.027</v>
      </c>
      <c r="D20" s="14">
        <v>118.05</v>
      </c>
      <c r="E20" s="16">
        <v>6.174015</v>
      </c>
      <c r="F20" s="16">
        <f t="shared" si="0"/>
        <v>3.18735</v>
      </c>
      <c r="G20" s="16"/>
      <c r="H20" s="17">
        <f t="shared" si="2"/>
        <v>0.10762266433732792</v>
      </c>
      <c r="I20" s="17">
        <f t="shared" si="3"/>
        <v>0.007128435062041971</v>
      </c>
      <c r="J20" s="17">
        <v>0.0384</v>
      </c>
      <c r="K20" s="15">
        <v>0.0641</v>
      </c>
      <c r="L20" s="17">
        <f t="shared" si="4"/>
        <v>0.025700000000000008</v>
      </c>
      <c r="M20" s="17">
        <f t="shared" si="1"/>
        <v>0.05209318347222325</v>
      </c>
      <c r="N20" s="15">
        <v>0.0272</v>
      </c>
      <c r="O20" s="15"/>
      <c r="P20" s="15">
        <f t="shared" si="5"/>
        <v>0.0272</v>
      </c>
      <c r="Q20" s="15"/>
      <c r="R20" s="31">
        <f t="shared" si="6"/>
        <v>0.4243369734789391</v>
      </c>
    </row>
    <row r="21" spans="1:18" s="7" customFormat="1" ht="13.5">
      <c r="A21" s="14">
        <v>1973</v>
      </c>
      <c r="B21" s="15">
        <v>0.0816</v>
      </c>
      <c r="C21" s="15">
        <v>0.037</v>
      </c>
      <c r="D21" s="14">
        <v>97.55</v>
      </c>
      <c r="E21" s="16">
        <v>7.96008</v>
      </c>
      <c r="F21" s="16">
        <f t="shared" si="0"/>
        <v>3.6093499999999996</v>
      </c>
      <c r="G21" s="16"/>
      <c r="H21" s="17">
        <f t="shared" si="2"/>
        <v>0.28928744099261183</v>
      </c>
      <c r="I21" s="17">
        <f t="shared" si="3"/>
        <v>0.13239838737509202</v>
      </c>
      <c r="J21" s="17">
        <v>0.0693</v>
      </c>
      <c r="K21" s="15">
        <v>0.069</v>
      </c>
      <c r="L21" s="17">
        <f t="shared" si="4"/>
        <v>-0.0002999999999999947</v>
      </c>
      <c r="M21" s="17">
        <f t="shared" si="1"/>
        <v>0.08301010871405631</v>
      </c>
      <c r="N21" s="15">
        <v>0.043</v>
      </c>
      <c r="O21" s="15"/>
      <c r="P21" s="15">
        <f t="shared" si="5"/>
        <v>0.043</v>
      </c>
      <c r="Q21" s="15"/>
      <c r="R21" s="31">
        <f t="shared" si="6"/>
        <v>0.6231884057971013</v>
      </c>
    </row>
    <row r="22" spans="1:18" s="7" customFormat="1" ht="13.5">
      <c r="A22" s="14">
        <v>1974</v>
      </c>
      <c r="B22" s="15">
        <v>0.1364</v>
      </c>
      <c r="C22" s="15">
        <v>0.0543</v>
      </c>
      <c r="D22" s="14">
        <v>68.56</v>
      </c>
      <c r="E22" s="16">
        <v>9.351584</v>
      </c>
      <c r="F22" s="16">
        <f t="shared" si="0"/>
        <v>3.722808</v>
      </c>
      <c r="G22" s="16"/>
      <c r="H22" s="17">
        <f t="shared" si="2"/>
        <v>0.17481030341403625</v>
      </c>
      <c r="I22" s="17">
        <f t="shared" si="3"/>
        <v>0.031434468810173755</v>
      </c>
      <c r="J22" s="17">
        <v>0.08</v>
      </c>
      <c r="K22" s="15">
        <v>0.074</v>
      </c>
      <c r="L22" s="17">
        <f t="shared" si="4"/>
        <v>-0.006000000000000005</v>
      </c>
      <c r="M22" s="17">
        <f t="shared" si="1"/>
        <v>0.06417233741053695</v>
      </c>
      <c r="N22" s="15">
        <v>0.0559</v>
      </c>
      <c r="O22" s="15"/>
      <c r="P22" s="15">
        <f t="shared" si="5"/>
        <v>0.0559</v>
      </c>
      <c r="Q22" s="15"/>
      <c r="R22" s="31">
        <f t="shared" si="6"/>
        <v>0.7554054054054055</v>
      </c>
    </row>
    <row r="23" spans="1:18" s="7" customFormat="1" ht="13.5">
      <c r="A23" s="14">
        <v>1975</v>
      </c>
      <c r="B23" s="15">
        <v>0.0855</v>
      </c>
      <c r="C23" s="15">
        <v>0.0414</v>
      </c>
      <c r="D23" s="14">
        <v>90.19</v>
      </c>
      <c r="E23" s="16">
        <v>7.711245</v>
      </c>
      <c r="F23" s="16">
        <f t="shared" si="0"/>
        <v>3.733866</v>
      </c>
      <c r="G23" s="16"/>
      <c r="H23" s="17">
        <f t="shared" si="2"/>
        <v>-0.17540761009044037</v>
      </c>
      <c r="I23" s="17">
        <f t="shared" si="3"/>
        <v>0.002970338518666571</v>
      </c>
      <c r="J23" s="17">
        <v>0.058</v>
      </c>
      <c r="K23" s="15">
        <v>0.0776</v>
      </c>
      <c r="L23" s="17">
        <f t="shared" si="4"/>
        <v>0.0196</v>
      </c>
      <c r="M23" s="17">
        <f t="shared" si="1"/>
        <v>0.05986119743280912</v>
      </c>
      <c r="N23" s="15">
        <v>0.0413</v>
      </c>
      <c r="O23" s="15"/>
      <c r="P23" s="15">
        <f t="shared" si="5"/>
        <v>0.0413</v>
      </c>
      <c r="Q23" s="15"/>
      <c r="R23" s="31">
        <f t="shared" si="6"/>
        <v>0.5322164948453608</v>
      </c>
    </row>
    <row r="24" spans="1:18" s="7" customFormat="1" ht="13.5">
      <c r="A24" s="14">
        <v>1976</v>
      </c>
      <c r="B24" s="15">
        <v>0.0907</v>
      </c>
      <c r="C24" s="15">
        <v>0.0393</v>
      </c>
      <c r="D24" s="14">
        <v>107.46</v>
      </c>
      <c r="E24" s="16">
        <v>9.746622</v>
      </c>
      <c r="F24" s="16">
        <f t="shared" si="0"/>
        <v>4.223178</v>
      </c>
      <c r="G24" s="16"/>
      <c r="H24" s="17">
        <f t="shared" si="2"/>
        <v>0.2639492066456195</v>
      </c>
      <c r="I24" s="17">
        <f t="shared" si="3"/>
        <v>0.13104701668458385</v>
      </c>
      <c r="J24" s="17">
        <v>0.0508</v>
      </c>
      <c r="K24" s="15">
        <v>0.0681</v>
      </c>
      <c r="L24" s="17">
        <f t="shared" si="4"/>
        <v>0.017299999999999996</v>
      </c>
      <c r="M24" s="17">
        <f t="shared" si="1"/>
        <v>0.08189460886606655</v>
      </c>
      <c r="N24" s="15">
        <v>0.0455</v>
      </c>
      <c r="O24" s="15"/>
      <c r="P24" s="15">
        <f t="shared" si="5"/>
        <v>0.0455</v>
      </c>
      <c r="Q24" s="15"/>
      <c r="R24" s="31">
        <f t="shared" si="6"/>
        <v>0.6681350954478709</v>
      </c>
    </row>
    <row r="25" spans="1:18" s="7" customFormat="1" ht="13.5">
      <c r="A25" s="14">
        <v>1977</v>
      </c>
      <c r="B25" s="15">
        <v>0.1143</v>
      </c>
      <c r="C25" s="15">
        <v>0.0511</v>
      </c>
      <c r="D25" s="14">
        <v>95.1</v>
      </c>
      <c r="E25" s="16">
        <v>10.86993</v>
      </c>
      <c r="F25" s="16">
        <f t="shared" si="0"/>
        <v>4.85961</v>
      </c>
      <c r="G25" s="16"/>
      <c r="H25" s="17">
        <f t="shared" si="2"/>
        <v>0.11525100696425894</v>
      </c>
      <c r="I25" s="17">
        <f t="shared" si="3"/>
        <v>0.15069978106534943</v>
      </c>
      <c r="J25" s="17">
        <v>0.0512</v>
      </c>
      <c r="K25" s="15">
        <v>0.0778</v>
      </c>
      <c r="L25" s="17">
        <f t="shared" si="4"/>
        <v>0.02659999999999999</v>
      </c>
      <c r="M25" s="17">
        <f t="shared" si="1"/>
        <v>0.09515465197057461</v>
      </c>
      <c r="N25" s="15">
        <v>0.0592</v>
      </c>
      <c r="O25" s="15"/>
      <c r="P25" s="15">
        <f t="shared" si="5"/>
        <v>0.0592</v>
      </c>
      <c r="Q25" s="15"/>
      <c r="R25" s="31">
        <f t="shared" si="6"/>
        <v>0.7609254498714654</v>
      </c>
    </row>
    <row r="26" spans="1:18" s="7" customFormat="1" ht="13.5">
      <c r="A26" s="14">
        <v>1978</v>
      </c>
      <c r="B26" s="15">
        <v>0.1211</v>
      </c>
      <c r="C26" s="15">
        <v>0.0539</v>
      </c>
      <c r="D26" s="14">
        <v>96.11</v>
      </c>
      <c r="E26" s="16">
        <v>11.638921</v>
      </c>
      <c r="F26" s="16">
        <f t="shared" si="0"/>
        <v>5.180329</v>
      </c>
      <c r="G26" s="16"/>
      <c r="H26" s="17">
        <f t="shared" si="2"/>
        <v>0.07074479780458565</v>
      </c>
      <c r="I26" s="17">
        <f t="shared" si="3"/>
        <v>0.06599685983031578</v>
      </c>
      <c r="J26" s="17">
        <v>0.0718</v>
      </c>
      <c r="K26" s="15">
        <v>0.0915</v>
      </c>
      <c r="L26" s="17">
        <f t="shared" si="4"/>
        <v>0.019699999999999995</v>
      </c>
      <c r="M26" s="17">
        <f t="shared" si="1"/>
        <v>0.08482500445602907</v>
      </c>
      <c r="N26" s="15">
        <v>0.0572</v>
      </c>
      <c r="O26" s="15"/>
      <c r="P26" s="15">
        <f t="shared" si="5"/>
        <v>0.0572</v>
      </c>
      <c r="Q26" s="15"/>
      <c r="R26" s="31">
        <f t="shared" si="6"/>
        <v>0.625136612021858</v>
      </c>
    </row>
    <row r="27" spans="1:18" s="7" customFormat="1" ht="13.5">
      <c r="A27" s="14">
        <v>1979</v>
      </c>
      <c r="B27" s="15">
        <v>0.1348</v>
      </c>
      <c r="C27" s="15">
        <v>0.0553</v>
      </c>
      <c r="D27" s="14">
        <v>107.94</v>
      </c>
      <c r="E27" s="16">
        <v>14.550312</v>
      </c>
      <c r="F27" s="16">
        <f t="shared" si="0"/>
        <v>5.969082</v>
      </c>
      <c r="G27" s="16"/>
      <c r="H27" s="17">
        <f t="shared" si="2"/>
        <v>0.25014268934379746</v>
      </c>
      <c r="I27" s="17">
        <f t="shared" si="3"/>
        <v>0.1522592483990881</v>
      </c>
      <c r="J27" s="17">
        <v>0.1038</v>
      </c>
      <c r="K27" s="15">
        <v>0.1033</v>
      </c>
      <c r="L27" s="17">
        <f t="shared" si="4"/>
        <v>-0.0005000000000000004</v>
      </c>
      <c r="M27" s="17">
        <f t="shared" si="1"/>
        <v>0.11699387204372322</v>
      </c>
      <c r="N27" s="15">
        <v>0.0645</v>
      </c>
      <c r="O27" s="15"/>
      <c r="P27" s="15">
        <f t="shared" si="5"/>
        <v>0.0645</v>
      </c>
      <c r="Q27" s="15"/>
      <c r="R27" s="31">
        <f t="shared" si="6"/>
        <v>0.6243949661181026</v>
      </c>
    </row>
    <row r="28" spans="1:18" s="7" customFormat="1" ht="13.5">
      <c r="A28" s="14">
        <v>1980</v>
      </c>
      <c r="B28" s="15">
        <v>0.1104</v>
      </c>
      <c r="C28" s="15">
        <v>0.0474</v>
      </c>
      <c r="D28" s="14">
        <v>135.76</v>
      </c>
      <c r="E28" s="16">
        <v>14.987904</v>
      </c>
      <c r="F28" s="16">
        <f t="shared" si="0"/>
        <v>6.435023999999999</v>
      </c>
      <c r="G28" s="16"/>
      <c r="H28" s="17">
        <f t="shared" si="2"/>
        <v>0.030074406651898533</v>
      </c>
      <c r="I28" s="17">
        <f t="shared" si="3"/>
        <v>0.07805923925990621</v>
      </c>
      <c r="J28" s="17">
        <v>0.1124</v>
      </c>
      <c r="K28" s="15">
        <v>0.1243</v>
      </c>
      <c r="L28" s="17">
        <f t="shared" si="4"/>
        <v>0.011899999999999994</v>
      </c>
      <c r="M28" s="17">
        <f t="shared" si="1"/>
        <v>0.11009653945232105</v>
      </c>
      <c r="N28" s="15">
        <v>0.0503</v>
      </c>
      <c r="O28" s="15"/>
      <c r="P28" s="15">
        <f t="shared" si="5"/>
        <v>0.0503</v>
      </c>
      <c r="Q28" s="15"/>
      <c r="R28" s="31">
        <f t="shared" si="6"/>
        <v>0.40466613032984716</v>
      </c>
    </row>
    <row r="29" spans="1:18" s="7" customFormat="1" ht="13.5">
      <c r="A29" s="14">
        <v>1981</v>
      </c>
      <c r="B29" s="15">
        <v>0.1239</v>
      </c>
      <c r="C29" s="15">
        <v>0.0557</v>
      </c>
      <c r="D29" s="14">
        <v>122.55</v>
      </c>
      <c r="E29" s="16">
        <v>15.183945</v>
      </c>
      <c r="F29" s="16">
        <f t="shared" si="0"/>
        <v>6.826035</v>
      </c>
      <c r="G29" s="16"/>
      <c r="H29" s="17">
        <f t="shared" si="2"/>
        <v>0.013079947669800918</v>
      </c>
      <c r="I29" s="17">
        <f t="shared" si="3"/>
        <v>0.06076294354146938</v>
      </c>
      <c r="J29" s="17">
        <v>0.1471</v>
      </c>
      <c r="K29" s="15">
        <v>0.1398</v>
      </c>
      <c r="L29" s="17">
        <f t="shared" si="4"/>
        <v>-0.007300000000000001</v>
      </c>
      <c r="M29" s="17">
        <f t="shared" si="1"/>
        <v>0.11416002785116183</v>
      </c>
      <c r="N29" s="15">
        <v>0.0573</v>
      </c>
      <c r="O29" s="15"/>
      <c r="P29" s="15">
        <f t="shared" si="5"/>
        <v>0.0573</v>
      </c>
      <c r="Q29" s="15"/>
      <c r="R29" s="31">
        <f t="shared" si="6"/>
        <v>0.4098712446351931</v>
      </c>
    </row>
    <row r="30" spans="1:18" s="7" customFormat="1" ht="13.5">
      <c r="A30" s="14">
        <v>1982</v>
      </c>
      <c r="B30" s="15">
        <v>0.0983</v>
      </c>
      <c r="C30" s="15">
        <v>0.0493</v>
      </c>
      <c r="D30" s="14">
        <v>140.64</v>
      </c>
      <c r="E30" s="16">
        <v>13.824912</v>
      </c>
      <c r="F30" s="16">
        <f t="shared" si="0"/>
        <v>6.933551999999999</v>
      </c>
      <c r="G30" s="16"/>
      <c r="H30" s="17">
        <f t="shared" si="2"/>
        <v>-0.08950460502853508</v>
      </c>
      <c r="I30" s="17">
        <f t="shared" si="3"/>
        <v>0.015751017977493342</v>
      </c>
      <c r="J30" s="17">
        <v>0.1054</v>
      </c>
      <c r="K30" s="15">
        <v>0.1047</v>
      </c>
      <c r="L30" s="17">
        <f t="shared" si="4"/>
        <v>-0.0006999999999999923</v>
      </c>
      <c r="M30" s="17">
        <f t="shared" si="1"/>
        <v>0.07964309520981958</v>
      </c>
      <c r="N30" s="15">
        <v>0.049</v>
      </c>
      <c r="O30" s="15"/>
      <c r="P30" s="15">
        <f t="shared" si="5"/>
        <v>0.049</v>
      </c>
      <c r="Q30" s="15"/>
      <c r="R30" s="31">
        <f t="shared" si="6"/>
        <v>0.4680038204393505</v>
      </c>
    </row>
    <row r="31" spans="1:18" s="7" customFormat="1" ht="13.5">
      <c r="A31" s="14">
        <v>1983</v>
      </c>
      <c r="B31" s="15">
        <v>0.0806</v>
      </c>
      <c r="C31" s="15">
        <v>0.0432</v>
      </c>
      <c r="D31" s="14">
        <v>164.93</v>
      </c>
      <c r="E31" s="16">
        <v>13.293358</v>
      </c>
      <c r="F31" s="16">
        <f t="shared" si="0"/>
        <v>7.124976000000001</v>
      </c>
      <c r="G31" s="16"/>
      <c r="H31" s="17">
        <f t="shared" si="2"/>
        <v>-0.038448996999040586</v>
      </c>
      <c r="I31" s="17">
        <f t="shared" si="3"/>
        <v>0.02760836004402978</v>
      </c>
      <c r="J31" s="17">
        <v>0.088</v>
      </c>
      <c r="K31" s="15">
        <v>0.118</v>
      </c>
      <c r="L31" s="17">
        <f t="shared" si="4"/>
        <v>0.03</v>
      </c>
      <c r="M31" s="17">
        <f t="shared" si="1"/>
        <v>0.09093090511545437</v>
      </c>
      <c r="N31" s="15">
        <v>0.0431</v>
      </c>
      <c r="O31" s="15"/>
      <c r="P31" s="15">
        <f t="shared" si="5"/>
        <v>0.0431</v>
      </c>
      <c r="Q31" s="15"/>
      <c r="R31" s="31">
        <f t="shared" si="6"/>
        <v>0.3652542372881356</v>
      </c>
    </row>
    <row r="32" spans="1:18" s="7" customFormat="1" ht="13.5">
      <c r="A32" s="14">
        <v>1984</v>
      </c>
      <c r="B32" s="15">
        <v>0.1007</v>
      </c>
      <c r="C32" s="15">
        <v>0.0468</v>
      </c>
      <c r="D32" s="14">
        <v>167.24</v>
      </c>
      <c r="E32" s="16">
        <v>16.841068</v>
      </c>
      <c r="F32" s="16">
        <f t="shared" si="0"/>
        <v>7.8268320000000005</v>
      </c>
      <c r="G32" s="16"/>
      <c r="H32" s="17">
        <f t="shared" si="2"/>
        <v>0.2668783914493238</v>
      </c>
      <c r="I32" s="17">
        <f t="shared" si="3"/>
        <v>0.09850643707431428</v>
      </c>
      <c r="J32" s="17">
        <v>0.0985</v>
      </c>
      <c r="K32" s="15">
        <v>0.1151</v>
      </c>
      <c r="L32" s="17">
        <f t="shared" si="4"/>
        <v>0.01659999999999999</v>
      </c>
      <c r="M32" s="17">
        <f t="shared" si="1"/>
        <v>0.11019207694100672</v>
      </c>
      <c r="N32" s="15">
        <v>0.0511</v>
      </c>
      <c r="O32" s="15"/>
      <c r="P32" s="15">
        <f t="shared" si="5"/>
        <v>0.0511</v>
      </c>
      <c r="Q32" s="15"/>
      <c r="R32" s="31">
        <f t="shared" si="6"/>
        <v>0.4439617723718506</v>
      </c>
    </row>
    <row r="33" spans="1:18" s="7" customFormat="1" ht="13.5">
      <c r="A33" s="14">
        <v>1985</v>
      </c>
      <c r="B33" s="15">
        <v>0.0742</v>
      </c>
      <c r="C33" s="15">
        <v>0.0388</v>
      </c>
      <c r="D33" s="14">
        <v>211.28</v>
      </c>
      <c r="E33" s="16">
        <v>15.676976</v>
      </c>
      <c r="F33" s="16">
        <f t="shared" si="0"/>
        <v>8.197664</v>
      </c>
      <c r="G33" s="16"/>
      <c r="H33" s="17">
        <f t="shared" si="2"/>
        <v>-0.06912221956469744</v>
      </c>
      <c r="I33" s="17">
        <f t="shared" si="3"/>
        <v>0.04737957835302953</v>
      </c>
      <c r="J33" s="17">
        <v>0.0772</v>
      </c>
      <c r="K33" s="15">
        <v>0.0899</v>
      </c>
      <c r="L33" s="17">
        <f t="shared" si="4"/>
        <v>0.012699999999999989</v>
      </c>
      <c r="M33" s="17">
        <f t="shared" si="1"/>
        <v>0.07888154469564668</v>
      </c>
      <c r="N33" s="15">
        <v>0.0403</v>
      </c>
      <c r="O33" s="15">
        <v>0.0675</v>
      </c>
      <c r="P33" s="15">
        <v>0.0384</v>
      </c>
      <c r="Q33" s="15"/>
      <c r="R33" s="31">
        <f t="shared" si="6"/>
        <v>0.42714126807563957</v>
      </c>
    </row>
    <row r="34" spans="1:18" s="7" customFormat="1" ht="13.5">
      <c r="A34" s="14">
        <v>1986</v>
      </c>
      <c r="B34" s="15">
        <v>0.0596</v>
      </c>
      <c r="C34" s="15">
        <v>0.0338</v>
      </c>
      <c r="D34" s="14">
        <v>242.17</v>
      </c>
      <c r="E34" s="16">
        <v>14.433332</v>
      </c>
      <c r="F34" s="16">
        <f t="shared" si="0"/>
        <v>8.185346</v>
      </c>
      <c r="G34" s="16"/>
      <c r="H34" s="17">
        <f t="shared" si="2"/>
        <v>-0.07932932984014263</v>
      </c>
      <c r="I34" s="17">
        <f t="shared" si="3"/>
        <v>-0.0015026231863126682</v>
      </c>
      <c r="J34" s="17">
        <v>0.0616</v>
      </c>
      <c r="K34" s="15">
        <v>0.0722</v>
      </c>
      <c r="L34" s="17">
        <f t="shared" si="4"/>
        <v>0.010599999999999998</v>
      </c>
      <c r="M34" s="17">
        <f t="shared" si="1"/>
        <v>0.05544144195608095</v>
      </c>
      <c r="N34" s="15">
        <v>0.0336</v>
      </c>
      <c r="O34" s="15">
        <v>0.0696</v>
      </c>
      <c r="P34" s="15">
        <v>0.0358</v>
      </c>
      <c r="Q34" s="15"/>
      <c r="R34" s="31">
        <f t="shared" si="6"/>
        <v>0.49584487534626037</v>
      </c>
    </row>
    <row r="35" spans="1:18" s="7" customFormat="1" ht="13.5">
      <c r="A35" s="14">
        <v>1987</v>
      </c>
      <c r="B35" s="15">
        <v>0.0649</v>
      </c>
      <c r="C35" s="15">
        <v>0.0371</v>
      </c>
      <c r="D35" s="14">
        <v>247.08</v>
      </c>
      <c r="E35" s="16">
        <v>16.035492</v>
      </c>
      <c r="F35" s="16">
        <f t="shared" si="0"/>
        <v>9.166668000000001</v>
      </c>
      <c r="G35" s="16"/>
      <c r="H35" s="17">
        <f t="shared" si="2"/>
        <v>0.11100416729830664</v>
      </c>
      <c r="I35" s="17">
        <f t="shared" si="3"/>
        <v>0.11988766265958728</v>
      </c>
      <c r="J35" s="17">
        <v>0.0547</v>
      </c>
      <c r="K35" s="15">
        <v>0.0886</v>
      </c>
      <c r="L35" s="17">
        <f t="shared" si="4"/>
        <v>0.0339</v>
      </c>
      <c r="M35" s="17">
        <f t="shared" si="1"/>
        <v>0.09664064588015209</v>
      </c>
      <c r="N35" s="15">
        <v>0.0418</v>
      </c>
      <c r="O35" s="15">
        <v>0.0858</v>
      </c>
      <c r="P35" s="15">
        <v>0.0399</v>
      </c>
      <c r="Q35" s="15"/>
      <c r="R35" s="31">
        <f t="shared" si="6"/>
        <v>0.45033860045146723</v>
      </c>
    </row>
    <row r="36" spans="1:18" s="7" customFormat="1" ht="13.5">
      <c r="A36" s="14">
        <v>1988</v>
      </c>
      <c r="B36" s="15">
        <v>0.082</v>
      </c>
      <c r="C36" s="15">
        <v>0.0368</v>
      </c>
      <c r="D36" s="14">
        <v>277.72</v>
      </c>
      <c r="E36" s="16">
        <v>24.12</v>
      </c>
      <c r="F36" s="16">
        <f t="shared" si="0"/>
        <v>10.220096000000002</v>
      </c>
      <c r="G36" s="16"/>
      <c r="H36" s="17">
        <f t="shared" si="2"/>
        <v>0.504163389561106</v>
      </c>
      <c r="I36" s="17">
        <f t="shared" si="3"/>
        <v>0.11491940146626889</v>
      </c>
      <c r="J36" s="17">
        <v>0.0635</v>
      </c>
      <c r="K36" s="15">
        <v>0.0914</v>
      </c>
      <c r="L36" s="17">
        <f t="shared" si="4"/>
        <v>0.027899999999999994</v>
      </c>
      <c r="M36" s="17">
        <f t="shared" si="1"/>
        <v>0.09755199481003676</v>
      </c>
      <c r="N36" s="15">
        <v>0.0412</v>
      </c>
      <c r="O36" s="15">
        <v>0.0767</v>
      </c>
      <c r="P36" s="15">
        <v>0.0377</v>
      </c>
      <c r="Q36" s="15"/>
      <c r="R36" s="31">
        <f t="shared" si="6"/>
        <v>0.412472647702407</v>
      </c>
    </row>
    <row r="37" spans="1:18" s="7" customFormat="1" ht="13.5">
      <c r="A37" s="14">
        <v>1989</v>
      </c>
      <c r="B37" s="15">
        <v>0.068</v>
      </c>
      <c r="C37" s="15">
        <v>0.0332</v>
      </c>
      <c r="D37" s="14">
        <v>353.4</v>
      </c>
      <c r="E37" s="16">
        <v>24.32</v>
      </c>
      <c r="F37" s="16">
        <f t="shared" si="0"/>
        <v>11.73288</v>
      </c>
      <c r="G37" s="16"/>
      <c r="H37" s="17">
        <f t="shared" si="2"/>
        <v>0.008291873963515828</v>
      </c>
      <c r="I37" s="17">
        <f t="shared" si="3"/>
        <v>0.14802052740013383</v>
      </c>
      <c r="J37" s="17">
        <v>0.0837</v>
      </c>
      <c r="K37" s="15">
        <v>0.0793</v>
      </c>
      <c r="L37" s="17">
        <f t="shared" si="4"/>
        <v>-0.004400000000000001</v>
      </c>
      <c r="M37" s="17">
        <f t="shared" si="1"/>
        <v>0.09584912846250603</v>
      </c>
      <c r="N37" s="15">
        <v>0.0385</v>
      </c>
      <c r="O37" s="15">
        <v>0.0746</v>
      </c>
      <c r="P37" s="15">
        <v>0.0351</v>
      </c>
      <c r="Q37" s="15"/>
      <c r="R37" s="31">
        <f t="shared" si="6"/>
        <v>0.4426229508196721</v>
      </c>
    </row>
    <row r="38" spans="1:18" s="7" customFormat="1" ht="13.5">
      <c r="A38" s="14">
        <v>1990</v>
      </c>
      <c r="B38" s="15">
        <v>0.0658</v>
      </c>
      <c r="C38" s="15">
        <v>0.0374</v>
      </c>
      <c r="D38" s="14">
        <v>330.22</v>
      </c>
      <c r="E38" s="16">
        <v>22.65</v>
      </c>
      <c r="F38" s="16">
        <f t="shared" si="0"/>
        <v>12.350228000000001</v>
      </c>
      <c r="G38" s="16"/>
      <c r="H38" s="17">
        <f t="shared" si="2"/>
        <v>-0.0686677631578948</v>
      </c>
      <c r="I38" s="17">
        <f t="shared" si="3"/>
        <v>0.052616919290063624</v>
      </c>
      <c r="J38" s="17">
        <v>0.0781</v>
      </c>
      <c r="K38" s="15">
        <v>0.0807</v>
      </c>
      <c r="L38" s="17">
        <f t="shared" si="4"/>
        <v>0.002599999999999991</v>
      </c>
      <c r="M38" s="17">
        <f t="shared" si="1"/>
        <v>0.07386593245216928</v>
      </c>
      <c r="N38" s="15">
        <v>0.0392</v>
      </c>
      <c r="O38" s="15">
        <v>0.0719</v>
      </c>
      <c r="P38" s="15">
        <v>0.0389</v>
      </c>
      <c r="Q38" s="15"/>
      <c r="R38" s="31">
        <f t="shared" si="6"/>
        <v>0.48203221809169766</v>
      </c>
    </row>
    <row r="39" spans="1:18" s="7" customFormat="1" ht="13.5">
      <c r="A39" s="14">
        <v>1991</v>
      </c>
      <c r="B39" s="15">
        <v>0.0458</v>
      </c>
      <c r="C39" s="15">
        <v>0.0311</v>
      </c>
      <c r="D39" s="14">
        <v>417.09</v>
      </c>
      <c r="E39" s="16">
        <v>19.3</v>
      </c>
      <c r="F39" s="16">
        <f t="shared" si="0"/>
        <v>12.971499</v>
      </c>
      <c r="G39" s="16"/>
      <c r="H39" s="17">
        <f t="shared" si="2"/>
        <v>-0.14790286975717426</v>
      </c>
      <c r="I39" s="17">
        <f t="shared" si="3"/>
        <v>0.05030441543265418</v>
      </c>
      <c r="J39" s="17">
        <v>0.07</v>
      </c>
      <c r="K39" s="15">
        <v>0.067</v>
      </c>
      <c r="L39" s="17">
        <f t="shared" si="4"/>
        <v>-0.0030000000000000027</v>
      </c>
      <c r="M39" s="17">
        <f t="shared" si="1"/>
        <v>0.06337915832904192</v>
      </c>
      <c r="N39" s="15">
        <v>0.0327</v>
      </c>
      <c r="O39" s="15">
        <v>0.0781</v>
      </c>
      <c r="P39" s="15">
        <v>0.0348</v>
      </c>
      <c r="Q39" s="15"/>
      <c r="R39" s="31">
        <f t="shared" si="6"/>
        <v>0.5194029850746268</v>
      </c>
    </row>
    <row r="40" spans="1:18" s="7" customFormat="1" ht="13.5">
      <c r="A40" s="14">
        <v>1992</v>
      </c>
      <c r="B40" s="15">
        <v>0.0416</v>
      </c>
      <c r="C40" s="15">
        <v>0.029</v>
      </c>
      <c r="D40" s="14">
        <v>435.71</v>
      </c>
      <c r="E40" s="16">
        <v>20.87</v>
      </c>
      <c r="F40" s="16">
        <f t="shared" si="0"/>
        <v>12.63559</v>
      </c>
      <c r="G40" s="16"/>
      <c r="H40" s="17">
        <f t="shared" si="2"/>
        <v>0.08134715025906747</v>
      </c>
      <c r="I40" s="17">
        <f t="shared" si="3"/>
        <v>-0.025895927679599695</v>
      </c>
      <c r="J40" s="17">
        <v>0.053</v>
      </c>
      <c r="K40" s="15">
        <v>0.0668</v>
      </c>
      <c r="L40" s="17">
        <f t="shared" si="4"/>
        <v>0.0138</v>
      </c>
      <c r="M40" s="17">
        <f t="shared" si="1"/>
        <v>0.046735210818317934</v>
      </c>
      <c r="N40" s="15">
        <v>0.0283</v>
      </c>
      <c r="O40" s="15">
        <v>0.0983</v>
      </c>
      <c r="P40" s="15">
        <v>0.0355</v>
      </c>
      <c r="Q40" s="15"/>
      <c r="R40" s="31">
        <f t="shared" si="6"/>
        <v>0.531437125748503</v>
      </c>
    </row>
    <row r="41" spans="1:18" s="7" customFormat="1" ht="13.5">
      <c r="A41" s="14">
        <v>1993</v>
      </c>
      <c r="B41" s="15">
        <v>0.0425</v>
      </c>
      <c r="C41" s="15">
        <v>0.0272</v>
      </c>
      <c r="D41" s="14">
        <v>466.45</v>
      </c>
      <c r="E41" s="16">
        <v>26.9</v>
      </c>
      <c r="F41" s="16">
        <f t="shared" si="0"/>
        <v>12.687439999999999</v>
      </c>
      <c r="G41" s="16"/>
      <c r="H41" s="17">
        <f aca="true" t="shared" si="7" ref="H41:H58">E41/E40-1</f>
        <v>0.2889314805941541</v>
      </c>
      <c r="I41" s="17">
        <f aca="true" t="shared" si="8" ref="I41:I58">F41/F40-1</f>
        <v>0.004103488638045327</v>
      </c>
      <c r="J41" s="17">
        <v>0.035</v>
      </c>
      <c r="K41" s="15">
        <v>0.0579</v>
      </c>
      <c r="L41" s="17">
        <f t="shared" si="4"/>
        <v>0.022899999999999997</v>
      </c>
      <c r="M41" s="17">
        <f t="shared" si="1"/>
        <v>0.04730328296131438</v>
      </c>
      <c r="N41" s="15">
        <v>0.0274</v>
      </c>
      <c r="O41" s="15">
        <v>0.08</v>
      </c>
      <c r="P41" s="15">
        <v>0.0317</v>
      </c>
      <c r="Q41" s="15"/>
      <c r="R41" s="31">
        <f t="shared" si="6"/>
        <v>0.5474956822107081</v>
      </c>
    </row>
    <row r="42" spans="1:18" s="7" customFormat="1" ht="13.5">
      <c r="A42" s="14">
        <v>1994</v>
      </c>
      <c r="B42" s="15">
        <v>0.0589</v>
      </c>
      <c r="C42" s="15">
        <v>0.0291</v>
      </c>
      <c r="D42" s="14">
        <v>459.27</v>
      </c>
      <c r="E42" s="16">
        <v>31.75</v>
      </c>
      <c r="F42" s="16">
        <f aca="true" t="shared" si="9" ref="F42:F49">C42*D42</f>
        <v>13.364756999999999</v>
      </c>
      <c r="G42" s="16"/>
      <c r="H42" s="17">
        <f t="shared" si="7"/>
        <v>0.1802973977695168</v>
      </c>
      <c r="I42" s="17">
        <f t="shared" si="8"/>
        <v>0.05338484359334905</v>
      </c>
      <c r="J42" s="17">
        <v>0.05</v>
      </c>
      <c r="K42" s="15">
        <v>0.0782</v>
      </c>
      <c r="L42" s="17">
        <f t="shared" si="4"/>
        <v>0.028200000000000003</v>
      </c>
      <c r="M42" s="17">
        <f t="shared" si="1"/>
        <v>0.07227411733539923</v>
      </c>
      <c r="N42" s="15">
        <v>0.0306</v>
      </c>
      <c r="O42" s="15">
        <v>0.0717</v>
      </c>
      <c r="P42" s="15">
        <v>0.0355</v>
      </c>
      <c r="Q42" s="15"/>
      <c r="R42" s="31">
        <f t="shared" si="6"/>
        <v>0.45396419437340146</v>
      </c>
    </row>
    <row r="43" spans="1:18" s="7" customFormat="1" ht="13.5">
      <c r="A43" s="14">
        <v>1995</v>
      </c>
      <c r="B43" s="15">
        <v>0.0574</v>
      </c>
      <c r="C43" s="15">
        <v>0.023</v>
      </c>
      <c r="D43" s="14">
        <v>615.93</v>
      </c>
      <c r="E43" s="16">
        <v>37.7</v>
      </c>
      <c r="F43" s="16">
        <f t="shared" si="9"/>
        <v>14.166389999999998</v>
      </c>
      <c r="G43" s="16"/>
      <c r="H43" s="17">
        <f t="shared" si="7"/>
        <v>0.18740157480314967</v>
      </c>
      <c r="I43" s="17">
        <f t="shared" si="8"/>
        <v>0.05998111301238018</v>
      </c>
      <c r="J43" s="17">
        <v>0.035</v>
      </c>
      <c r="K43" s="15">
        <v>0.0557</v>
      </c>
      <c r="L43" s="17">
        <f t="shared" si="4"/>
        <v>0.020699999999999996</v>
      </c>
      <c r="M43" s="17">
        <f t="shared" si="1"/>
        <v>0.05652134526988262</v>
      </c>
      <c r="N43" s="15">
        <v>0.0244</v>
      </c>
      <c r="O43" s="15">
        <v>0.065</v>
      </c>
      <c r="P43" s="15">
        <v>0.0329</v>
      </c>
      <c r="Q43" s="15"/>
      <c r="R43" s="31">
        <f t="shared" si="6"/>
        <v>0.5906642728904847</v>
      </c>
    </row>
    <row r="44" spans="1:18" s="7" customFormat="1" ht="13.5">
      <c r="A44" s="14">
        <v>1996</v>
      </c>
      <c r="B44" s="15">
        <v>0.0483</v>
      </c>
      <c r="C44" s="15">
        <v>0.0201</v>
      </c>
      <c r="D44" s="14">
        <v>740.74</v>
      </c>
      <c r="E44" s="16">
        <v>40.63</v>
      </c>
      <c r="F44" s="16">
        <f t="shared" si="9"/>
        <v>14.888874</v>
      </c>
      <c r="G44" s="16"/>
      <c r="H44" s="17">
        <f t="shared" si="7"/>
        <v>0.07771883289124659</v>
      </c>
      <c r="I44" s="17">
        <f t="shared" si="8"/>
        <v>0.05099986658562994</v>
      </c>
      <c r="J44" s="17">
        <v>0.05</v>
      </c>
      <c r="K44" s="15">
        <v>0.0641</v>
      </c>
      <c r="L44" s="17">
        <f t="shared" si="4"/>
        <v>0.014100000000000001</v>
      </c>
      <c r="M44" s="17">
        <f aca="true" t="shared" si="10" ref="M44:M50">K44*(1/K44)/(((1-(1+K44)^(-5))/K44)+1/K44)+I44*((1-(1+K44)^(-5))/K44)/(((1-(1+K44)^(-5))/K44)+1/K44)</f>
        <v>0.06133913326644566</v>
      </c>
      <c r="N44" s="15">
        <v>0.0211</v>
      </c>
      <c r="O44" s="15">
        <v>0.0792</v>
      </c>
      <c r="P44" s="15">
        <v>0.032</v>
      </c>
      <c r="Q44" s="15"/>
      <c r="R44" s="31">
        <f t="shared" si="6"/>
        <v>0.4992199687987519</v>
      </c>
    </row>
    <row r="45" spans="1:18" s="2" customFormat="1" ht="13.5">
      <c r="A45" s="14">
        <v>1997</v>
      </c>
      <c r="B45" s="17">
        <f>1/24.53</f>
        <v>0.040766408479412965</v>
      </c>
      <c r="C45" s="15">
        <f>15.522/D45</f>
        <v>0.015994971301381864</v>
      </c>
      <c r="D45" s="14">
        <v>970.43</v>
      </c>
      <c r="E45" s="16">
        <v>44.09</v>
      </c>
      <c r="F45" s="16">
        <f t="shared" si="9"/>
        <v>15.522000000000002</v>
      </c>
      <c r="G45" s="16"/>
      <c r="H45" s="17">
        <f t="shared" si="7"/>
        <v>0.0851587496923456</v>
      </c>
      <c r="I45" s="17">
        <f t="shared" si="8"/>
        <v>0.04252343058313235</v>
      </c>
      <c r="J45" s="17">
        <v>0.0535</v>
      </c>
      <c r="K45" s="15">
        <v>0.0574</v>
      </c>
      <c r="L45" s="17">
        <f t="shared" si="4"/>
        <v>0.0039000000000000007</v>
      </c>
      <c r="M45" s="17">
        <f t="shared" si="10"/>
        <v>0.05448680459190361</v>
      </c>
      <c r="N45" s="15">
        <v>0.0167</v>
      </c>
      <c r="O45" s="15">
        <v>0.08</v>
      </c>
      <c r="P45" s="15">
        <v>0.0273</v>
      </c>
      <c r="Q45" s="15"/>
      <c r="R45" s="31">
        <f t="shared" si="6"/>
        <v>0.475609756097561</v>
      </c>
    </row>
    <row r="46" spans="1:18" s="2" customFormat="1" ht="13.5">
      <c r="A46" s="14">
        <v>1998</v>
      </c>
      <c r="B46" s="17">
        <f>1/32.15</f>
        <v>0.03110419906687403</v>
      </c>
      <c r="C46" s="17">
        <f>16.2/D46</f>
        <v>0.013178981964319126</v>
      </c>
      <c r="D46" s="14">
        <v>1229.23</v>
      </c>
      <c r="E46" s="16">
        <v>44.27</v>
      </c>
      <c r="F46" s="16">
        <f t="shared" si="9"/>
        <v>16.2</v>
      </c>
      <c r="G46" s="16"/>
      <c r="H46" s="17">
        <f t="shared" si="7"/>
        <v>0.00408255840326599</v>
      </c>
      <c r="I46" s="17">
        <f t="shared" si="8"/>
        <v>0.04367993815229987</v>
      </c>
      <c r="J46" s="15">
        <v>0.0433</v>
      </c>
      <c r="K46" s="15">
        <v>0.0465</v>
      </c>
      <c r="L46" s="17">
        <f t="shared" si="4"/>
        <v>0.0032000000000000015</v>
      </c>
      <c r="M46" s="17">
        <f t="shared" si="10"/>
        <v>0.04602357700028335</v>
      </c>
      <c r="N46" s="15">
        <v>0.0138</v>
      </c>
      <c r="O46" s="15">
        <v>0.072</v>
      </c>
      <c r="P46" s="15">
        <v>0.0226</v>
      </c>
      <c r="Q46" s="15"/>
      <c r="R46" s="31">
        <f t="shared" si="6"/>
        <v>0.48602150537634403</v>
      </c>
    </row>
    <row r="47" spans="1:18" s="2" customFormat="1" ht="13.5">
      <c r="A47" s="14">
        <v>1999</v>
      </c>
      <c r="B47" s="15">
        <f>1/32.53</f>
        <v>0.03074085459575776</v>
      </c>
      <c r="C47" s="15">
        <f>16.709/1469</f>
        <v>0.011374404356705241</v>
      </c>
      <c r="D47" s="14">
        <v>1469.25</v>
      </c>
      <c r="E47" s="16">
        <v>51.68</v>
      </c>
      <c r="F47" s="16">
        <f t="shared" si="9"/>
        <v>16.711843601089175</v>
      </c>
      <c r="G47" s="16"/>
      <c r="H47" s="17">
        <f t="shared" si="7"/>
        <v>0.16738197424892687</v>
      </c>
      <c r="I47" s="17">
        <f t="shared" si="8"/>
        <v>0.03159528401785039</v>
      </c>
      <c r="J47" s="15">
        <v>0.0537</v>
      </c>
      <c r="K47" s="15">
        <v>0.0644</v>
      </c>
      <c r="L47" s="17">
        <f t="shared" si="4"/>
        <v>0.010700000000000001</v>
      </c>
      <c r="M47" s="17">
        <f t="shared" si="10"/>
        <v>0.05746529349590983</v>
      </c>
      <c r="N47" s="15">
        <v>0.012</v>
      </c>
      <c r="O47" s="15">
        <v>0.125</v>
      </c>
      <c r="P47" s="15">
        <v>0.0205</v>
      </c>
      <c r="Q47" s="15"/>
      <c r="R47" s="31">
        <f t="shared" si="6"/>
        <v>0.31832298136645965</v>
      </c>
    </row>
    <row r="48" spans="1:18" s="2" customFormat="1" ht="13.5">
      <c r="A48" s="14">
        <v>2000</v>
      </c>
      <c r="B48" s="15">
        <f>1/25.39</f>
        <v>0.03938558487593541</v>
      </c>
      <c r="C48" s="15">
        <f>16.265/1320</f>
        <v>0.012321969696969698</v>
      </c>
      <c r="D48" s="14">
        <v>1320.28</v>
      </c>
      <c r="E48" s="16">
        <v>56.13</v>
      </c>
      <c r="F48" s="16">
        <f t="shared" si="9"/>
        <v>16.26845015151515</v>
      </c>
      <c r="G48" s="16"/>
      <c r="H48" s="17">
        <f t="shared" si="7"/>
        <v>0.086106811145511</v>
      </c>
      <c r="I48" s="17">
        <f t="shared" si="8"/>
        <v>-0.026531689749964338</v>
      </c>
      <c r="J48" s="15">
        <v>0.0573</v>
      </c>
      <c r="K48" s="15">
        <v>0.0511</v>
      </c>
      <c r="L48" s="17">
        <f t="shared" si="4"/>
        <v>-0.006199999999999997</v>
      </c>
      <c r="M48" s="17">
        <f t="shared" si="10"/>
        <v>0.03707137944986414</v>
      </c>
      <c r="N48" s="15">
        <v>0.0165</v>
      </c>
      <c r="O48" s="15">
        <v>0.12</v>
      </c>
      <c r="P48" s="15">
        <v>0.0287</v>
      </c>
      <c r="Q48" s="15"/>
      <c r="R48" s="31">
        <f t="shared" si="6"/>
        <v>0.5616438356164384</v>
      </c>
    </row>
    <row r="49" spans="1:18" s="2" customFormat="1" ht="13.5">
      <c r="A49" s="18">
        <v>2001</v>
      </c>
      <c r="B49" s="15">
        <f>44.23/1148.09</f>
        <v>0.03852485432326734</v>
      </c>
      <c r="C49" s="15">
        <f>15.741/1148.09</f>
        <v>0.013710597601233353</v>
      </c>
      <c r="D49" s="18">
        <v>1148.09</v>
      </c>
      <c r="E49" s="16">
        <v>38.85</v>
      </c>
      <c r="F49" s="19">
        <f t="shared" si="9"/>
        <v>15.741</v>
      </c>
      <c r="G49" s="24">
        <v>30.079957999999998</v>
      </c>
      <c r="H49" s="17">
        <f t="shared" si="7"/>
        <v>-0.307856761090326</v>
      </c>
      <c r="I49" s="17">
        <f t="shared" si="8"/>
        <v>-0.03242165950676179</v>
      </c>
      <c r="J49" s="15">
        <v>0.018</v>
      </c>
      <c r="K49" s="15">
        <v>0.0505</v>
      </c>
      <c r="L49" s="20">
        <f t="shared" si="4"/>
        <v>0.0325</v>
      </c>
      <c r="M49" s="17">
        <f t="shared" si="10"/>
        <v>0.03563970549287313</v>
      </c>
      <c r="N49" s="15">
        <v>0.0173</v>
      </c>
      <c r="O49" s="15">
        <v>0.103</v>
      </c>
      <c r="P49" s="15">
        <v>0.0362</v>
      </c>
      <c r="Q49" s="15">
        <v>0.0291</v>
      </c>
      <c r="R49" s="31">
        <f t="shared" si="6"/>
        <v>0.7168316831683168</v>
      </c>
    </row>
    <row r="50" spans="1:18" s="5" customFormat="1" ht="13.5">
      <c r="A50" s="18">
        <v>2002</v>
      </c>
      <c r="B50" s="15">
        <f>E50/D50</f>
        <v>0.05232888545384283</v>
      </c>
      <c r="C50" s="15">
        <f>F50/D50</f>
        <v>0.018276465640699232</v>
      </c>
      <c r="D50" s="18">
        <v>879.82</v>
      </c>
      <c r="E50" s="14">
        <v>46.04</v>
      </c>
      <c r="F50" s="14">
        <v>16.08</v>
      </c>
      <c r="G50" s="24">
        <v>29.825898000000002</v>
      </c>
      <c r="H50" s="17">
        <f t="shared" si="7"/>
        <v>0.18507078507078512</v>
      </c>
      <c r="I50" s="17">
        <f t="shared" si="8"/>
        <v>0.021536115875738338</v>
      </c>
      <c r="J50" s="15">
        <v>0.012</v>
      </c>
      <c r="K50" s="15">
        <v>0.0381</v>
      </c>
      <c r="L50" s="20">
        <f t="shared" si="4"/>
        <v>0.0261</v>
      </c>
      <c r="M50" s="17">
        <f t="shared" si="10"/>
        <v>0.035686949239855444</v>
      </c>
      <c r="N50" s="15">
        <v>0.0229</v>
      </c>
      <c r="O50" s="15">
        <v>0.08</v>
      </c>
      <c r="P50" s="15">
        <v>0.041</v>
      </c>
      <c r="Q50" s="15">
        <v>0.0473</v>
      </c>
      <c r="R50" s="31">
        <f t="shared" si="6"/>
        <v>1.0761154855643045</v>
      </c>
    </row>
    <row r="51" spans="1:18" s="2" customFormat="1" ht="13.5">
      <c r="A51" s="18">
        <v>2003</v>
      </c>
      <c r="B51" s="15">
        <v>0.0487</v>
      </c>
      <c r="C51" s="15">
        <v>0.0161</v>
      </c>
      <c r="D51" s="14">
        <v>1111.91</v>
      </c>
      <c r="E51" s="14">
        <v>54.69</v>
      </c>
      <c r="F51" s="14">
        <v>17.88</v>
      </c>
      <c r="G51" s="24">
        <v>31.578244000000005</v>
      </c>
      <c r="H51" s="17">
        <f t="shared" si="7"/>
        <v>0.1878801042571676</v>
      </c>
      <c r="I51" s="17">
        <f t="shared" si="8"/>
        <v>0.11194029850746268</v>
      </c>
      <c r="J51" s="15">
        <v>0.01</v>
      </c>
      <c r="K51" s="15">
        <v>0.0425</v>
      </c>
      <c r="L51" s="20">
        <f aca="true" t="shared" si="11" ref="L51:L57">K51-J51</f>
        <v>0.0325</v>
      </c>
      <c r="M51" s="17">
        <f aca="true" t="shared" si="12" ref="M51:M63">K51*(1/K51)/(((1-(1+K51)^(-5))/K51)+1/K51)+I51*((1-(1+K51)^(-5))/K51)/(((1-(1+K51)^(-5))/K51)+1/K51)</f>
        <v>0.05348301224319908</v>
      </c>
      <c r="N51" s="15">
        <v>0.0212</v>
      </c>
      <c r="O51" s="15">
        <v>0.11</v>
      </c>
      <c r="P51" s="15">
        <v>0.0369</v>
      </c>
      <c r="Q51" s="15">
        <v>0.0474</v>
      </c>
      <c r="R51" s="31">
        <f t="shared" si="6"/>
        <v>0.868235294117647</v>
      </c>
    </row>
    <row r="52" spans="1:18" s="3" customFormat="1" ht="13.5">
      <c r="A52" s="18">
        <v>2004</v>
      </c>
      <c r="B52" s="15">
        <f>E52/D52</f>
        <v>0.05584527031487227</v>
      </c>
      <c r="C52" s="15">
        <f aca="true" t="shared" si="13" ref="C52:C58">F52/D52</f>
        <v>0.016013433229916166</v>
      </c>
      <c r="D52" s="18">
        <v>1211.92</v>
      </c>
      <c r="E52" s="14">
        <v>67.68</v>
      </c>
      <c r="F52" s="14">
        <v>19.407</v>
      </c>
      <c r="G52" s="24">
        <v>40.599320000000006</v>
      </c>
      <c r="H52" s="17">
        <f t="shared" si="7"/>
        <v>0.2375205704882064</v>
      </c>
      <c r="I52" s="17">
        <f t="shared" si="8"/>
        <v>0.08540268456375855</v>
      </c>
      <c r="J52" s="15">
        <v>0.0218</v>
      </c>
      <c r="K52" s="15">
        <v>0.0422</v>
      </c>
      <c r="L52" s="20">
        <f t="shared" si="11"/>
        <v>0.0204</v>
      </c>
      <c r="M52" s="17">
        <f t="shared" si="12"/>
        <v>0.04899730193056214</v>
      </c>
      <c r="N52" s="15">
        <v>0.0202</v>
      </c>
      <c r="O52" s="15">
        <v>0.085</v>
      </c>
      <c r="P52" s="15">
        <v>0.0365</v>
      </c>
      <c r="Q52" s="15">
        <v>0.0486</v>
      </c>
      <c r="R52" s="31">
        <f t="shared" si="6"/>
        <v>0.8649289099526065</v>
      </c>
    </row>
    <row r="53" spans="1:18" s="7" customFormat="1" ht="13.5">
      <c r="A53" s="18">
        <v>2005</v>
      </c>
      <c r="B53" s="15">
        <v>0.0547</v>
      </c>
      <c r="C53" s="15">
        <f t="shared" si="13"/>
        <v>0.01792852622387426</v>
      </c>
      <c r="D53" s="18">
        <v>1248.29</v>
      </c>
      <c r="E53" s="14">
        <v>76.45</v>
      </c>
      <c r="F53" s="18">
        <v>22.38</v>
      </c>
      <c r="G53" s="24">
        <v>61.16620999999999</v>
      </c>
      <c r="H53" s="20">
        <f t="shared" si="7"/>
        <v>0.12958037825059088</v>
      </c>
      <c r="I53" s="20">
        <f t="shared" si="8"/>
        <v>0.15319214716339458</v>
      </c>
      <c r="J53" s="15">
        <v>0.0431</v>
      </c>
      <c r="K53" s="15">
        <v>0.0439</v>
      </c>
      <c r="L53" s="20">
        <f t="shared" si="11"/>
        <v>0.0008000000000000021</v>
      </c>
      <c r="M53" s="17">
        <f t="shared" si="12"/>
        <v>0.06160492371599593</v>
      </c>
      <c r="N53" s="15">
        <v>0.022</v>
      </c>
      <c r="O53" s="15">
        <v>0.08</v>
      </c>
      <c r="P53" s="15">
        <v>0.0408</v>
      </c>
      <c r="Q53" s="15">
        <v>0.0522</v>
      </c>
      <c r="R53" s="31">
        <f t="shared" si="6"/>
        <v>0.9293849658314352</v>
      </c>
    </row>
    <row r="54" spans="1:18" s="7" customFormat="1" ht="13.5">
      <c r="A54" s="18">
        <v>2006</v>
      </c>
      <c r="B54" s="15">
        <f aca="true" t="shared" si="14" ref="B54:B59">E54/D54</f>
        <v>0.06184869209617148</v>
      </c>
      <c r="C54" s="15">
        <f t="shared" si="13"/>
        <v>0.01766198970598604</v>
      </c>
      <c r="D54" s="18">
        <v>1418.3</v>
      </c>
      <c r="E54" s="14">
        <v>87.72</v>
      </c>
      <c r="F54" s="18">
        <v>25.05</v>
      </c>
      <c r="G54" s="24">
        <v>73.15793966533113</v>
      </c>
      <c r="H54" s="20">
        <f t="shared" si="7"/>
        <v>0.1474166121648135</v>
      </c>
      <c r="I54" s="20">
        <f t="shared" si="8"/>
        <v>0.11930294906166239</v>
      </c>
      <c r="J54" s="15">
        <v>0.0488</v>
      </c>
      <c r="K54" s="15">
        <v>0.047</v>
      </c>
      <c r="L54" s="20">
        <f t="shared" si="11"/>
        <v>-0.001800000000000003</v>
      </c>
      <c r="M54" s="17">
        <f t="shared" si="12"/>
        <v>0.05930966337013793</v>
      </c>
      <c r="N54" s="15">
        <v>0.0197</v>
      </c>
      <c r="O54" s="15">
        <v>0.125</v>
      </c>
      <c r="P54" s="15">
        <v>0.0416</v>
      </c>
      <c r="Q54" s="15">
        <v>0.0612</v>
      </c>
      <c r="R54" s="31">
        <f t="shared" si="6"/>
        <v>0.8851063829787233</v>
      </c>
    </row>
    <row r="55" spans="1:18" s="7" customFormat="1" ht="13.5">
      <c r="A55" s="18">
        <v>2007</v>
      </c>
      <c r="B55" s="15">
        <f t="shared" si="14"/>
        <v>0.056212372987550746</v>
      </c>
      <c r="C55" s="13">
        <f t="shared" si="13"/>
        <v>0.01888501457408265</v>
      </c>
      <c r="D55" s="18">
        <v>1468.36</v>
      </c>
      <c r="E55" s="14">
        <v>82.54</v>
      </c>
      <c r="F55" s="18">
        <v>27.73</v>
      </c>
      <c r="G55" s="24">
        <v>95.3623823127137</v>
      </c>
      <c r="H55" s="20">
        <f t="shared" si="7"/>
        <v>-0.05905152758777921</v>
      </c>
      <c r="I55" s="20">
        <f t="shared" si="8"/>
        <v>0.10698602794411172</v>
      </c>
      <c r="J55" s="15">
        <v>0.0331</v>
      </c>
      <c r="K55" s="15">
        <v>0.0402</v>
      </c>
      <c r="L55" s="20">
        <f t="shared" si="11"/>
        <v>0.007100000000000002</v>
      </c>
      <c r="M55" s="17">
        <f t="shared" si="12"/>
        <v>0.050333098814184435</v>
      </c>
      <c r="N55" s="15">
        <v>0.0206</v>
      </c>
      <c r="O55" s="15">
        <v>0.05</v>
      </c>
      <c r="P55" s="15">
        <v>0.0437</v>
      </c>
      <c r="Q55" s="15">
        <v>0.0459</v>
      </c>
      <c r="R55" s="31">
        <f t="shared" si="6"/>
        <v>1.0870646766169154</v>
      </c>
    </row>
    <row r="56" spans="1:18" s="7" customFormat="1" ht="13.5">
      <c r="A56" s="21">
        <v>2008</v>
      </c>
      <c r="B56" s="15">
        <f t="shared" si="14"/>
        <v>0.07239413230002768</v>
      </c>
      <c r="C56" s="15">
        <f t="shared" si="13"/>
        <v>0.031054525325214504</v>
      </c>
      <c r="D56" s="16">
        <v>903.25</v>
      </c>
      <c r="E56" s="16">
        <v>65.39</v>
      </c>
      <c r="F56" s="16">
        <v>28.05</v>
      </c>
      <c r="G56" s="24">
        <v>67.517132259297</v>
      </c>
      <c r="H56" s="20">
        <f t="shared" si="7"/>
        <v>-0.20777804700751157</v>
      </c>
      <c r="I56" s="20">
        <f t="shared" si="8"/>
        <v>0.011539848539487974</v>
      </c>
      <c r="J56" s="15">
        <v>0.0159</v>
      </c>
      <c r="K56" s="15">
        <v>0.0221</v>
      </c>
      <c r="L56" s="15">
        <f t="shared" si="11"/>
        <v>0.006200000000000001</v>
      </c>
      <c r="M56" s="17">
        <f t="shared" si="12"/>
        <v>0.02110922869768012</v>
      </c>
      <c r="N56" s="15">
        <v>0.0405</v>
      </c>
      <c r="O56" s="15">
        <v>0.04</v>
      </c>
      <c r="P56" s="15">
        <v>0.0643</v>
      </c>
      <c r="Q56" s="15">
        <v>0.0692</v>
      </c>
      <c r="R56" s="31">
        <f t="shared" si="6"/>
        <v>2.9095022624434383</v>
      </c>
    </row>
    <row r="57" spans="1:18" s="7" customFormat="1" ht="13.5">
      <c r="A57" s="22">
        <v>2009</v>
      </c>
      <c r="B57" s="15">
        <f t="shared" si="14"/>
        <v>0.05349296027262129</v>
      </c>
      <c r="C57" s="15">
        <f t="shared" si="13"/>
        <v>0.02000717424446238</v>
      </c>
      <c r="D57" s="16">
        <v>1115.1</v>
      </c>
      <c r="E57" s="16">
        <v>59.65</v>
      </c>
      <c r="F57" s="16">
        <v>22.31</v>
      </c>
      <c r="G57" s="24">
        <v>37.427971394037066</v>
      </c>
      <c r="H57" s="20">
        <f t="shared" si="7"/>
        <v>-0.0877810062700719</v>
      </c>
      <c r="I57" s="20">
        <f t="shared" si="8"/>
        <v>-0.2046345811051694</v>
      </c>
      <c r="J57" s="15">
        <v>0.0014</v>
      </c>
      <c r="K57" s="15">
        <v>0.0384</v>
      </c>
      <c r="L57" s="15">
        <f t="shared" si="11"/>
        <v>0.037</v>
      </c>
      <c r="M57" s="15">
        <f t="shared" si="12"/>
        <v>0.0027821693040331677</v>
      </c>
      <c r="N57" s="15">
        <v>0.026</v>
      </c>
      <c r="O57" s="15">
        <v>0.072</v>
      </c>
      <c r="P57" s="15">
        <v>0.0436</v>
      </c>
      <c r="Q57" s="15">
        <v>0.0464</v>
      </c>
      <c r="R57" s="31">
        <f t="shared" si="6"/>
        <v>1.1354166666666667</v>
      </c>
    </row>
    <row r="58" spans="1:18" s="7" customFormat="1" ht="13.5">
      <c r="A58" s="22">
        <v>2010</v>
      </c>
      <c r="B58" s="15">
        <f t="shared" si="14"/>
        <v>0.0665214210743933</v>
      </c>
      <c r="C58" s="15">
        <f t="shared" si="13"/>
        <v>0.01838363919722655</v>
      </c>
      <c r="D58" s="16">
        <v>1257.64</v>
      </c>
      <c r="E58" s="16">
        <v>83.66</v>
      </c>
      <c r="F58" s="16">
        <v>23.12</v>
      </c>
      <c r="G58" s="24">
        <v>55.52651146106737</v>
      </c>
      <c r="H58" s="15">
        <f t="shared" si="7"/>
        <v>0.4025146689019279</v>
      </c>
      <c r="I58" s="15">
        <f t="shared" si="8"/>
        <v>0.03630658897355454</v>
      </c>
      <c r="J58" s="15">
        <v>0.0013</v>
      </c>
      <c r="K58" s="15">
        <v>0.0329</v>
      </c>
      <c r="L58" s="15">
        <f aca="true" t="shared" si="15" ref="L58:L63">K58-J58</f>
        <v>0.031599999999999996</v>
      </c>
      <c r="M58" s="15">
        <f t="shared" si="12"/>
        <v>0.03334287603000657</v>
      </c>
      <c r="N58" s="15">
        <v>0.0224</v>
      </c>
      <c r="O58" s="15">
        <v>0.0695</v>
      </c>
      <c r="P58" s="15">
        <v>0.052</v>
      </c>
      <c r="Q58" s="15">
        <v>0.0609</v>
      </c>
      <c r="R58" s="31">
        <f t="shared" si="6"/>
        <v>1.580547112462006</v>
      </c>
    </row>
    <row r="59" spans="1:18" s="7" customFormat="1" ht="13.5">
      <c r="A59" s="23">
        <v>2011</v>
      </c>
      <c r="B59" s="15">
        <f t="shared" si="14"/>
        <v>0.07717080152671756</v>
      </c>
      <c r="C59" s="15">
        <f>F59/D59</f>
        <v>0.02069020356234097</v>
      </c>
      <c r="D59" s="24">
        <v>1257.6</v>
      </c>
      <c r="E59" s="24">
        <v>97.05</v>
      </c>
      <c r="F59" s="24">
        <v>26.02</v>
      </c>
      <c r="G59" s="28">
        <v>71.27835994729908</v>
      </c>
      <c r="H59" s="15">
        <f aca="true" t="shared" si="16" ref="H59:I62">E59/E58-1</f>
        <v>0.16005259383217796</v>
      </c>
      <c r="I59" s="15">
        <f t="shared" si="16"/>
        <v>0.12543252595155696</v>
      </c>
      <c r="J59" s="12">
        <v>0.0003</v>
      </c>
      <c r="K59" s="12">
        <v>0.0188</v>
      </c>
      <c r="L59" s="12">
        <f t="shared" si="15"/>
        <v>0.0185</v>
      </c>
      <c r="M59" s="12">
        <f t="shared" si="12"/>
        <v>0.027507719217878673</v>
      </c>
      <c r="N59" s="12">
        <v>0.0271</v>
      </c>
      <c r="O59" s="12">
        <v>0.0718</v>
      </c>
      <c r="P59" s="12">
        <v>0.0601</v>
      </c>
      <c r="Q59" s="12">
        <v>0.0834</v>
      </c>
      <c r="R59" s="32">
        <f t="shared" si="6"/>
        <v>3.1968085106382977</v>
      </c>
    </row>
    <row r="60" spans="1:18" s="7" customFormat="1" ht="13.5">
      <c r="A60" s="23">
        <v>2012</v>
      </c>
      <c r="B60" s="12">
        <f aca="true" t="shared" si="17" ref="B60:B65">E60/D60</f>
        <v>0.0718487719027619</v>
      </c>
      <c r="C60" s="12">
        <f>F60/D60</f>
        <v>0.02134357974743898</v>
      </c>
      <c r="D60" s="24">
        <v>1426.19</v>
      </c>
      <c r="E60" s="24">
        <v>102.47</v>
      </c>
      <c r="F60" s="24">
        <v>30.44</v>
      </c>
      <c r="G60" s="24">
        <v>75.89930567414848</v>
      </c>
      <c r="H60" s="12">
        <f t="shared" si="16"/>
        <v>0.05584750128799598</v>
      </c>
      <c r="I60" s="12">
        <f t="shared" si="16"/>
        <v>0.16986933128362813</v>
      </c>
      <c r="J60" s="12">
        <v>0.0005</v>
      </c>
      <c r="K60" s="12">
        <v>0.0176</v>
      </c>
      <c r="L60" s="12">
        <f t="shared" si="15"/>
        <v>0.0171</v>
      </c>
      <c r="M60" s="12">
        <f t="shared" si="12"/>
        <v>0.029339562123536077</v>
      </c>
      <c r="N60" s="12">
        <v>0.0247</v>
      </c>
      <c r="O60" s="12">
        <v>0.0527</v>
      </c>
      <c r="P60" s="12">
        <v>0.0578</v>
      </c>
      <c r="Q60" s="12">
        <v>0.073</v>
      </c>
      <c r="R60" s="32">
        <f t="shared" si="6"/>
        <v>3.2840909090909087</v>
      </c>
    </row>
    <row r="61" spans="1:18" s="7" customFormat="1" ht="13.5">
      <c r="A61" s="23">
        <v>2013</v>
      </c>
      <c r="B61" s="11">
        <f t="shared" si="17"/>
        <v>0.05813261485857734</v>
      </c>
      <c r="C61" s="11">
        <v>0.0196</v>
      </c>
      <c r="D61" s="24">
        <v>1848.36</v>
      </c>
      <c r="E61" s="24">
        <v>107.45</v>
      </c>
      <c r="F61" s="24">
        <v>36.28</v>
      </c>
      <c r="G61" s="24">
        <v>88.13</v>
      </c>
      <c r="H61" s="12">
        <f t="shared" si="16"/>
        <v>0.04859959012393866</v>
      </c>
      <c r="I61" s="12">
        <f t="shared" si="16"/>
        <v>0.1918528252299605</v>
      </c>
      <c r="J61" s="12">
        <v>0.0007</v>
      </c>
      <c r="K61" s="12">
        <v>0.0304</v>
      </c>
      <c r="L61" s="12">
        <f t="shared" si="15"/>
        <v>0.0297</v>
      </c>
      <c r="M61" s="12">
        <f t="shared" si="12"/>
        <v>0.05011119175292922</v>
      </c>
      <c r="N61" s="12">
        <v>0.0203</v>
      </c>
      <c r="O61" s="12">
        <v>0.0428</v>
      </c>
      <c r="P61" s="12">
        <v>0.0496</v>
      </c>
      <c r="Q61" s="12">
        <v>0.0499</v>
      </c>
      <c r="R61" s="32">
        <f t="shared" si="6"/>
        <v>1.631578947368421</v>
      </c>
    </row>
    <row r="62" spans="1:18" s="7" customFormat="1" ht="13.5">
      <c r="A62" s="23">
        <v>2014</v>
      </c>
      <c r="B62" s="12">
        <f t="shared" si="17"/>
        <v>0.05488853271164214</v>
      </c>
      <c r="C62" s="13">
        <f aca="true" t="shared" si="18" ref="C62:C67">F62/D62</f>
        <v>0.019155859925202776</v>
      </c>
      <c r="D62" s="24">
        <v>2058.9</v>
      </c>
      <c r="E62" s="24">
        <v>113.01</v>
      </c>
      <c r="F62" s="24">
        <v>39.44</v>
      </c>
      <c r="G62" s="29">
        <v>101.98</v>
      </c>
      <c r="H62" s="12">
        <f t="shared" si="16"/>
        <v>0.0517449976733364</v>
      </c>
      <c r="I62" s="12">
        <f t="shared" si="16"/>
        <v>0.08710033076074963</v>
      </c>
      <c r="J62" s="12">
        <v>0.00053</v>
      </c>
      <c r="K62" s="12">
        <v>0.0217</v>
      </c>
      <c r="L62" s="12">
        <f t="shared" si="15"/>
        <v>0.02117</v>
      </c>
      <c r="M62" s="12">
        <f t="shared" si="12"/>
        <v>0.027741503152454418</v>
      </c>
      <c r="N62" s="12">
        <v>0.0224</v>
      </c>
      <c r="O62" s="12">
        <v>0.0558</v>
      </c>
      <c r="P62" s="12">
        <v>0.0578</v>
      </c>
      <c r="Q62" s="12">
        <v>0.0548</v>
      </c>
      <c r="R62" s="32">
        <f t="shared" si="6"/>
        <v>2.6635944700460827</v>
      </c>
    </row>
    <row r="63" spans="1:18" s="7" customFormat="1" ht="13.5">
      <c r="A63" s="25">
        <v>2015</v>
      </c>
      <c r="B63" s="12">
        <f t="shared" si="17"/>
        <v>0.05201718250046478</v>
      </c>
      <c r="C63" s="13">
        <f t="shared" si="18"/>
        <v>0.021116079728367758</v>
      </c>
      <c r="D63" s="27">
        <v>2043.94</v>
      </c>
      <c r="E63" s="27">
        <v>106.32</v>
      </c>
      <c r="F63" s="27">
        <v>43.16</v>
      </c>
      <c r="G63" s="27">
        <v>106.1</v>
      </c>
      <c r="H63" s="12">
        <f aca="true" t="shared" si="19" ref="H63:I66">E63/E62-1</f>
        <v>-0.059198301035306766</v>
      </c>
      <c r="I63" s="12">
        <f t="shared" si="19"/>
        <v>0.09432048681541572</v>
      </c>
      <c r="J63" s="26">
        <v>0.0021</v>
      </c>
      <c r="K63" s="26">
        <v>0.0227</v>
      </c>
      <c r="L63" s="12">
        <f t="shared" si="15"/>
        <v>0.0206</v>
      </c>
      <c r="M63" s="12">
        <f t="shared" si="12"/>
        <v>0.029573664629760816</v>
      </c>
      <c r="N63" s="26">
        <v>0.0246</v>
      </c>
      <c r="O63" s="26">
        <v>0.0551</v>
      </c>
      <c r="P63" s="26">
        <v>0.0612</v>
      </c>
      <c r="Q63" s="26">
        <v>0.0516</v>
      </c>
      <c r="R63" s="32">
        <f t="shared" si="6"/>
        <v>2.6960352422907485</v>
      </c>
    </row>
    <row r="64" spans="1:18" s="7" customFormat="1" ht="13.5">
      <c r="A64" s="38">
        <v>2016</v>
      </c>
      <c r="B64" s="12">
        <f t="shared" si="17"/>
        <v>0.04862361143990388</v>
      </c>
      <c r="C64" s="13">
        <f t="shared" si="18"/>
        <v>0.020113184118490463</v>
      </c>
      <c r="D64" s="40">
        <v>2238.83</v>
      </c>
      <c r="E64" s="40">
        <v>108.86</v>
      </c>
      <c r="F64" s="40">
        <v>45.03</v>
      </c>
      <c r="G64" s="27">
        <v>108.67</v>
      </c>
      <c r="H64" s="12">
        <f t="shared" si="19"/>
        <v>0.023890142964635208</v>
      </c>
      <c r="I64" s="12">
        <f t="shared" si="19"/>
        <v>0.043327154772937915</v>
      </c>
      <c r="J64" s="39">
        <v>0.0051</v>
      </c>
      <c r="K64" s="39">
        <v>0.0245</v>
      </c>
      <c r="L64" s="12">
        <f aca="true" t="shared" si="20" ref="L64:L69">K64-J64</f>
        <v>0.0194</v>
      </c>
      <c r="M64" s="12">
        <f aca="true" t="shared" si="21" ref="M64:M69">K64*(1/K64)/(((1-(1+K64)^(-5))/K64)+1/K64)+I64*((1-(1+K64)^(-5))/K64)/(((1-(1+K64)^(-5))/K64)+1/K64)</f>
        <v>0.02642645669281276</v>
      </c>
      <c r="N64" s="39">
        <v>0.0241</v>
      </c>
      <c r="O64" s="39">
        <v>0.0554</v>
      </c>
      <c r="P64" s="39">
        <v>0.0569</v>
      </c>
      <c r="Q64" s="39">
        <v>0.045</v>
      </c>
      <c r="R64" s="32">
        <f t="shared" si="6"/>
        <v>2.3224489795918366</v>
      </c>
    </row>
    <row r="65" spans="1:18" s="7" customFormat="1" ht="13.5">
      <c r="A65" s="38">
        <v>2017</v>
      </c>
      <c r="B65" s="12">
        <f t="shared" si="17"/>
        <v>0.04673082461540763</v>
      </c>
      <c r="C65" s="13">
        <f t="shared" si="18"/>
        <v>0.01860031941831456</v>
      </c>
      <c r="D65" s="40">
        <v>2673.61</v>
      </c>
      <c r="E65" s="40">
        <v>124.94</v>
      </c>
      <c r="F65" s="40">
        <v>49.73</v>
      </c>
      <c r="G65" s="27">
        <v>108.28</v>
      </c>
      <c r="H65" s="12">
        <f t="shared" si="19"/>
        <v>0.14771265846040782</v>
      </c>
      <c r="I65" s="12">
        <f t="shared" si="19"/>
        <v>0.10437486120364192</v>
      </c>
      <c r="J65" s="39">
        <v>0.0139</v>
      </c>
      <c r="K65" s="39">
        <v>0.0241</v>
      </c>
      <c r="L65" s="12">
        <f t="shared" si="20"/>
        <v>0.0102</v>
      </c>
      <c r="M65" s="12">
        <f t="shared" si="21"/>
        <v>0.032201797003310384</v>
      </c>
      <c r="N65" s="39">
        <v>0.0236</v>
      </c>
      <c r="O65" s="39">
        <v>0.0705</v>
      </c>
      <c r="P65" s="39">
        <v>0.0508</v>
      </c>
      <c r="Q65" s="39">
        <v>0.0475</v>
      </c>
      <c r="R65" s="32">
        <f t="shared" si="6"/>
        <v>2.107883817427386</v>
      </c>
    </row>
    <row r="66" spans="1:18" s="7" customFormat="1" ht="13.5">
      <c r="A66" s="38">
        <v>2018</v>
      </c>
      <c r="B66" s="39">
        <f>E66/D66</f>
        <v>0.05917386361369847</v>
      </c>
      <c r="C66" s="13">
        <f t="shared" si="18"/>
        <v>0.021385403993059018</v>
      </c>
      <c r="D66" s="40">
        <v>2506.85</v>
      </c>
      <c r="E66" s="40">
        <v>148.34</v>
      </c>
      <c r="F66" s="40">
        <v>53.61</v>
      </c>
      <c r="G66" s="27">
        <v>136.65</v>
      </c>
      <c r="H66" s="12">
        <f t="shared" si="19"/>
        <v>0.18728989915159278</v>
      </c>
      <c r="I66" s="12">
        <f t="shared" si="19"/>
        <v>0.07802131510154853</v>
      </c>
      <c r="J66" s="39">
        <v>0.0237</v>
      </c>
      <c r="K66" s="39">
        <v>0.0268</v>
      </c>
      <c r="L66" s="12">
        <f t="shared" si="20"/>
        <v>0.003100000000000002</v>
      </c>
      <c r="M66" s="12">
        <f t="shared" si="21"/>
        <v>0.03244530306769617</v>
      </c>
      <c r="N66" s="39">
        <v>0.025</v>
      </c>
      <c r="O66" s="39">
        <v>0.0412</v>
      </c>
      <c r="P66" s="39">
        <v>0.0596</v>
      </c>
      <c r="Q66" s="39">
        <v>0.0555</v>
      </c>
      <c r="R66" s="32">
        <f t="shared" si="6"/>
        <v>2.2238805970149254</v>
      </c>
    </row>
    <row r="67" spans="1:18" s="7" customFormat="1" ht="13.5">
      <c r="A67" s="38">
        <v>2019</v>
      </c>
      <c r="B67" s="39">
        <f>E67/D67</f>
        <v>0.050251022972780564</v>
      </c>
      <c r="C67" s="13">
        <f t="shared" si="18"/>
        <v>0.01819993933353555</v>
      </c>
      <c r="D67" s="40">
        <v>3230.78</v>
      </c>
      <c r="E67" s="41">
        <v>162.35</v>
      </c>
      <c r="F67" s="41">
        <v>58.8</v>
      </c>
      <c r="G67" s="27">
        <v>150.5</v>
      </c>
      <c r="H67" s="12">
        <f aca="true" t="shared" si="22" ref="H67:I70">E67/E66-1</f>
        <v>0.09444519347445057</v>
      </c>
      <c r="I67" s="12">
        <f t="shared" si="22"/>
        <v>0.09681029658645768</v>
      </c>
      <c r="J67" s="39">
        <v>0.0155</v>
      </c>
      <c r="K67" s="39">
        <v>0.0192</v>
      </c>
      <c r="L67" s="12">
        <f t="shared" si="20"/>
        <v>0.0036999999999999984</v>
      </c>
      <c r="M67" s="12">
        <f t="shared" si="21"/>
        <v>0.025654469111884896</v>
      </c>
      <c r="N67" s="39">
        <v>0.0203</v>
      </c>
      <c r="O67" s="39">
        <v>0.0396</v>
      </c>
      <c r="P67" s="39">
        <v>0.052</v>
      </c>
      <c r="Q67" s="39">
        <v>0.0506</v>
      </c>
      <c r="R67" s="32">
        <f t="shared" si="6"/>
        <v>2.7083333333333335</v>
      </c>
    </row>
    <row r="68" spans="1:18" s="7" customFormat="1" ht="13.5">
      <c r="A68" s="38">
        <v>2020</v>
      </c>
      <c r="B68" s="39">
        <f>E68/D68</f>
        <v>0.03720910419667365</v>
      </c>
      <c r="C68" s="13">
        <f>F68/D68</f>
        <v>0.015095565311615598</v>
      </c>
      <c r="D68" s="40">
        <v>3756.07</v>
      </c>
      <c r="E68" s="40">
        <v>139.76</v>
      </c>
      <c r="F68" s="40">
        <v>56.7</v>
      </c>
      <c r="G68" s="27">
        <v>127.78</v>
      </c>
      <c r="H68" s="12">
        <f t="shared" si="22"/>
        <v>-0.1391438250692948</v>
      </c>
      <c r="I68" s="12">
        <f t="shared" si="22"/>
        <v>-0.03571428571428559</v>
      </c>
      <c r="J68" s="39">
        <v>0.0009</v>
      </c>
      <c r="K68" s="39">
        <v>0.0093</v>
      </c>
      <c r="L68" s="12">
        <f t="shared" si="20"/>
        <v>0.0084</v>
      </c>
      <c r="M68" s="12">
        <f t="shared" si="21"/>
        <v>0.007352095209641545</v>
      </c>
      <c r="N68" s="39">
        <v>0.0165</v>
      </c>
      <c r="O68" s="39">
        <v>0.0542</v>
      </c>
      <c r="P68" s="39">
        <v>0.0472</v>
      </c>
      <c r="Q68" s="39">
        <v>0.0494</v>
      </c>
      <c r="R68" s="32">
        <f t="shared" si="6"/>
        <v>5.075268817204301</v>
      </c>
    </row>
    <row r="69" spans="1:18" s="7" customFormat="1" ht="13.5">
      <c r="A69" s="38">
        <v>2021</v>
      </c>
      <c r="B69" s="39">
        <f>E69/D69</f>
        <v>0.0433009244300467</v>
      </c>
      <c r="C69" s="13">
        <f>F69/D69</f>
        <v>0.012420848562160892</v>
      </c>
      <c r="D69" s="40">
        <v>4766.18</v>
      </c>
      <c r="E69" s="40">
        <v>206.38</v>
      </c>
      <c r="F69" s="40">
        <v>59.2</v>
      </c>
      <c r="G69" s="27">
        <v>147.24</v>
      </c>
      <c r="H69" s="12">
        <f t="shared" si="22"/>
        <v>0.4766742987979393</v>
      </c>
      <c r="I69" s="12">
        <f t="shared" si="22"/>
        <v>0.04409171075837737</v>
      </c>
      <c r="J69" s="39">
        <v>0.0006</v>
      </c>
      <c r="K69" s="39">
        <v>0.0151</v>
      </c>
      <c r="L69" s="12">
        <f t="shared" si="20"/>
        <v>0.0145</v>
      </c>
      <c r="M69" s="12">
        <f t="shared" si="21"/>
        <v>0.017052168696106183</v>
      </c>
      <c r="N69" s="39">
        <v>0.0172</v>
      </c>
      <c r="O69" s="39">
        <v>0.0647</v>
      </c>
      <c r="P69" s="39">
        <v>0.0424</v>
      </c>
      <c r="Q69" s="39">
        <v>0.049</v>
      </c>
      <c r="R69" s="32">
        <f t="shared" si="6"/>
        <v>2.8079470198675494</v>
      </c>
    </row>
    <row r="70" spans="1:18" s="7" customFormat="1" ht="13.5">
      <c r="A70" s="38">
        <v>2022</v>
      </c>
      <c r="B70" s="39">
        <f>E70/D70</f>
        <v>0.05716629769501237</v>
      </c>
      <c r="C70" s="13">
        <f>F70/D70</f>
        <v>0.017799192603203545</v>
      </c>
      <c r="D70" s="40">
        <v>3839.5</v>
      </c>
      <c r="E70" s="40">
        <v>219.49</v>
      </c>
      <c r="F70" s="40">
        <v>68.34</v>
      </c>
      <c r="G70" s="27">
        <v>181.99</v>
      </c>
      <c r="H70" s="12">
        <f t="shared" si="22"/>
        <v>0.06352359724779544</v>
      </c>
      <c r="I70" s="12">
        <f t="shared" si="22"/>
        <v>0.15439189189189184</v>
      </c>
      <c r="J70" s="39">
        <v>0.0442</v>
      </c>
      <c r="K70" s="39">
        <v>0.0388</v>
      </c>
      <c r="L70" s="12">
        <f>K70-J70</f>
        <v>-0.005400000000000002</v>
      </c>
      <c r="M70" s="12">
        <f>K70*(1/K70)/(((1-(1+K70)^(-5))/K70)+1/K70)+I70*((1-(1+K70)^(-5))/K70)/(((1-(1+K70)^(-5))/K70)+1/K70)</f>
        <v>0.05587449761635978</v>
      </c>
      <c r="N70" s="39">
        <v>0.0216</v>
      </c>
      <c r="O70" s="39">
        <v>0.0641</v>
      </c>
      <c r="P70" s="39">
        <v>0.0594</v>
      </c>
      <c r="Q70" s="39">
        <v>0.0511</v>
      </c>
      <c r="R70" s="32">
        <f t="shared" si="6"/>
        <v>1.5309278350515463</v>
      </c>
    </row>
    <row r="71" spans="1:17" s="10" customFormat="1" ht="36" customHeight="1">
      <c r="A71" s="8" t="s">
        <v>15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0" customFormat="1" ht="36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2:4" ht="12.75">
      <c r="B73" s="44" t="s">
        <v>26</v>
      </c>
      <c r="C73" s="44" t="s">
        <v>27</v>
      </c>
      <c r="D73" s="46" t="s">
        <v>28</v>
      </c>
    </row>
    <row r="74" spans="2:4" ht="12.75">
      <c r="B74" s="48" t="s">
        <v>30</v>
      </c>
      <c r="C74" s="43">
        <f>AVERAGE(P9:P69)</f>
        <v>0.04213114754098362</v>
      </c>
      <c r="D74" s="42">
        <f>C74+AVERAGE(K9:K68)</f>
        <v>0.10064948087431697</v>
      </c>
    </row>
    <row r="75" spans="2:4" ht="12.75">
      <c r="B75" s="48" t="s">
        <v>31</v>
      </c>
      <c r="C75" s="43">
        <f>AVERAGE(P50:P69)</f>
        <v>0.04978999999999999</v>
      </c>
      <c r="D75" s="42">
        <f>C75+AVERAGE(K49:K68)</f>
        <v>0.08043499999999998</v>
      </c>
    </row>
    <row r="76" spans="2:4" ht="12.75">
      <c r="B76" s="48" t="s">
        <v>32</v>
      </c>
      <c r="C76" s="43">
        <f>AVERAGE(P60:P69)</f>
        <v>0.05353</v>
      </c>
      <c r="D76" s="42">
        <f>C76+AVERAGE(K59:K68)</f>
        <v>0.07504</v>
      </c>
    </row>
    <row r="77" spans="2:4" ht="12.75">
      <c r="B77" s="47" t="s">
        <v>33</v>
      </c>
      <c r="C77" s="45">
        <v>0.0594</v>
      </c>
      <c r="D77" s="42">
        <f>C77+K70</f>
        <v>0.09820000000000001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Woolridge, J. Randall</cp:lastModifiedBy>
  <dcterms:created xsi:type="dcterms:W3CDTF">1999-02-15T16:07:31Z</dcterms:created>
  <dcterms:modified xsi:type="dcterms:W3CDTF">2023-03-10T18:34:39Z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{0B35F0EE-A9A2-46AB-9A2E-9FE6C31FA7FC}</vt:lpwstr>
  </property>
  <property fmtid="{D5CDD505-2E9C-101B-9397-08002B2CF9AE}" pid="3" name="DocumentSetType">
    <vt:lpwstr>Workpapers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PacifiCorp</vt:lpwstr>
  </property>
  <property fmtid="{D5CDD505-2E9C-101B-9397-08002B2CF9AE}" pid="7" name="IsConfidential">
    <vt:lpwstr>0</vt:lpwstr>
  </property>
  <property fmtid="{D5CDD505-2E9C-101B-9397-08002B2CF9AE}" pid="8" name="DocketNumber">
    <vt:lpwstr>230172</vt:lpwstr>
  </property>
  <property fmtid="{D5CDD505-2E9C-101B-9397-08002B2CF9AE}" pid="9" name="Date1">
    <vt:lpwstr>2023-09-20T00:00:00Z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2023-04-10T00:00:00Z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