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brewste215\OneDrive - Washington State Executive Branch Agencies\Exhibits in Process\"/>
    </mc:Choice>
  </mc:AlternateContent>
  <bookViews>
    <workbookView xWindow="0" yWindow="0" windowWidth="28800" windowHeight="14235" activeTab="1"/>
  </bookViews>
  <sheets>
    <sheet name="WA Sch 25" sheetId="2" r:id="rId1"/>
    <sheet name="Rate Design" sheetId="3" r:id="rId2"/>
    <sheet name="WA Sch 25 - Chart" sheetId="1" r:id="rId3"/>
  </sheets>
  <definedNames>
    <definedName name="_xlnm.Print_Area" localSheetId="0">'WA Sch 25'!$B$1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" l="1"/>
  <c r="AA8" i="2"/>
  <c r="AA7" i="2"/>
  <c r="AA3" i="2"/>
  <c r="Z8" i="2"/>
  <c r="Z7" i="2"/>
  <c r="Z5" i="2"/>
  <c r="Z4" i="2"/>
  <c r="Z3" i="2"/>
  <c r="Y8" i="2"/>
  <c r="Y7" i="2"/>
  <c r="Y4" i="2"/>
  <c r="Y5" i="2"/>
  <c r="Y3" i="2"/>
  <c r="R10" i="2" l="1"/>
  <c r="S10" i="2"/>
  <c r="P13" i="2"/>
  <c r="Q13" i="2"/>
  <c r="Q36" i="2" s="1"/>
  <c r="P14" i="2"/>
  <c r="Q14" i="2"/>
  <c r="P15" i="2"/>
  <c r="Q15" i="2"/>
  <c r="P16" i="2"/>
  <c r="Q16" i="2"/>
  <c r="P17" i="2"/>
  <c r="Q17" i="2"/>
  <c r="P18" i="2"/>
  <c r="Q18" i="2"/>
  <c r="P19" i="2"/>
  <c r="Q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P34" i="2"/>
  <c r="Q34" i="2"/>
  <c r="P35" i="2"/>
  <c r="Q35" i="2"/>
  <c r="D36" i="2"/>
  <c r="E36" i="2"/>
  <c r="F36" i="2"/>
  <c r="G36" i="2"/>
  <c r="H36" i="2"/>
  <c r="I36" i="2"/>
  <c r="J36" i="2"/>
  <c r="K36" i="2"/>
  <c r="L36" i="2"/>
  <c r="M36" i="2"/>
  <c r="N36" i="2"/>
  <c r="O36" i="2"/>
  <c r="P38" i="2"/>
  <c r="P39" i="2"/>
  <c r="P40" i="2"/>
  <c r="P41" i="2"/>
  <c r="P42" i="2"/>
  <c r="P43" i="2"/>
  <c r="P44" i="2"/>
  <c r="D45" i="2"/>
  <c r="E45" i="2"/>
  <c r="E46" i="2" s="1"/>
  <c r="F45" i="2"/>
  <c r="G45" i="2"/>
  <c r="G46" i="2" s="1"/>
  <c r="H45" i="2"/>
  <c r="H46" i="2" s="1"/>
  <c r="I45" i="2"/>
  <c r="I46" i="2" s="1"/>
  <c r="J45" i="2"/>
  <c r="K45" i="2"/>
  <c r="K46" i="2" s="1"/>
  <c r="L45" i="2"/>
  <c r="M45" i="2"/>
  <c r="M46" i="2" s="1"/>
  <c r="N45" i="2"/>
  <c r="O45" i="2"/>
  <c r="O46" i="2" s="1"/>
  <c r="D46" i="2"/>
  <c r="F46" i="2"/>
  <c r="J46" i="2"/>
  <c r="L46" i="2"/>
  <c r="N46" i="2"/>
  <c r="D49" i="2"/>
  <c r="E49" i="2"/>
  <c r="R53" i="2" s="1"/>
  <c r="F49" i="2"/>
  <c r="G49" i="2"/>
  <c r="H49" i="2"/>
  <c r="I49" i="2"/>
  <c r="J49" i="2"/>
  <c r="K49" i="2"/>
  <c r="L49" i="2"/>
  <c r="M49" i="2"/>
  <c r="N49" i="2"/>
  <c r="O49" i="2"/>
  <c r="P50" i="2"/>
  <c r="Q50" i="2"/>
  <c r="R50" i="2" s="1"/>
  <c r="W50" i="2"/>
  <c r="Y50" i="2"/>
  <c r="Z50" i="2"/>
  <c r="AB50" i="2"/>
  <c r="P51" i="2"/>
  <c r="Q51" i="2"/>
  <c r="R51" i="2" s="1"/>
  <c r="W51" i="2"/>
  <c r="Y51" i="2"/>
  <c r="Z51" i="2"/>
  <c r="AB51" i="2"/>
  <c r="P52" i="2"/>
  <c r="W105" i="2" s="1"/>
  <c r="Y105" i="2" s="1"/>
  <c r="Z105" i="2" s="1"/>
  <c r="AB105" i="2" s="1"/>
  <c r="Q52" i="2"/>
  <c r="R52" i="2" s="1"/>
  <c r="W52" i="2"/>
  <c r="Y52" i="2"/>
  <c r="Z52" i="2"/>
  <c r="AB52" i="2"/>
  <c r="P53" i="2"/>
  <c r="W106" i="2" s="1"/>
  <c r="Y106" i="2" s="1"/>
  <c r="Z106" i="2" s="1"/>
  <c r="AB106" i="2" s="1"/>
  <c r="Q53" i="2"/>
  <c r="W53" i="2"/>
  <c r="Y53" i="2"/>
  <c r="Z53" i="2"/>
  <c r="AB53" i="2"/>
  <c r="P54" i="2"/>
  <c r="W107" i="2" s="1"/>
  <c r="Y107" i="2" s="1"/>
  <c r="Z107" i="2" s="1"/>
  <c r="AB107" i="2" s="1"/>
  <c r="Q54" i="2"/>
  <c r="W54" i="2"/>
  <c r="Y54" i="2"/>
  <c r="Z54" i="2"/>
  <c r="AB54" i="2"/>
  <c r="P55" i="2"/>
  <c r="W108" i="2" s="1"/>
  <c r="Y108" i="2" s="1"/>
  <c r="Z108" i="2" s="1"/>
  <c r="AB108" i="2" s="1"/>
  <c r="Q55" i="2"/>
  <c r="R55" i="2"/>
  <c r="W55" i="2"/>
  <c r="Y55" i="2"/>
  <c r="Z55" i="2"/>
  <c r="AB55" i="2"/>
  <c r="P56" i="2"/>
  <c r="Q56" i="2"/>
  <c r="R56" i="2" s="1"/>
  <c r="W56" i="2"/>
  <c r="Y56" i="2"/>
  <c r="Z56" i="2"/>
  <c r="AB56" i="2"/>
  <c r="P57" i="2"/>
  <c r="Q57" i="2"/>
  <c r="R57" i="2" s="1"/>
  <c r="W57" i="2"/>
  <c r="Y57" i="2"/>
  <c r="Z57" i="2"/>
  <c r="AB57" i="2"/>
  <c r="P58" i="2"/>
  <c r="W111" i="2" s="1"/>
  <c r="Y111" i="2" s="1"/>
  <c r="Z111" i="2" s="1"/>
  <c r="AB111" i="2" s="1"/>
  <c r="Q58" i="2"/>
  <c r="W58" i="2"/>
  <c r="Y58" i="2"/>
  <c r="Z58" i="2"/>
  <c r="AB58" i="2"/>
  <c r="P59" i="2"/>
  <c r="W112" i="2" s="1"/>
  <c r="Y112" i="2" s="1"/>
  <c r="Z112" i="2" s="1"/>
  <c r="AB112" i="2" s="1"/>
  <c r="Q59" i="2"/>
  <c r="R59" i="2"/>
  <c r="W59" i="2"/>
  <c r="Y59" i="2"/>
  <c r="Z59" i="2"/>
  <c r="AB59" i="2"/>
  <c r="P60" i="2"/>
  <c r="Q60" i="2"/>
  <c r="R60" i="2" s="1"/>
  <c r="W60" i="2"/>
  <c r="Y60" i="2"/>
  <c r="AA60" i="2"/>
  <c r="AB60" i="2"/>
  <c r="P61" i="2"/>
  <c r="Q61" i="2"/>
  <c r="Q168" i="2" s="1"/>
  <c r="W61" i="2"/>
  <c r="Y61" i="2"/>
  <c r="Z61" i="2"/>
  <c r="AB61" i="2"/>
  <c r="P62" i="2"/>
  <c r="Q62" i="2"/>
  <c r="R62" i="2" s="1"/>
  <c r="W62" i="2"/>
  <c r="Y62" i="2"/>
  <c r="Z62" i="2"/>
  <c r="AB62" i="2"/>
  <c r="P63" i="2"/>
  <c r="Q63" i="2"/>
  <c r="R63" i="2"/>
  <c r="W63" i="2"/>
  <c r="Y63" i="2"/>
  <c r="Z63" i="2"/>
  <c r="AB63" i="2"/>
  <c r="P64" i="2"/>
  <c r="Q64" i="2"/>
  <c r="R64" i="2" s="1"/>
  <c r="W64" i="2"/>
  <c r="Y64" i="2"/>
  <c r="Z64" i="2"/>
  <c r="AB64" i="2"/>
  <c r="P65" i="2"/>
  <c r="Q65" i="2"/>
  <c r="Q172" i="2" s="1"/>
  <c r="W65" i="2"/>
  <c r="Y65" i="2"/>
  <c r="Z65" i="2"/>
  <c r="AB65" i="2"/>
  <c r="P66" i="2"/>
  <c r="Q66" i="2"/>
  <c r="R66" i="2" s="1"/>
  <c r="W66" i="2"/>
  <c r="Y66" i="2"/>
  <c r="Z66" i="2"/>
  <c r="AB66" i="2"/>
  <c r="P67" i="2"/>
  <c r="Q67" i="2"/>
  <c r="Q174" i="2" s="1"/>
  <c r="W67" i="2"/>
  <c r="Y67" i="2"/>
  <c r="Z67" i="2"/>
  <c r="AB67" i="2"/>
  <c r="P68" i="2"/>
  <c r="Q68" i="2"/>
  <c r="W68" i="2"/>
  <c r="Y68" i="2"/>
  <c r="Z68" i="2"/>
  <c r="AB68" i="2"/>
  <c r="P69" i="2"/>
  <c r="W122" i="2" s="1"/>
  <c r="Y122" i="2" s="1"/>
  <c r="Z122" i="2" s="1"/>
  <c r="Q69" i="2"/>
  <c r="R69" i="2" s="1"/>
  <c r="W69" i="2"/>
  <c r="Y69" i="2"/>
  <c r="Z69" i="2"/>
  <c r="AB69" i="2"/>
  <c r="P70" i="2"/>
  <c r="Q70" i="2"/>
  <c r="W70" i="2"/>
  <c r="Y70" i="2"/>
  <c r="Z70" i="2"/>
  <c r="AB70" i="2"/>
  <c r="P71" i="2"/>
  <c r="Q71" i="2"/>
  <c r="R71" i="2"/>
  <c r="W71" i="2"/>
  <c r="Y71" i="2"/>
  <c r="Z71" i="2"/>
  <c r="AB71" i="2"/>
  <c r="P72" i="2"/>
  <c r="Q72" i="2"/>
  <c r="R72" i="2" s="1"/>
  <c r="W72" i="2"/>
  <c r="Y72" i="2"/>
  <c r="Z72" i="2"/>
  <c r="AB72" i="2"/>
  <c r="D73" i="2"/>
  <c r="E73" i="2"/>
  <c r="F73" i="2"/>
  <c r="G73" i="2"/>
  <c r="H73" i="2"/>
  <c r="I73" i="2"/>
  <c r="J73" i="2"/>
  <c r="K73" i="2"/>
  <c r="L73" i="2"/>
  <c r="M73" i="2"/>
  <c r="N73" i="2"/>
  <c r="O73" i="2"/>
  <c r="P75" i="2"/>
  <c r="D76" i="2"/>
  <c r="E76" i="2"/>
  <c r="F76" i="2"/>
  <c r="G76" i="2"/>
  <c r="H76" i="2"/>
  <c r="I76" i="2"/>
  <c r="J76" i="2"/>
  <c r="K76" i="2"/>
  <c r="L76" i="2"/>
  <c r="M76" i="2"/>
  <c r="N76" i="2"/>
  <c r="O76" i="2"/>
  <c r="B77" i="2"/>
  <c r="C77" i="2"/>
  <c r="D77" i="2"/>
  <c r="E77" i="2"/>
  <c r="F77" i="2"/>
  <c r="G77" i="2"/>
  <c r="H77" i="2"/>
  <c r="I77" i="2"/>
  <c r="J77" i="2"/>
  <c r="J100" i="2" s="1"/>
  <c r="K77" i="2"/>
  <c r="L77" i="2"/>
  <c r="M77" i="2"/>
  <c r="N77" i="2"/>
  <c r="O77" i="2"/>
  <c r="P77" i="2"/>
  <c r="D78" i="2"/>
  <c r="E78" i="2"/>
  <c r="Z78" i="2" s="1"/>
  <c r="F78" i="2"/>
  <c r="G78" i="2"/>
  <c r="H78" i="2"/>
  <c r="I78" i="2"/>
  <c r="J78" i="2"/>
  <c r="K78" i="2"/>
  <c r="L78" i="2"/>
  <c r="M78" i="2"/>
  <c r="N78" i="2"/>
  <c r="O78" i="2"/>
  <c r="D79" i="2"/>
  <c r="E79" i="2"/>
  <c r="F79" i="2"/>
  <c r="F100" i="2" s="1"/>
  <c r="G79" i="2"/>
  <c r="H79" i="2"/>
  <c r="I79" i="2"/>
  <c r="J79" i="2"/>
  <c r="K79" i="2"/>
  <c r="L79" i="2"/>
  <c r="M79" i="2"/>
  <c r="N79" i="2"/>
  <c r="O79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Z80" i="2"/>
  <c r="B81" i="2"/>
  <c r="C81" i="2"/>
  <c r="D81" i="2"/>
  <c r="E81" i="2"/>
  <c r="P81" i="2" s="1"/>
  <c r="F81" i="2"/>
  <c r="G81" i="2"/>
  <c r="H81" i="2"/>
  <c r="I81" i="2"/>
  <c r="J81" i="2"/>
  <c r="K81" i="2"/>
  <c r="L81" i="2"/>
  <c r="M81" i="2"/>
  <c r="N81" i="2"/>
  <c r="O81" i="2"/>
  <c r="AB81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B85" i="2"/>
  <c r="C85" i="2"/>
  <c r="D85" i="2"/>
  <c r="E85" i="2"/>
  <c r="Y85" i="2" s="1"/>
  <c r="F85" i="2"/>
  <c r="G85" i="2"/>
  <c r="AB85" i="2" s="1"/>
  <c r="H85" i="2"/>
  <c r="I85" i="2"/>
  <c r="J85" i="2"/>
  <c r="K85" i="2"/>
  <c r="L85" i="2"/>
  <c r="M85" i="2"/>
  <c r="N85" i="2"/>
  <c r="O85" i="2"/>
  <c r="D86" i="2"/>
  <c r="E86" i="2"/>
  <c r="W86" i="2" s="1"/>
  <c r="F86" i="2"/>
  <c r="G86" i="2"/>
  <c r="H86" i="2"/>
  <c r="I86" i="2"/>
  <c r="J86" i="2"/>
  <c r="K86" i="2"/>
  <c r="L86" i="2"/>
  <c r="M86" i="2"/>
  <c r="N86" i="2"/>
  <c r="O86" i="2"/>
  <c r="B87" i="2"/>
  <c r="C87" i="2"/>
  <c r="D87" i="2"/>
  <c r="E87" i="2"/>
  <c r="F87" i="2"/>
  <c r="F118" i="2" s="1"/>
  <c r="F120" i="2" s="1"/>
  <c r="G87" i="2"/>
  <c r="H87" i="2"/>
  <c r="I87" i="2"/>
  <c r="J87" i="2"/>
  <c r="K87" i="2"/>
  <c r="L87" i="2"/>
  <c r="M87" i="2"/>
  <c r="N87" i="2"/>
  <c r="N118" i="2" s="1"/>
  <c r="N120" i="2" s="1"/>
  <c r="O87" i="2"/>
  <c r="B88" i="2"/>
  <c r="C88" i="2"/>
  <c r="D88" i="2"/>
  <c r="E88" i="2"/>
  <c r="F88" i="2"/>
  <c r="G88" i="2"/>
  <c r="Z88" i="2" s="1"/>
  <c r="H88" i="2"/>
  <c r="I88" i="2"/>
  <c r="J88" i="2"/>
  <c r="K88" i="2"/>
  <c r="L88" i="2"/>
  <c r="M88" i="2"/>
  <c r="N88" i="2"/>
  <c r="O88" i="2"/>
  <c r="B89" i="2"/>
  <c r="C89" i="2"/>
  <c r="D89" i="2"/>
  <c r="E89" i="2"/>
  <c r="AB89" i="2" s="1"/>
  <c r="F89" i="2"/>
  <c r="G89" i="2"/>
  <c r="H89" i="2"/>
  <c r="I89" i="2"/>
  <c r="J89" i="2"/>
  <c r="K89" i="2"/>
  <c r="L89" i="2"/>
  <c r="M89" i="2"/>
  <c r="N89" i="2"/>
  <c r="O89" i="2"/>
  <c r="Y89" i="2"/>
  <c r="B90" i="2"/>
  <c r="C90" i="2"/>
  <c r="D90" i="2"/>
  <c r="Z90" i="2" s="1"/>
  <c r="E90" i="2"/>
  <c r="F90" i="2"/>
  <c r="G90" i="2"/>
  <c r="H90" i="2"/>
  <c r="I90" i="2"/>
  <c r="J90" i="2"/>
  <c r="K90" i="2"/>
  <c r="L90" i="2"/>
  <c r="M90" i="2"/>
  <c r="N90" i="2"/>
  <c r="O90" i="2"/>
  <c r="W90" i="2"/>
  <c r="B91" i="2"/>
  <c r="C91" i="2"/>
  <c r="D91" i="2"/>
  <c r="Y91" i="2" s="1"/>
  <c r="E91" i="2"/>
  <c r="F91" i="2"/>
  <c r="G91" i="2"/>
  <c r="H91" i="2"/>
  <c r="I91" i="2"/>
  <c r="J91" i="2"/>
  <c r="K91" i="2"/>
  <c r="L91" i="2"/>
  <c r="M91" i="2"/>
  <c r="N91" i="2"/>
  <c r="O91" i="2"/>
  <c r="AB91" i="2"/>
  <c r="B92" i="2"/>
  <c r="C92" i="2"/>
  <c r="D92" i="2"/>
  <c r="E92" i="2"/>
  <c r="Z92" i="2" s="1"/>
  <c r="F92" i="2"/>
  <c r="G92" i="2"/>
  <c r="H92" i="2"/>
  <c r="I92" i="2"/>
  <c r="J92" i="2"/>
  <c r="K92" i="2"/>
  <c r="L92" i="2"/>
  <c r="M92" i="2"/>
  <c r="N92" i="2"/>
  <c r="O92" i="2"/>
  <c r="B93" i="2"/>
  <c r="C93" i="2"/>
  <c r="D93" i="2"/>
  <c r="Y93" i="2" s="1"/>
  <c r="E93" i="2"/>
  <c r="F93" i="2"/>
  <c r="P93" i="2" s="1"/>
  <c r="G93" i="2"/>
  <c r="H93" i="2"/>
  <c r="I93" i="2"/>
  <c r="J93" i="2"/>
  <c r="K93" i="2"/>
  <c r="L93" i="2"/>
  <c r="M93" i="2"/>
  <c r="N93" i="2"/>
  <c r="O93" i="2"/>
  <c r="B94" i="2"/>
  <c r="C94" i="2"/>
  <c r="D94" i="2"/>
  <c r="E94" i="2"/>
  <c r="F94" i="2"/>
  <c r="W94" i="2" s="1"/>
  <c r="G94" i="2"/>
  <c r="H94" i="2"/>
  <c r="I94" i="2"/>
  <c r="J94" i="2"/>
  <c r="K94" i="2"/>
  <c r="L94" i="2"/>
  <c r="M94" i="2"/>
  <c r="N94" i="2"/>
  <c r="O94" i="2"/>
  <c r="B95" i="2"/>
  <c r="C95" i="2"/>
  <c r="D95" i="2"/>
  <c r="E95" i="2"/>
  <c r="P95" i="2" s="1"/>
  <c r="F95" i="2"/>
  <c r="G95" i="2"/>
  <c r="H95" i="2"/>
  <c r="I95" i="2"/>
  <c r="J95" i="2"/>
  <c r="K95" i="2"/>
  <c r="L95" i="2"/>
  <c r="M95" i="2"/>
  <c r="N95" i="2"/>
  <c r="O95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B97" i="2"/>
  <c r="C97" i="2"/>
  <c r="D97" i="2"/>
  <c r="Y97" i="2" s="1"/>
  <c r="E97" i="2"/>
  <c r="F97" i="2"/>
  <c r="P97" i="2" s="1"/>
  <c r="G97" i="2"/>
  <c r="H97" i="2"/>
  <c r="I97" i="2"/>
  <c r="J97" i="2"/>
  <c r="K97" i="2"/>
  <c r="L97" i="2"/>
  <c r="M97" i="2"/>
  <c r="N97" i="2"/>
  <c r="O97" i="2"/>
  <c r="AB97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B99" i="2"/>
  <c r="C99" i="2"/>
  <c r="D99" i="2"/>
  <c r="E99" i="2"/>
  <c r="Z99" i="2" s="1"/>
  <c r="F99" i="2"/>
  <c r="G99" i="2"/>
  <c r="H99" i="2"/>
  <c r="I99" i="2"/>
  <c r="J99" i="2"/>
  <c r="K99" i="2"/>
  <c r="L99" i="2"/>
  <c r="M99" i="2"/>
  <c r="N99" i="2"/>
  <c r="O99" i="2"/>
  <c r="N100" i="2"/>
  <c r="W103" i="2"/>
  <c r="Y103" i="2"/>
  <c r="Z103" i="2" s="1"/>
  <c r="AB103" i="2" s="1"/>
  <c r="Y104" i="2"/>
  <c r="Z104" i="2"/>
  <c r="AB104" i="2" s="1"/>
  <c r="D105" i="2"/>
  <c r="E105" i="2"/>
  <c r="F105" i="2"/>
  <c r="G105" i="2"/>
  <c r="H105" i="2"/>
  <c r="I105" i="2"/>
  <c r="J105" i="2"/>
  <c r="K105" i="2"/>
  <c r="L105" i="2"/>
  <c r="M105" i="2"/>
  <c r="N105" i="2"/>
  <c r="O105" i="2"/>
  <c r="P106" i="2"/>
  <c r="P107" i="2"/>
  <c r="P108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W109" i="2"/>
  <c r="Y109" i="2" s="1"/>
  <c r="Z109" i="2" s="1"/>
  <c r="AB109" i="2" s="1"/>
  <c r="D110" i="2"/>
  <c r="E110" i="2"/>
  <c r="F110" i="2"/>
  <c r="G110" i="2"/>
  <c r="H110" i="2"/>
  <c r="I110" i="2"/>
  <c r="J110" i="2"/>
  <c r="K110" i="2"/>
  <c r="L110" i="2"/>
  <c r="P110" i="2" s="1"/>
  <c r="M110" i="2"/>
  <c r="N110" i="2"/>
  <c r="O110" i="2"/>
  <c r="W110" i="2"/>
  <c r="Y110" i="2"/>
  <c r="Z110" i="2" s="1"/>
  <c r="AB110" i="2" s="1"/>
  <c r="P112" i="2"/>
  <c r="P115" i="2" s="1"/>
  <c r="P113" i="2"/>
  <c r="P114" i="2"/>
  <c r="W114" i="2"/>
  <c r="Y114" i="2" s="1"/>
  <c r="Z114" i="2" s="1"/>
  <c r="AB114" i="2" s="1"/>
  <c r="D115" i="2"/>
  <c r="E115" i="2"/>
  <c r="F115" i="2"/>
  <c r="G115" i="2"/>
  <c r="H115" i="2"/>
  <c r="I115" i="2"/>
  <c r="J115" i="2"/>
  <c r="K115" i="2"/>
  <c r="L115" i="2"/>
  <c r="M115" i="2"/>
  <c r="N115" i="2"/>
  <c r="O115" i="2"/>
  <c r="W115" i="2"/>
  <c r="Y115" i="2" s="1"/>
  <c r="Z115" i="2" s="1"/>
  <c r="AB115" i="2" s="1"/>
  <c r="D116" i="2"/>
  <c r="E116" i="2"/>
  <c r="F116" i="2"/>
  <c r="G116" i="2"/>
  <c r="H116" i="2"/>
  <c r="I116" i="2"/>
  <c r="J116" i="2"/>
  <c r="K116" i="2"/>
  <c r="L116" i="2"/>
  <c r="M116" i="2"/>
  <c r="N116" i="2"/>
  <c r="O116" i="2"/>
  <c r="W116" i="2"/>
  <c r="Y116" i="2" s="1"/>
  <c r="Z116" i="2" s="1"/>
  <c r="AB116" i="2" s="1"/>
  <c r="W117" i="2"/>
  <c r="Y117" i="2" s="1"/>
  <c r="Z117" i="2" s="1"/>
  <c r="AB117" i="2" s="1"/>
  <c r="E118" i="2"/>
  <c r="E120" i="2" s="1"/>
  <c r="G118" i="2"/>
  <c r="I118" i="2"/>
  <c r="J118" i="2"/>
  <c r="J120" i="2" s="1"/>
  <c r="K118" i="2"/>
  <c r="M118" i="2"/>
  <c r="M120" i="2" s="1"/>
  <c r="O118" i="2"/>
  <c r="O120" i="2" s="1"/>
  <c r="W118" i="2"/>
  <c r="Y118" i="2"/>
  <c r="Z118" i="2" s="1"/>
  <c r="AB118" i="2" s="1"/>
  <c r="P119" i="2"/>
  <c r="W119" i="2"/>
  <c r="Y119" i="2" s="1"/>
  <c r="Z119" i="2" s="1"/>
  <c r="AB119" i="2" s="1"/>
  <c r="G120" i="2"/>
  <c r="I120" i="2"/>
  <c r="K120" i="2"/>
  <c r="W120" i="2"/>
  <c r="Y120" i="2" s="1"/>
  <c r="Z120" i="2" s="1"/>
  <c r="AB120" i="2" s="1"/>
  <c r="W121" i="2"/>
  <c r="Y121" i="2" s="1"/>
  <c r="Z121" i="2" s="1"/>
  <c r="AB121" i="2" s="1"/>
  <c r="D122" i="2"/>
  <c r="E122" i="2"/>
  <c r="P122" i="2" s="1"/>
  <c r="F122" i="2"/>
  <c r="G122" i="2"/>
  <c r="G125" i="2" s="1"/>
  <c r="H122" i="2"/>
  <c r="I122" i="2"/>
  <c r="J122" i="2"/>
  <c r="K122" i="2"/>
  <c r="K125" i="2" s="1"/>
  <c r="L122" i="2"/>
  <c r="M122" i="2"/>
  <c r="N122" i="2"/>
  <c r="O122" i="2"/>
  <c r="O125" i="2" s="1"/>
  <c r="AB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W123" i="2"/>
  <c r="Y123" i="2" s="1"/>
  <c r="Z123" i="2" s="1"/>
  <c r="AB123" i="2" s="1"/>
  <c r="D124" i="2"/>
  <c r="E124" i="2"/>
  <c r="P124" i="2" s="1"/>
  <c r="F124" i="2"/>
  <c r="G124" i="2"/>
  <c r="H124" i="2"/>
  <c r="I124" i="2"/>
  <c r="J124" i="2"/>
  <c r="K124" i="2"/>
  <c r="L124" i="2"/>
  <c r="M124" i="2"/>
  <c r="N124" i="2"/>
  <c r="O124" i="2"/>
  <c r="Y124" i="2"/>
  <c r="Z124" i="2" s="1"/>
  <c r="E125" i="2"/>
  <c r="I125" i="2"/>
  <c r="M125" i="2"/>
  <c r="Y125" i="2"/>
  <c r="Z125" i="2" s="1"/>
  <c r="P128" i="2"/>
  <c r="T128" i="2" s="1"/>
  <c r="P129" i="2"/>
  <c r="T129" i="2" s="1"/>
  <c r="P130" i="2"/>
  <c r="T130" i="2"/>
  <c r="P131" i="2"/>
  <c r="T131" i="2" s="1"/>
  <c r="P132" i="2"/>
  <c r="T132" i="2" s="1"/>
  <c r="P133" i="2"/>
  <c r="T133" i="2" s="1"/>
  <c r="P134" i="2"/>
  <c r="T134" i="2"/>
  <c r="P135" i="2"/>
  <c r="T135" i="2" s="1"/>
  <c r="P136" i="2"/>
  <c r="T136" i="2" s="1"/>
  <c r="P137" i="2"/>
  <c r="T137" i="2" s="1"/>
  <c r="P138" i="2"/>
  <c r="T138" i="2"/>
  <c r="P139" i="2"/>
  <c r="T139" i="2" s="1"/>
  <c r="P140" i="2"/>
  <c r="T140" i="2" s="1"/>
  <c r="P141" i="2"/>
  <c r="T141" i="2" s="1"/>
  <c r="P142" i="2"/>
  <c r="T142" i="2"/>
  <c r="P143" i="2"/>
  <c r="T143" i="2" s="1"/>
  <c r="P144" i="2"/>
  <c r="T144" i="2" s="1"/>
  <c r="P145" i="2"/>
  <c r="T145" i="2" s="1"/>
  <c r="P146" i="2"/>
  <c r="T146" i="2"/>
  <c r="P147" i="2"/>
  <c r="T147" i="2" s="1"/>
  <c r="P148" i="2"/>
  <c r="T148" i="2" s="1"/>
  <c r="P149" i="2"/>
  <c r="T149" i="2" s="1"/>
  <c r="P150" i="2"/>
  <c r="T150" i="2"/>
  <c r="P153" i="2"/>
  <c r="V155" i="2"/>
  <c r="P156" i="2"/>
  <c r="V156" i="2"/>
  <c r="D157" i="2"/>
  <c r="D163" i="2" s="1"/>
  <c r="E157" i="2"/>
  <c r="E162" i="2" s="1"/>
  <c r="F157" i="2"/>
  <c r="G157" i="2"/>
  <c r="G160" i="2" s="1"/>
  <c r="H157" i="2"/>
  <c r="H163" i="2" s="1"/>
  <c r="I157" i="2"/>
  <c r="I169" i="2" s="1"/>
  <c r="J157" i="2"/>
  <c r="K157" i="2"/>
  <c r="K160" i="2" s="1"/>
  <c r="L157" i="2"/>
  <c r="L161" i="2" s="1"/>
  <c r="M157" i="2"/>
  <c r="M164" i="2" s="1"/>
  <c r="N157" i="2"/>
  <c r="O157" i="2"/>
  <c r="O160" i="2" s="1"/>
  <c r="V157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V158" i="2"/>
  <c r="F159" i="2"/>
  <c r="H159" i="2"/>
  <c r="J159" i="2"/>
  <c r="K159" i="2"/>
  <c r="L159" i="2"/>
  <c r="N159" i="2"/>
  <c r="Q159" i="2"/>
  <c r="V159" i="2"/>
  <c r="E160" i="2"/>
  <c r="F160" i="2"/>
  <c r="I160" i="2"/>
  <c r="J160" i="2"/>
  <c r="M160" i="2"/>
  <c r="N160" i="2"/>
  <c r="Q160" i="2"/>
  <c r="V160" i="2"/>
  <c r="D161" i="2"/>
  <c r="F161" i="2"/>
  <c r="G161" i="2"/>
  <c r="H161" i="2"/>
  <c r="J161" i="2"/>
  <c r="N161" i="2"/>
  <c r="Q161" i="2"/>
  <c r="V161" i="2"/>
  <c r="F162" i="2"/>
  <c r="I162" i="2"/>
  <c r="J162" i="2"/>
  <c r="K162" i="2"/>
  <c r="N162" i="2"/>
  <c r="Q162" i="2"/>
  <c r="V162" i="2"/>
  <c r="F163" i="2"/>
  <c r="J163" i="2"/>
  <c r="L163" i="2"/>
  <c r="N163" i="2"/>
  <c r="O163" i="2"/>
  <c r="V163" i="2"/>
  <c r="F164" i="2"/>
  <c r="I164" i="2"/>
  <c r="J164" i="2"/>
  <c r="K164" i="2"/>
  <c r="N164" i="2"/>
  <c r="V164" i="2"/>
  <c r="F165" i="2"/>
  <c r="J165" i="2"/>
  <c r="L165" i="2"/>
  <c r="N165" i="2"/>
  <c r="O165" i="2"/>
  <c r="Q165" i="2"/>
  <c r="V165" i="2"/>
  <c r="E166" i="2"/>
  <c r="F166" i="2"/>
  <c r="I166" i="2"/>
  <c r="J166" i="2"/>
  <c r="M166" i="2"/>
  <c r="N166" i="2"/>
  <c r="Q166" i="2"/>
  <c r="V166" i="2"/>
  <c r="D167" i="2"/>
  <c r="F167" i="2"/>
  <c r="H167" i="2"/>
  <c r="J167" i="2"/>
  <c r="N167" i="2"/>
  <c r="V167" i="2"/>
  <c r="D168" i="2"/>
  <c r="F168" i="2"/>
  <c r="H168" i="2"/>
  <c r="J168" i="2"/>
  <c r="L168" i="2"/>
  <c r="N168" i="2"/>
  <c r="V168" i="2"/>
  <c r="F169" i="2"/>
  <c r="H169" i="2"/>
  <c r="J169" i="2"/>
  <c r="K169" i="2"/>
  <c r="L169" i="2"/>
  <c r="N169" i="2"/>
  <c r="Q169" i="2"/>
  <c r="V169" i="2"/>
  <c r="D170" i="2"/>
  <c r="F170" i="2"/>
  <c r="H170" i="2"/>
  <c r="J170" i="2"/>
  <c r="L170" i="2"/>
  <c r="N170" i="2"/>
  <c r="Q170" i="2"/>
  <c r="V170" i="2"/>
  <c r="D171" i="2"/>
  <c r="F171" i="2"/>
  <c r="H171" i="2"/>
  <c r="J171" i="2"/>
  <c r="N171" i="2"/>
  <c r="Q171" i="2"/>
  <c r="V171" i="2"/>
  <c r="D172" i="2"/>
  <c r="F172" i="2"/>
  <c r="H172" i="2"/>
  <c r="J172" i="2"/>
  <c r="L172" i="2"/>
  <c r="N172" i="2"/>
  <c r="V172" i="2"/>
  <c r="F173" i="2"/>
  <c r="H173" i="2"/>
  <c r="J173" i="2"/>
  <c r="K173" i="2"/>
  <c r="L173" i="2"/>
  <c r="N173" i="2"/>
  <c r="Q173" i="2"/>
  <c r="V173" i="2"/>
  <c r="D174" i="2"/>
  <c r="F174" i="2"/>
  <c r="H174" i="2"/>
  <c r="J174" i="2"/>
  <c r="L174" i="2"/>
  <c r="N174" i="2"/>
  <c r="V174" i="2"/>
  <c r="D175" i="2"/>
  <c r="F175" i="2"/>
  <c r="H175" i="2"/>
  <c r="J175" i="2"/>
  <c r="N175" i="2"/>
  <c r="Q175" i="2"/>
  <c r="V175" i="2"/>
  <c r="D176" i="2"/>
  <c r="F176" i="2"/>
  <c r="H176" i="2"/>
  <c r="J176" i="2"/>
  <c r="L176" i="2"/>
  <c r="N176" i="2"/>
  <c r="V176" i="2"/>
  <c r="E177" i="2"/>
  <c r="F177" i="2"/>
  <c r="I177" i="2"/>
  <c r="J177" i="2"/>
  <c r="M177" i="2"/>
  <c r="N177" i="2"/>
  <c r="Q177" i="2"/>
  <c r="V177" i="2"/>
  <c r="D178" i="2"/>
  <c r="E178" i="2"/>
  <c r="P178" i="2" s="1"/>
  <c r="F178" i="2"/>
  <c r="G178" i="2"/>
  <c r="H178" i="2"/>
  <c r="I178" i="2"/>
  <c r="J178" i="2"/>
  <c r="K178" i="2"/>
  <c r="L178" i="2"/>
  <c r="M178" i="2"/>
  <c r="N178" i="2"/>
  <c r="O178" i="2"/>
  <c r="Q178" i="2"/>
  <c r="E179" i="2"/>
  <c r="F179" i="2"/>
  <c r="I179" i="2"/>
  <c r="J179" i="2"/>
  <c r="M179" i="2"/>
  <c r="N179" i="2"/>
  <c r="AB77" i="2" l="1"/>
  <c r="R65" i="2"/>
  <c r="Q179" i="2"/>
  <c r="L179" i="2"/>
  <c r="H179" i="2"/>
  <c r="D179" i="2"/>
  <c r="L177" i="2"/>
  <c r="H177" i="2"/>
  <c r="D177" i="2"/>
  <c r="O176" i="2"/>
  <c r="K176" i="2"/>
  <c r="G176" i="2"/>
  <c r="L175" i="2"/>
  <c r="G175" i="2"/>
  <c r="M174" i="2"/>
  <c r="I174" i="2"/>
  <c r="E174" i="2"/>
  <c r="O173" i="2"/>
  <c r="D173" i="2"/>
  <c r="O172" i="2"/>
  <c r="K172" i="2"/>
  <c r="G172" i="2"/>
  <c r="L171" i="2"/>
  <c r="G171" i="2"/>
  <c r="M170" i="2"/>
  <c r="I170" i="2"/>
  <c r="E170" i="2"/>
  <c r="O169" i="2"/>
  <c r="D169" i="2"/>
  <c r="O168" i="2"/>
  <c r="K168" i="2"/>
  <c r="G168" i="2"/>
  <c r="L167" i="2"/>
  <c r="G167" i="2"/>
  <c r="L166" i="2"/>
  <c r="H166" i="2"/>
  <c r="P166" i="2" s="1"/>
  <c r="D166" i="2"/>
  <c r="H165" i="2"/>
  <c r="Q164" i="2"/>
  <c r="E164" i="2"/>
  <c r="K161" i="2"/>
  <c r="O159" i="2"/>
  <c r="D159" i="2"/>
  <c r="N125" i="2"/>
  <c r="J125" i="2"/>
  <c r="F125" i="2"/>
  <c r="Z96" i="2"/>
  <c r="P89" i="2"/>
  <c r="P85" i="2"/>
  <c r="R70" i="2"/>
  <c r="R61" i="2"/>
  <c r="R58" i="2"/>
  <c r="I100" i="2"/>
  <c r="O179" i="2"/>
  <c r="O177" i="2"/>
  <c r="G177" i="2"/>
  <c r="P177" i="2" s="1"/>
  <c r="K175" i="2"/>
  <c r="K171" i="2"/>
  <c r="Q167" i="2"/>
  <c r="K167" i="2"/>
  <c r="O166" i="2"/>
  <c r="G166" i="2"/>
  <c r="G165" i="2"/>
  <c r="G163" i="2"/>
  <c r="P109" i="2"/>
  <c r="L100" i="2"/>
  <c r="M100" i="2"/>
  <c r="K179" i="2"/>
  <c r="G179" i="2"/>
  <c r="K177" i="2"/>
  <c r="K166" i="2"/>
  <c r="O164" i="2"/>
  <c r="O162" i="2"/>
  <c r="P91" i="2"/>
  <c r="P87" i="2"/>
  <c r="H100" i="2"/>
  <c r="Z86" i="2"/>
  <c r="W84" i="2"/>
  <c r="P179" i="2"/>
  <c r="Q176" i="2"/>
  <c r="M176" i="2"/>
  <c r="I176" i="2"/>
  <c r="E176" i="2"/>
  <c r="O175" i="2"/>
  <c r="O174" i="2"/>
  <c r="K174" i="2"/>
  <c r="G174" i="2"/>
  <c r="G173" i="2"/>
  <c r="M172" i="2"/>
  <c r="I172" i="2"/>
  <c r="E172" i="2"/>
  <c r="O171" i="2"/>
  <c r="O170" i="2"/>
  <c r="K170" i="2"/>
  <c r="G170" i="2"/>
  <c r="G169" i="2"/>
  <c r="M168" i="2"/>
  <c r="I168" i="2"/>
  <c r="E168" i="2"/>
  <c r="O167" i="2"/>
  <c r="K165" i="2"/>
  <c r="G164" i="2"/>
  <c r="Q163" i="2"/>
  <c r="K163" i="2"/>
  <c r="G162" i="2"/>
  <c r="O161" i="2"/>
  <c r="G159" i="2"/>
  <c r="Y98" i="2"/>
  <c r="Z94" i="2"/>
  <c r="T151" i="2"/>
  <c r="M175" i="2"/>
  <c r="I175" i="2"/>
  <c r="E175" i="2"/>
  <c r="M173" i="2"/>
  <c r="I173" i="2"/>
  <c r="E173" i="2"/>
  <c r="M171" i="2"/>
  <c r="I171" i="2"/>
  <c r="E171" i="2"/>
  <c r="M169" i="2"/>
  <c r="E169" i="2"/>
  <c r="D165" i="2"/>
  <c r="P151" i="2"/>
  <c r="P123" i="2"/>
  <c r="W113" i="2" s="1"/>
  <c r="Y113" i="2" s="1"/>
  <c r="AA113" i="2" s="1"/>
  <c r="AB113" i="2" s="1"/>
  <c r="P116" i="2"/>
  <c r="P99" i="2"/>
  <c r="Z98" i="2"/>
  <c r="M159" i="2"/>
  <c r="M161" i="2"/>
  <c r="M163" i="2"/>
  <c r="M165" i="2"/>
  <c r="M167" i="2"/>
  <c r="I159" i="2"/>
  <c r="I161" i="2"/>
  <c r="I163" i="2"/>
  <c r="I165" i="2"/>
  <c r="I167" i="2"/>
  <c r="E159" i="2"/>
  <c r="P159" i="2" s="1"/>
  <c r="E161" i="2"/>
  <c r="E163" i="2"/>
  <c r="E165" i="2"/>
  <c r="E167" i="2"/>
  <c r="P167" i="2" s="1"/>
  <c r="L125" i="2"/>
  <c r="H125" i="2"/>
  <c r="D125" i="2"/>
  <c r="O100" i="2"/>
  <c r="K100" i="2"/>
  <c r="M162" i="2"/>
  <c r="P157" i="2"/>
  <c r="L160" i="2"/>
  <c r="L162" i="2"/>
  <c r="L164" i="2"/>
  <c r="H160" i="2"/>
  <c r="H162" i="2"/>
  <c r="H164" i="2"/>
  <c r="D160" i="2"/>
  <c r="D162" i="2"/>
  <c r="D164" i="2"/>
  <c r="W99" i="2"/>
  <c r="P98" i="2"/>
  <c r="W95" i="2"/>
  <c r="Z95" i="2"/>
  <c r="Y92" i="2"/>
  <c r="P92" i="2"/>
  <c r="AB92" i="2"/>
  <c r="W87" i="2"/>
  <c r="AA87" i="2"/>
  <c r="P83" i="2"/>
  <c r="AB83" i="2"/>
  <c r="Y82" i="2"/>
  <c r="Z82" i="2"/>
  <c r="P82" i="2"/>
  <c r="AB82" i="2"/>
  <c r="R33" i="2"/>
  <c r="S33" i="2" s="1"/>
  <c r="W33" i="2" s="1"/>
  <c r="W146" i="2" s="1"/>
  <c r="R29" i="2"/>
  <c r="S29" i="2"/>
  <c r="W29" i="2" s="1"/>
  <c r="W142" i="2" s="1"/>
  <c r="R25" i="2"/>
  <c r="S25" i="2" s="1"/>
  <c r="R21" i="2"/>
  <c r="R17" i="2"/>
  <c r="S17" i="2"/>
  <c r="W17" i="2" s="1"/>
  <c r="W130" i="2" s="1"/>
  <c r="R13" i="2"/>
  <c r="S13" i="2"/>
  <c r="E100" i="2"/>
  <c r="Y99" i="2"/>
  <c r="W98" i="2"/>
  <c r="Z93" i="2"/>
  <c r="W93" i="2"/>
  <c r="W92" i="2"/>
  <c r="P90" i="2"/>
  <c r="AB90" i="2"/>
  <c r="Y90" i="2"/>
  <c r="W82" i="2"/>
  <c r="W81" i="2"/>
  <c r="Y81" i="2"/>
  <c r="Z81" i="2"/>
  <c r="W80" i="2"/>
  <c r="P79" i="2"/>
  <c r="AB79" i="2"/>
  <c r="W78" i="2"/>
  <c r="R68" i="2"/>
  <c r="R34" i="2"/>
  <c r="S34" i="2"/>
  <c r="W34" i="2" s="1"/>
  <c r="W147" i="2" s="1"/>
  <c r="AB34" i="2"/>
  <c r="AB147" i="2" s="1"/>
  <c r="R30" i="2"/>
  <c r="S30" i="2" s="1"/>
  <c r="W30" i="2" s="1"/>
  <c r="W143" i="2" s="1"/>
  <c r="R26" i="2"/>
  <c r="R22" i="2"/>
  <c r="S22" i="2" s="1"/>
  <c r="R18" i="2"/>
  <c r="S18" i="2" s="1"/>
  <c r="R14" i="2"/>
  <c r="S14" i="2" s="1"/>
  <c r="W14" i="2" s="1"/>
  <c r="W149" i="2" s="1"/>
  <c r="L118" i="2"/>
  <c r="L120" i="2" s="1"/>
  <c r="H118" i="2"/>
  <c r="H120" i="2" s="1"/>
  <c r="D118" i="2"/>
  <c r="D100" i="2"/>
  <c r="AB98" i="2"/>
  <c r="Y96" i="2"/>
  <c r="P96" i="2"/>
  <c r="AB96" i="2"/>
  <c r="AB95" i="2"/>
  <c r="W91" i="2"/>
  <c r="Z91" i="2"/>
  <c r="Y88" i="2"/>
  <c r="P88" i="2"/>
  <c r="AB88" i="2"/>
  <c r="AB87" i="2"/>
  <c r="Z84" i="2"/>
  <c r="P84" i="2"/>
  <c r="Y83" i="2"/>
  <c r="Z83" i="2"/>
  <c r="W77" i="2"/>
  <c r="Y77" i="2"/>
  <c r="Z77" i="2"/>
  <c r="P73" i="2"/>
  <c r="P45" i="2"/>
  <c r="R35" i="2"/>
  <c r="R31" i="2"/>
  <c r="R27" i="2"/>
  <c r="R23" i="2"/>
  <c r="S23" i="2"/>
  <c r="Y23" i="2" s="1"/>
  <c r="Y136" i="2" s="1"/>
  <c r="R19" i="2"/>
  <c r="R15" i="2"/>
  <c r="G100" i="2"/>
  <c r="AB99" i="2"/>
  <c r="Z97" i="2"/>
  <c r="W97" i="2"/>
  <c r="W96" i="2"/>
  <c r="Y95" i="2"/>
  <c r="P94" i="2"/>
  <c r="AB94" i="2"/>
  <c r="Y94" i="2"/>
  <c r="AB93" i="2"/>
  <c r="Z89" i="2"/>
  <c r="W89" i="2"/>
  <c r="W88" i="2"/>
  <c r="Y87" i="2"/>
  <c r="P86" i="2"/>
  <c r="AB86" i="2"/>
  <c r="Y86" i="2"/>
  <c r="W85" i="2"/>
  <c r="Z85" i="2"/>
  <c r="P80" i="2"/>
  <c r="Y79" i="2"/>
  <c r="Z79" i="2"/>
  <c r="P78" i="2"/>
  <c r="R67" i="2"/>
  <c r="R54" i="2"/>
  <c r="P36" i="2"/>
  <c r="R32" i="2"/>
  <c r="S32" i="2"/>
  <c r="W32" i="2" s="1"/>
  <c r="W145" i="2" s="1"/>
  <c r="AB32" i="2"/>
  <c r="AB145" i="2" s="1"/>
  <c r="R28" i="2"/>
  <c r="R24" i="2"/>
  <c r="S24" i="2"/>
  <c r="W24" i="2" s="1"/>
  <c r="W137" i="2" s="1"/>
  <c r="AB24" i="2"/>
  <c r="AB137" i="2" s="1"/>
  <c r="R20" i="2"/>
  <c r="R16" i="2"/>
  <c r="S16" i="2"/>
  <c r="W16" i="2" s="1"/>
  <c r="W129" i="2" s="1"/>
  <c r="Y84" i="2"/>
  <c r="W83" i="2"/>
  <c r="Y80" i="2"/>
  <c r="W79" i="2"/>
  <c r="Y78" i="2"/>
  <c r="AB84" i="2"/>
  <c r="AB80" i="2"/>
  <c r="AB78" i="2"/>
  <c r="W18" i="2" l="1"/>
  <c r="W131" i="2" s="1"/>
  <c r="AB18" i="2"/>
  <c r="AB131" i="2" s="1"/>
  <c r="AB23" i="2"/>
  <c r="AB136" i="2" s="1"/>
  <c r="AB29" i="2"/>
  <c r="AB142" i="2" s="1"/>
  <c r="AB169" i="2" s="1"/>
  <c r="P170" i="2"/>
  <c r="Z16" i="2"/>
  <c r="Z129" i="2" s="1"/>
  <c r="Z156" i="2" s="1"/>
  <c r="Y17" i="2"/>
  <c r="Y130" i="2" s="1"/>
  <c r="Y157" i="2" s="1"/>
  <c r="Z24" i="2"/>
  <c r="Z137" i="2" s="1"/>
  <c r="Z164" i="2" s="1"/>
  <c r="AB33" i="2"/>
  <c r="AB146" i="2" s="1"/>
  <c r="P163" i="2"/>
  <c r="P173" i="2"/>
  <c r="AB16" i="2"/>
  <c r="AB129" i="2" s="1"/>
  <c r="AB156" i="2" s="1"/>
  <c r="Y33" i="2"/>
  <c r="Y146" i="2" s="1"/>
  <c r="S27" i="2"/>
  <c r="W27" i="2" s="1"/>
  <c r="W140" i="2" s="1"/>
  <c r="AB17" i="2"/>
  <c r="AB130" i="2" s="1"/>
  <c r="P161" i="2"/>
  <c r="P171" i="2"/>
  <c r="P168" i="2"/>
  <c r="P172" i="2"/>
  <c r="P176" i="2"/>
  <c r="P174" i="2"/>
  <c r="AB20" i="2"/>
  <c r="AB133" i="2" s="1"/>
  <c r="Y25" i="2"/>
  <c r="Y138" i="2" s="1"/>
  <c r="W25" i="2"/>
  <c r="W138" i="2" s="1"/>
  <c r="Z25" i="2"/>
  <c r="Z138" i="2" s="1"/>
  <c r="Z165" i="2" s="1"/>
  <c r="AB172" i="2"/>
  <c r="AB158" i="2"/>
  <c r="W22" i="2"/>
  <c r="W135" i="2" s="1"/>
  <c r="W20" i="2"/>
  <c r="W133" i="2" s="1"/>
  <c r="AA23" i="2"/>
  <c r="AA136" i="2" s="1"/>
  <c r="Z14" i="2"/>
  <c r="Z149" i="2" s="1"/>
  <c r="Z176" i="2" s="1"/>
  <c r="AB22" i="2"/>
  <c r="AB135" i="2" s="1"/>
  <c r="Z30" i="2"/>
  <c r="Z143" i="2" s="1"/>
  <c r="Z170" i="2" s="1"/>
  <c r="Z13" i="2"/>
  <c r="Z128" i="2" s="1"/>
  <c r="Z29" i="2"/>
  <c r="Z142" i="2" s="1"/>
  <c r="Z169" i="2" s="1"/>
  <c r="P164" i="2"/>
  <c r="P125" i="2"/>
  <c r="Q123" i="2" s="1"/>
  <c r="Y173" i="2"/>
  <c r="AB174" i="2"/>
  <c r="AB173" i="2"/>
  <c r="P100" i="2"/>
  <c r="Y13" i="2"/>
  <c r="Y128" i="2" s="1"/>
  <c r="Y29" i="2"/>
  <c r="Y142" i="2" s="1"/>
  <c r="Y169" i="2" s="1"/>
  <c r="Z32" i="2"/>
  <c r="Z145" i="2" s="1"/>
  <c r="Z172" i="2" s="1"/>
  <c r="S15" i="2"/>
  <c r="Z15" i="2" s="1"/>
  <c r="Z150" i="2" s="1"/>
  <c r="W23" i="2"/>
  <c r="W136" i="2" s="1"/>
  <c r="AB163" i="2" s="1"/>
  <c r="S31" i="2"/>
  <c r="Z31" i="2" s="1"/>
  <c r="Z144" i="2" s="1"/>
  <c r="P46" i="2"/>
  <c r="Y14" i="2"/>
  <c r="Y149" i="2" s="1"/>
  <c r="Y176" i="2" s="1"/>
  <c r="Z18" i="2"/>
  <c r="Z131" i="2" s="1"/>
  <c r="Z158" i="2" s="1"/>
  <c r="Y30" i="2"/>
  <c r="Y143" i="2" s="1"/>
  <c r="Y170" i="2" s="1"/>
  <c r="Z34" i="2"/>
  <c r="Z147" i="2" s="1"/>
  <c r="Z174" i="2" s="1"/>
  <c r="W13" i="2"/>
  <c r="W128" i="2" s="1"/>
  <c r="R36" i="2"/>
  <c r="Z17" i="2"/>
  <c r="Z130" i="2" s="1"/>
  <c r="Z157" i="2" s="1"/>
  <c r="S21" i="2"/>
  <c r="W21" i="2" s="1"/>
  <c r="W134" i="2" s="1"/>
  <c r="AB25" i="2"/>
  <c r="AB138" i="2" s="1"/>
  <c r="AB165" i="2" s="1"/>
  <c r="Z33" i="2"/>
  <c r="Z146" i="2" s="1"/>
  <c r="Z173" i="2" s="1"/>
  <c r="P162" i="2"/>
  <c r="P165" i="2"/>
  <c r="Y15" i="2"/>
  <c r="Y150" i="2" s="1"/>
  <c r="Y31" i="2"/>
  <c r="Y144" i="2" s="1"/>
  <c r="AB164" i="2"/>
  <c r="W31" i="2"/>
  <c r="W144" i="2" s="1"/>
  <c r="Y22" i="2"/>
  <c r="Y135" i="2" s="1"/>
  <c r="Y162" i="2" s="1"/>
  <c r="AB157" i="2"/>
  <c r="Y16" i="2"/>
  <c r="Y129" i="2" s="1"/>
  <c r="Y156" i="2" s="1"/>
  <c r="S20" i="2"/>
  <c r="Z20" i="2" s="1"/>
  <c r="Z133" i="2" s="1"/>
  <c r="Y24" i="2"/>
  <c r="Y137" i="2" s="1"/>
  <c r="Y164" i="2" s="1"/>
  <c r="S28" i="2"/>
  <c r="Z28" i="2" s="1"/>
  <c r="Z141" i="2" s="1"/>
  <c r="Y32" i="2"/>
  <c r="Y145" i="2" s="1"/>
  <c r="Y172" i="2" s="1"/>
  <c r="S19" i="2"/>
  <c r="S35" i="2"/>
  <c r="AB35" i="2" s="1"/>
  <c r="AB148" i="2" s="1"/>
  <c r="P118" i="2"/>
  <c r="D120" i="2"/>
  <c r="AB14" i="2"/>
  <c r="AB149" i="2" s="1"/>
  <c r="AB176" i="2" s="1"/>
  <c r="Y18" i="2"/>
  <c r="Y131" i="2" s="1"/>
  <c r="Y158" i="2" s="1"/>
  <c r="Z22" i="2"/>
  <c r="Z135" i="2" s="1"/>
  <c r="Z162" i="2" s="1"/>
  <c r="S26" i="2"/>
  <c r="Y26" i="2" s="1"/>
  <c r="Y139" i="2" s="1"/>
  <c r="AB30" i="2"/>
  <c r="AB143" i="2" s="1"/>
  <c r="AB170" i="2" s="1"/>
  <c r="Y34" i="2"/>
  <c r="Y147" i="2" s="1"/>
  <c r="Y174" i="2" s="1"/>
  <c r="AB13" i="2"/>
  <c r="AB128" i="2" s="1"/>
  <c r="P160" i="2"/>
  <c r="P169" i="2"/>
  <c r="P175" i="2"/>
  <c r="Y155" i="2" l="1"/>
  <c r="AB155" i="2"/>
  <c r="Y20" i="2"/>
  <c r="Y133" i="2" s="1"/>
  <c r="Y160" i="2" s="1"/>
  <c r="AB31" i="2"/>
  <c r="AB144" i="2" s="1"/>
  <c r="AB171" i="2" s="1"/>
  <c r="Z171" i="2"/>
  <c r="AB27" i="2"/>
  <c r="AB140" i="2" s="1"/>
  <c r="AB167" i="2" s="1"/>
  <c r="Y27" i="2"/>
  <c r="Y140" i="2" s="1"/>
  <c r="Y167" i="2" s="1"/>
  <c r="Z27" i="2"/>
  <c r="Z140" i="2" s="1"/>
  <c r="Z167" i="2" s="1"/>
  <c r="AB162" i="2"/>
  <c r="AB15" i="2"/>
  <c r="AB150" i="2" s="1"/>
  <c r="W15" i="2"/>
  <c r="W150" i="2" s="1"/>
  <c r="Y177" i="2" s="1"/>
  <c r="Y163" i="2"/>
  <c r="Z160" i="2"/>
  <c r="W100" i="2"/>
  <c r="Y100" i="2"/>
  <c r="Z163" i="2"/>
  <c r="S36" i="2"/>
  <c r="Y35" i="2"/>
  <c r="Y148" i="2" s="1"/>
  <c r="Z21" i="2"/>
  <c r="Z134" i="2" s="1"/>
  <c r="Z161" i="2" s="1"/>
  <c r="AB160" i="2"/>
  <c r="Z19" i="2"/>
  <c r="Z132" i="2" s="1"/>
  <c r="W19" i="2"/>
  <c r="W132" i="2" s="1"/>
  <c r="Z26" i="2"/>
  <c r="Z139" i="2" s="1"/>
  <c r="Z166" i="2" s="1"/>
  <c r="W26" i="2"/>
  <c r="W139" i="2" s="1"/>
  <c r="Y166" i="2" s="1"/>
  <c r="Y171" i="2"/>
  <c r="S37" i="2"/>
  <c r="AB26" i="2"/>
  <c r="AB139" i="2" s="1"/>
  <c r="AB166" i="2" s="1"/>
  <c r="AB19" i="2"/>
  <c r="AB132" i="2" s="1"/>
  <c r="AB28" i="2"/>
  <c r="AB141" i="2" s="1"/>
  <c r="AB21" i="2"/>
  <c r="AB134" i="2" s="1"/>
  <c r="AB161" i="2" s="1"/>
  <c r="AB177" i="2"/>
  <c r="Y165" i="2"/>
  <c r="Z35" i="2"/>
  <c r="Z148" i="2" s="1"/>
  <c r="W35" i="2"/>
  <c r="W148" i="2" s="1"/>
  <c r="AB175" i="2" s="1"/>
  <c r="W28" i="2"/>
  <c r="W141" i="2" s="1"/>
  <c r="Z168" i="2" s="1"/>
  <c r="Y21" i="2"/>
  <c r="Y134" i="2" s="1"/>
  <c r="Y161" i="2" s="1"/>
  <c r="Z155" i="2"/>
  <c r="Y28" i="2"/>
  <c r="Y141" i="2" s="1"/>
  <c r="Y19" i="2"/>
  <c r="Y132" i="2" s="1"/>
  <c r="Y175" i="2" l="1"/>
  <c r="Z175" i="2"/>
  <c r="Z177" i="2"/>
  <c r="AB159" i="2"/>
  <c r="Y36" i="2"/>
  <c r="W151" i="2"/>
  <c r="W152" i="2" s="1"/>
  <c r="Z159" i="2"/>
  <c r="Y159" i="2"/>
  <c r="Y168" i="2"/>
  <c r="AB168" i="2"/>
  <c r="W36" i="2"/>
  <c r="Z178" i="2" l="1"/>
  <c r="Y178" i="2"/>
</calcChain>
</file>

<file path=xl/comments1.xml><?xml version="1.0" encoding="utf-8"?>
<comments xmlns="http://schemas.openxmlformats.org/spreadsheetml/2006/main">
  <authors>
    <author>Author</author>
    <author>Joe Miller</author>
  </authors>
  <commentList>
    <comment ref="I23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7/8/16 corrected bill</t>
        </r>
      </text>
    </comment>
    <comment ref="F55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10/2 billing value only</t>
        </r>
      </text>
    </comment>
    <comment ref="D149" authorId="1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no PVD
</t>
        </r>
      </text>
    </comment>
    <comment ref="D150" authorId="1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no PVD
</t>
        </r>
      </text>
    </comment>
  </commentList>
</comments>
</file>

<file path=xl/sharedStrings.xml><?xml version="1.0" encoding="utf-8"?>
<sst xmlns="http://schemas.openxmlformats.org/spreadsheetml/2006/main" count="90" uniqueCount="74">
  <si>
    <t>Annual Peak</t>
  </si>
  <si>
    <t>Monthly Average</t>
  </si>
  <si>
    <t>Load Factor</t>
  </si>
  <si>
    <t>Avista Proposal</t>
  </si>
  <si>
    <t>Staff Alt. Recommendation</t>
  </si>
  <si>
    <t>Staff Primary Recommendation</t>
  </si>
  <si>
    <t>Schedule 25 Total</t>
  </si>
  <si>
    <t>Bill Calculation</t>
  </si>
  <si>
    <t>Base Revenues</t>
  </si>
  <si>
    <t>&gt;115</t>
  </si>
  <si>
    <t>&gt;60 and &lt;115</t>
  </si>
  <si>
    <t>&gt;11 and &lt;60</t>
  </si>
  <si>
    <t>Primary Voltage Discount</t>
  </si>
  <si>
    <t>Revenue for 9 per Handbill Report</t>
  </si>
  <si>
    <t>Calc Revenue for 9</t>
  </si>
  <si>
    <t>Total</t>
  </si>
  <si>
    <t>*</t>
  </si>
  <si>
    <t>115 KV</t>
  </si>
  <si>
    <t>4.16 KV</t>
  </si>
  <si>
    <t>60 KV</t>
  </si>
  <si>
    <t>9 KVA</t>
  </si>
  <si>
    <t xml:space="preserve">Total </t>
  </si>
  <si>
    <t xml:space="preserve"> 60 KV</t>
  </si>
  <si>
    <t>9 KWHs</t>
  </si>
  <si>
    <t>Voltage Discount</t>
  </si>
  <si>
    <t>Huntwood Industries</t>
  </si>
  <si>
    <t>KVA in excess of 3,000</t>
  </si>
  <si>
    <t>Month</t>
  </si>
  <si>
    <t>Peak</t>
  </si>
  <si>
    <t>KVA</t>
  </si>
  <si>
    <t>Adj Revenue Runs, Sch 25</t>
  </si>
  <si>
    <t>Unbilled Reversal True-up</t>
  </si>
  <si>
    <t>Gross Unbilled True-up</t>
  </si>
  <si>
    <t>Gross Booked Unbilled</t>
  </si>
  <si>
    <t>Booked Unbilled Reversal</t>
  </si>
  <si>
    <t>Revenue Run Total</t>
  </si>
  <si>
    <t>AVA Proposed</t>
  </si>
  <si>
    <t>SCH. 26</t>
  </si>
  <si>
    <t>SCH. 25 (Alt)</t>
  </si>
  <si>
    <t>Sched 25 (Primary)</t>
  </si>
  <si>
    <t>SCH. 25 (Existing)</t>
  </si>
  <si>
    <t>kwhs/mo</t>
  </si>
  <si>
    <t>Acct No.</t>
  </si>
  <si>
    <t>KWHs</t>
  </si>
  <si>
    <t>12-mo Ended</t>
  </si>
  <si>
    <t>1st</t>
  </si>
  <si>
    <t>Washington Schedule 25 Billing Determinants</t>
  </si>
  <si>
    <t>DEMAND BLOCK 1</t>
  </si>
  <si>
    <t>DEMAND CHARGE</t>
  </si>
  <si>
    <t>BLOCK 4 PER KWH</t>
  </si>
  <si>
    <t>BLOCK 3 PER KWH</t>
  </si>
  <si>
    <t>BLOCK 2 PER KWH</t>
  </si>
  <si>
    <t>BLOCK 1 PER KWH</t>
  </si>
  <si>
    <t>BASIC CHARGE</t>
  </si>
  <si>
    <t>Avista Prosposal</t>
  </si>
  <si>
    <t>Base Tariff Rates</t>
  </si>
  <si>
    <t>Customer Class</t>
  </si>
  <si>
    <t>Extra Large General Service (Schedule 25)</t>
  </si>
  <si>
    <r>
      <rPr>
        <sz val="10"/>
        <color theme="1"/>
        <rFont val="Times New Roman"/>
        <family val="1"/>
      </rPr>
      <t>Schedule 25</t>
    </r>
    <r>
      <rPr>
        <i/>
        <sz val="10"/>
        <color theme="1"/>
        <rFont val="Times New Roman"/>
        <family val="1"/>
      </rPr>
      <t xml:space="preserve">
(Existing)</t>
    </r>
  </si>
  <si>
    <t>Energy Charge ($ / kWh)  - First 500,000 kWh</t>
  </si>
  <si>
    <t>Energy Charge ($ / kWh)  - Next 5,500,000 kWh</t>
  </si>
  <si>
    <t>Energy Charge ($ / kWh)  - All Over 6,000,000 kWh</t>
  </si>
  <si>
    <t>Demand Charge ($ / kVa) - First 3,000 kVa</t>
  </si>
  <si>
    <t>Demand Charge ($ / kVa) - Each kVa over 3,000</t>
  </si>
  <si>
    <t>Primary Voltage Discount ($ / kVa) - 11 kV and higher</t>
  </si>
  <si>
    <t>Primary Voltage Discount ($ / kVa) - 60 kV and higher</t>
  </si>
  <si>
    <t>Primary Voltage Discount ($ / kVa) - 115 kV and higher</t>
  </si>
  <si>
    <r>
      <t xml:space="preserve">Staff Schedule 25
</t>
    </r>
    <r>
      <rPr>
        <i/>
        <sz val="10"/>
        <color theme="1"/>
        <rFont val="Times New Roman"/>
        <family val="1"/>
      </rPr>
      <t>(Primary Proposal)</t>
    </r>
  </si>
  <si>
    <r>
      <t>Staff Schedule 25 &amp; 26
(</t>
    </r>
    <r>
      <rPr>
        <i/>
        <sz val="10"/>
        <color theme="1"/>
        <rFont val="Times New Roman"/>
        <family val="1"/>
      </rPr>
      <t>Alternative Proposal)</t>
    </r>
  </si>
  <si>
    <t>Schedule 25</t>
  </si>
  <si>
    <t>Schedule 26</t>
  </si>
  <si>
    <t>Notes:</t>
  </si>
  <si>
    <t>Limited to Customers with &gt;50,000 kVa average demand over 12 months</t>
  </si>
  <si>
    <t>Annual Minimum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</si>
</sst>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yy"/>
    <numFmt numFmtId="165" formatCode="_(* #,##0_);_(* \(#,##0\);_(* &quot;-&quot;??_);_(@_)"/>
    <numFmt numFmtId="166" formatCode="_(&quot;$&quot;* #,##0_);_(&quot;$&quot;* \(#,##0\);_(&quot;$&quot;* &quot;-&quot;??_);_(@_)"/>
    <numFmt numFmtId="167" formatCode="0.000%"/>
    <numFmt numFmtId="168" formatCode="&quot;$&quot;#,##0.00"/>
    <numFmt numFmtId="169" formatCode="[$-409]mmm/yy;@"/>
    <numFmt numFmtId="170" formatCode="#,##0;\-#,##0;"/>
    <numFmt numFmtId="171" formatCode="#,##0;;"/>
    <numFmt numFmtId="172" formatCode="&quot;Over&quot;"/>
    <numFmt numFmtId="173" formatCode="&quot;$&quot;#,##0.0000"/>
    <numFmt numFmtId="174" formatCode="&quot;$&quot;#,##0.00000"/>
    <numFmt numFmtId="175" formatCode="_(&quot;$&quot;* #,##0.000000_);_(&quot;$&quot;* \(#,##0.000000\);_(&quot;$&quot;* &quot;-&quot;??_);_(@_)"/>
    <numFmt numFmtId="176" formatCode="_(&quot;$&quot;* #,##0.00000_);_(&quot;$&quot;* \(#,##0.000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sz val="10"/>
      <color indexed="39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EBF19D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1" fillId="0" borderId="0" xfId="1"/>
    <xf numFmtId="9" fontId="1" fillId="0" borderId="0" xfId="1" applyNumberFormat="1"/>
    <xf numFmtId="9" fontId="0" fillId="0" borderId="0" xfId="2" applyFont="1"/>
    <xf numFmtId="0" fontId="2" fillId="0" borderId="0" xfId="1" applyFont="1" applyFill="1" applyProtection="1">
      <protection hidden="1"/>
    </xf>
    <xf numFmtId="10" fontId="0" fillId="0" borderId="0" xfId="2" applyNumberFormat="1" applyFont="1"/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0" fontId="3" fillId="0" borderId="0" xfId="1" applyFont="1"/>
    <xf numFmtId="165" fontId="1" fillId="0" borderId="0" xfId="1" applyNumberFormat="1"/>
    <xf numFmtId="165" fontId="1" fillId="0" borderId="0" xfId="3" applyNumberFormat="1" applyFont="1" applyFill="1"/>
    <xf numFmtId="0" fontId="2" fillId="0" borderId="0" xfId="1" applyFont="1" applyAlignment="1">
      <alignment horizontal="left"/>
    </xf>
    <xf numFmtId="0" fontId="2" fillId="0" borderId="0" xfId="1" applyFont="1"/>
    <xf numFmtId="166" fontId="1" fillId="0" borderId="0" xfId="1" applyNumberFormat="1"/>
    <xf numFmtId="167" fontId="0" fillId="0" borderId="0" xfId="2" applyNumberFormat="1" applyFont="1"/>
    <xf numFmtId="166" fontId="0" fillId="0" borderId="0" xfId="4" applyNumberFormat="1" applyFont="1"/>
    <xf numFmtId="0" fontId="1" fillId="0" borderId="0" xfId="1" applyFill="1"/>
    <xf numFmtId="0" fontId="4" fillId="0" borderId="0" xfId="1" applyFont="1"/>
    <xf numFmtId="43" fontId="1" fillId="0" borderId="0" xfId="1" applyNumberFormat="1"/>
    <xf numFmtId="43" fontId="1" fillId="0" borderId="1" xfId="1" applyNumberFormat="1" applyBorder="1"/>
    <xf numFmtId="43" fontId="1" fillId="0" borderId="1" xfId="1" applyNumberFormat="1" applyFill="1" applyBorder="1"/>
    <xf numFmtId="43" fontId="1" fillId="0" borderId="0" xfId="3" applyFont="1"/>
    <xf numFmtId="43" fontId="1" fillId="0" borderId="0" xfId="3"/>
    <xf numFmtId="43" fontId="1" fillId="0" borderId="0" xfId="3" applyFill="1"/>
    <xf numFmtId="4" fontId="5" fillId="0" borderId="0" xfId="1" applyNumberFormat="1" applyFont="1" applyFill="1"/>
    <xf numFmtId="4" fontId="5" fillId="0" borderId="0" xfId="1" applyNumberFormat="1" applyFont="1"/>
    <xf numFmtId="166" fontId="1" fillId="0" borderId="0" xfId="5" applyNumberFormat="1"/>
    <xf numFmtId="165" fontId="1" fillId="0" borderId="0" xfId="3" applyNumberFormat="1" applyFill="1"/>
    <xf numFmtId="165" fontId="5" fillId="0" borderId="0" xfId="6" applyNumberFormat="1" applyFont="1"/>
    <xf numFmtId="165" fontId="5" fillId="0" borderId="0" xfId="6" applyNumberFormat="1" applyFont="1" applyFill="1"/>
    <xf numFmtId="166" fontId="1" fillId="0" borderId="0" xfId="5" applyNumberFormat="1" applyFont="1" applyFill="1"/>
    <xf numFmtId="165" fontId="1" fillId="0" borderId="0" xfId="3" applyNumberFormat="1" applyFont="1" applyFill="1" applyBorder="1"/>
    <xf numFmtId="165" fontId="1" fillId="0" borderId="1" xfId="1" applyNumberFormat="1" applyBorder="1"/>
    <xf numFmtId="165" fontId="1" fillId="0" borderId="1" xfId="3" applyNumberFormat="1" applyBorder="1"/>
    <xf numFmtId="165" fontId="1" fillId="0" borderId="1" xfId="3" applyNumberFormat="1" applyFill="1" applyBorder="1"/>
    <xf numFmtId="165" fontId="1" fillId="2" borderId="0" xfId="3" applyNumberFormat="1" applyFont="1" applyFill="1"/>
    <xf numFmtId="165" fontId="6" fillId="2" borderId="2" xfId="7" applyNumberFormat="1" applyFont="1" applyFill="1" applyBorder="1"/>
    <xf numFmtId="165" fontId="6" fillId="2" borderId="0" xfId="7" applyNumberFormat="1" applyFont="1" applyFill="1" applyBorder="1"/>
    <xf numFmtId="165" fontId="5" fillId="2" borderId="0" xfId="6" applyNumberFormat="1" applyFont="1" applyFill="1"/>
    <xf numFmtId="165" fontId="1" fillId="3" borderId="0" xfId="3" applyNumberFormat="1" applyFont="1" applyFill="1"/>
    <xf numFmtId="165" fontId="5" fillId="3" borderId="0" xfId="7" applyNumberFormat="1" applyFont="1" applyFill="1"/>
    <xf numFmtId="165" fontId="5" fillId="3" borderId="0" xfId="6" applyNumberFormat="1" applyFont="1" applyFill="1"/>
    <xf numFmtId="165" fontId="1" fillId="0" borderId="0" xfId="3" applyNumberFormat="1"/>
    <xf numFmtId="165" fontId="1" fillId="0" borderId="0" xfId="1" applyNumberFormat="1" applyFill="1"/>
    <xf numFmtId="165" fontId="1" fillId="0" borderId="1" xfId="1" applyNumberFormat="1" applyFill="1" applyBorder="1"/>
    <xf numFmtId="165" fontId="5" fillId="2" borderId="0" xfId="7" applyNumberFormat="1" applyFont="1" applyFill="1"/>
    <xf numFmtId="165" fontId="5" fillId="4" borderId="0" xfId="6" applyNumberFormat="1" applyFont="1" applyFill="1"/>
    <xf numFmtId="164" fontId="1" fillId="0" borderId="0" xfId="1" applyNumberFormat="1" applyFill="1" applyAlignment="1">
      <alignment horizontal="center"/>
    </xf>
    <xf numFmtId="165" fontId="1" fillId="0" borderId="0" xfId="1" applyNumberFormat="1" applyBorder="1"/>
    <xf numFmtId="165" fontId="1" fillId="0" borderId="0" xfId="3" applyNumberFormat="1" applyBorder="1"/>
    <xf numFmtId="165" fontId="1" fillId="0" borderId="0" xfId="3" applyNumberFormat="1" applyFill="1" applyBorder="1"/>
    <xf numFmtId="0" fontId="1" fillId="0" borderId="0" xfId="1" applyAlignment="1">
      <alignment horizontal="left"/>
    </xf>
    <xf numFmtId="44" fontId="0" fillId="0" borderId="0" xfId="4" applyFont="1"/>
    <xf numFmtId="165" fontId="1" fillId="0" borderId="0" xfId="1" applyNumberFormat="1" applyFill="1" applyBorder="1"/>
    <xf numFmtId="168" fontId="1" fillId="0" borderId="0" xfId="1" applyNumberFormat="1"/>
    <xf numFmtId="169" fontId="1" fillId="0" borderId="0" xfId="1" applyNumberFormat="1" applyAlignment="1">
      <alignment horizontal="center"/>
    </xf>
    <xf numFmtId="165" fontId="7" fillId="4" borderId="0" xfId="6" applyNumberFormat="1" applyFont="1" applyFill="1"/>
    <xf numFmtId="165" fontId="7" fillId="4" borderId="0" xfId="7" applyNumberFormat="1" applyFont="1" applyFill="1"/>
    <xf numFmtId="165" fontId="7" fillId="0" borderId="0" xfId="6" applyNumberFormat="1" applyFont="1"/>
    <xf numFmtId="165" fontId="7" fillId="0" borderId="0" xfId="6" applyNumberFormat="1" applyFont="1" applyFill="1"/>
    <xf numFmtId="165" fontId="7" fillId="0" borderId="0" xfId="7" applyNumberFormat="1" applyFont="1"/>
    <xf numFmtId="165" fontId="7" fillId="0" borderId="0" xfId="7" applyNumberFormat="1" applyFont="1" applyFill="1"/>
    <xf numFmtId="0" fontId="2" fillId="0" borderId="0" xfId="1" applyFont="1" applyFill="1" applyAlignment="1">
      <alignment horizontal="left"/>
    </xf>
    <xf numFmtId="0" fontId="2" fillId="0" borderId="0" xfId="1" applyFont="1" applyFill="1"/>
    <xf numFmtId="0" fontId="4" fillId="0" borderId="0" xfId="1" applyFont="1" applyAlignment="1">
      <alignment horizontal="center"/>
    </xf>
    <xf numFmtId="165" fontId="1" fillId="0" borderId="0" xfId="1" applyNumberFormat="1" applyAlignment="1">
      <alignment horizontal="centerContinuous" vertical="justify"/>
    </xf>
    <xf numFmtId="0" fontId="1" fillId="0" borderId="0" xfId="1" applyAlignment="1">
      <alignment vertical="justify"/>
    </xf>
    <xf numFmtId="0" fontId="1" fillId="0" borderId="0" xfId="1" applyFill="1" applyAlignment="1">
      <alignment vertical="justify"/>
    </xf>
    <xf numFmtId="5" fontId="1" fillId="0" borderId="0" xfId="1" applyNumberFormat="1"/>
    <xf numFmtId="165" fontId="1" fillId="0" borderId="0" xfId="1" applyNumberFormat="1" applyFill="1" applyAlignment="1">
      <alignment vertical="justify"/>
    </xf>
    <xf numFmtId="170" fontId="1" fillId="0" borderId="0" xfId="1" applyNumberFormat="1"/>
    <xf numFmtId="170" fontId="1" fillId="0" borderId="0" xfId="1" applyNumberFormat="1" applyFill="1"/>
    <xf numFmtId="0" fontId="1" fillId="0" borderId="0" xfId="1" applyAlignment="1">
      <alignment horizontal="left" indent="1"/>
    </xf>
    <xf numFmtId="165" fontId="1" fillId="0" borderId="3" xfId="3" applyNumberFormat="1" applyBorder="1"/>
    <xf numFmtId="165" fontId="1" fillId="0" borderId="1" xfId="3" applyNumberFormat="1" applyFont="1" applyFill="1" applyBorder="1"/>
    <xf numFmtId="165" fontId="7" fillId="0" borderId="0" xfId="3" applyNumberFormat="1" applyFont="1" applyFill="1"/>
    <xf numFmtId="0" fontId="1" fillId="0" borderId="0" xfId="1" applyAlignment="1"/>
    <xf numFmtId="0" fontId="1" fillId="0" borderId="0" xfId="1" applyFont="1" applyAlignment="1"/>
    <xf numFmtId="0" fontId="1" fillId="0" borderId="0" xfId="1" applyFont="1"/>
    <xf numFmtId="3" fontId="1" fillId="0" borderId="0" xfId="1" applyNumberFormat="1"/>
    <xf numFmtId="3" fontId="1" fillId="0" borderId="1" xfId="3" applyNumberFormat="1" applyFont="1" applyFill="1" applyBorder="1"/>
    <xf numFmtId="165" fontId="1" fillId="0" borderId="3" xfId="3" applyNumberFormat="1" applyFont="1" applyFill="1" applyBorder="1"/>
    <xf numFmtId="171" fontId="1" fillId="0" borderId="0" xfId="1" applyNumberFormat="1"/>
    <xf numFmtId="0" fontId="2" fillId="0" borderId="0" xfId="1" quotePrefix="1" applyFont="1" applyAlignment="1">
      <alignment horizontal="left"/>
    </xf>
    <xf numFmtId="0" fontId="2" fillId="0" borderId="0" xfId="1" quotePrefix="1" applyFont="1" applyFill="1" applyAlignment="1">
      <alignment horizontal="left"/>
    </xf>
    <xf numFmtId="171" fontId="1" fillId="0" borderId="0" xfId="1" applyNumberFormat="1" applyFill="1"/>
    <xf numFmtId="0" fontId="1" fillId="0" borderId="0" xfId="1" applyAlignment="1">
      <alignment horizontal="right"/>
    </xf>
    <xf numFmtId="3" fontId="3" fillId="0" borderId="0" xfId="1" applyNumberFormat="1" applyFont="1" applyAlignment="1">
      <alignment horizontal="center"/>
    </xf>
    <xf numFmtId="172" fontId="8" fillId="0" borderId="0" xfId="1" applyNumberFormat="1" applyFont="1" applyAlignment="1">
      <alignment horizontal="center"/>
    </xf>
    <xf numFmtId="3" fontId="8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0" fontId="9" fillId="0" borderId="0" xfId="1" applyFont="1"/>
    <xf numFmtId="168" fontId="7" fillId="3" borderId="0" xfId="1" applyNumberFormat="1" applyFont="1" applyFill="1"/>
    <xf numFmtId="173" fontId="7" fillId="3" borderId="0" xfId="1" applyNumberFormat="1" applyFont="1" applyFill="1"/>
    <xf numFmtId="174" fontId="7" fillId="3" borderId="0" xfId="1" applyNumberFormat="1" applyFont="1" applyFill="1"/>
    <xf numFmtId="10" fontId="1" fillId="0" borderId="0" xfId="1" applyNumberFormat="1"/>
    <xf numFmtId="0" fontId="13" fillId="0" borderId="0" xfId="9" quotePrefix="1" applyFont="1" applyFill="1" applyAlignment="1">
      <alignment horizontal="left"/>
    </xf>
    <xf numFmtId="0" fontId="14" fillId="0" borderId="0" xfId="9" applyFont="1" applyFill="1"/>
    <xf numFmtId="0" fontId="14" fillId="0" borderId="0" xfId="9" quotePrefix="1" applyFont="1" applyFill="1" applyAlignment="1">
      <alignment horizontal="left" indent="1"/>
    </xf>
    <xf numFmtId="44" fontId="14" fillId="0" borderId="5" xfId="9" applyNumberFormat="1" applyFont="1" applyFill="1" applyBorder="1"/>
    <xf numFmtId="175" fontId="14" fillId="0" borderId="5" xfId="8" applyNumberFormat="1" applyFont="1" applyFill="1" applyBorder="1"/>
    <xf numFmtId="0" fontId="14" fillId="0" borderId="0" xfId="9" applyFont="1" applyFill="1" applyAlignment="1">
      <alignment horizontal="left" indent="2"/>
    </xf>
    <xf numFmtId="0" fontId="14" fillId="0" borderId="5" xfId="9" applyFont="1" applyFill="1" applyBorder="1"/>
    <xf numFmtId="44" fontId="14" fillId="0" borderId="5" xfId="8" applyFont="1" applyFill="1" applyBorder="1"/>
    <xf numFmtId="176" fontId="14" fillId="0" borderId="0" xfId="8" applyNumberFormat="1" applyFont="1" applyFill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4" fontId="14" fillId="0" borderId="6" xfId="8" applyNumberFormat="1" applyFont="1" applyFill="1" applyBorder="1"/>
    <xf numFmtId="0" fontId="14" fillId="0" borderId="0" xfId="9" applyFont="1" applyFill="1" applyAlignment="1">
      <alignment horizontal="center"/>
    </xf>
    <xf numFmtId="166" fontId="14" fillId="0" borderId="4" xfId="8" applyNumberFormat="1" applyFont="1" applyFill="1" applyBorder="1"/>
    <xf numFmtId="166" fontId="14" fillId="0" borderId="0" xfId="9" applyNumberFormat="1" applyFont="1" applyFill="1"/>
    <xf numFmtId="0" fontId="14" fillId="0" borderId="0" xfId="9" applyFont="1" applyFill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right" vertical="center"/>
    </xf>
    <xf numFmtId="44" fontId="15" fillId="0" borderId="0" xfId="0" applyNumberFormat="1" applyFont="1"/>
    <xf numFmtId="0" fontId="15" fillId="0" borderId="0" xfId="0" applyFont="1" applyAlignment="1">
      <alignment horizontal="center" vertical="center" wrapText="1"/>
    </xf>
  </cellXfs>
  <cellStyles count="10">
    <cellStyle name="Comma 10" xfId="3"/>
    <cellStyle name="Comma 2 10 2 3" xfId="6"/>
    <cellStyle name="Comma 2 2" xfId="7"/>
    <cellStyle name="Currency" xfId="8" builtinId="4"/>
    <cellStyle name="Currency 10" xfId="5"/>
    <cellStyle name="Currency 2" xfId="4"/>
    <cellStyle name="Normal" xfId="0" builtinId="0"/>
    <cellStyle name="Normal 18" xfId="9"/>
    <cellStyle name="Normal 2" xfId="1"/>
    <cellStyle name="Percent 2" xfId="2"/>
  </cellStyles>
  <dxfs count="3">
    <dxf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b="1"/>
              <a:t>Electric Schedule 25 Bill Impacts</a:t>
            </a:r>
          </a:p>
        </c:rich>
      </c:tx>
      <c:layout>
        <c:manualLayout>
          <c:xMode val="edge"/>
          <c:yMode val="edge"/>
          <c:x val="0.38130673295293216"/>
          <c:y val="1.416493336107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827299453925172E-2"/>
          <c:y val="6.9872510811752039E-2"/>
          <c:w val="0.84766486835663035"/>
          <c:h val="0.859004399338550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'WA Sch 25'!$Y$154</c:f>
              <c:strCache>
                <c:ptCount val="1"/>
                <c:pt idx="0">
                  <c:v>Staff Primary Recommendation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'WA Sch 25'!$V$155:$V$177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'WA Sch 25'!$Y$155:$Y$177</c:f>
              <c:numCache>
                <c:formatCode>0.00%</c:formatCode>
                <c:ptCount val="23"/>
                <c:pt idx="0">
                  <c:v>3.277440980968898E-2</c:v>
                </c:pt>
                <c:pt idx="1">
                  <c:v>3.4567959782617105E-2</c:v>
                </c:pt>
                <c:pt idx="2">
                  <c:v>4.116626519958199E-2</c:v>
                </c:pt>
                <c:pt idx="3">
                  <c:v>4.1900464715237028E-2</c:v>
                </c:pt>
                <c:pt idx="4">
                  <c:v>3.7398284558963574E-2</c:v>
                </c:pt>
                <c:pt idx="5">
                  <c:v>3.8045763041719236E-2</c:v>
                </c:pt>
                <c:pt idx="6">
                  <c:v>4.1436999800417026E-2</c:v>
                </c:pt>
                <c:pt idx="7">
                  <c:v>4.8112096561659948E-2</c:v>
                </c:pt>
                <c:pt idx="8">
                  <c:v>3.1021223961565817E-2</c:v>
                </c:pt>
                <c:pt idx="9">
                  <c:v>3.2229536521947239E-2</c:v>
                </c:pt>
                <c:pt idx="10">
                  <c:v>3.2556991256775136E-2</c:v>
                </c:pt>
                <c:pt idx="11">
                  <c:v>3.3818031862899542E-2</c:v>
                </c:pt>
                <c:pt idx="12">
                  <c:v>4.6248697706421205E-2</c:v>
                </c:pt>
                <c:pt idx="13">
                  <c:v>5.441480007392159E-2</c:v>
                </c:pt>
                <c:pt idx="14">
                  <c:v>4.252213072232796E-2</c:v>
                </c:pt>
                <c:pt idx="15">
                  <c:v>3.7756651954484514E-2</c:v>
                </c:pt>
                <c:pt idx="16">
                  <c:v>3.5507121975289803E-2</c:v>
                </c:pt>
                <c:pt idx="17">
                  <c:v>3.4459865486150293E-2</c:v>
                </c:pt>
                <c:pt idx="18">
                  <c:v>3.4043404308803489E-2</c:v>
                </c:pt>
                <c:pt idx="19">
                  <c:v>3.5171632170053133E-2</c:v>
                </c:pt>
                <c:pt idx="20">
                  <c:v>3.6374644666602479E-2</c:v>
                </c:pt>
                <c:pt idx="21">
                  <c:v>0</c:v>
                </c:pt>
                <c:pt idx="22">
                  <c:v>5.0486788679182611E-2</c:v>
                </c:pt>
              </c:numCache>
            </c:numRef>
          </c:val>
        </c:ser>
        <c:ser>
          <c:idx val="1"/>
          <c:order val="1"/>
          <c:tx>
            <c:strRef>
              <c:f>'WA Sch 25'!$Z$154</c:f>
              <c:strCache>
                <c:ptCount val="1"/>
                <c:pt idx="0">
                  <c:v>Staff Alt. Recommendation</c:v>
                </c:pt>
              </c:strCache>
            </c:strRef>
          </c:tx>
          <c:spPr>
            <a:solidFill>
              <a:schemeClr val="tx1"/>
            </a:solidFill>
            <a:ln w="9525" cap="flat" cmpd="sng" algn="ctr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val>
            <c:numRef>
              <c:f>'WA Sch 25'!$Z$155:$Z$177</c:f>
              <c:numCache>
                <c:formatCode>0.00%</c:formatCode>
                <c:ptCount val="23"/>
                <c:pt idx="0">
                  <c:v>3.1507947760542984E-2</c:v>
                </c:pt>
                <c:pt idx="1">
                  <c:v>3.1962903118002643E-2</c:v>
                </c:pt>
                <c:pt idx="2">
                  <c:v>3.8700273924127546E-2</c:v>
                </c:pt>
                <c:pt idx="3">
                  <c:v>3.9459334589553509E-2</c:v>
                </c:pt>
                <c:pt idx="4">
                  <c:v>3.4825808646921974E-2</c:v>
                </c:pt>
                <c:pt idx="5">
                  <c:v>3.5562045972519801E-2</c:v>
                </c:pt>
                <c:pt idx="6">
                  <c:v>3.8993294884016531E-2</c:v>
                </c:pt>
                <c:pt idx="7">
                  <c:v>4.5977757724975178E-2</c:v>
                </c:pt>
                <c:pt idx="8">
                  <c:v>3.5077040545814557E-2</c:v>
                </c:pt>
                <c:pt idx="9">
                  <c:v>2.9592626901966304E-2</c:v>
                </c:pt>
                <c:pt idx="10">
                  <c:v>2.994071028962102E-2</c:v>
                </c:pt>
                <c:pt idx="11">
                  <c:v>3.1217932823643664E-2</c:v>
                </c:pt>
                <c:pt idx="12">
                  <c:v>4.395769091337829E-2</c:v>
                </c:pt>
                <c:pt idx="13">
                  <c:v>5.2647183030070085E-2</c:v>
                </c:pt>
                <c:pt idx="14">
                  <c:v>4.0127134092403309E-2</c:v>
                </c:pt>
                <c:pt idx="15">
                  <c:v>3.5260952226818194E-2</c:v>
                </c:pt>
                <c:pt idx="16">
                  <c:v>3.2911656583045554E-2</c:v>
                </c:pt>
                <c:pt idx="17">
                  <c:v>3.1923628614418942E-2</c:v>
                </c:pt>
                <c:pt idx="18">
                  <c:v>3.1426485984254494E-2</c:v>
                </c:pt>
                <c:pt idx="19">
                  <c:v>3.2611873465003605E-2</c:v>
                </c:pt>
                <c:pt idx="20">
                  <c:v>3.3875747536324857E-2</c:v>
                </c:pt>
                <c:pt idx="21">
                  <c:v>0</c:v>
                </c:pt>
                <c:pt idx="22">
                  <c:v>4.8409254368182386E-2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6864128"/>
        <c:axId val="156864520"/>
      </c:barChart>
      <c:catAx>
        <c:axId val="156864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Customer Number</a:t>
                </a:r>
              </a:p>
            </c:rich>
          </c:tx>
          <c:layout>
            <c:manualLayout>
              <c:xMode val="edge"/>
              <c:yMode val="edge"/>
              <c:x val="2.2503630593571355E-2"/>
              <c:y val="0.969606721080220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_);\(0\)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1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6864520"/>
        <c:crosses val="autoZero"/>
        <c:auto val="1"/>
        <c:lblAlgn val="ctr"/>
        <c:lblOffset val="100"/>
        <c:tickLblSkip val="1"/>
        <c:noMultiLvlLbl val="0"/>
      </c:catAx>
      <c:valAx>
        <c:axId val="15686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Percentage Change in Total Bill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686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494544910591569"/>
          <c:y val="0.96585215378688105"/>
          <c:w val="0.40744169210959208"/>
          <c:h val="3.21045266920562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0" tint="-0.499984740745262"/>
  </sheetPr>
  <sheetViews>
    <sheetView zoomScale="145" workbookViewId="0" zoomToFit="1"/>
  </sheetViews>
  <pageMargins left="0.7" right="0.7" top="1.25" bottom="0.75" header="0.3" footer="0.3"/>
  <pageSetup orientation="landscape" r:id="rId1"/>
  <headerFooter>
    <oddHeader xml:space="preserve">&amp;R&amp;"Times New Roman,Regular"Exh. JLB-3
Dockets UE-1900334
Page &amp;P of &amp;N
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1034" cy="582667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0.37039</cdr:x>
      <cdr:y>0.39845</cdr:y>
    </cdr:from>
    <cdr:to>
      <cdr:x>0.40356</cdr:x>
      <cdr:y>0.44241</cdr:y>
    </cdr:to>
    <cdr:sp macro="" textlink="">
      <cdr:nvSpPr>
        <cdr:cNvPr id="2" name="Left Brace 1"/>
        <cdr:cNvSpPr/>
      </cdr:nvSpPr>
      <cdr:spPr>
        <a:xfrm xmlns:a="http://schemas.openxmlformats.org/drawingml/2006/main" rot="5400000">
          <a:off x="3229046" y="2307589"/>
          <a:ext cx="256296" cy="287773"/>
        </a:xfrm>
        <a:prstGeom xmlns:a="http://schemas.openxmlformats.org/drawingml/2006/main" prst="leftBrace">
          <a:avLst>
            <a:gd name="adj1" fmla="val 13396"/>
            <a:gd name="adj2" fmla="val 47468"/>
          </a:avLst>
        </a:prstGeom>
        <a:ln xmlns:a="http://schemas.openxmlformats.org/drawingml/2006/main" w="19050">
          <a:solidFill>
            <a:schemeClr val="tx1"/>
          </a:solidFill>
          <a:prstDash val="dash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0.36715</cdr:x>
      <cdr:y>0.32119</cdr:y>
    </cdr:from>
    <cdr:to>
      <cdr:x>0.49476</cdr:x>
      <cdr:y>0.38648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85225" y="1872823"/>
          <a:ext cx="1107077" cy="38069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Customer 9 moved</a:t>
          </a:r>
          <a:r>
            <a:rPr lang="en-US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 to Schedule 26</a:t>
          </a:r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79"/>
  <sheetViews>
    <sheetView topLeftCell="B1" zoomScale="70" zoomScaleNormal="70" workbookViewId="0">
      <selection activeCell="E70" sqref="E70"/>
    </sheetView>
  </sheetViews>
  <sheetFormatPr defaultRowHeight="12.75" x14ac:dyDescent="0.2"/>
  <cols>
    <col min="1" max="1" width="4.140625" style="1" customWidth="1"/>
    <col min="2" max="2" width="20.5703125" style="1" customWidth="1"/>
    <col min="3" max="3" width="10.140625" style="1" customWidth="1"/>
    <col min="4" max="4" width="12.85546875" style="1" bestFit="1" customWidth="1"/>
    <col min="5" max="5" width="11.85546875" style="1" bestFit="1" customWidth="1"/>
    <col min="6" max="6" width="13.28515625" style="1" bestFit="1" customWidth="1"/>
    <col min="7" max="7" width="13.42578125" style="1" bestFit="1" customWidth="1"/>
    <col min="8" max="8" width="12.7109375" style="1" bestFit="1" customWidth="1"/>
    <col min="9" max="11" width="13.28515625" style="1" bestFit="1" customWidth="1"/>
    <col min="12" max="12" width="13" style="1" bestFit="1" customWidth="1"/>
    <col min="13" max="13" width="12.5703125" style="1" bestFit="1" customWidth="1"/>
    <col min="14" max="15" width="12.7109375" style="1" bestFit="1" customWidth="1"/>
    <col min="16" max="16" width="14.5703125" style="1" bestFit="1" customWidth="1"/>
    <col min="17" max="17" width="12.85546875" style="1" bestFit="1" customWidth="1"/>
    <col min="18" max="18" width="12.7109375" style="1" bestFit="1" customWidth="1"/>
    <col min="19" max="19" width="13.140625" style="1" bestFit="1" customWidth="1"/>
    <col min="20" max="20" width="9.28515625" style="1" bestFit="1" customWidth="1"/>
    <col min="21" max="21" width="9.28515625" style="1" customWidth="1"/>
    <col min="22" max="22" width="12.5703125" style="1" bestFit="1" customWidth="1"/>
    <col min="23" max="23" width="18.140625" style="1" bestFit="1" customWidth="1"/>
    <col min="24" max="24" width="1.85546875" style="1" customWidth="1"/>
    <col min="25" max="25" width="28.85546875" style="1" bestFit="1" customWidth="1"/>
    <col min="26" max="26" width="25" style="1" bestFit="1" customWidth="1"/>
    <col min="27" max="28" width="15.42578125" style="1" bestFit="1" customWidth="1"/>
    <col min="29" max="16384" width="9.140625" style="1"/>
  </cols>
  <sheetData>
    <row r="1" spans="1:28" x14ac:dyDescent="0.2">
      <c r="U1" s="1" t="s">
        <v>55</v>
      </c>
      <c r="W1" s="1" t="s">
        <v>40</v>
      </c>
      <c r="Y1" s="1" t="s">
        <v>39</v>
      </c>
      <c r="Z1" s="1" t="s">
        <v>38</v>
      </c>
      <c r="AA1" s="86" t="s">
        <v>37</v>
      </c>
      <c r="AB1" s="86" t="s">
        <v>54</v>
      </c>
    </row>
    <row r="2" spans="1:28" x14ac:dyDescent="0.2">
      <c r="T2" s="1">
        <v>1</v>
      </c>
      <c r="U2" s="1" t="s">
        <v>53</v>
      </c>
      <c r="W2" s="92">
        <v>0</v>
      </c>
      <c r="Y2" s="92">
        <v>0</v>
      </c>
      <c r="Z2" s="92">
        <v>0</v>
      </c>
      <c r="AA2" s="92">
        <v>0</v>
      </c>
      <c r="AB2" s="92">
        <v>0</v>
      </c>
    </row>
    <row r="3" spans="1:28" x14ac:dyDescent="0.2">
      <c r="T3" s="1">
        <v>2</v>
      </c>
      <c r="U3" s="1" t="s">
        <v>52</v>
      </c>
      <c r="W3" s="94">
        <v>5.5050000000000002E-2</v>
      </c>
      <c r="Y3" s="92">
        <f>'Rate Design'!D5</f>
        <v>5.6070000000000002E-2</v>
      </c>
      <c r="Z3" s="93">
        <f>'Rate Design'!F5</f>
        <v>5.5879999999999999E-2</v>
      </c>
      <c r="AA3" s="93">
        <f>'Rate Design'!H5</f>
        <v>4.607E-2</v>
      </c>
      <c r="AB3" s="93">
        <v>5.9920000000000001E-2</v>
      </c>
    </row>
    <row r="4" spans="1:28" x14ac:dyDescent="0.2">
      <c r="T4" s="1">
        <v>3</v>
      </c>
      <c r="U4" s="1" t="s">
        <v>51</v>
      </c>
      <c r="W4" s="94">
        <v>4.9530000000000005E-2</v>
      </c>
      <c r="Y4" s="92">
        <f>'Rate Design'!D6</f>
        <v>5.0450000000000002E-2</v>
      </c>
      <c r="Z4" s="93">
        <f>'Rate Design'!F6</f>
        <v>5.0290000000000001E-2</v>
      </c>
      <c r="AA4" s="93">
        <v>0</v>
      </c>
      <c r="AB4" s="93">
        <v>5.9319999999999998E-2</v>
      </c>
    </row>
    <row r="5" spans="1:28" x14ac:dyDescent="0.2">
      <c r="T5" s="1">
        <v>4</v>
      </c>
      <c r="U5" s="1" t="s">
        <v>50</v>
      </c>
      <c r="W5" s="94">
        <v>4.2350000000000006E-2</v>
      </c>
      <c r="Y5" s="92">
        <f>'Rate Design'!D7</f>
        <v>4.3139999999999998E-2</v>
      </c>
      <c r="Z5" s="93">
        <f>'Rate Design'!F7</f>
        <v>0</v>
      </c>
      <c r="AA5" s="93">
        <v>0</v>
      </c>
      <c r="AB5" s="93">
        <v>4.6100000000000002E-2</v>
      </c>
    </row>
    <row r="6" spans="1:28" x14ac:dyDescent="0.2">
      <c r="T6" s="1">
        <v>5</v>
      </c>
      <c r="U6" s="1" t="s">
        <v>49</v>
      </c>
      <c r="W6" s="92"/>
      <c r="Y6" s="92"/>
      <c r="Z6" s="92"/>
      <c r="AA6" s="92"/>
      <c r="AB6" s="92"/>
    </row>
    <row r="7" spans="1:28" x14ac:dyDescent="0.2">
      <c r="T7" s="1">
        <v>6</v>
      </c>
      <c r="U7" s="1" t="s">
        <v>48</v>
      </c>
      <c r="W7" s="92">
        <v>24000</v>
      </c>
      <c r="Y7" s="92">
        <f>'Rate Design'!D9</f>
        <v>26500</v>
      </c>
      <c r="Z7" s="92">
        <f>'Rate Design'!F9</f>
        <v>26500</v>
      </c>
      <c r="AA7" s="92">
        <f>'Rate Design'!H9</f>
        <v>21500</v>
      </c>
      <c r="AB7" s="92">
        <v>26500</v>
      </c>
    </row>
    <row r="8" spans="1:28" x14ac:dyDescent="0.2">
      <c r="T8" s="1">
        <v>7</v>
      </c>
      <c r="U8" s="1" t="s">
        <v>47</v>
      </c>
      <c r="W8" s="92">
        <v>6.5</v>
      </c>
      <c r="Y8" s="92">
        <f>'Rate Design'!D10</f>
        <v>7</v>
      </c>
      <c r="Z8" s="92">
        <f>'Rate Design'!F10</f>
        <v>7</v>
      </c>
      <c r="AA8" s="92">
        <f>'Rate Design'!H10</f>
        <v>6</v>
      </c>
      <c r="AB8" s="92">
        <v>7</v>
      </c>
    </row>
    <row r="10" spans="1:28" ht="15" x14ac:dyDescent="0.25">
      <c r="A10" s="91" t="s">
        <v>46</v>
      </c>
      <c r="Q10" s="64" t="s">
        <v>45</v>
      </c>
      <c r="R10" s="90">
        <f>Q11</f>
        <v>500000</v>
      </c>
      <c r="S10" s="90">
        <f>R11</f>
        <v>6000000</v>
      </c>
    </row>
    <row r="11" spans="1:28" x14ac:dyDescent="0.2">
      <c r="P11" s="6" t="s">
        <v>44</v>
      </c>
      <c r="Q11" s="89">
        <v>500000</v>
      </c>
      <c r="R11" s="89">
        <v>6000000</v>
      </c>
      <c r="S11" s="88">
        <v>99999999</v>
      </c>
    </row>
    <row r="12" spans="1:28" x14ac:dyDescent="0.2">
      <c r="A12" s="17" t="s">
        <v>43</v>
      </c>
      <c r="B12" s="17"/>
      <c r="C12" s="78" t="s">
        <v>42</v>
      </c>
      <c r="D12" s="7">
        <v>43101</v>
      </c>
      <c r="E12" s="7">
        <v>43132</v>
      </c>
      <c r="F12" s="7">
        <v>43160</v>
      </c>
      <c r="G12" s="7">
        <v>43191</v>
      </c>
      <c r="H12" s="7">
        <v>43221</v>
      </c>
      <c r="I12" s="7">
        <v>43252</v>
      </c>
      <c r="J12" s="7">
        <v>43282</v>
      </c>
      <c r="K12" s="7">
        <v>43313</v>
      </c>
      <c r="L12" s="7">
        <v>43344</v>
      </c>
      <c r="M12" s="7">
        <v>43374</v>
      </c>
      <c r="N12" s="7">
        <v>43405</v>
      </c>
      <c r="O12" s="7">
        <v>43435</v>
      </c>
      <c r="P12" s="6" t="s">
        <v>15</v>
      </c>
      <c r="Q12" s="87" t="s">
        <v>41</v>
      </c>
      <c r="R12" s="87" t="s">
        <v>41</v>
      </c>
      <c r="S12" s="87" t="s">
        <v>41</v>
      </c>
      <c r="W12" s="1" t="s">
        <v>40</v>
      </c>
      <c r="Y12" s="1" t="s">
        <v>39</v>
      </c>
      <c r="Z12" s="1" t="s">
        <v>38</v>
      </c>
      <c r="AA12" s="86" t="s">
        <v>37</v>
      </c>
      <c r="AB12" s="1" t="s">
        <v>36</v>
      </c>
    </row>
    <row r="13" spans="1:28" ht="15" x14ac:dyDescent="0.25">
      <c r="A13" s="1">
        <v>1</v>
      </c>
      <c r="B13" s="4"/>
      <c r="C13" s="83"/>
      <c r="D13" s="59">
        <v>5417357.4000000004</v>
      </c>
      <c r="E13" s="59">
        <v>5209482.5999999996</v>
      </c>
      <c r="F13" s="59">
        <v>5598083.4000000004</v>
      </c>
      <c r="G13" s="59">
        <v>5938930.2000000002</v>
      </c>
      <c r="H13" s="59">
        <v>6179069.4000000004</v>
      </c>
      <c r="I13" s="59">
        <v>5771215.7999999998</v>
      </c>
      <c r="J13" s="58">
        <v>6205584</v>
      </c>
      <c r="K13" s="58">
        <v>6286131.5999999996</v>
      </c>
      <c r="L13" s="58">
        <v>5214997.2</v>
      </c>
      <c r="M13" s="60">
        <v>6027205.7999999998</v>
      </c>
      <c r="N13" s="60">
        <v>4774253.4000000004</v>
      </c>
      <c r="O13" s="60">
        <v>6083616</v>
      </c>
      <c r="P13" s="42">
        <f t="shared" ref="P13:P35" si="0">SUM(D13:O13)</f>
        <v>68705926.799999997</v>
      </c>
      <c r="Q13" s="82">
        <f t="shared" ref="Q13:Q35" si="1">Q$11*12-SUMPRODUCT(--($D13:$O13&lt;=Q$11),Q$11-$D13:$O13)</f>
        <v>6000000</v>
      </c>
      <c r="R13" s="82">
        <f>R$11*12-SUM($Q13:Q13)-SUMPRODUCT(--($D13:$O13&lt;=R$11),R$11-$D13:$O13)</f>
        <v>61924320</v>
      </c>
      <c r="S13" s="82">
        <f>S$11*12-SUM($Q13:R13)-SUMPRODUCT(--($D13:$O13&lt;=S$11),S$11-$D13:$O13)</f>
        <v>781606.79999995232</v>
      </c>
      <c r="V13" s="1">
        <v>1</v>
      </c>
      <c r="W13" s="15">
        <f t="shared" ref="W13:W35" si="2">$Q13*W$3+$R13*W$4+$S13*W$5</f>
        <v>3430512.6175799984</v>
      </c>
      <c r="X13" s="15"/>
      <c r="Y13" s="15">
        <f t="shared" ref="Y13:Y35" si="3">$Q13*Y$3+$R13*Y$4+$S13*Y$5</f>
        <v>3494220.4613519982</v>
      </c>
      <c r="Z13" s="15">
        <f t="shared" ref="Z13:Z22" si="4">Q13*$Z$3+SUM($R13:$S13)*$Z$4</f>
        <v>3488761.0587719977</v>
      </c>
      <c r="AB13" s="15">
        <f t="shared" ref="AB13:AB35" si="5">$Q13*AB$3+$R13*AB$4+$S13*AB$5</f>
        <v>4068902.7358799977</v>
      </c>
    </row>
    <row r="14" spans="1:28" s="16" customFormat="1" ht="15" x14ac:dyDescent="0.25">
      <c r="A14" s="16">
        <v>22</v>
      </c>
      <c r="B14" s="4"/>
      <c r="C14" s="84"/>
      <c r="D14" s="59">
        <v>606597</v>
      </c>
      <c r="E14" s="59">
        <v>661977.19999999995</v>
      </c>
      <c r="F14" s="59">
        <v>727160</v>
      </c>
      <c r="G14" s="59">
        <v>697581</v>
      </c>
      <c r="H14" s="59">
        <v>691017.6</v>
      </c>
      <c r="I14" s="59">
        <v>762333.6</v>
      </c>
      <c r="J14" s="59">
        <v>723049.6</v>
      </c>
      <c r="K14" s="59">
        <v>817499.2</v>
      </c>
      <c r="L14" s="59">
        <v>511733.6</v>
      </c>
      <c r="M14" s="61">
        <v>638428</v>
      </c>
      <c r="N14" s="61">
        <v>649174.4</v>
      </c>
      <c r="O14" s="61">
        <v>720994.4</v>
      </c>
      <c r="P14" s="27">
        <f t="shared" si="0"/>
        <v>8207545.6000000006</v>
      </c>
      <c r="Q14" s="85">
        <f t="shared" si="1"/>
        <v>6000000</v>
      </c>
      <c r="R14" s="85">
        <f>R$11*12-SUM($Q14:Q14)-SUMPRODUCT(--($D14:$O14&lt;=R$11),R$11-$D14:$O14)</f>
        <v>2207545.6000000015</v>
      </c>
      <c r="S14" s="85">
        <f>S$11*12-SUM($Q14:R14)-SUMPRODUCT(--($D14:$O14&lt;=S$11),S$11-$D14:$O14)</f>
        <v>0</v>
      </c>
      <c r="V14" s="16">
        <v>22</v>
      </c>
      <c r="W14" s="15">
        <f t="shared" si="2"/>
        <v>439639.73356800008</v>
      </c>
      <c r="X14" s="15"/>
      <c r="Y14" s="15">
        <f t="shared" si="3"/>
        <v>447790.67552000005</v>
      </c>
      <c r="Z14" s="15">
        <f t="shared" si="4"/>
        <v>446297.46822400007</v>
      </c>
      <c r="AB14" s="15">
        <f t="shared" si="5"/>
        <v>490471.6049920001</v>
      </c>
    </row>
    <row r="15" spans="1:28" ht="15" x14ac:dyDescent="0.25">
      <c r="A15" s="1">
        <v>23</v>
      </c>
      <c r="B15" s="4"/>
      <c r="C15" s="83"/>
      <c r="D15" s="59">
        <v>979473.6</v>
      </c>
      <c r="E15" s="59">
        <v>895377</v>
      </c>
      <c r="F15" s="59">
        <v>951957.3</v>
      </c>
      <c r="G15" s="59">
        <v>876397.2</v>
      </c>
      <c r="H15" s="59">
        <v>896023.8</v>
      </c>
      <c r="I15" s="59">
        <v>891303</v>
      </c>
      <c r="J15" s="58">
        <v>781783.8</v>
      </c>
      <c r="K15" s="58">
        <v>831364.8</v>
      </c>
      <c r="L15" s="58">
        <v>779045.4</v>
      </c>
      <c r="M15" s="60">
        <v>873927.6</v>
      </c>
      <c r="N15" s="60">
        <v>836098.2</v>
      </c>
      <c r="O15" s="60">
        <v>812217</v>
      </c>
      <c r="P15" s="42">
        <f t="shared" si="0"/>
        <v>10404968.699999999</v>
      </c>
      <c r="Q15" s="82">
        <f t="shared" si="1"/>
        <v>6000000</v>
      </c>
      <c r="R15" s="82">
        <f>R$11*12-SUM($Q15:Q15)-SUMPRODUCT(--($D15:$O15&lt;=R$11),R$11-$D15:$O15)</f>
        <v>4404968.6999999955</v>
      </c>
      <c r="S15" s="82">
        <f>S$11*12-SUM($Q15:R15)-SUMPRODUCT(--($D15:$O15&lt;=S$11),S$11-$D15:$O15)</f>
        <v>0</v>
      </c>
      <c r="V15" s="1">
        <v>23</v>
      </c>
      <c r="W15" s="15">
        <f t="shared" si="2"/>
        <v>548478.09971099976</v>
      </c>
      <c r="X15" s="15"/>
      <c r="Y15" s="15">
        <f t="shared" si="3"/>
        <v>558650.67091499979</v>
      </c>
      <c r="Z15" s="15">
        <f t="shared" si="4"/>
        <v>556805.87592299981</v>
      </c>
      <c r="AB15" s="15">
        <f t="shared" si="5"/>
        <v>620822.74328399973</v>
      </c>
    </row>
    <row r="16" spans="1:28" ht="15" x14ac:dyDescent="0.25">
      <c r="A16" s="1">
        <v>2</v>
      </c>
      <c r="B16" s="4"/>
      <c r="C16" s="83"/>
      <c r="D16" s="59">
        <v>3098709.6</v>
      </c>
      <c r="E16" s="59">
        <v>2900940</v>
      </c>
      <c r="F16" s="59">
        <v>3192966</v>
      </c>
      <c r="G16" s="59">
        <v>3000358.2</v>
      </c>
      <c r="H16" s="59">
        <v>2990820</v>
      </c>
      <c r="I16" s="59">
        <v>2914699.2</v>
      </c>
      <c r="J16" s="58">
        <v>2818183.2</v>
      </c>
      <c r="K16" s="58">
        <v>2977010.4</v>
      </c>
      <c r="L16" s="58">
        <v>2712145.8</v>
      </c>
      <c r="M16" s="60">
        <v>2877663.6</v>
      </c>
      <c r="N16" s="60">
        <v>2753625</v>
      </c>
      <c r="O16" s="60">
        <v>1593639.598</v>
      </c>
      <c r="P16" s="42">
        <f t="shared" si="0"/>
        <v>33830760.597999997</v>
      </c>
      <c r="Q16" s="82">
        <f t="shared" si="1"/>
        <v>6000000</v>
      </c>
      <c r="R16" s="82">
        <f>R$11*12-SUM($Q16:Q16)-SUMPRODUCT(--($D16:$O16&lt;=R$11),R$11-$D16:$O16)</f>
        <v>27830760.597999997</v>
      </c>
      <c r="S16" s="82">
        <f>S$11*12-SUM($Q16:R16)-SUMPRODUCT(--($D16:$O16&lt;=S$11),S$11-$D16:$O16)</f>
        <v>0</v>
      </c>
      <c r="V16" s="1">
        <v>2</v>
      </c>
      <c r="W16" s="15">
        <f t="shared" si="2"/>
        <v>1708757.57241894</v>
      </c>
      <c r="X16" s="15"/>
      <c r="Y16" s="15">
        <f t="shared" si="3"/>
        <v>1740481.8721691</v>
      </c>
      <c r="Z16" s="15">
        <f t="shared" si="4"/>
        <v>1734888.9504734199</v>
      </c>
      <c r="AB16" s="15">
        <f t="shared" si="5"/>
        <v>2010440.7186733598</v>
      </c>
    </row>
    <row r="17" spans="1:28" ht="15" x14ac:dyDescent="0.25">
      <c r="A17" s="1">
        <v>3</v>
      </c>
      <c r="B17" s="4"/>
      <c r="C17" s="83"/>
      <c r="D17" s="59">
        <v>1451406.6</v>
      </c>
      <c r="E17" s="59">
        <v>1330051.8</v>
      </c>
      <c r="F17" s="59">
        <v>1413395.2</v>
      </c>
      <c r="G17" s="59">
        <v>1259812.3999999999</v>
      </c>
      <c r="H17" s="59">
        <v>1296068.2</v>
      </c>
      <c r="I17" s="59">
        <v>1267047.6000000001</v>
      </c>
      <c r="J17" s="58">
        <v>1254391.6000000001</v>
      </c>
      <c r="K17" s="58">
        <v>1297139.2</v>
      </c>
      <c r="L17" s="58">
        <v>1191800.3999999999</v>
      </c>
      <c r="M17" s="60">
        <v>1372032.2</v>
      </c>
      <c r="N17" s="60">
        <v>1325175.6000000001</v>
      </c>
      <c r="O17" s="60">
        <v>1396154.9</v>
      </c>
      <c r="P17" s="42">
        <f t="shared" si="0"/>
        <v>15854475.699999999</v>
      </c>
      <c r="Q17" s="82">
        <f t="shared" si="1"/>
        <v>6000000</v>
      </c>
      <c r="R17" s="82">
        <f>R$11*12-SUM($Q17:Q17)-SUMPRODUCT(--($D17:$O17&lt;=R$11),R$11-$D17:$O17)</f>
        <v>9854475.700000003</v>
      </c>
      <c r="S17" s="82">
        <f>S$11*12-SUM($Q17:R17)-SUMPRODUCT(--($D17:$O17&lt;=S$11),S$11-$D17:$O17)</f>
        <v>0</v>
      </c>
      <c r="V17" s="1">
        <v>3</v>
      </c>
      <c r="W17" s="15">
        <f t="shared" si="2"/>
        <v>818392.18142100028</v>
      </c>
      <c r="X17" s="15"/>
      <c r="Y17" s="15">
        <f t="shared" si="3"/>
        <v>833578.29906500014</v>
      </c>
      <c r="Z17" s="15">
        <f t="shared" si="4"/>
        <v>830861.58295300021</v>
      </c>
      <c r="AB17" s="15">
        <f t="shared" si="5"/>
        <v>944087.49852400017</v>
      </c>
    </row>
    <row r="18" spans="1:28" ht="15" x14ac:dyDescent="0.25">
      <c r="A18" s="1">
        <v>4</v>
      </c>
      <c r="B18" s="4"/>
      <c r="C18" s="83"/>
      <c r="D18" s="59">
        <v>1294328.7</v>
      </c>
      <c r="E18" s="59">
        <v>1157305.8</v>
      </c>
      <c r="F18" s="59">
        <v>1248464.7</v>
      </c>
      <c r="G18" s="59">
        <v>1205773.8</v>
      </c>
      <c r="H18" s="59">
        <v>1278664.8</v>
      </c>
      <c r="I18" s="59">
        <v>1238120.1000000001</v>
      </c>
      <c r="J18" s="58">
        <v>1324371.3</v>
      </c>
      <c r="K18" s="58">
        <v>1312516.8</v>
      </c>
      <c r="L18" s="59">
        <v>1250367.3</v>
      </c>
      <c r="M18" s="60">
        <v>1238766.8999999999</v>
      </c>
      <c r="N18" s="60">
        <v>1209572.7</v>
      </c>
      <c r="O18" s="61">
        <v>1305220.344</v>
      </c>
      <c r="P18" s="42">
        <f t="shared" si="0"/>
        <v>15063473.244000003</v>
      </c>
      <c r="Q18" s="82">
        <f t="shared" si="1"/>
        <v>6000000</v>
      </c>
      <c r="R18" s="82">
        <f>R$11*12-SUM($Q18:Q18)-SUMPRODUCT(--($D18:$O18&lt;=R$11),R$11-$D18:$O18)</f>
        <v>9063473.2440000027</v>
      </c>
      <c r="S18" s="82">
        <f>S$11*12-SUM($Q18:R18)-SUMPRODUCT(--($D18:$O18&lt;=S$11),S$11-$D18:$O18)</f>
        <v>0</v>
      </c>
      <c r="V18" s="1">
        <v>4</v>
      </c>
      <c r="W18" s="15">
        <f t="shared" si="2"/>
        <v>779213.82977532013</v>
      </c>
      <c r="X18" s="15"/>
      <c r="Y18" s="15">
        <f t="shared" si="3"/>
        <v>793672.22515980015</v>
      </c>
      <c r="Z18" s="15">
        <f t="shared" si="4"/>
        <v>791082.06944076018</v>
      </c>
      <c r="AB18" s="15">
        <f t="shared" si="5"/>
        <v>897165.23283408012</v>
      </c>
    </row>
    <row r="19" spans="1:28" ht="15" x14ac:dyDescent="0.25">
      <c r="A19" s="1">
        <v>5</v>
      </c>
      <c r="B19" s="4"/>
      <c r="C19" s="83"/>
      <c r="D19" s="59">
        <v>1680174.3</v>
      </c>
      <c r="E19" s="59">
        <v>1550971.8</v>
      </c>
      <c r="F19" s="59">
        <v>1669355.1</v>
      </c>
      <c r="G19" s="59">
        <v>1622050.5</v>
      </c>
      <c r="H19" s="59">
        <v>1966864.2</v>
      </c>
      <c r="I19" s="59">
        <v>1912079.4</v>
      </c>
      <c r="J19" s="58">
        <v>2179709.7000000002</v>
      </c>
      <c r="K19" s="58">
        <v>2106808.2000000002</v>
      </c>
      <c r="L19" s="58">
        <v>1816311</v>
      </c>
      <c r="M19" s="60">
        <v>1649123.7</v>
      </c>
      <c r="N19" s="60">
        <v>1620303.3</v>
      </c>
      <c r="O19" s="60">
        <v>1705474.05</v>
      </c>
      <c r="P19" s="42">
        <f t="shared" si="0"/>
        <v>21479225.25</v>
      </c>
      <c r="Q19" s="82">
        <f t="shared" si="1"/>
        <v>6000000</v>
      </c>
      <c r="R19" s="82">
        <f>R$11*12-SUM($Q19:Q19)-SUMPRODUCT(--($D19:$O19&lt;=R$11),R$11-$D19:$O19)</f>
        <v>15479225.249999993</v>
      </c>
      <c r="S19" s="82">
        <f>S$11*12-SUM($Q19:R19)-SUMPRODUCT(--($D19:$O19&lt;=S$11),S$11-$D19:$O19)</f>
        <v>0</v>
      </c>
      <c r="V19" s="1">
        <v>5</v>
      </c>
      <c r="W19" s="15">
        <f t="shared" si="2"/>
        <v>1096986.0266324996</v>
      </c>
      <c r="X19" s="15"/>
      <c r="Y19" s="15">
        <f t="shared" si="3"/>
        <v>1117346.9138624996</v>
      </c>
      <c r="Z19" s="15">
        <f t="shared" si="4"/>
        <v>1113730.2378224996</v>
      </c>
      <c r="AB19" s="15">
        <f t="shared" si="5"/>
        <v>1277747.6418299996</v>
      </c>
    </row>
    <row r="20" spans="1:28" ht="15" x14ac:dyDescent="0.25">
      <c r="A20" s="1">
        <v>6</v>
      </c>
      <c r="B20" s="4"/>
      <c r="C20" s="83"/>
      <c r="D20" s="59">
        <v>2251093.6</v>
      </c>
      <c r="E20" s="59">
        <v>2295039.6</v>
      </c>
      <c r="F20" s="59">
        <v>2148288.7999999998</v>
      </c>
      <c r="G20" s="59">
        <v>2103292.7999999998</v>
      </c>
      <c r="H20" s="59">
        <v>1859382</v>
      </c>
      <c r="I20" s="59">
        <v>1633699.2</v>
      </c>
      <c r="J20" s="58">
        <v>1985695.6</v>
      </c>
      <c r="K20" s="58">
        <v>2040340.4</v>
      </c>
      <c r="L20" s="58">
        <v>2035250</v>
      </c>
      <c r="M20" s="60">
        <v>2111894.4</v>
      </c>
      <c r="N20" s="60">
        <v>2195715.2000000002</v>
      </c>
      <c r="O20" s="60">
        <v>2199177.4</v>
      </c>
      <c r="P20" s="42">
        <f t="shared" si="0"/>
        <v>24858868.999999996</v>
      </c>
      <c r="Q20" s="82">
        <f t="shared" si="1"/>
        <v>6000000</v>
      </c>
      <c r="R20" s="82">
        <f>R$11*12-SUM($Q20:Q20)-SUMPRODUCT(--($D20:$O20&lt;=R$11),R$11-$D20:$O20)</f>
        <v>18858869</v>
      </c>
      <c r="S20" s="82">
        <f>S$11*12-SUM($Q20:R20)-SUMPRODUCT(--($D20:$O20&lt;=S$11),S$11-$D20:$O20)</f>
        <v>0</v>
      </c>
      <c r="V20" s="1">
        <v>6</v>
      </c>
      <c r="W20" s="15">
        <f t="shared" si="2"/>
        <v>1264379.7815700001</v>
      </c>
      <c r="X20" s="15"/>
      <c r="Y20" s="15">
        <f t="shared" si="3"/>
        <v>1287849.94105</v>
      </c>
      <c r="Z20" s="15">
        <f t="shared" si="4"/>
        <v>1283692.52201</v>
      </c>
      <c r="AB20" s="15">
        <f t="shared" si="5"/>
        <v>1478228.1090799998</v>
      </c>
    </row>
    <row r="21" spans="1:28" ht="15" x14ac:dyDescent="0.25">
      <c r="A21" s="1">
        <v>7</v>
      </c>
      <c r="B21" s="4"/>
      <c r="C21" s="83"/>
      <c r="D21" s="59">
        <v>1342430.6</v>
      </c>
      <c r="E21" s="59">
        <v>1273123.6000000001</v>
      </c>
      <c r="F21" s="59">
        <v>1374676.8</v>
      </c>
      <c r="G21" s="59">
        <v>1291710</v>
      </c>
      <c r="H21" s="59">
        <v>1411495.4</v>
      </c>
      <c r="I21" s="59">
        <v>1389838.8</v>
      </c>
      <c r="J21" s="58">
        <v>1540082.6</v>
      </c>
      <c r="K21" s="59">
        <v>1508025.4</v>
      </c>
      <c r="L21" s="58">
        <v>1332346.3999999999</v>
      </c>
      <c r="M21" s="60">
        <v>1340910.2</v>
      </c>
      <c r="N21" s="60">
        <v>1106404.6000000001</v>
      </c>
      <c r="O21" s="60">
        <v>1156736.7</v>
      </c>
      <c r="P21" s="42">
        <f t="shared" si="0"/>
        <v>16067781.1</v>
      </c>
      <c r="Q21" s="82">
        <f t="shared" si="1"/>
        <v>6000000</v>
      </c>
      <c r="R21" s="82">
        <f>R$11*12-SUM($Q21:Q21)-SUMPRODUCT(--($D21:$O21&lt;=R$11),R$11-$D21:$O21)</f>
        <v>10067781.100000001</v>
      </c>
      <c r="S21" s="82">
        <f>S$11*12-SUM($Q21:R21)-SUMPRODUCT(--($D21:$O21&lt;=S$11),S$11-$D21:$O21)</f>
        <v>0</v>
      </c>
      <c r="V21" s="1">
        <v>7</v>
      </c>
      <c r="W21" s="15">
        <f t="shared" si="2"/>
        <v>828957.19788300013</v>
      </c>
      <c r="X21" s="15"/>
      <c r="Y21" s="15">
        <f t="shared" si="3"/>
        <v>844339.55649500014</v>
      </c>
      <c r="Z21" s="15">
        <f t="shared" si="4"/>
        <v>841588.71151900012</v>
      </c>
      <c r="AB21" s="15">
        <f t="shared" si="5"/>
        <v>956740.77485200006</v>
      </c>
    </row>
    <row r="22" spans="1:28" ht="15" x14ac:dyDescent="0.25">
      <c r="A22" s="1">
        <v>8</v>
      </c>
      <c r="B22" s="4"/>
      <c r="C22" s="83"/>
      <c r="D22" s="59">
        <v>1108779</v>
      </c>
      <c r="E22" s="59">
        <v>1009331.4</v>
      </c>
      <c r="F22" s="59">
        <v>1067136</v>
      </c>
      <c r="G22" s="59">
        <v>1043343</v>
      </c>
      <c r="H22" s="59">
        <v>1082596.2</v>
      </c>
      <c r="I22" s="59">
        <v>1052801.3999999999</v>
      </c>
      <c r="J22" s="59">
        <v>1056594</v>
      </c>
      <c r="K22" s="58">
        <v>1131643.8</v>
      </c>
      <c r="L22" s="58">
        <v>962224.2</v>
      </c>
      <c r="M22" s="61">
        <v>1076833.8</v>
      </c>
      <c r="N22" s="60">
        <v>959767.2</v>
      </c>
      <c r="O22" s="60">
        <v>904652.7</v>
      </c>
      <c r="P22" s="42">
        <f t="shared" si="0"/>
        <v>12455702.699999999</v>
      </c>
      <c r="Q22" s="82">
        <f t="shared" si="1"/>
        <v>6000000</v>
      </c>
      <c r="R22" s="82">
        <f>R$11*12-SUM($Q22:Q22)-SUMPRODUCT(--($D22:$O22&lt;=R$11),R$11-$D22:$O22)</f>
        <v>6455702.700000003</v>
      </c>
      <c r="S22" s="82">
        <f>S$11*12-SUM($Q22:R22)-SUMPRODUCT(--($D22:$O22&lt;=S$11),S$11-$D22:$O22)</f>
        <v>0</v>
      </c>
      <c r="V22" s="1">
        <v>8</v>
      </c>
      <c r="W22" s="15">
        <f t="shared" si="2"/>
        <v>650050.95473100012</v>
      </c>
      <c r="X22" s="15"/>
      <c r="Y22" s="15">
        <f t="shared" si="3"/>
        <v>662110.20121500012</v>
      </c>
      <c r="Z22" s="15">
        <f t="shared" si="4"/>
        <v>659937.28878300008</v>
      </c>
      <c r="AB22" s="15">
        <f t="shared" si="5"/>
        <v>742472.28416400019</v>
      </c>
    </row>
    <row r="23" spans="1:28" ht="15" x14ac:dyDescent="0.25">
      <c r="A23" s="1">
        <v>9</v>
      </c>
      <c r="B23" s="4"/>
      <c r="C23" s="83"/>
      <c r="D23" s="59">
        <v>42113570</v>
      </c>
      <c r="E23" s="59">
        <v>38726690</v>
      </c>
      <c r="F23" s="59">
        <v>42012008</v>
      </c>
      <c r="G23" s="59">
        <v>40858220</v>
      </c>
      <c r="H23" s="59">
        <v>39613368</v>
      </c>
      <c r="I23" s="59">
        <v>39658628</v>
      </c>
      <c r="J23" s="58">
        <v>40571988</v>
      </c>
      <c r="K23" s="58">
        <v>41162272</v>
      </c>
      <c r="L23" s="58">
        <v>38387778</v>
      </c>
      <c r="M23" s="60">
        <v>41469272</v>
      </c>
      <c r="N23" s="60">
        <v>39553724</v>
      </c>
      <c r="O23" s="60">
        <v>41299864</v>
      </c>
      <c r="P23" s="42">
        <f t="shared" si="0"/>
        <v>485427382</v>
      </c>
      <c r="Q23" s="82">
        <f t="shared" si="1"/>
        <v>6000000</v>
      </c>
      <c r="R23" s="82">
        <f>R$11*12-SUM($Q23:Q23)-SUMPRODUCT(--($D23:$O23&lt;=R$11),R$11-$D23:$O23)</f>
        <v>66000000</v>
      </c>
      <c r="S23" s="82">
        <f>S$11*12-SUM($Q23:R23)-SUMPRODUCT(--($D23:$O23&lt;=S$11),S$11-$D23:$O23)</f>
        <v>413427382</v>
      </c>
      <c r="V23" s="1">
        <v>9</v>
      </c>
      <c r="W23" s="15">
        <f t="shared" si="2"/>
        <v>21107929.627700001</v>
      </c>
      <c r="X23" s="15"/>
      <c r="Y23" s="15">
        <f t="shared" si="3"/>
        <v>21501377.25948</v>
      </c>
      <c r="Z23" s="15"/>
      <c r="AA23" s="15">
        <f>SUM(Q23:S23)*AA3</f>
        <v>22363639.488740001</v>
      </c>
      <c r="AB23" s="15">
        <f t="shared" si="5"/>
        <v>23333642.310200002</v>
      </c>
    </row>
    <row r="24" spans="1:28" ht="15" x14ac:dyDescent="0.25">
      <c r="A24" s="1">
        <v>10</v>
      </c>
      <c r="B24" s="4"/>
      <c r="C24" s="83"/>
      <c r="D24" s="59">
        <v>5475880.2000000002</v>
      </c>
      <c r="E24" s="59">
        <v>3225600</v>
      </c>
      <c r="F24" s="59">
        <v>5302936.8</v>
      </c>
      <c r="G24" s="59">
        <v>5139876</v>
      </c>
      <c r="H24" s="59">
        <v>5546520</v>
      </c>
      <c r="I24" s="59">
        <v>4880064</v>
      </c>
      <c r="J24" s="58">
        <v>4436115.5999999996</v>
      </c>
      <c r="K24" s="58">
        <v>5475225</v>
      </c>
      <c r="L24" s="58">
        <v>4745651.4000000004</v>
      </c>
      <c r="M24" s="60">
        <v>5373593.4000000004</v>
      </c>
      <c r="N24" s="60">
        <v>4515264.5999999996</v>
      </c>
      <c r="O24" s="60">
        <v>4882489.5</v>
      </c>
      <c r="P24" s="42">
        <f t="shared" si="0"/>
        <v>58999216.5</v>
      </c>
      <c r="Q24" s="82">
        <f t="shared" si="1"/>
        <v>6000000</v>
      </c>
      <c r="R24" s="82">
        <f>R$11*12-SUM($Q24:Q24)-SUMPRODUCT(--($D24:$O24&lt;=R$11),R$11-$D24:$O24)</f>
        <v>52999216.5</v>
      </c>
      <c r="S24" s="82">
        <f>S$11*12-SUM($Q24:R24)-SUMPRODUCT(--($D24:$O24&lt;=S$11),S$11-$D24:$O24)</f>
        <v>0</v>
      </c>
      <c r="V24" s="1">
        <v>10</v>
      </c>
      <c r="W24" s="15">
        <f t="shared" si="2"/>
        <v>2955351.1932450002</v>
      </c>
      <c r="X24" s="15"/>
      <c r="Y24" s="15">
        <f t="shared" si="3"/>
        <v>3010230.4724250003</v>
      </c>
      <c r="Z24" s="15">
        <f t="shared" ref="Z24:Z35" si="6">Q24*$Z$3+SUM($R24:$S24)*$Z$4</f>
        <v>3000610.5977850002</v>
      </c>
      <c r="AB24" s="15">
        <f t="shared" si="5"/>
        <v>3503433.5227799998</v>
      </c>
    </row>
    <row r="25" spans="1:28" ht="15" x14ac:dyDescent="0.25">
      <c r="A25" s="1">
        <v>11</v>
      </c>
      <c r="B25" s="4"/>
      <c r="C25" s="83"/>
      <c r="D25" s="59">
        <v>2675148</v>
      </c>
      <c r="E25" s="59">
        <v>4832542.4000000004</v>
      </c>
      <c r="F25" s="59">
        <v>5366177.5999999996</v>
      </c>
      <c r="G25" s="59">
        <v>5075285.5999999996</v>
      </c>
      <c r="H25" s="59">
        <v>5759633.5999999996</v>
      </c>
      <c r="I25" s="59">
        <v>4983580</v>
      </c>
      <c r="J25" s="58">
        <v>4542300</v>
      </c>
      <c r="K25" s="58">
        <v>5232987.2</v>
      </c>
      <c r="L25" s="58">
        <v>5027002.4009999996</v>
      </c>
      <c r="M25" s="60">
        <v>5821580.7999999998</v>
      </c>
      <c r="N25" s="60">
        <v>5324020.8</v>
      </c>
      <c r="O25" s="60">
        <v>5382109.5999999996</v>
      </c>
      <c r="P25" s="42">
        <f t="shared" si="0"/>
        <v>60022368.001000002</v>
      </c>
      <c r="Q25" s="82">
        <f t="shared" si="1"/>
        <v>6000000</v>
      </c>
      <c r="R25" s="82">
        <f>R$11*12-SUM($Q25:Q25)-SUMPRODUCT(--($D25:$O25&lt;=R$11),R$11-$D25:$O25)</f>
        <v>54022368.001000002</v>
      </c>
      <c r="S25" s="82">
        <f>S$11*12-SUM($Q25:R25)-SUMPRODUCT(--($D25:$O25&lt;=S$11),S$11-$D25:$O25)</f>
        <v>0</v>
      </c>
      <c r="V25" s="1">
        <v>11</v>
      </c>
      <c r="W25" s="15">
        <f t="shared" si="2"/>
        <v>3006027.8870895305</v>
      </c>
      <c r="X25" s="15"/>
      <c r="Y25" s="15">
        <f t="shared" si="3"/>
        <v>3061848.46565045</v>
      </c>
      <c r="Z25" s="15">
        <f t="shared" si="6"/>
        <v>3052064.8867702903</v>
      </c>
      <c r="AB25" s="15">
        <f t="shared" si="5"/>
        <v>3564126.8698193198</v>
      </c>
    </row>
    <row r="26" spans="1:28" ht="15" x14ac:dyDescent="0.25">
      <c r="A26" s="1">
        <v>12</v>
      </c>
      <c r="B26" s="4"/>
      <c r="C26" s="83"/>
      <c r="D26" s="59">
        <v>3200689.8</v>
      </c>
      <c r="E26" s="59">
        <v>2917420.8</v>
      </c>
      <c r="F26" s="59">
        <v>3190861.8</v>
      </c>
      <c r="G26" s="59">
        <v>3189855.9</v>
      </c>
      <c r="H26" s="59">
        <v>4044789</v>
      </c>
      <c r="I26" s="59">
        <v>3911493.6</v>
      </c>
      <c r="J26" s="59">
        <v>4551246</v>
      </c>
      <c r="K26" s="59">
        <v>4441298.4000000004</v>
      </c>
      <c r="L26" s="59">
        <v>3624860.4</v>
      </c>
      <c r="M26" s="61">
        <v>3239193.3</v>
      </c>
      <c r="N26" s="61">
        <v>3056115.3</v>
      </c>
      <c r="O26" s="61">
        <v>3093191.85</v>
      </c>
      <c r="P26" s="42">
        <f t="shared" si="0"/>
        <v>42461016.149999991</v>
      </c>
      <c r="Q26" s="82">
        <f t="shared" si="1"/>
        <v>6000000</v>
      </c>
      <c r="R26" s="82">
        <f>R$11*12-SUM($Q26:Q26)-SUMPRODUCT(--($D26:$O26&lt;=R$11),R$11-$D26:$O26)</f>
        <v>36461016.149999999</v>
      </c>
      <c r="S26" s="82">
        <f>S$11*12-SUM($Q26:R26)-SUMPRODUCT(--($D26:$O26&lt;=S$11),S$11-$D26:$O26)</f>
        <v>0</v>
      </c>
      <c r="V26" s="1">
        <v>12</v>
      </c>
      <c r="W26" s="15">
        <f t="shared" si="2"/>
        <v>2136214.1299095</v>
      </c>
      <c r="X26" s="15"/>
      <c r="Y26" s="15">
        <f t="shared" si="3"/>
        <v>2175878.2647675001</v>
      </c>
      <c r="Z26" s="15">
        <f t="shared" si="6"/>
        <v>2168904.5021834997</v>
      </c>
      <c r="AB26" s="15">
        <f t="shared" si="5"/>
        <v>2522387.4780179998</v>
      </c>
    </row>
    <row r="27" spans="1:28" ht="15" x14ac:dyDescent="0.25">
      <c r="A27" s="1">
        <v>13</v>
      </c>
      <c r="B27" s="4"/>
      <c r="C27" s="83"/>
      <c r="D27" s="59">
        <v>911570.1</v>
      </c>
      <c r="E27" s="59">
        <v>817296.9</v>
      </c>
      <c r="F27" s="59">
        <v>882348.6</v>
      </c>
      <c r="G27" s="59">
        <v>881155.8</v>
      </c>
      <c r="H27" s="59">
        <v>1073816.1000000001</v>
      </c>
      <c r="I27" s="59">
        <v>1046600.1</v>
      </c>
      <c r="J27" s="58">
        <v>1202604.8999999999</v>
      </c>
      <c r="K27" s="58">
        <v>1199814</v>
      </c>
      <c r="L27" s="58">
        <v>978219.9</v>
      </c>
      <c r="M27" s="60">
        <v>934644.9</v>
      </c>
      <c r="N27" s="60">
        <v>858442.2</v>
      </c>
      <c r="O27" s="60">
        <v>887575.5</v>
      </c>
      <c r="P27" s="42">
        <f t="shared" si="0"/>
        <v>11674089</v>
      </c>
      <c r="Q27" s="82">
        <f t="shared" si="1"/>
        <v>6000000</v>
      </c>
      <c r="R27" s="82">
        <f>R$11*12-SUM($Q27:Q27)-SUMPRODUCT(--($D27:$O27&lt;=R$11),R$11-$D27:$O27)</f>
        <v>5674089</v>
      </c>
      <c r="S27" s="82">
        <f>S$11*12-SUM($Q27:R27)-SUMPRODUCT(--($D27:$O27&lt;=S$11),S$11-$D27:$O27)</f>
        <v>0</v>
      </c>
      <c r="V27" s="1">
        <v>13</v>
      </c>
      <c r="W27" s="15">
        <f t="shared" si="2"/>
        <v>611337.62817000004</v>
      </c>
      <c r="X27" s="15"/>
      <c r="Y27" s="15">
        <f t="shared" si="3"/>
        <v>622677.79004999995</v>
      </c>
      <c r="Z27" s="15">
        <f t="shared" si="6"/>
        <v>620629.93580999994</v>
      </c>
      <c r="AB27" s="15">
        <f t="shared" si="5"/>
        <v>696106.95947999996</v>
      </c>
    </row>
    <row r="28" spans="1:28" ht="15" x14ac:dyDescent="0.25">
      <c r="A28" s="1">
        <v>14</v>
      </c>
      <c r="B28" s="4"/>
      <c r="C28" s="84"/>
      <c r="D28" s="59">
        <v>889757.4</v>
      </c>
      <c r="E28" s="59">
        <v>844967.4</v>
      </c>
      <c r="F28" s="59">
        <v>962325</v>
      </c>
      <c r="G28" s="59">
        <v>864949.2</v>
      </c>
      <c r="H28" s="59">
        <v>926184</v>
      </c>
      <c r="I28" s="59">
        <v>881078.4</v>
      </c>
      <c r="J28" s="58">
        <v>904692</v>
      </c>
      <c r="K28" s="58">
        <v>991965</v>
      </c>
      <c r="L28" s="58">
        <v>957684.6</v>
      </c>
      <c r="M28" s="61">
        <v>1042830.6</v>
      </c>
      <c r="N28" s="61">
        <v>790020.6</v>
      </c>
      <c r="O28" s="61">
        <v>875425.8</v>
      </c>
      <c r="P28" s="42">
        <f t="shared" si="0"/>
        <v>10931880</v>
      </c>
      <c r="Q28" s="82">
        <f t="shared" si="1"/>
        <v>6000000</v>
      </c>
      <c r="R28" s="82">
        <f>R$11*12-SUM($Q28:Q28)-SUMPRODUCT(--($D28:$O28&lt;=R$11),R$11-$D28:$O28)</f>
        <v>4931880</v>
      </c>
      <c r="S28" s="82">
        <f>S$11*12-SUM($Q28:R28)-SUMPRODUCT(--($D28:$O28&lt;=S$11),S$11-$D28:$O28)</f>
        <v>0</v>
      </c>
      <c r="V28" s="1">
        <v>14</v>
      </c>
      <c r="W28" s="15">
        <f t="shared" si="2"/>
        <v>574576.01640000008</v>
      </c>
      <c r="X28" s="15"/>
      <c r="Y28" s="15">
        <f t="shared" si="3"/>
        <v>585233.34600000002</v>
      </c>
      <c r="Z28" s="15">
        <f t="shared" si="6"/>
        <v>583304.2452</v>
      </c>
      <c r="AB28" s="15">
        <f t="shared" si="5"/>
        <v>652079.12159999995</v>
      </c>
    </row>
    <row r="29" spans="1:28" ht="15" x14ac:dyDescent="0.25">
      <c r="A29" s="1">
        <v>15</v>
      </c>
      <c r="B29" s="4"/>
      <c r="C29" s="83"/>
      <c r="D29" s="59">
        <v>1270193.3999999999</v>
      </c>
      <c r="E29" s="59">
        <v>1112622</v>
      </c>
      <c r="F29" s="59">
        <v>1160409.6000000001</v>
      </c>
      <c r="G29" s="59">
        <v>1219999.2</v>
      </c>
      <c r="H29" s="59">
        <v>1452465</v>
      </c>
      <c r="I29" s="59">
        <v>1443086.4</v>
      </c>
      <c r="J29" s="58">
        <v>1530123</v>
      </c>
      <c r="K29" s="58">
        <v>1495053</v>
      </c>
      <c r="L29" s="58">
        <v>1277089.8</v>
      </c>
      <c r="M29" s="60">
        <v>1209801.6000000001</v>
      </c>
      <c r="N29" s="61">
        <v>1110093.6000000001</v>
      </c>
      <c r="O29" s="60">
        <v>1091279.7009999999</v>
      </c>
      <c r="P29" s="42">
        <f t="shared" si="0"/>
        <v>15372216.300999999</v>
      </c>
      <c r="Q29" s="82">
        <f t="shared" si="1"/>
        <v>6000000</v>
      </c>
      <c r="R29" s="82">
        <f>R$11*12-SUM($Q29:Q29)-SUMPRODUCT(--($D29:$O29&lt;=R$11),R$11-$D29:$O29)</f>
        <v>9372216.300999999</v>
      </c>
      <c r="S29" s="82">
        <f>S$11*12-SUM($Q29:R29)-SUMPRODUCT(--($D29:$O29&lt;=S$11),S$11-$D29:$O29)</f>
        <v>0</v>
      </c>
      <c r="V29" s="1">
        <v>15</v>
      </c>
      <c r="W29" s="15">
        <f t="shared" si="2"/>
        <v>794505.87338852999</v>
      </c>
      <c r="X29" s="15"/>
      <c r="Y29" s="15">
        <f t="shared" si="3"/>
        <v>809248.31238544988</v>
      </c>
      <c r="Z29" s="15">
        <f t="shared" si="6"/>
        <v>806608.75777728995</v>
      </c>
      <c r="AB29" s="15">
        <f t="shared" si="5"/>
        <v>915479.87097531988</v>
      </c>
    </row>
    <row r="30" spans="1:28" ht="15" x14ac:dyDescent="0.25">
      <c r="A30" s="1">
        <v>16</v>
      </c>
      <c r="B30" s="4"/>
      <c r="C30" s="83"/>
      <c r="D30" s="59">
        <v>2358092.7999999998</v>
      </c>
      <c r="E30" s="59">
        <v>2190658.4</v>
      </c>
      <c r="F30" s="59">
        <v>2360405.6</v>
      </c>
      <c r="G30" s="59">
        <v>2160110.4</v>
      </c>
      <c r="H30" s="59">
        <v>1789183.2</v>
      </c>
      <c r="I30" s="59">
        <v>2045484</v>
      </c>
      <c r="J30" s="58">
        <v>1923790.4</v>
      </c>
      <c r="K30" s="58">
        <v>1989926.4</v>
      </c>
      <c r="L30" s="58">
        <v>1954489.6</v>
      </c>
      <c r="M30" s="60">
        <v>2159164</v>
      </c>
      <c r="N30" s="60">
        <v>2107380.7999999998</v>
      </c>
      <c r="O30" s="60">
        <v>2255610</v>
      </c>
      <c r="P30" s="42">
        <f t="shared" si="0"/>
        <v>25294295.600000001</v>
      </c>
      <c r="Q30" s="82">
        <f t="shared" si="1"/>
        <v>6000000</v>
      </c>
      <c r="R30" s="82">
        <f>R$11*12-SUM($Q30:Q30)-SUMPRODUCT(--($D30:$O30&lt;=R$11),R$11-$D30:$O30)</f>
        <v>19294295.599999994</v>
      </c>
      <c r="S30" s="82">
        <f>S$11*12-SUM($Q30:R30)-SUMPRODUCT(--($D30:$O30&lt;=S$11),S$11-$D30:$O30)</f>
        <v>0</v>
      </c>
      <c r="V30" s="1">
        <v>16</v>
      </c>
      <c r="W30" s="15">
        <f t="shared" si="2"/>
        <v>1285946.4610679997</v>
      </c>
      <c r="X30" s="15"/>
      <c r="Y30" s="15">
        <f t="shared" si="3"/>
        <v>1309817.2130199997</v>
      </c>
      <c r="Z30" s="15">
        <f t="shared" si="6"/>
        <v>1305590.1257239997</v>
      </c>
      <c r="AB30" s="15">
        <f t="shared" si="5"/>
        <v>1504057.6149919997</v>
      </c>
    </row>
    <row r="31" spans="1:28" ht="15" x14ac:dyDescent="0.25">
      <c r="A31" s="1">
        <v>17</v>
      </c>
      <c r="B31" s="4"/>
      <c r="C31" s="83"/>
      <c r="D31" s="59">
        <v>2503933.6</v>
      </c>
      <c r="E31" s="59">
        <v>2509035.2000000002</v>
      </c>
      <c r="F31" s="59">
        <v>2568546.4</v>
      </c>
      <c r="G31" s="59">
        <v>2359705.6000000001</v>
      </c>
      <c r="H31" s="59">
        <v>2259538.4</v>
      </c>
      <c r="I31" s="59">
        <v>2136456</v>
      </c>
      <c r="J31" s="58">
        <v>2168320</v>
      </c>
      <c r="K31" s="58">
        <v>2295686.4</v>
      </c>
      <c r="L31" s="59">
        <v>2237127.2000000002</v>
      </c>
      <c r="M31" s="60">
        <v>2436683.2000000002</v>
      </c>
      <c r="N31" s="60">
        <v>2370692.7999999998</v>
      </c>
      <c r="O31" s="61">
        <v>2555655.2000000002</v>
      </c>
      <c r="P31" s="42">
        <f t="shared" si="0"/>
        <v>28401380</v>
      </c>
      <c r="Q31" s="82">
        <f t="shared" si="1"/>
        <v>6000000</v>
      </c>
      <c r="R31" s="82">
        <f>R$11*12-SUM($Q31:Q31)-SUMPRODUCT(--($D31:$O31&lt;=R$11),R$11-$D31:$O31)</f>
        <v>22401380</v>
      </c>
      <c r="S31" s="82">
        <f>S$11*12-SUM($Q31:R31)-SUMPRODUCT(--($D31:$O31&lt;=S$11),S$11-$D31:$O31)</f>
        <v>0</v>
      </c>
      <c r="V31" s="1">
        <v>17</v>
      </c>
      <c r="W31" s="15">
        <f t="shared" si="2"/>
        <v>1439840.3514</v>
      </c>
      <c r="X31" s="15"/>
      <c r="Y31" s="15">
        <f t="shared" si="3"/>
        <v>1466569.621</v>
      </c>
      <c r="Z31" s="15">
        <f t="shared" si="6"/>
        <v>1461845.4002</v>
      </c>
      <c r="AB31" s="15">
        <f t="shared" si="5"/>
        <v>1688369.8615999999</v>
      </c>
    </row>
    <row r="32" spans="1:28" ht="15" x14ac:dyDescent="0.25">
      <c r="A32" s="1">
        <v>18</v>
      </c>
      <c r="B32" s="4"/>
      <c r="C32" s="83"/>
      <c r="D32" s="59">
        <v>4357473</v>
      </c>
      <c r="E32" s="59">
        <v>3896860</v>
      </c>
      <c r="F32" s="59">
        <v>3695622</v>
      </c>
      <c r="G32" s="59">
        <v>3595240</v>
      </c>
      <c r="H32" s="59">
        <v>4259323</v>
      </c>
      <c r="I32" s="59">
        <v>4201313</v>
      </c>
      <c r="J32" s="58">
        <v>5094661.29</v>
      </c>
      <c r="K32" s="58">
        <v>5131098.29</v>
      </c>
      <c r="L32" s="58">
        <v>4086204.3</v>
      </c>
      <c r="M32" s="60">
        <v>3815254.08</v>
      </c>
      <c r="N32" s="60">
        <v>3722507</v>
      </c>
      <c r="O32" s="61">
        <v>3968524.87</v>
      </c>
      <c r="P32" s="42">
        <f t="shared" si="0"/>
        <v>49824080.829999991</v>
      </c>
      <c r="Q32" s="82">
        <f t="shared" si="1"/>
        <v>6000000</v>
      </c>
      <c r="R32" s="82">
        <f>R$11*12-SUM($Q32:Q32)-SUMPRODUCT(--($D32:$O32&lt;=R$11),R$11-$D32:$O32)</f>
        <v>43824080.829999998</v>
      </c>
      <c r="S32" s="82">
        <f>S$11*12-SUM($Q32:R32)-SUMPRODUCT(--($D32:$O32&lt;=S$11),S$11-$D32:$O32)</f>
        <v>0</v>
      </c>
      <c r="V32" s="1">
        <v>18</v>
      </c>
      <c r="W32" s="15">
        <f t="shared" si="2"/>
        <v>2500906.7235099003</v>
      </c>
      <c r="X32" s="15"/>
      <c r="Y32" s="15">
        <f t="shared" si="3"/>
        <v>2547344.8778734999</v>
      </c>
      <c r="Z32" s="15">
        <f t="shared" si="6"/>
        <v>2539193.0249406998</v>
      </c>
      <c r="AB32" s="15">
        <f t="shared" si="5"/>
        <v>2959164.4748355998</v>
      </c>
    </row>
    <row r="33" spans="1:28" ht="15" x14ac:dyDescent="0.25">
      <c r="A33" s="1">
        <v>19</v>
      </c>
      <c r="B33" s="4"/>
      <c r="C33" s="83"/>
      <c r="D33" s="59">
        <v>3294921</v>
      </c>
      <c r="E33" s="59">
        <v>2997090.6</v>
      </c>
      <c r="F33" s="59">
        <v>3210345.6</v>
      </c>
      <c r="G33" s="59">
        <v>3063408.6</v>
      </c>
      <c r="H33" s="59">
        <v>2906194.2</v>
      </c>
      <c r="I33" s="59">
        <v>2811337.2</v>
      </c>
      <c r="J33" s="58">
        <v>2954351.4</v>
      </c>
      <c r="K33" s="58">
        <v>2975448</v>
      </c>
      <c r="L33" s="58">
        <v>2907105.6</v>
      </c>
      <c r="M33" s="60">
        <v>3094039.2</v>
      </c>
      <c r="N33" s="60">
        <v>3162175.8</v>
      </c>
      <c r="O33" s="60">
        <v>3309637.8</v>
      </c>
      <c r="P33" s="42">
        <f t="shared" si="0"/>
        <v>36686055</v>
      </c>
      <c r="Q33" s="82">
        <f t="shared" si="1"/>
        <v>6000000</v>
      </c>
      <c r="R33" s="82">
        <f>R$11*12-SUM($Q33:Q33)-SUMPRODUCT(--($D33:$O33&lt;=R$11),R$11-$D33:$O33)</f>
        <v>30686055</v>
      </c>
      <c r="S33" s="82">
        <f>S$11*12-SUM($Q33:R33)-SUMPRODUCT(--($D33:$O33&lt;=S$11),S$11-$D33:$O33)</f>
        <v>0</v>
      </c>
      <c r="V33" s="1">
        <v>19</v>
      </c>
      <c r="W33" s="15">
        <f t="shared" si="2"/>
        <v>1850180.3041500002</v>
      </c>
      <c r="X33" s="15"/>
      <c r="Y33" s="15">
        <f t="shared" si="3"/>
        <v>1884531.4747500001</v>
      </c>
      <c r="Z33" s="15">
        <f t="shared" si="6"/>
        <v>1878481.7059500001</v>
      </c>
      <c r="AB33" s="15">
        <f t="shared" si="5"/>
        <v>2179816.7826</v>
      </c>
    </row>
    <row r="34" spans="1:28" ht="15" x14ac:dyDescent="0.25">
      <c r="A34" s="1">
        <v>20</v>
      </c>
      <c r="B34" s="4"/>
      <c r="C34" s="83"/>
      <c r="D34" s="56">
        <v>2586936</v>
      </c>
      <c r="E34" s="56">
        <v>2474712</v>
      </c>
      <c r="F34" s="56">
        <v>2788048</v>
      </c>
      <c r="G34" s="56">
        <v>2708744</v>
      </c>
      <c r="H34" s="56">
        <v>2555544</v>
      </c>
      <c r="I34" s="56">
        <v>2409704</v>
      </c>
      <c r="J34" s="56">
        <v>2499608</v>
      </c>
      <c r="K34" s="56">
        <v>2613272</v>
      </c>
      <c r="L34" s="56">
        <v>2564312</v>
      </c>
      <c r="M34" s="57">
        <v>2750072</v>
      </c>
      <c r="N34" s="57">
        <v>2713584</v>
      </c>
      <c r="O34" s="57">
        <v>2854344.4240000001</v>
      </c>
      <c r="P34" s="42">
        <f t="shared" si="0"/>
        <v>31518880.423999999</v>
      </c>
      <c r="Q34" s="82">
        <f t="shared" si="1"/>
        <v>6000000</v>
      </c>
      <c r="R34" s="82">
        <f>R$11*12-SUM($Q34:Q34)-SUMPRODUCT(--($D34:$O34&lt;=R$11),R$11-$D34:$O34)</f>
        <v>25518880.424000002</v>
      </c>
      <c r="S34" s="82">
        <f>S$11*12-SUM($Q34:R34)-SUMPRODUCT(--($D34:$O34&lt;=S$11),S$11-$D34:$O34)</f>
        <v>0</v>
      </c>
      <c r="V34" s="1">
        <v>20</v>
      </c>
      <c r="W34" s="15">
        <f t="shared" si="2"/>
        <v>1594250.1474007203</v>
      </c>
      <c r="X34" s="15"/>
      <c r="Y34" s="15">
        <f t="shared" si="3"/>
        <v>1623847.5173908002</v>
      </c>
      <c r="Z34" s="15">
        <f t="shared" si="6"/>
        <v>1618624.4965229603</v>
      </c>
      <c r="AB34" s="15">
        <f t="shared" si="5"/>
        <v>1873299.98675168</v>
      </c>
    </row>
    <row r="35" spans="1:28" ht="15" x14ac:dyDescent="0.25">
      <c r="A35" s="1">
        <v>21</v>
      </c>
      <c r="B35" s="4"/>
      <c r="C35" s="83"/>
      <c r="D35" s="56">
        <v>2369852.7999999998</v>
      </c>
      <c r="E35" s="56">
        <v>2230491.2000000002</v>
      </c>
      <c r="F35" s="56">
        <v>2259040</v>
      </c>
      <c r="G35" s="56">
        <v>2340637.6</v>
      </c>
      <c r="H35" s="56">
        <v>2228816.7999999998</v>
      </c>
      <c r="I35" s="56">
        <v>2189023.2000000002</v>
      </c>
      <c r="J35" s="56">
        <v>3213347.2</v>
      </c>
      <c r="K35" s="56">
        <v>3415423.2</v>
      </c>
      <c r="L35" s="56">
        <v>2857607.2</v>
      </c>
      <c r="M35" s="56">
        <v>2567745.6</v>
      </c>
      <c r="N35" s="56">
        <v>2208488.7999999998</v>
      </c>
      <c r="O35" s="56">
        <v>2141949.6</v>
      </c>
      <c r="P35" s="42">
        <f t="shared" si="0"/>
        <v>30022423.199999999</v>
      </c>
      <c r="Q35" s="82">
        <f t="shared" si="1"/>
        <v>6000000</v>
      </c>
      <c r="R35" s="82">
        <f>R$11*12-SUM($Q35:Q35)-SUMPRODUCT(--($D35:$O35&lt;=R$11),R$11-$D35:$O35)</f>
        <v>24022423.199999996</v>
      </c>
      <c r="S35" s="82">
        <f>S$11*12-SUM($Q35:R35)-SUMPRODUCT(--($D35:$O35&lt;=S$11),S$11-$D35:$O35)</f>
        <v>0</v>
      </c>
      <c r="V35" s="1">
        <v>21</v>
      </c>
      <c r="W35" s="15">
        <f t="shared" si="2"/>
        <v>1520130.6210959998</v>
      </c>
      <c r="X35" s="15"/>
      <c r="Y35" s="15">
        <f t="shared" si="3"/>
        <v>1548351.2504399999</v>
      </c>
      <c r="Z35" s="15">
        <f t="shared" si="6"/>
        <v>1543367.6627279997</v>
      </c>
      <c r="AB35" s="15">
        <f t="shared" si="5"/>
        <v>1784530.1442239997</v>
      </c>
    </row>
    <row r="36" spans="1:28" ht="15.75" thickBot="1" x14ac:dyDescent="0.3">
      <c r="B36" s="1" t="s">
        <v>6</v>
      </c>
      <c r="D36" s="74">
        <f t="shared" ref="D36:O36" si="7">SUM(D13:D35)</f>
        <v>93238368.5</v>
      </c>
      <c r="E36" s="74">
        <f t="shared" si="7"/>
        <v>87059587.700000018</v>
      </c>
      <c r="F36" s="74">
        <f t="shared" si="7"/>
        <v>95150558.299999967</v>
      </c>
      <c r="G36" s="74">
        <f t="shared" si="7"/>
        <v>92496437</v>
      </c>
      <c r="H36" s="74">
        <f t="shared" si="7"/>
        <v>94067376.899999991</v>
      </c>
      <c r="I36" s="74">
        <f t="shared" si="7"/>
        <v>91430986</v>
      </c>
      <c r="J36" s="74">
        <f t="shared" si="7"/>
        <v>95462593.190000027</v>
      </c>
      <c r="K36" s="74">
        <f t="shared" si="7"/>
        <v>98727948.690000027</v>
      </c>
      <c r="L36" s="74">
        <f t="shared" si="7"/>
        <v>89411353.70099999</v>
      </c>
      <c r="M36" s="74">
        <f t="shared" si="7"/>
        <v>95120660.879999995</v>
      </c>
      <c r="N36" s="74">
        <f t="shared" si="7"/>
        <v>88922599.899999976</v>
      </c>
      <c r="O36" s="74">
        <f t="shared" si="7"/>
        <v>92475540.936999992</v>
      </c>
      <c r="P36" s="81">
        <f>IF(ROUND(SUM(P13:P35),0)&lt;&gt;ROUND(SUM(D36:O36),0),#VALUE!,SUM(P13:P35))</f>
        <v>1113564011.698</v>
      </c>
      <c r="Q36" s="80">
        <f>SUM(Q13:Q35)</f>
        <v>138000000</v>
      </c>
      <c r="R36" s="80">
        <f>SUM(R13:R35)</f>
        <v>561355022.898</v>
      </c>
      <c r="S36" s="80">
        <f>SUM(S13:S35)</f>
        <v>414208988.79999995</v>
      </c>
      <c r="W36" s="15">
        <f>$Q36*W$3+$R36*W$4+$S36*W$5-SUM(W13:W35)</f>
        <v>0</v>
      </c>
      <c r="X36" s="15"/>
      <c r="Y36" s="15">
        <f>$Q36*Y$3+$R36*Y$4+$S36*Y$5-SUM(Y13:Y35)</f>
        <v>0</v>
      </c>
      <c r="Z36" s="15"/>
      <c r="AA36" s="15"/>
      <c r="AB36" s="15"/>
    </row>
    <row r="37" spans="1:28" ht="13.5" thickTop="1" x14ac:dyDescent="0.2">
      <c r="D37" s="16"/>
      <c r="E37" s="16"/>
      <c r="F37" s="16"/>
      <c r="G37" s="16"/>
      <c r="H37" s="16"/>
      <c r="I37" s="16"/>
      <c r="J37" s="16"/>
      <c r="K37" s="16"/>
      <c r="L37" s="16"/>
      <c r="Q37" s="18"/>
      <c r="R37" s="18"/>
      <c r="S37" s="79">
        <f>SUM(Q36:S36)</f>
        <v>1113564011.698</v>
      </c>
    </row>
    <row r="38" spans="1:28" ht="12.75" customHeight="1" x14ac:dyDescent="0.2">
      <c r="B38" s="1" t="s">
        <v>35</v>
      </c>
      <c r="D38" s="59">
        <v>85895739.5</v>
      </c>
      <c r="E38" s="59">
        <v>82389792.700000003</v>
      </c>
      <c r="F38" s="59">
        <v>59452404.5</v>
      </c>
      <c r="G38" s="59">
        <v>91719050</v>
      </c>
      <c r="H38" s="59">
        <v>50375927.600000001</v>
      </c>
      <c r="I38" s="59">
        <v>94067376.900000006</v>
      </c>
      <c r="J38" s="59">
        <v>91430986</v>
      </c>
      <c r="K38" s="59">
        <v>95462593.189999998</v>
      </c>
      <c r="L38" s="59">
        <v>98727948.689999998</v>
      </c>
      <c r="M38" s="59">
        <v>89411353.701000005</v>
      </c>
      <c r="N38" s="59">
        <v>95120660.879999995</v>
      </c>
      <c r="O38" s="59">
        <v>88922599.900000006</v>
      </c>
      <c r="P38" s="42">
        <f t="shared" ref="P38:P44" si="8">SUM(D38:O38)</f>
        <v>1022976433.5610001</v>
      </c>
    </row>
    <row r="39" spans="1:28" ht="12.75" customHeight="1" x14ac:dyDescent="0.2">
      <c r="B39" s="78" t="s">
        <v>34</v>
      </c>
      <c r="D39" s="59">
        <v>-2136242</v>
      </c>
      <c r="E39" s="59">
        <v>-11830759</v>
      </c>
      <c r="F39" s="59">
        <v>-16075679</v>
      </c>
      <c r="G39" s="59">
        <v>-45932134</v>
      </c>
      <c r="H39" s="59">
        <v>-49900218</v>
      </c>
      <c r="I39" s="59">
        <v>-92404792</v>
      </c>
      <c r="J39" s="59">
        <v>-94046228</v>
      </c>
      <c r="K39" s="59">
        <v>-95141639</v>
      </c>
      <c r="L39" s="59">
        <v>-98894442</v>
      </c>
      <c r="M39" s="59">
        <v>-89933574</v>
      </c>
      <c r="N39" s="59">
        <v>-95301943</v>
      </c>
      <c r="O39" s="59">
        <v>-87801605</v>
      </c>
      <c r="P39" s="42">
        <f t="shared" si="8"/>
        <v>-779399255</v>
      </c>
    </row>
    <row r="40" spans="1:28" ht="12.75" customHeight="1" x14ac:dyDescent="0.2">
      <c r="B40" s="78" t="s">
        <v>33</v>
      </c>
      <c r="D40" s="59">
        <v>11830759</v>
      </c>
      <c r="E40" s="59">
        <v>16075679</v>
      </c>
      <c r="F40" s="59">
        <v>45932134</v>
      </c>
      <c r="G40" s="59">
        <v>49900218</v>
      </c>
      <c r="H40" s="59">
        <v>92404792</v>
      </c>
      <c r="I40" s="59">
        <v>94046228</v>
      </c>
      <c r="J40" s="59">
        <v>95141639</v>
      </c>
      <c r="K40" s="59">
        <v>98894442</v>
      </c>
      <c r="L40" s="59">
        <v>89933574</v>
      </c>
      <c r="M40" s="59">
        <v>95301943</v>
      </c>
      <c r="N40" s="59">
        <v>87801605</v>
      </c>
      <c r="O40" s="59">
        <v>92515285</v>
      </c>
      <c r="P40" s="42">
        <f t="shared" si="8"/>
        <v>869778298</v>
      </c>
    </row>
    <row r="41" spans="1:28" ht="12.75" customHeight="1" x14ac:dyDescent="0.2">
      <c r="B41" s="77" t="s">
        <v>32</v>
      </c>
      <c r="D41" s="59">
        <v>0</v>
      </c>
      <c r="E41" s="59">
        <v>424875</v>
      </c>
      <c r="F41" s="59">
        <v>6266574</v>
      </c>
      <c r="G41" s="59">
        <v>3075877</v>
      </c>
      <c r="H41" s="59">
        <v>4262752</v>
      </c>
      <c r="I41" s="59">
        <v>-15075</v>
      </c>
      <c r="J41" s="59">
        <v>2921121</v>
      </c>
      <c r="K41" s="59">
        <v>2433674</v>
      </c>
      <c r="L41" s="59">
        <v>2077947</v>
      </c>
      <c r="M41" s="59">
        <v>2418885</v>
      </c>
      <c r="N41" s="59">
        <v>3721162</v>
      </c>
      <c r="O41" s="59">
        <v>2560423</v>
      </c>
      <c r="P41" s="42">
        <f t="shared" si="8"/>
        <v>30148215</v>
      </c>
    </row>
    <row r="42" spans="1:28" ht="12.75" customHeight="1" x14ac:dyDescent="0.2">
      <c r="B42" s="77" t="s">
        <v>31</v>
      </c>
      <c r="D42" s="59">
        <v>-2351888</v>
      </c>
      <c r="E42" s="59">
        <v>0</v>
      </c>
      <c r="F42" s="59">
        <v>-424875</v>
      </c>
      <c r="G42" s="59">
        <v>-6266574</v>
      </c>
      <c r="H42" s="59">
        <v>-3075877</v>
      </c>
      <c r="I42" s="59">
        <v>-4262752</v>
      </c>
      <c r="J42" s="59">
        <v>15075</v>
      </c>
      <c r="K42" s="59">
        <v>-2921121</v>
      </c>
      <c r="L42" s="59">
        <v>-2433674</v>
      </c>
      <c r="M42" s="59">
        <v>-2077947</v>
      </c>
      <c r="N42" s="59">
        <v>-2418885</v>
      </c>
      <c r="O42" s="59">
        <v>-3721162</v>
      </c>
      <c r="P42" s="42">
        <f t="shared" si="8"/>
        <v>-29939680</v>
      </c>
    </row>
    <row r="43" spans="1:28" ht="12.75" customHeight="1" x14ac:dyDescent="0.2">
      <c r="B43" s="77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42">
        <f t="shared" si="8"/>
        <v>0</v>
      </c>
    </row>
    <row r="44" spans="1:28" ht="12.75" customHeight="1" x14ac:dyDescent="0.2">
      <c r="B44" s="76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42">
        <f t="shared" si="8"/>
        <v>0</v>
      </c>
    </row>
    <row r="45" spans="1:28" ht="12.75" customHeight="1" thickBot="1" x14ac:dyDescent="0.25">
      <c r="B45" s="72" t="s">
        <v>30</v>
      </c>
      <c r="D45" s="74">
        <f t="shared" ref="D45:O45" si="9">SUM(D38:D44)</f>
        <v>93238368.5</v>
      </c>
      <c r="E45" s="74">
        <f t="shared" si="9"/>
        <v>87059587.700000003</v>
      </c>
      <c r="F45" s="74">
        <f t="shared" si="9"/>
        <v>95150558.5</v>
      </c>
      <c r="G45" s="74">
        <f t="shared" si="9"/>
        <v>92496437</v>
      </c>
      <c r="H45" s="74">
        <f t="shared" si="9"/>
        <v>94067376.599999994</v>
      </c>
      <c r="I45" s="74">
        <f t="shared" si="9"/>
        <v>91430985.900000006</v>
      </c>
      <c r="J45" s="74">
        <f t="shared" si="9"/>
        <v>95462593</v>
      </c>
      <c r="K45" s="74">
        <f t="shared" si="9"/>
        <v>98727949.189999998</v>
      </c>
      <c r="L45" s="74">
        <f t="shared" si="9"/>
        <v>89411353.689999998</v>
      </c>
      <c r="M45" s="74">
        <f t="shared" si="9"/>
        <v>95120660.701000005</v>
      </c>
      <c r="N45" s="74">
        <f t="shared" si="9"/>
        <v>88922599.879999995</v>
      </c>
      <c r="O45" s="74">
        <f t="shared" si="9"/>
        <v>92475540.900000006</v>
      </c>
      <c r="P45" s="73">
        <f>IF(ROUND(SUM(P38:P44),0)&lt;&gt;ROUND(SUM(D45:O45),0),#VALUE!,SUM(P38:P44))</f>
        <v>1113564011.5610001</v>
      </c>
    </row>
    <row r="46" spans="1:28" ht="12.75" customHeight="1" thickTop="1" x14ac:dyDescent="0.2">
      <c r="B46" s="72"/>
      <c r="D46" s="71">
        <f t="shared" ref="D46:P46" si="10">D45-D36</f>
        <v>0</v>
      </c>
      <c r="E46" s="71">
        <f t="shared" si="10"/>
        <v>0</v>
      </c>
      <c r="F46" s="71">
        <f t="shared" si="10"/>
        <v>0.20000003278255463</v>
      </c>
      <c r="G46" s="71">
        <f t="shared" si="10"/>
        <v>0</v>
      </c>
      <c r="H46" s="71">
        <f t="shared" si="10"/>
        <v>-0.29999999701976776</v>
      </c>
      <c r="I46" s="71">
        <f t="shared" si="10"/>
        <v>-9.9999994039535522E-2</v>
      </c>
      <c r="J46" s="71">
        <f t="shared" si="10"/>
        <v>-0.1900000274181366</v>
      </c>
      <c r="K46" s="71">
        <f t="shared" si="10"/>
        <v>0.49999997019767761</v>
      </c>
      <c r="L46" s="71">
        <f t="shared" si="10"/>
        <v>-1.0999992489814758E-2</v>
      </c>
      <c r="M46" s="70">
        <f t="shared" si="10"/>
        <v>-0.17899999022483826</v>
      </c>
      <c r="N46" s="70">
        <f t="shared" si="10"/>
        <v>-1.9999980926513672E-2</v>
      </c>
      <c r="O46" s="70">
        <f t="shared" si="10"/>
        <v>-3.6999985575675964E-2</v>
      </c>
      <c r="P46" s="70">
        <f t="shared" si="10"/>
        <v>-0.13699984550476074</v>
      </c>
    </row>
    <row r="47" spans="1:28" x14ac:dyDescent="0.2">
      <c r="B47" s="66"/>
      <c r="C47" s="66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8"/>
    </row>
    <row r="48" spans="1:28" x14ac:dyDescent="0.2">
      <c r="B48" s="66"/>
      <c r="C48" s="66"/>
      <c r="D48" s="67"/>
      <c r="E48" s="67"/>
      <c r="F48" s="67"/>
      <c r="G48" s="67"/>
      <c r="H48" s="67"/>
      <c r="I48" s="67"/>
      <c r="J48" s="67"/>
      <c r="K48" s="67"/>
      <c r="L48" s="67"/>
      <c r="M48" s="66"/>
      <c r="N48" s="66"/>
      <c r="O48" s="65"/>
    </row>
    <row r="49" spans="1:28" x14ac:dyDescent="0.2">
      <c r="B49" s="17" t="s">
        <v>29</v>
      </c>
      <c r="D49" s="47">
        <f t="shared" ref="D49:O49" si="11">D$12</f>
        <v>43101</v>
      </c>
      <c r="E49" s="47">
        <f t="shared" si="11"/>
        <v>43132</v>
      </c>
      <c r="F49" s="47">
        <f t="shared" si="11"/>
        <v>43160</v>
      </c>
      <c r="G49" s="47">
        <f t="shared" si="11"/>
        <v>43191</v>
      </c>
      <c r="H49" s="47">
        <f t="shared" si="11"/>
        <v>43221</v>
      </c>
      <c r="I49" s="47">
        <f t="shared" si="11"/>
        <v>43252</v>
      </c>
      <c r="J49" s="47">
        <f t="shared" si="11"/>
        <v>43282</v>
      </c>
      <c r="K49" s="47">
        <f t="shared" si="11"/>
        <v>43313</v>
      </c>
      <c r="L49" s="47">
        <f t="shared" si="11"/>
        <v>43344</v>
      </c>
      <c r="M49" s="7">
        <f t="shared" si="11"/>
        <v>43374</v>
      </c>
      <c r="N49" s="7">
        <f t="shared" si="11"/>
        <v>43405</v>
      </c>
      <c r="O49" s="7">
        <f t="shared" si="11"/>
        <v>43435</v>
      </c>
      <c r="P49" s="6" t="s">
        <v>15</v>
      </c>
      <c r="Q49" s="64" t="s">
        <v>28</v>
      </c>
      <c r="R49" s="64" t="s">
        <v>27</v>
      </c>
      <c r="S49" s="64"/>
    </row>
    <row r="50" spans="1:28" x14ac:dyDescent="0.2">
      <c r="A50" s="1">
        <v>1</v>
      </c>
      <c r="B50" s="12"/>
      <c r="C50" s="11"/>
      <c r="D50" s="60">
        <v>9397.4339999999993</v>
      </c>
      <c r="E50" s="60">
        <v>10808.555</v>
      </c>
      <c r="F50" s="60">
        <v>10876.92</v>
      </c>
      <c r="G50" s="59">
        <v>12189.222</v>
      </c>
      <c r="H50" s="59">
        <v>10398.216</v>
      </c>
      <c r="I50" s="59">
        <v>11271.489</v>
      </c>
      <c r="J50" s="59">
        <v>10980.262000000001</v>
      </c>
      <c r="K50" s="59">
        <v>11527.986000000001</v>
      </c>
      <c r="L50" s="59">
        <v>10716.938</v>
      </c>
      <c r="M50" s="59">
        <v>11924.82</v>
      </c>
      <c r="N50" s="59">
        <v>10440.25</v>
      </c>
      <c r="O50" s="59">
        <v>10616.861999999999</v>
      </c>
      <c r="P50" s="42">
        <f t="shared" ref="P50:P72" si="12">SUM(D50:O50)</f>
        <v>131148.954</v>
      </c>
      <c r="Q50" s="9">
        <f t="shared" ref="Q50:Q72" si="13">MAX(D50:O50)</f>
        <v>12189.222</v>
      </c>
      <c r="R50" s="55">
        <f t="shared" ref="R50:R72" si="14">INDEX($D$49:$O$49,MATCH(Q50,$D50:$O50,0))</f>
        <v>43191</v>
      </c>
      <c r="S50" s="6"/>
      <c r="V50" s="1">
        <v>1</v>
      </c>
      <c r="W50" s="54">
        <f t="shared" ref="W50:W72" si="15">$W$7*12</f>
        <v>288000</v>
      </c>
      <c r="Y50" s="54">
        <f t="shared" ref="Y50:Y72" si="16">$Y$7*12</f>
        <v>318000</v>
      </c>
      <c r="Z50" s="54">
        <f t="shared" ref="Z50:Z59" si="17">$Z$7*12</f>
        <v>318000</v>
      </c>
      <c r="AB50" s="54">
        <f t="shared" ref="AB50:AB72" si="18">$Y$7*12</f>
        <v>318000</v>
      </c>
    </row>
    <row r="51" spans="1:28" x14ac:dyDescent="0.2">
      <c r="A51" s="1">
        <v>22</v>
      </c>
      <c r="B51" s="12"/>
      <c r="C51" s="11"/>
      <c r="D51" s="60">
        <v>2039</v>
      </c>
      <c r="E51" s="60">
        <v>2084</v>
      </c>
      <c r="F51" s="60">
        <v>2418.837</v>
      </c>
      <c r="G51" s="59">
        <v>2431.6640000000002</v>
      </c>
      <c r="H51" s="59">
        <v>2296.9009999999998</v>
      </c>
      <c r="I51" s="59">
        <v>2265.1979999999999</v>
      </c>
      <c r="J51" s="59">
        <v>2143.4180000000001</v>
      </c>
      <c r="K51" s="59">
        <v>2308.64</v>
      </c>
      <c r="L51" s="59">
        <v>2129.444</v>
      </c>
      <c r="M51" s="59">
        <v>2274.5100000000002</v>
      </c>
      <c r="N51" s="59">
        <v>2130.739</v>
      </c>
      <c r="O51" s="59">
        <v>2258.7649999999999</v>
      </c>
      <c r="P51" s="42">
        <f t="shared" si="12"/>
        <v>26781.116000000002</v>
      </c>
      <c r="Q51" s="9">
        <f t="shared" si="13"/>
        <v>2431.6640000000002</v>
      </c>
      <c r="R51" s="55">
        <f t="shared" si="14"/>
        <v>43191</v>
      </c>
      <c r="S51" s="6"/>
      <c r="V51" s="1">
        <v>22</v>
      </c>
      <c r="W51" s="54">
        <f t="shared" si="15"/>
        <v>288000</v>
      </c>
      <c r="Y51" s="54">
        <f t="shared" si="16"/>
        <v>318000</v>
      </c>
      <c r="Z51" s="54">
        <f t="shared" si="17"/>
        <v>318000</v>
      </c>
      <c r="AB51" s="54">
        <f t="shared" si="18"/>
        <v>318000</v>
      </c>
    </row>
    <row r="52" spans="1:28" x14ac:dyDescent="0.2">
      <c r="A52" s="1">
        <v>23</v>
      </c>
      <c r="B52" s="12"/>
      <c r="C52" s="11"/>
      <c r="D52" s="60">
        <v>4001.76</v>
      </c>
      <c r="E52" s="60">
        <v>3968.2510000000002</v>
      </c>
      <c r="F52" s="60">
        <v>3931.9270000000001</v>
      </c>
      <c r="G52" s="59">
        <v>3862.1370000000002</v>
      </c>
      <c r="H52" s="59">
        <v>3778.404</v>
      </c>
      <c r="I52" s="59">
        <v>3829.9029999999998</v>
      </c>
      <c r="J52" s="59">
        <v>3654.6179999999999</v>
      </c>
      <c r="K52" s="59">
        <v>3595.9949999999999</v>
      </c>
      <c r="L52" s="59">
        <v>3626.6219999999998</v>
      </c>
      <c r="M52" s="59">
        <v>3622.5039999999999</v>
      </c>
      <c r="N52" s="59">
        <v>3699.8539999999998</v>
      </c>
      <c r="O52" s="59">
        <v>3744.723</v>
      </c>
      <c r="P52" s="42">
        <f t="shared" si="12"/>
        <v>45316.697999999997</v>
      </c>
      <c r="Q52" s="9">
        <f t="shared" si="13"/>
        <v>4001.76</v>
      </c>
      <c r="R52" s="55">
        <f t="shared" si="14"/>
        <v>43101</v>
      </c>
      <c r="S52" s="6"/>
      <c r="V52" s="1">
        <v>23</v>
      </c>
      <c r="W52" s="54">
        <f t="shared" si="15"/>
        <v>288000</v>
      </c>
      <c r="Y52" s="54">
        <f t="shared" si="16"/>
        <v>318000</v>
      </c>
      <c r="Z52" s="54">
        <f t="shared" si="17"/>
        <v>318000</v>
      </c>
      <c r="AB52" s="54">
        <f t="shared" si="18"/>
        <v>318000</v>
      </c>
    </row>
    <row r="53" spans="1:28" x14ac:dyDescent="0.2">
      <c r="A53" s="1">
        <v>2</v>
      </c>
      <c r="B53" s="63"/>
      <c r="C53" s="62"/>
      <c r="D53" s="61">
        <v>5106.8680000000004</v>
      </c>
      <c r="E53" s="61">
        <v>5228.8360000000002</v>
      </c>
      <c r="F53" s="61">
        <v>5152.5969999999998</v>
      </c>
      <c r="G53" s="59">
        <v>5015.616</v>
      </c>
      <c r="H53" s="59">
        <v>4996.5810000000001</v>
      </c>
      <c r="I53" s="59">
        <v>4970.7349999999997</v>
      </c>
      <c r="J53" s="59">
        <v>4928.08</v>
      </c>
      <c r="K53" s="59">
        <v>5016.8540000000003</v>
      </c>
      <c r="L53" s="59">
        <v>5010.1260000000002</v>
      </c>
      <c r="M53" s="59">
        <v>5221.1120000000001</v>
      </c>
      <c r="N53" s="59">
        <v>5144.9229999999998</v>
      </c>
      <c r="O53" s="59">
        <v>5190.3100000000004</v>
      </c>
      <c r="P53" s="42">
        <f t="shared" si="12"/>
        <v>60982.638000000006</v>
      </c>
      <c r="Q53" s="9">
        <f t="shared" si="13"/>
        <v>5228.8360000000002</v>
      </c>
      <c r="R53" s="55">
        <f t="shared" si="14"/>
        <v>43132</v>
      </c>
      <c r="S53" s="6"/>
      <c r="V53" s="1">
        <v>2</v>
      </c>
      <c r="W53" s="54">
        <f t="shared" si="15"/>
        <v>288000</v>
      </c>
      <c r="Y53" s="54">
        <f t="shared" si="16"/>
        <v>318000</v>
      </c>
      <c r="Z53" s="54">
        <f t="shared" si="17"/>
        <v>318000</v>
      </c>
      <c r="AB53" s="54">
        <f t="shared" si="18"/>
        <v>318000</v>
      </c>
    </row>
    <row r="54" spans="1:28" x14ac:dyDescent="0.2">
      <c r="A54" s="1">
        <v>3</v>
      </c>
      <c r="B54" s="63"/>
      <c r="C54" s="62"/>
      <c r="D54" s="61">
        <v>3044.835</v>
      </c>
      <c r="E54" s="61">
        <v>3165.7240000000002</v>
      </c>
      <c r="F54" s="61">
        <v>2936.1570000000002</v>
      </c>
      <c r="G54" s="59">
        <v>2832.7370000000001</v>
      </c>
      <c r="H54" s="59">
        <v>2790.268</v>
      </c>
      <c r="I54" s="59">
        <v>2642.027</v>
      </c>
      <c r="J54" s="59">
        <v>2697.375</v>
      </c>
      <c r="K54" s="59">
        <v>2738.0790000000002</v>
      </c>
      <c r="L54" s="59">
        <v>2684.6880000000001</v>
      </c>
      <c r="M54" s="59">
        <v>2751.567</v>
      </c>
      <c r="N54" s="59">
        <v>2958.556</v>
      </c>
      <c r="O54" s="59">
        <v>3120.7350000000001</v>
      </c>
      <c r="P54" s="42">
        <f t="shared" si="12"/>
        <v>34362.748</v>
      </c>
      <c r="Q54" s="9">
        <f t="shared" si="13"/>
        <v>3165.7240000000002</v>
      </c>
      <c r="R54" s="55">
        <f t="shared" si="14"/>
        <v>43132</v>
      </c>
      <c r="S54" s="6"/>
      <c r="V54" s="1">
        <v>3</v>
      </c>
      <c r="W54" s="54">
        <f t="shared" si="15"/>
        <v>288000</v>
      </c>
      <c r="Y54" s="54">
        <f t="shared" si="16"/>
        <v>318000</v>
      </c>
      <c r="Z54" s="54">
        <f t="shared" si="17"/>
        <v>318000</v>
      </c>
      <c r="AB54" s="54">
        <f t="shared" si="18"/>
        <v>318000</v>
      </c>
    </row>
    <row r="55" spans="1:28" x14ac:dyDescent="0.2">
      <c r="A55" s="1">
        <v>4</v>
      </c>
      <c r="B55" s="63"/>
      <c r="C55" s="62"/>
      <c r="D55" s="61">
        <v>2633.598</v>
      </c>
      <c r="E55" s="61">
        <v>2437.0320000000002</v>
      </c>
      <c r="F55" s="61">
        <v>2551.9549999999999</v>
      </c>
      <c r="G55" s="59">
        <v>2453.0300000000002</v>
      </c>
      <c r="H55" s="59">
        <v>2354.556</v>
      </c>
      <c r="I55" s="59">
        <v>2611.7449999999999</v>
      </c>
      <c r="J55" s="59">
        <v>2612.4029999999998</v>
      </c>
      <c r="K55" s="59">
        <v>2763.9859999999999</v>
      </c>
      <c r="L55" s="59">
        <v>2602.4960000000001</v>
      </c>
      <c r="M55" s="59">
        <v>2752.6959999999999</v>
      </c>
      <c r="N55" s="59">
        <v>2553.4960000000001</v>
      </c>
      <c r="O55" s="59">
        <v>2503.2179999999998</v>
      </c>
      <c r="P55" s="42">
        <f t="shared" si="12"/>
        <v>30830.210999999999</v>
      </c>
      <c r="Q55" s="9">
        <f t="shared" si="13"/>
        <v>2763.9859999999999</v>
      </c>
      <c r="R55" s="55">
        <f t="shared" si="14"/>
        <v>43313</v>
      </c>
      <c r="S55" s="6"/>
      <c r="V55" s="1">
        <v>4</v>
      </c>
      <c r="W55" s="54">
        <f t="shared" si="15"/>
        <v>288000</v>
      </c>
      <c r="Y55" s="54">
        <f t="shared" si="16"/>
        <v>318000</v>
      </c>
      <c r="Z55" s="54">
        <f t="shared" si="17"/>
        <v>318000</v>
      </c>
      <c r="AB55" s="54">
        <f t="shared" si="18"/>
        <v>318000</v>
      </c>
    </row>
    <row r="56" spans="1:28" x14ac:dyDescent="0.2">
      <c r="A56" s="1">
        <v>5</v>
      </c>
      <c r="B56" s="63"/>
      <c r="C56" s="62"/>
      <c r="D56" s="61">
        <v>2779.067</v>
      </c>
      <c r="E56" s="61">
        <v>2869.538</v>
      </c>
      <c r="F56" s="61">
        <v>2721.9920000000002</v>
      </c>
      <c r="G56" s="59">
        <v>3450.44</v>
      </c>
      <c r="H56" s="59">
        <v>3858.0239999999999</v>
      </c>
      <c r="I56" s="59">
        <v>3693.93</v>
      </c>
      <c r="J56" s="59">
        <v>3911.6970000000001</v>
      </c>
      <c r="K56" s="59">
        <v>3885</v>
      </c>
      <c r="L56" s="59">
        <v>3581.145</v>
      </c>
      <c r="M56" s="59">
        <v>3055.4209999999998</v>
      </c>
      <c r="N56" s="59">
        <v>2832.3609999999999</v>
      </c>
      <c r="O56" s="59">
        <v>2887.8719999999998</v>
      </c>
      <c r="P56" s="42">
        <f t="shared" si="12"/>
        <v>39526.487000000001</v>
      </c>
      <c r="Q56" s="9">
        <f t="shared" si="13"/>
        <v>3911.6970000000001</v>
      </c>
      <c r="R56" s="55">
        <f t="shared" si="14"/>
        <v>43282</v>
      </c>
      <c r="S56" s="6"/>
      <c r="V56" s="1">
        <v>5</v>
      </c>
      <c r="W56" s="54">
        <f t="shared" si="15"/>
        <v>288000</v>
      </c>
      <c r="Y56" s="54">
        <f t="shared" si="16"/>
        <v>318000</v>
      </c>
      <c r="Z56" s="54">
        <f t="shared" si="17"/>
        <v>318000</v>
      </c>
      <c r="AB56" s="54">
        <f t="shared" si="18"/>
        <v>318000</v>
      </c>
    </row>
    <row r="57" spans="1:28" x14ac:dyDescent="0.2">
      <c r="A57" s="1">
        <v>6</v>
      </c>
      <c r="B57" s="63"/>
      <c r="C57" s="62"/>
      <c r="D57" s="61">
        <v>4475.3249999999998</v>
      </c>
      <c r="E57" s="61">
        <v>4880.0200000000004</v>
      </c>
      <c r="F57" s="61">
        <v>4434.5249999999996</v>
      </c>
      <c r="G57" s="59">
        <v>4814.7790000000005</v>
      </c>
      <c r="H57" s="59">
        <v>4723.3999999999996</v>
      </c>
      <c r="I57" s="59">
        <v>4119.1229999999996</v>
      </c>
      <c r="J57" s="59">
        <v>4821.9930000000004</v>
      </c>
      <c r="K57" s="59">
        <v>5334.5519999999997</v>
      </c>
      <c r="L57" s="59">
        <v>5154.96</v>
      </c>
      <c r="M57" s="59">
        <v>4196.4179999999997</v>
      </c>
      <c r="N57" s="59">
        <v>4699.3639999999996</v>
      </c>
      <c r="O57" s="59">
        <v>4772.5309999999999</v>
      </c>
      <c r="P57" s="42">
        <f t="shared" si="12"/>
        <v>56426.990000000005</v>
      </c>
      <c r="Q57" s="9">
        <f t="shared" si="13"/>
        <v>5334.5519999999997</v>
      </c>
      <c r="R57" s="55">
        <f t="shared" si="14"/>
        <v>43313</v>
      </c>
      <c r="S57" s="6"/>
      <c r="V57" s="1">
        <v>6</v>
      </c>
      <c r="W57" s="54">
        <f t="shared" si="15"/>
        <v>288000</v>
      </c>
      <c r="Y57" s="54">
        <f t="shared" si="16"/>
        <v>318000</v>
      </c>
      <c r="Z57" s="54">
        <f t="shared" si="17"/>
        <v>318000</v>
      </c>
      <c r="AB57" s="54">
        <f t="shared" si="18"/>
        <v>318000</v>
      </c>
    </row>
    <row r="58" spans="1:28" x14ac:dyDescent="0.2">
      <c r="A58" s="1">
        <v>7</v>
      </c>
      <c r="B58" s="63"/>
      <c r="C58" s="62"/>
      <c r="D58" s="61">
        <v>3061.67</v>
      </c>
      <c r="E58" s="61">
        <v>3134.306</v>
      </c>
      <c r="F58" s="61">
        <v>3167.087</v>
      </c>
      <c r="G58" s="59">
        <v>3035.386</v>
      </c>
      <c r="H58" s="59">
        <v>3408.92</v>
      </c>
      <c r="I58" s="59">
        <v>3260.4760000000001</v>
      </c>
      <c r="J58" s="59">
        <v>3649.7249999999999</v>
      </c>
      <c r="K58" s="59">
        <v>3544.7089999999998</v>
      </c>
      <c r="L58" s="59">
        <v>3110.4180000000001</v>
      </c>
      <c r="M58" s="59">
        <v>3118.114</v>
      </c>
      <c r="N58" s="59">
        <v>3034.5920000000001</v>
      </c>
      <c r="O58" s="59">
        <v>2905.0309999999999</v>
      </c>
      <c r="P58" s="42">
        <f t="shared" si="12"/>
        <v>38430.434000000001</v>
      </c>
      <c r="Q58" s="9">
        <f t="shared" si="13"/>
        <v>3649.7249999999999</v>
      </c>
      <c r="R58" s="55">
        <f t="shared" si="14"/>
        <v>43282</v>
      </c>
      <c r="S58" s="6"/>
      <c r="V58" s="1">
        <v>7</v>
      </c>
      <c r="W58" s="54">
        <f t="shared" si="15"/>
        <v>288000</v>
      </c>
      <c r="Y58" s="54">
        <f t="shared" si="16"/>
        <v>318000</v>
      </c>
      <c r="Z58" s="54">
        <f t="shared" si="17"/>
        <v>318000</v>
      </c>
      <c r="AB58" s="54">
        <f t="shared" si="18"/>
        <v>318000</v>
      </c>
    </row>
    <row r="59" spans="1:28" x14ac:dyDescent="0.2">
      <c r="A59" s="1">
        <v>8</v>
      </c>
      <c r="B59" s="63"/>
      <c r="C59" s="62"/>
      <c r="D59" s="61">
        <v>4179.9939999999997</v>
      </c>
      <c r="E59" s="61">
        <v>4116.866</v>
      </c>
      <c r="F59" s="61">
        <v>4122.7659999999996</v>
      </c>
      <c r="G59" s="59">
        <v>4175.7380000000003</v>
      </c>
      <c r="H59" s="59">
        <v>4152.0309999999999</v>
      </c>
      <c r="I59" s="59">
        <v>4106.2939999999999</v>
      </c>
      <c r="J59" s="59">
        <v>4239.0709999999999</v>
      </c>
      <c r="K59" s="59">
        <v>4195.2430000000004</v>
      </c>
      <c r="L59" s="59">
        <v>4110.0389999999998</v>
      </c>
      <c r="M59" s="59">
        <v>4143.3459999999995</v>
      </c>
      <c r="N59" s="59">
        <v>4199.8739999999998</v>
      </c>
      <c r="O59" s="59">
        <v>4103.4840000000004</v>
      </c>
      <c r="P59" s="42">
        <f t="shared" si="12"/>
        <v>49844.745999999985</v>
      </c>
      <c r="Q59" s="9">
        <f t="shared" si="13"/>
        <v>4239.0709999999999</v>
      </c>
      <c r="R59" s="55">
        <f t="shared" si="14"/>
        <v>43282</v>
      </c>
      <c r="S59" s="6"/>
      <c r="V59" s="1">
        <v>8</v>
      </c>
      <c r="W59" s="54">
        <f t="shared" si="15"/>
        <v>288000</v>
      </c>
      <c r="Y59" s="54">
        <f t="shared" si="16"/>
        <v>318000</v>
      </c>
      <c r="Z59" s="54">
        <f t="shared" si="17"/>
        <v>318000</v>
      </c>
      <c r="AB59" s="54">
        <f t="shared" si="18"/>
        <v>318000</v>
      </c>
    </row>
    <row r="60" spans="1:28" x14ac:dyDescent="0.2">
      <c r="A60" s="1">
        <v>9</v>
      </c>
      <c r="B60" s="63"/>
      <c r="C60" s="62"/>
      <c r="D60" s="61">
        <v>62256</v>
      </c>
      <c r="E60" s="61">
        <v>62379</v>
      </c>
      <c r="F60" s="61">
        <v>63189</v>
      </c>
      <c r="G60" s="59">
        <v>61994.13</v>
      </c>
      <c r="H60" s="59">
        <v>61517.53</v>
      </c>
      <c r="I60" s="59">
        <v>59396.53</v>
      </c>
      <c r="J60" s="59">
        <v>62813.1</v>
      </c>
      <c r="K60" s="59">
        <v>61040.2</v>
      </c>
      <c r="L60" s="59">
        <v>59942.23</v>
      </c>
      <c r="M60" s="59">
        <v>61096.84</v>
      </c>
      <c r="N60" s="59">
        <v>60588.02</v>
      </c>
      <c r="O60" s="59">
        <v>60856.67</v>
      </c>
      <c r="P60" s="42">
        <f t="shared" si="12"/>
        <v>737069.25000000012</v>
      </c>
      <c r="Q60" s="9">
        <f t="shared" si="13"/>
        <v>63189</v>
      </c>
      <c r="R60" s="55">
        <f t="shared" si="14"/>
        <v>43160</v>
      </c>
      <c r="S60" s="6"/>
      <c r="V60" s="1">
        <v>9</v>
      </c>
      <c r="W60" s="54">
        <f t="shared" si="15"/>
        <v>288000</v>
      </c>
      <c r="Y60" s="54">
        <f t="shared" si="16"/>
        <v>318000</v>
      </c>
      <c r="Z60" s="54"/>
      <c r="AA60" s="54">
        <f>$AA$7*12</f>
        <v>258000</v>
      </c>
      <c r="AB60" s="54">
        <f t="shared" si="18"/>
        <v>318000</v>
      </c>
    </row>
    <row r="61" spans="1:28" x14ac:dyDescent="0.2">
      <c r="A61" s="1">
        <v>10</v>
      </c>
      <c r="B61" s="63"/>
      <c r="C61" s="62"/>
      <c r="D61" s="61">
        <v>8442.4179999999997</v>
      </c>
      <c r="E61" s="61">
        <v>8358.5110000000004</v>
      </c>
      <c r="F61" s="61">
        <v>8105.56</v>
      </c>
      <c r="G61" s="59">
        <v>8224.9040000000005</v>
      </c>
      <c r="H61" s="59">
        <v>8483.3549999999996</v>
      </c>
      <c r="I61" s="59">
        <v>8479.8610000000008</v>
      </c>
      <c r="J61" s="59">
        <v>8624.3089999999993</v>
      </c>
      <c r="K61" s="59">
        <v>8557.473</v>
      </c>
      <c r="L61" s="59">
        <v>9557.9490000000005</v>
      </c>
      <c r="M61" s="59">
        <v>8207.0059999999994</v>
      </c>
      <c r="N61" s="59">
        <v>8147.16</v>
      </c>
      <c r="O61" s="59">
        <v>8210.1049999999996</v>
      </c>
      <c r="P61" s="42">
        <f t="shared" si="12"/>
        <v>101398.61100000002</v>
      </c>
      <c r="Q61" s="9">
        <f t="shared" si="13"/>
        <v>9557.9490000000005</v>
      </c>
      <c r="R61" s="55">
        <f t="shared" si="14"/>
        <v>43344</v>
      </c>
      <c r="S61" s="6"/>
      <c r="V61" s="1">
        <v>10</v>
      </c>
      <c r="W61" s="54">
        <f t="shared" si="15"/>
        <v>288000</v>
      </c>
      <c r="Y61" s="54">
        <f t="shared" si="16"/>
        <v>318000</v>
      </c>
      <c r="Z61" s="54">
        <f t="shared" ref="Z61:Z72" si="19">$Z$7*12</f>
        <v>318000</v>
      </c>
      <c r="AB61" s="54">
        <f t="shared" si="18"/>
        <v>318000</v>
      </c>
    </row>
    <row r="62" spans="1:28" x14ac:dyDescent="0.2">
      <c r="A62" s="1">
        <v>11</v>
      </c>
      <c r="B62" s="63"/>
      <c r="C62" s="62"/>
      <c r="D62" s="61">
        <v>8657.7160000000003</v>
      </c>
      <c r="E62" s="61">
        <v>8652.44</v>
      </c>
      <c r="F62" s="61">
        <v>8902.7880000000005</v>
      </c>
      <c r="G62" s="59">
        <v>9184</v>
      </c>
      <c r="H62" s="59">
        <v>9377.5310000000009</v>
      </c>
      <c r="I62" s="59">
        <v>8867.607</v>
      </c>
      <c r="J62" s="59">
        <v>8953.0669999999991</v>
      </c>
      <c r="K62" s="59">
        <v>8889.2520000000004</v>
      </c>
      <c r="L62" s="59">
        <v>8913.0679999999993</v>
      </c>
      <c r="M62" s="59">
        <v>9166.2610000000004</v>
      </c>
      <c r="N62" s="59">
        <v>9181.9779999999992</v>
      </c>
      <c r="O62" s="59">
        <v>9106.7780000000002</v>
      </c>
      <c r="P62" s="42">
        <f t="shared" si="12"/>
        <v>107852.48600000002</v>
      </c>
      <c r="Q62" s="9">
        <f t="shared" si="13"/>
        <v>9377.5310000000009</v>
      </c>
      <c r="R62" s="55">
        <f t="shared" si="14"/>
        <v>43221</v>
      </c>
      <c r="S62" s="6"/>
      <c r="V62" s="1">
        <v>11</v>
      </c>
      <c r="W62" s="54">
        <f t="shared" si="15"/>
        <v>288000</v>
      </c>
      <c r="Y62" s="54">
        <f t="shared" si="16"/>
        <v>318000</v>
      </c>
      <c r="Z62" s="54">
        <f t="shared" si="19"/>
        <v>318000</v>
      </c>
      <c r="AB62" s="54">
        <f t="shared" si="18"/>
        <v>318000</v>
      </c>
    </row>
    <row r="63" spans="1:28" x14ac:dyDescent="0.2">
      <c r="A63" s="1">
        <v>12</v>
      </c>
      <c r="B63" s="63"/>
      <c r="C63" s="62"/>
      <c r="D63" s="61">
        <v>5071.4459999999999</v>
      </c>
      <c r="E63" s="61">
        <v>5121.7960000000003</v>
      </c>
      <c r="F63" s="61">
        <v>5189.1419999999998</v>
      </c>
      <c r="G63" s="59">
        <v>7026.4409999999998</v>
      </c>
      <c r="H63" s="59">
        <v>7631.1180000000004</v>
      </c>
      <c r="I63" s="59">
        <v>7475.982</v>
      </c>
      <c r="J63" s="59">
        <v>8008.9009999999998</v>
      </c>
      <c r="K63" s="59">
        <v>8512.1190000000006</v>
      </c>
      <c r="L63" s="59">
        <v>7510.1090000000004</v>
      </c>
      <c r="M63" s="59">
        <v>6467.3239999999996</v>
      </c>
      <c r="N63" s="59">
        <v>5024.3389999999999</v>
      </c>
      <c r="O63" s="59">
        <v>5040.6610000000001</v>
      </c>
      <c r="P63" s="42">
        <f t="shared" si="12"/>
        <v>78079.377999999997</v>
      </c>
      <c r="Q63" s="9">
        <f t="shared" si="13"/>
        <v>8512.1190000000006</v>
      </c>
      <c r="R63" s="55">
        <f t="shared" si="14"/>
        <v>43313</v>
      </c>
      <c r="S63" s="6"/>
      <c r="V63" s="1">
        <v>12</v>
      </c>
      <c r="W63" s="54">
        <f t="shared" si="15"/>
        <v>288000</v>
      </c>
      <c r="Y63" s="54">
        <f t="shared" si="16"/>
        <v>318000</v>
      </c>
      <c r="Z63" s="54">
        <f t="shared" si="19"/>
        <v>318000</v>
      </c>
      <c r="AB63" s="54">
        <f t="shared" si="18"/>
        <v>318000</v>
      </c>
    </row>
    <row r="64" spans="1:28" x14ac:dyDescent="0.2">
      <c r="A64" s="1">
        <v>13</v>
      </c>
      <c r="B64" s="63"/>
      <c r="C64" s="62"/>
      <c r="D64" s="61">
        <v>1785.914</v>
      </c>
      <c r="E64" s="61">
        <v>1777.6469999999999</v>
      </c>
      <c r="F64" s="61">
        <v>1775.5619999999999</v>
      </c>
      <c r="G64" s="59">
        <v>2368.0140000000001</v>
      </c>
      <c r="H64" s="59">
        <v>2782.8029999999999</v>
      </c>
      <c r="I64" s="59">
        <v>2718.5</v>
      </c>
      <c r="J64" s="59">
        <v>2820.4270000000001</v>
      </c>
      <c r="K64" s="59">
        <v>2869.4879999999998</v>
      </c>
      <c r="L64" s="59">
        <v>2416.0839999999998</v>
      </c>
      <c r="M64" s="59">
        <v>2158.5300000000002</v>
      </c>
      <c r="N64" s="59">
        <v>2108.1869999999999</v>
      </c>
      <c r="O64" s="59">
        <v>1774.4490000000001</v>
      </c>
      <c r="P64" s="42">
        <f t="shared" si="12"/>
        <v>27355.604999999996</v>
      </c>
      <c r="Q64" s="9">
        <f t="shared" si="13"/>
        <v>2869.4879999999998</v>
      </c>
      <c r="R64" s="55">
        <f t="shared" si="14"/>
        <v>43313</v>
      </c>
      <c r="S64" s="6"/>
      <c r="V64" s="1">
        <v>13</v>
      </c>
      <c r="W64" s="54">
        <f t="shared" si="15"/>
        <v>288000</v>
      </c>
      <c r="Y64" s="54">
        <f t="shared" si="16"/>
        <v>318000</v>
      </c>
      <c r="Z64" s="54">
        <f t="shared" si="19"/>
        <v>318000</v>
      </c>
      <c r="AB64" s="54">
        <f t="shared" si="18"/>
        <v>318000</v>
      </c>
    </row>
    <row r="65" spans="1:28" x14ac:dyDescent="0.2">
      <c r="A65" s="1">
        <v>14</v>
      </c>
      <c r="B65" s="63"/>
      <c r="C65" s="62"/>
      <c r="D65" s="61">
        <v>6008.5889999999999</v>
      </c>
      <c r="E65" s="61">
        <v>5809.049</v>
      </c>
      <c r="F65" s="61">
        <v>6148.5940000000001</v>
      </c>
      <c r="G65" s="59">
        <v>6208.0169999999998</v>
      </c>
      <c r="H65" s="59">
        <v>6002.5249999999996</v>
      </c>
      <c r="I65" s="59">
        <v>6222.2669999999998</v>
      </c>
      <c r="J65" s="59">
        <v>6246.7430000000004</v>
      </c>
      <c r="K65" s="59">
        <v>6290.1589999999997</v>
      </c>
      <c r="L65" s="59">
        <v>5921.3220000000001</v>
      </c>
      <c r="M65" s="59">
        <v>6413.4849999999997</v>
      </c>
      <c r="N65" s="59">
        <v>5857.6760000000004</v>
      </c>
      <c r="O65" s="59">
        <v>6328.8339999999998</v>
      </c>
      <c r="P65" s="42">
        <f t="shared" si="12"/>
        <v>73457.260000000009</v>
      </c>
      <c r="Q65" s="9">
        <f t="shared" si="13"/>
        <v>6413.4849999999997</v>
      </c>
      <c r="R65" s="55">
        <f t="shared" si="14"/>
        <v>43374</v>
      </c>
      <c r="S65" s="6"/>
      <c r="V65" s="1">
        <v>14</v>
      </c>
      <c r="W65" s="54">
        <f t="shared" si="15"/>
        <v>288000</v>
      </c>
      <c r="Y65" s="54">
        <f t="shared" si="16"/>
        <v>318000</v>
      </c>
      <c r="Z65" s="54">
        <f t="shared" si="19"/>
        <v>318000</v>
      </c>
      <c r="AB65" s="54">
        <f t="shared" si="18"/>
        <v>318000</v>
      </c>
    </row>
    <row r="66" spans="1:28" x14ac:dyDescent="0.2">
      <c r="A66" s="1">
        <v>15</v>
      </c>
      <c r="B66" s="63"/>
      <c r="C66" s="62"/>
      <c r="D66" s="61">
        <v>3065.39</v>
      </c>
      <c r="E66" s="61">
        <v>2963.9740000000002</v>
      </c>
      <c r="F66" s="61">
        <v>2942.471</v>
      </c>
      <c r="G66" s="59">
        <v>3177.0439999999999</v>
      </c>
      <c r="H66" s="59">
        <v>3683.0909999999999</v>
      </c>
      <c r="I66" s="59">
        <v>3760.2930000000001</v>
      </c>
      <c r="J66" s="59">
        <v>3950.1979999999999</v>
      </c>
      <c r="K66" s="59">
        <v>3875.2510000000002</v>
      </c>
      <c r="L66" s="59">
        <v>3607.348</v>
      </c>
      <c r="M66" s="59">
        <v>3124.8110000000001</v>
      </c>
      <c r="N66" s="59">
        <v>2862.7240000000002</v>
      </c>
      <c r="O66" s="59">
        <v>2867.9450000000002</v>
      </c>
      <c r="P66" s="42">
        <f t="shared" si="12"/>
        <v>39880.54</v>
      </c>
      <c r="Q66" s="9">
        <f t="shared" si="13"/>
        <v>3950.1979999999999</v>
      </c>
      <c r="R66" s="55">
        <f t="shared" si="14"/>
        <v>43282</v>
      </c>
      <c r="S66" s="6"/>
      <c r="V66" s="1">
        <v>15</v>
      </c>
      <c r="W66" s="54">
        <f t="shared" si="15"/>
        <v>288000</v>
      </c>
      <c r="Y66" s="54">
        <f t="shared" si="16"/>
        <v>318000</v>
      </c>
      <c r="Z66" s="54">
        <f t="shared" si="19"/>
        <v>318000</v>
      </c>
      <c r="AB66" s="54">
        <f t="shared" si="18"/>
        <v>318000</v>
      </c>
    </row>
    <row r="67" spans="1:28" x14ac:dyDescent="0.2">
      <c r="A67" s="1">
        <v>16</v>
      </c>
      <c r="B67" s="63"/>
      <c r="C67" s="62"/>
      <c r="D67" s="61">
        <v>4777.3739999999998</v>
      </c>
      <c r="E67" s="61">
        <v>4899.0110000000004</v>
      </c>
      <c r="F67" s="61">
        <v>4820.9589999999998</v>
      </c>
      <c r="G67" s="59">
        <v>4753.4470000000001</v>
      </c>
      <c r="H67" s="59">
        <v>4477.8860000000004</v>
      </c>
      <c r="I67" s="59">
        <v>4414.1220000000003</v>
      </c>
      <c r="J67" s="59">
        <v>4523.0389999999998</v>
      </c>
      <c r="K67" s="59">
        <v>4447.9089999999997</v>
      </c>
      <c r="L67" s="59">
        <v>4598.1149999999998</v>
      </c>
      <c r="M67" s="59">
        <v>4784.4449999999997</v>
      </c>
      <c r="N67" s="59">
        <v>4793.2470000000003</v>
      </c>
      <c r="O67" s="59">
        <v>4869.4759999999997</v>
      </c>
      <c r="P67" s="42">
        <f t="shared" si="12"/>
        <v>56159.030000000006</v>
      </c>
      <c r="Q67" s="9">
        <f t="shared" si="13"/>
        <v>4899.0110000000004</v>
      </c>
      <c r="R67" s="55">
        <f t="shared" si="14"/>
        <v>43132</v>
      </c>
      <c r="S67" s="6"/>
      <c r="V67" s="1">
        <v>16</v>
      </c>
      <c r="W67" s="54">
        <f t="shared" si="15"/>
        <v>288000</v>
      </c>
      <c r="Y67" s="54">
        <f t="shared" si="16"/>
        <v>318000</v>
      </c>
      <c r="Z67" s="54">
        <f t="shared" si="19"/>
        <v>318000</v>
      </c>
      <c r="AB67" s="54">
        <f t="shared" si="18"/>
        <v>318000</v>
      </c>
    </row>
    <row r="68" spans="1:28" x14ac:dyDescent="0.2">
      <c r="A68" s="1">
        <v>17</v>
      </c>
      <c r="B68" s="63"/>
      <c r="C68" s="62"/>
      <c r="D68" s="61">
        <v>4509.5410000000002</v>
      </c>
      <c r="E68" s="61">
        <v>4640.6400000000003</v>
      </c>
      <c r="F68" s="61">
        <v>4637.1379999999999</v>
      </c>
      <c r="G68" s="59">
        <v>4368.6319999999996</v>
      </c>
      <c r="H68" s="59">
        <v>3971.7069999999999</v>
      </c>
      <c r="I68" s="59">
        <v>3937.0030000000002</v>
      </c>
      <c r="J68" s="59">
        <v>3983.5650000000001</v>
      </c>
      <c r="K68" s="59">
        <v>4133.5439999999999</v>
      </c>
      <c r="L68" s="59">
        <v>4257.915</v>
      </c>
      <c r="M68" s="59">
        <v>4457.1499999999996</v>
      </c>
      <c r="N68" s="59">
        <v>4390.9139999999998</v>
      </c>
      <c r="O68" s="59">
        <v>4512.5990000000002</v>
      </c>
      <c r="P68" s="42">
        <f t="shared" si="12"/>
        <v>51800.347999999998</v>
      </c>
      <c r="Q68" s="9">
        <f t="shared" si="13"/>
        <v>4640.6400000000003</v>
      </c>
      <c r="R68" s="55">
        <f t="shared" si="14"/>
        <v>43132</v>
      </c>
      <c r="S68" s="6"/>
      <c r="V68" s="1">
        <v>17</v>
      </c>
      <c r="W68" s="54">
        <f t="shared" si="15"/>
        <v>288000</v>
      </c>
      <c r="Y68" s="54">
        <f t="shared" si="16"/>
        <v>318000</v>
      </c>
      <c r="Z68" s="54">
        <f t="shared" si="19"/>
        <v>318000</v>
      </c>
      <c r="AB68" s="54">
        <f t="shared" si="18"/>
        <v>318000</v>
      </c>
    </row>
    <row r="69" spans="1:28" x14ac:dyDescent="0.2">
      <c r="A69" s="1">
        <v>18</v>
      </c>
      <c r="B69" s="63"/>
      <c r="C69" s="62"/>
      <c r="D69" s="61">
        <v>8308</v>
      </c>
      <c r="E69" s="61">
        <v>7585</v>
      </c>
      <c r="F69" s="61">
        <v>7410</v>
      </c>
      <c r="G69" s="59">
        <v>9091.2000000000007</v>
      </c>
      <c r="H69" s="59">
        <v>9326.83</v>
      </c>
      <c r="I69" s="59">
        <v>9601.17</v>
      </c>
      <c r="J69" s="59">
        <v>10739.17</v>
      </c>
      <c r="K69" s="59">
        <v>10982.51</v>
      </c>
      <c r="L69" s="59">
        <v>9616.0300000000007</v>
      </c>
      <c r="M69" s="59">
        <v>7396.07</v>
      </c>
      <c r="N69" s="59">
        <v>7264.42</v>
      </c>
      <c r="O69" s="59">
        <v>7321.84</v>
      </c>
      <c r="P69" s="42">
        <f t="shared" si="12"/>
        <v>104642.23999999998</v>
      </c>
      <c r="Q69" s="9">
        <f t="shared" si="13"/>
        <v>10982.51</v>
      </c>
      <c r="R69" s="55">
        <f t="shared" si="14"/>
        <v>43313</v>
      </c>
      <c r="S69" s="6"/>
      <c r="V69" s="1">
        <v>18</v>
      </c>
      <c r="W69" s="54">
        <f t="shared" si="15"/>
        <v>288000</v>
      </c>
      <c r="Y69" s="54">
        <f t="shared" si="16"/>
        <v>318000</v>
      </c>
      <c r="Z69" s="54">
        <f t="shared" si="19"/>
        <v>318000</v>
      </c>
      <c r="AB69" s="54">
        <f t="shared" si="18"/>
        <v>318000</v>
      </c>
    </row>
    <row r="70" spans="1:28" x14ac:dyDescent="0.2">
      <c r="A70" s="1">
        <v>19</v>
      </c>
      <c r="B70" s="12"/>
      <c r="C70" s="11"/>
      <c r="D70" s="60">
        <v>5683.2809999999999</v>
      </c>
      <c r="E70" s="60">
        <v>5615.9319999999998</v>
      </c>
      <c r="F70" s="60">
        <v>5617.817</v>
      </c>
      <c r="G70" s="59">
        <v>5574.0569999999998</v>
      </c>
      <c r="H70" s="59">
        <v>5024.5339999999997</v>
      </c>
      <c r="I70" s="59">
        <v>4956.9750000000004</v>
      </c>
      <c r="J70" s="59">
        <v>4832.4830000000002</v>
      </c>
      <c r="K70" s="59">
        <v>5151.4189999999999</v>
      </c>
      <c r="L70" s="59">
        <v>5185.6850000000004</v>
      </c>
      <c r="M70" s="58">
        <v>5362.3459999999995</v>
      </c>
      <c r="N70" s="58">
        <v>5780.5309999999999</v>
      </c>
      <c r="O70" s="58">
        <v>5915.085</v>
      </c>
      <c r="P70" s="42">
        <f t="shared" si="12"/>
        <v>64700.144999999997</v>
      </c>
      <c r="Q70" s="9">
        <f t="shared" si="13"/>
        <v>5915.085</v>
      </c>
      <c r="R70" s="55">
        <f t="shared" si="14"/>
        <v>43435</v>
      </c>
      <c r="S70" s="6"/>
      <c r="V70" s="1">
        <v>19</v>
      </c>
      <c r="W70" s="54">
        <f t="shared" si="15"/>
        <v>288000</v>
      </c>
      <c r="Y70" s="54">
        <f t="shared" si="16"/>
        <v>318000</v>
      </c>
      <c r="Z70" s="54">
        <f t="shared" si="19"/>
        <v>318000</v>
      </c>
      <c r="AB70" s="54">
        <f t="shared" si="18"/>
        <v>318000</v>
      </c>
    </row>
    <row r="71" spans="1:28" x14ac:dyDescent="0.2">
      <c r="A71" s="1">
        <v>20</v>
      </c>
      <c r="B71" s="12"/>
      <c r="C71" s="11"/>
      <c r="D71" s="57">
        <v>4817.3819999999996</v>
      </c>
      <c r="E71" s="57">
        <v>5010.6570000000002</v>
      </c>
      <c r="F71" s="57">
        <v>5289.2520000000004</v>
      </c>
      <c r="G71" s="56">
        <v>5335.1059999999998</v>
      </c>
      <c r="H71" s="56">
        <v>4795.3310000000001</v>
      </c>
      <c r="I71" s="56">
        <v>4586.6450000000004</v>
      </c>
      <c r="J71" s="56">
        <v>4694.7389999999996</v>
      </c>
      <c r="K71" s="56">
        <v>5016.1980000000003</v>
      </c>
      <c r="L71" s="56">
        <v>4987.9470000000001</v>
      </c>
      <c r="M71" s="56">
        <v>5059.4920000000002</v>
      </c>
      <c r="N71" s="56">
        <v>5305.9480000000003</v>
      </c>
      <c r="O71" s="56">
        <v>5437.4110000000001</v>
      </c>
      <c r="P71" s="42">
        <f t="shared" si="12"/>
        <v>60336.108</v>
      </c>
      <c r="Q71" s="9">
        <f t="shared" si="13"/>
        <v>5437.4110000000001</v>
      </c>
      <c r="R71" s="55">
        <f t="shared" si="14"/>
        <v>43435</v>
      </c>
      <c r="S71" s="6"/>
      <c r="V71" s="1">
        <v>20</v>
      </c>
      <c r="W71" s="54">
        <f t="shared" si="15"/>
        <v>288000</v>
      </c>
      <c r="Y71" s="54">
        <f t="shared" si="16"/>
        <v>318000</v>
      </c>
      <c r="Z71" s="54">
        <f t="shared" si="19"/>
        <v>318000</v>
      </c>
      <c r="AB71" s="54">
        <f t="shared" si="18"/>
        <v>318000</v>
      </c>
    </row>
    <row r="72" spans="1:28" x14ac:dyDescent="0.2">
      <c r="A72" s="1">
        <v>21</v>
      </c>
      <c r="B72" s="12"/>
      <c r="C72" s="11"/>
      <c r="D72" s="57">
        <v>4338.6229999999996</v>
      </c>
      <c r="E72" s="57">
        <v>4320.7179999999998</v>
      </c>
      <c r="F72" s="57">
        <v>4136.3190000000004</v>
      </c>
      <c r="G72" s="56">
        <v>5872.9449999999997</v>
      </c>
      <c r="H72" s="56">
        <v>5696.32</v>
      </c>
      <c r="I72" s="56">
        <v>5612.3180000000002</v>
      </c>
      <c r="J72" s="56">
        <v>6844.5559999999996</v>
      </c>
      <c r="K72" s="56">
        <v>7163.116</v>
      </c>
      <c r="L72" s="56">
        <v>6990.2089999999998</v>
      </c>
      <c r="M72" s="56">
        <v>5036.2150000000001</v>
      </c>
      <c r="N72" s="56">
        <v>4252.4620000000004</v>
      </c>
      <c r="O72" s="56">
        <v>4379.93</v>
      </c>
      <c r="P72" s="42">
        <f t="shared" si="12"/>
        <v>64643.731000000007</v>
      </c>
      <c r="Q72" s="9">
        <f t="shared" si="13"/>
        <v>7163.116</v>
      </c>
      <c r="R72" s="55">
        <f t="shared" si="14"/>
        <v>43313</v>
      </c>
      <c r="S72" s="6"/>
      <c r="V72" s="1">
        <v>21</v>
      </c>
      <c r="W72" s="54">
        <f t="shared" si="15"/>
        <v>288000</v>
      </c>
      <c r="Y72" s="54">
        <f t="shared" si="16"/>
        <v>318000</v>
      </c>
      <c r="Z72" s="54">
        <f t="shared" si="19"/>
        <v>318000</v>
      </c>
      <c r="AB72" s="54">
        <f t="shared" si="18"/>
        <v>318000</v>
      </c>
    </row>
    <row r="73" spans="1:28" x14ac:dyDescent="0.2">
      <c r="B73" s="1" t="s">
        <v>6</v>
      </c>
      <c r="D73" s="44">
        <f t="shared" ref="D73:O73" si="20">SUM(D50:D72)</f>
        <v>168441.22500000001</v>
      </c>
      <c r="E73" s="44">
        <f t="shared" si="20"/>
        <v>169827.503</v>
      </c>
      <c r="F73" s="44">
        <f t="shared" si="20"/>
        <v>170479.36500000002</v>
      </c>
      <c r="G73" s="44">
        <f t="shared" si="20"/>
        <v>177438.68600000002</v>
      </c>
      <c r="H73" s="44">
        <f t="shared" si="20"/>
        <v>175527.86199999996</v>
      </c>
      <c r="I73" s="44">
        <f t="shared" si="20"/>
        <v>172800.19300000003</v>
      </c>
      <c r="J73" s="44">
        <f t="shared" si="20"/>
        <v>180672.93900000001</v>
      </c>
      <c r="K73" s="44">
        <f t="shared" si="20"/>
        <v>181839.68200000003</v>
      </c>
      <c r="L73" s="44">
        <f t="shared" si="20"/>
        <v>176230.88699999996</v>
      </c>
      <c r="M73" s="32">
        <f t="shared" si="20"/>
        <v>171790.48299999995</v>
      </c>
      <c r="N73" s="32">
        <f t="shared" si="20"/>
        <v>167251.61499999999</v>
      </c>
      <c r="O73" s="32">
        <f t="shared" si="20"/>
        <v>168725.31399999995</v>
      </c>
      <c r="P73" s="32">
        <f>IF(ROUND(SUM(P50:P72),0)&lt;&gt;ROUND(SUM(D73:O73),0),#VALUE!,SUM(P50:P72))</f>
        <v>2081025.7540000002</v>
      </c>
    </row>
    <row r="74" spans="1:28" x14ac:dyDescent="0.2">
      <c r="D74" s="53"/>
      <c r="E74" s="53"/>
      <c r="F74" s="53"/>
      <c r="G74" s="53"/>
      <c r="H74" s="53"/>
      <c r="I74" s="53"/>
      <c r="J74" s="53"/>
      <c r="K74" s="53"/>
      <c r="L74" s="53"/>
      <c r="M74" s="48"/>
      <c r="N74" s="48"/>
      <c r="O74" s="48"/>
      <c r="P74" s="48"/>
    </row>
    <row r="75" spans="1:28" x14ac:dyDescent="0.2">
      <c r="D75" s="16"/>
      <c r="E75" s="16"/>
      <c r="F75" s="16"/>
      <c r="G75" s="16"/>
      <c r="H75" s="16"/>
      <c r="I75" s="16"/>
      <c r="J75" s="16"/>
      <c r="K75" s="16"/>
      <c r="L75" s="16"/>
      <c r="P75" s="6" t="str">
        <f>P$11</f>
        <v>12-mo Ended</v>
      </c>
    </row>
    <row r="76" spans="1:28" x14ac:dyDescent="0.2">
      <c r="B76" s="17" t="s">
        <v>26</v>
      </c>
      <c r="D76" s="47">
        <f t="shared" ref="D76:O76" si="21">D$12</f>
        <v>43101</v>
      </c>
      <c r="E76" s="47">
        <f t="shared" si="21"/>
        <v>43132</v>
      </c>
      <c r="F76" s="47">
        <f t="shared" si="21"/>
        <v>43160</v>
      </c>
      <c r="G76" s="47">
        <f t="shared" si="21"/>
        <v>43191</v>
      </c>
      <c r="H76" s="47">
        <f t="shared" si="21"/>
        <v>43221</v>
      </c>
      <c r="I76" s="47">
        <f t="shared" si="21"/>
        <v>43252</v>
      </c>
      <c r="J76" s="47">
        <f t="shared" si="21"/>
        <v>43282</v>
      </c>
      <c r="K76" s="47">
        <f t="shared" si="21"/>
        <v>43313</v>
      </c>
      <c r="L76" s="47">
        <f t="shared" si="21"/>
        <v>43344</v>
      </c>
      <c r="M76" s="7">
        <f t="shared" si="21"/>
        <v>43374</v>
      </c>
      <c r="N76" s="7">
        <f t="shared" si="21"/>
        <v>43405</v>
      </c>
      <c r="O76" s="7">
        <f t="shared" si="21"/>
        <v>43435</v>
      </c>
      <c r="P76" s="6" t="s">
        <v>15</v>
      </c>
    </row>
    <row r="77" spans="1:28" ht="15" x14ac:dyDescent="0.25">
      <c r="A77" s="1">
        <v>1</v>
      </c>
      <c r="B77" s="12">
        <f>B13</f>
        <v>0</v>
      </c>
      <c r="C77" s="11">
        <f>C13</f>
        <v>0</v>
      </c>
      <c r="D77" s="27">
        <f t="shared" ref="D77:F86" si="22">IF(D50&gt;3000,D50-3000,0)</f>
        <v>6397.4339999999993</v>
      </c>
      <c r="E77" s="27">
        <f t="shared" si="22"/>
        <v>7808.5550000000003</v>
      </c>
      <c r="F77" s="27">
        <f t="shared" si="22"/>
        <v>7876.92</v>
      </c>
      <c r="G77" s="27">
        <f t="shared" ref="G77:O77" si="23">MAX(0,G50-3000)</f>
        <v>9189.2219999999998</v>
      </c>
      <c r="H77" s="27">
        <f t="shared" si="23"/>
        <v>7398.2160000000003</v>
      </c>
      <c r="I77" s="27">
        <f t="shared" si="23"/>
        <v>8271.4889999999996</v>
      </c>
      <c r="J77" s="27">
        <f t="shared" si="23"/>
        <v>7980.2620000000006</v>
      </c>
      <c r="K77" s="27">
        <f t="shared" si="23"/>
        <v>8527.9860000000008</v>
      </c>
      <c r="L77" s="27">
        <f t="shared" si="23"/>
        <v>7716.9380000000001</v>
      </c>
      <c r="M77" s="27">
        <f t="shared" si="23"/>
        <v>8924.82</v>
      </c>
      <c r="N77" s="27">
        <f t="shared" si="23"/>
        <v>7440.25</v>
      </c>
      <c r="O77" s="27">
        <f t="shared" si="23"/>
        <v>7616.8619999999992</v>
      </c>
      <c r="P77" s="42">
        <f t="shared" ref="P77:P99" si="24">SUM(D77:O77)</f>
        <v>95148.953999999998</v>
      </c>
      <c r="V77" s="1">
        <v>1</v>
      </c>
      <c r="W77" s="52">
        <f t="shared" ref="W77:W99" si="25">SUMPRODUCT($D77:$O77*W$8)</f>
        <v>618468.201</v>
      </c>
      <c r="Y77" s="15">
        <f t="shared" ref="Y77:Z86" si="26">SUMPRODUCT($D77:$O77*Y$8)</f>
        <v>666042.67799999996</v>
      </c>
      <c r="Z77" s="52">
        <f t="shared" si="26"/>
        <v>666042.67799999996</v>
      </c>
      <c r="AB77" s="15">
        <f t="shared" ref="AB77:AB99" si="27">SUMPRODUCT($D77:$O77*AB$8)</f>
        <v>666042.67799999996</v>
      </c>
    </row>
    <row r="78" spans="1:28" ht="15" x14ac:dyDescent="0.25">
      <c r="A78" s="1">
        <v>22</v>
      </c>
      <c r="B78" s="12"/>
      <c r="C78" s="11"/>
      <c r="D78" s="27">
        <f t="shared" si="22"/>
        <v>0</v>
      </c>
      <c r="E78" s="27">
        <f t="shared" si="22"/>
        <v>0</v>
      </c>
      <c r="F78" s="27">
        <f t="shared" si="22"/>
        <v>0</v>
      </c>
      <c r="G78" s="27">
        <f t="shared" ref="G78:O78" si="28">MAX(0,G51-3000)</f>
        <v>0</v>
      </c>
      <c r="H78" s="27">
        <f t="shared" si="28"/>
        <v>0</v>
      </c>
      <c r="I78" s="27">
        <f t="shared" si="28"/>
        <v>0</v>
      </c>
      <c r="J78" s="27">
        <f t="shared" si="28"/>
        <v>0</v>
      </c>
      <c r="K78" s="27">
        <f t="shared" si="28"/>
        <v>0</v>
      </c>
      <c r="L78" s="27">
        <f t="shared" si="28"/>
        <v>0</v>
      </c>
      <c r="M78" s="27">
        <f t="shared" si="28"/>
        <v>0</v>
      </c>
      <c r="N78" s="27">
        <f t="shared" si="28"/>
        <v>0</v>
      </c>
      <c r="O78" s="27">
        <f t="shared" si="28"/>
        <v>0</v>
      </c>
      <c r="P78" s="42">
        <f t="shared" si="24"/>
        <v>0</v>
      </c>
      <c r="V78" s="1">
        <v>22</v>
      </c>
      <c r="W78" s="52">
        <f t="shared" si="25"/>
        <v>0</v>
      </c>
      <c r="Y78" s="15">
        <f t="shared" si="26"/>
        <v>0</v>
      </c>
      <c r="Z78" s="52">
        <f t="shared" si="26"/>
        <v>0</v>
      </c>
      <c r="AB78" s="15">
        <f t="shared" si="27"/>
        <v>0</v>
      </c>
    </row>
    <row r="79" spans="1:28" ht="15" x14ac:dyDescent="0.25">
      <c r="A79" s="1">
        <v>23</v>
      </c>
      <c r="B79" s="12"/>
      <c r="C79" s="11"/>
      <c r="D79" s="27">
        <f t="shared" si="22"/>
        <v>1001.7600000000002</v>
      </c>
      <c r="E79" s="27">
        <f t="shared" si="22"/>
        <v>968.2510000000002</v>
      </c>
      <c r="F79" s="27">
        <f t="shared" si="22"/>
        <v>931.92700000000013</v>
      </c>
      <c r="G79" s="27">
        <f t="shared" ref="G79:O79" si="29">MAX(0,G52-3000)</f>
        <v>862.13700000000017</v>
      </c>
      <c r="H79" s="27">
        <f t="shared" si="29"/>
        <v>778.404</v>
      </c>
      <c r="I79" s="27">
        <f t="shared" si="29"/>
        <v>829.90299999999979</v>
      </c>
      <c r="J79" s="27">
        <f t="shared" si="29"/>
        <v>654.61799999999994</v>
      </c>
      <c r="K79" s="27">
        <f t="shared" si="29"/>
        <v>595.99499999999989</v>
      </c>
      <c r="L79" s="27">
        <f t="shared" si="29"/>
        <v>626.62199999999984</v>
      </c>
      <c r="M79" s="27">
        <f t="shared" si="29"/>
        <v>622.50399999999991</v>
      </c>
      <c r="N79" s="27">
        <f t="shared" si="29"/>
        <v>699.85399999999981</v>
      </c>
      <c r="O79" s="27">
        <f t="shared" si="29"/>
        <v>744.72299999999996</v>
      </c>
      <c r="P79" s="42">
        <f t="shared" si="24"/>
        <v>9316.6980000000021</v>
      </c>
      <c r="V79" s="1">
        <v>23</v>
      </c>
      <c r="W79" s="52">
        <f t="shared" si="25"/>
        <v>60558.536999999997</v>
      </c>
      <c r="Y79" s="15">
        <f t="shared" si="26"/>
        <v>65216.885999999999</v>
      </c>
      <c r="Z79" s="52">
        <f t="shared" si="26"/>
        <v>65216.885999999999</v>
      </c>
      <c r="AB79" s="15">
        <f t="shared" si="27"/>
        <v>65216.885999999999</v>
      </c>
    </row>
    <row r="80" spans="1:28" ht="15" x14ac:dyDescent="0.25">
      <c r="A80" s="1">
        <v>2</v>
      </c>
      <c r="B80" s="12">
        <f t="shared" ref="B80:C85" si="30">B16</f>
        <v>0</v>
      </c>
      <c r="C80" s="11">
        <f t="shared" si="30"/>
        <v>0</v>
      </c>
      <c r="D80" s="27">
        <f t="shared" si="22"/>
        <v>2106.8680000000004</v>
      </c>
      <c r="E80" s="27">
        <f t="shared" si="22"/>
        <v>2228.8360000000002</v>
      </c>
      <c r="F80" s="27">
        <f t="shared" si="22"/>
        <v>2152.5969999999998</v>
      </c>
      <c r="G80" s="27">
        <f t="shared" ref="G80:O80" si="31">MAX(0,G53-3000)</f>
        <v>2015.616</v>
      </c>
      <c r="H80" s="27">
        <f t="shared" si="31"/>
        <v>1996.5810000000001</v>
      </c>
      <c r="I80" s="27">
        <f t="shared" si="31"/>
        <v>1970.7349999999997</v>
      </c>
      <c r="J80" s="27">
        <f t="shared" si="31"/>
        <v>1928.08</v>
      </c>
      <c r="K80" s="27">
        <f t="shared" si="31"/>
        <v>2016.8540000000003</v>
      </c>
      <c r="L80" s="27">
        <f t="shared" si="31"/>
        <v>2010.1260000000002</v>
      </c>
      <c r="M80" s="27">
        <f t="shared" si="31"/>
        <v>2221.1120000000001</v>
      </c>
      <c r="N80" s="27">
        <f t="shared" si="31"/>
        <v>2144.9229999999998</v>
      </c>
      <c r="O80" s="27">
        <f t="shared" si="31"/>
        <v>2190.3100000000004</v>
      </c>
      <c r="P80" s="42">
        <f t="shared" si="24"/>
        <v>24982.638000000003</v>
      </c>
      <c r="V80" s="1">
        <v>2</v>
      </c>
      <c r="W80" s="52">
        <f t="shared" si="25"/>
        <v>162387.14700000003</v>
      </c>
      <c r="Y80" s="15">
        <f t="shared" si="26"/>
        <v>174878.46600000001</v>
      </c>
      <c r="Z80" s="52">
        <f t="shared" si="26"/>
        <v>174878.46600000001</v>
      </c>
      <c r="AB80" s="15">
        <f t="shared" si="27"/>
        <v>174878.46600000001</v>
      </c>
    </row>
    <row r="81" spans="1:28" ht="15" x14ac:dyDescent="0.25">
      <c r="A81" s="1">
        <v>3</v>
      </c>
      <c r="B81" s="12">
        <f t="shared" si="30"/>
        <v>0</v>
      </c>
      <c r="C81" s="11">
        <f t="shared" si="30"/>
        <v>0</v>
      </c>
      <c r="D81" s="27">
        <f t="shared" si="22"/>
        <v>44.835000000000036</v>
      </c>
      <c r="E81" s="27">
        <f t="shared" si="22"/>
        <v>165.72400000000016</v>
      </c>
      <c r="F81" s="27">
        <f t="shared" si="22"/>
        <v>0</v>
      </c>
      <c r="G81" s="27">
        <f t="shared" ref="G81:O81" si="32">MAX(0,G54-3000)</f>
        <v>0</v>
      </c>
      <c r="H81" s="27">
        <f t="shared" si="32"/>
        <v>0</v>
      </c>
      <c r="I81" s="27">
        <f t="shared" si="32"/>
        <v>0</v>
      </c>
      <c r="J81" s="27">
        <f t="shared" si="32"/>
        <v>0</v>
      </c>
      <c r="K81" s="27">
        <f t="shared" si="32"/>
        <v>0</v>
      </c>
      <c r="L81" s="27">
        <f t="shared" si="32"/>
        <v>0</v>
      </c>
      <c r="M81" s="27">
        <f t="shared" si="32"/>
        <v>0</v>
      </c>
      <c r="N81" s="27">
        <f t="shared" si="32"/>
        <v>0</v>
      </c>
      <c r="O81" s="27">
        <f t="shared" si="32"/>
        <v>120.73500000000013</v>
      </c>
      <c r="P81" s="42">
        <f t="shared" si="24"/>
        <v>331.29400000000032</v>
      </c>
      <c r="V81" s="1">
        <v>3</v>
      </c>
      <c r="W81" s="52">
        <f t="shared" si="25"/>
        <v>2153.4110000000019</v>
      </c>
      <c r="Y81" s="15">
        <f t="shared" si="26"/>
        <v>2319.0580000000023</v>
      </c>
      <c r="Z81" s="52">
        <f t="shared" si="26"/>
        <v>2319.0580000000023</v>
      </c>
      <c r="AB81" s="15">
        <f t="shared" si="27"/>
        <v>2319.0580000000023</v>
      </c>
    </row>
    <row r="82" spans="1:28" ht="15" x14ac:dyDescent="0.25">
      <c r="A82" s="1">
        <v>4</v>
      </c>
      <c r="B82" s="12">
        <f t="shared" si="30"/>
        <v>0</v>
      </c>
      <c r="C82" s="11">
        <f t="shared" si="30"/>
        <v>0</v>
      </c>
      <c r="D82" s="27">
        <f t="shared" si="22"/>
        <v>0</v>
      </c>
      <c r="E82" s="27">
        <f t="shared" si="22"/>
        <v>0</v>
      </c>
      <c r="F82" s="27">
        <f t="shared" si="22"/>
        <v>0</v>
      </c>
      <c r="G82" s="27">
        <f t="shared" ref="G82:O82" si="33">MAX(0,G55-3000)</f>
        <v>0</v>
      </c>
      <c r="H82" s="27">
        <f t="shared" si="33"/>
        <v>0</v>
      </c>
      <c r="I82" s="27">
        <f t="shared" si="33"/>
        <v>0</v>
      </c>
      <c r="J82" s="27">
        <f t="shared" si="33"/>
        <v>0</v>
      </c>
      <c r="K82" s="27">
        <f t="shared" si="33"/>
        <v>0</v>
      </c>
      <c r="L82" s="27">
        <f t="shared" si="33"/>
        <v>0</v>
      </c>
      <c r="M82" s="27">
        <f t="shared" si="33"/>
        <v>0</v>
      </c>
      <c r="N82" s="27">
        <f t="shared" si="33"/>
        <v>0</v>
      </c>
      <c r="O82" s="27">
        <f t="shared" si="33"/>
        <v>0</v>
      </c>
      <c r="P82" s="42">
        <f t="shared" si="24"/>
        <v>0</v>
      </c>
      <c r="V82" s="1">
        <v>4</v>
      </c>
      <c r="W82" s="52">
        <f t="shared" si="25"/>
        <v>0</v>
      </c>
      <c r="Y82" s="15">
        <f t="shared" si="26"/>
        <v>0</v>
      </c>
      <c r="Z82" s="52">
        <f t="shared" si="26"/>
        <v>0</v>
      </c>
      <c r="AB82" s="15">
        <f t="shared" si="27"/>
        <v>0</v>
      </c>
    </row>
    <row r="83" spans="1:28" ht="15" x14ac:dyDescent="0.25">
      <c r="A83" s="1">
        <v>5</v>
      </c>
      <c r="B83" s="12">
        <f t="shared" si="30"/>
        <v>0</v>
      </c>
      <c r="C83" s="11">
        <f t="shared" si="30"/>
        <v>0</v>
      </c>
      <c r="D83" s="27">
        <f t="shared" si="22"/>
        <v>0</v>
      </c>
      <c r="E83" s="27">
        <f t="shared" si="22"/>
        <v>0</v>
      </c>
      <c r="F83" s="27">
        <f t="shared" si="22"/>
        <v>0</v>
      </c>
      <c r="G83" s="27">
        <f t="shared" ref="G83:O83" si="34">MAX(0,G56-3000)</f>
        <v>450.44000000000005</v>
      </c>
      <c r="H83" s="27">
        <f t="shared" si="34"/>
        <v>858.02399999999989</v>
      </c>
      <c r="I83" s="27">
        <f t="shared" si="34"/>
        <v>693.92999999999984</v>
      </c>
      <c r="J83" s="27">
        <f t="shared" si="34"/>
        <v>911.69700000000012</v>
      </c>
      <c r="K83" s="27">
        <f t="shared" si="34"/>
        <v>885</v>
      </c>
      <c r="L83" s="27">
        <f t="shared" si="34"/>
        <v>581.14499999999998</v>
      </c>
      <c r="M83" s="27">
        <f t="shared" si="34"/>
        <v>55.420999999999822</v>
      </c>
      <c r="N83" s="27">
        <f t="shared" si="34"/>
        <v>0</v>
      </c>
      <c r="O83" s="27">
        <f t="shared" si="34"/>
        <v>0</v>
      </c>
      <c r="P83" s="42">
        <f t="shared" si="24"/>
        <v>4435.6569999999992</v>
      </c>
      <c r="V83" s="1">
        <v>5</v>
      </c>
      <c r="W83" s="52">
        <f t="shared" si="25"/>
        <v>28831.770499999999</v>
      </c>
      <c r="Y83" s="15">
        <f t="shared" si="26"/>
        <v>31049.598999999998</v>
      </c>
      <c r="Z83" s="52">
        <f t="shared" si="26"/>
        <v>31049.598999999998</v>
      </c>
      <c r="AB83" s="15">
        <f t="shared" si="27"/>
        <v>31049.598999999998</v>
      </c>
    </row>
    <row r="84" spans="1:28" ht="15" x14ac:dyDescent="0.25">
      <c r="A84" s="1">
        <v>6</v>
      </c>
      <c r="B84" s="12">
        <f t="shared" si="30"/>
        <v>0</v>
      </c>
      <c r="C84" s="11">
        <f t="shared" si="30"/>
        <v>0</v>
      </c>
      <c r="D84" s="27">
        <f t="shared" si="22"/>
        <v>1475.3249999999998</v>
      </c>
      <c r="E84" s="27">
        <f t="shared" si="22"/>
        <v>1880.0200000000004</v>
      </c>
      <c r="F84" s="27">
        <f t="shared" si="22"/>
        <v>1434.5249999999996</v>
      </c>
      <c r="G84" s="27">
        <f t="shared" ref="G84:O84" si="35">MAX(0,G57-3000)</f>
        <v>1814.7790000000005</v>
      </c>
      <c r="H84" s="27">
        <f t="shared" si="35"/>
        <v>1723.3999999999996</v>
      </c>
      <c r="I84" s="27">
        <f t="shared" si="35"/>
        <v>1119.1229999999996</v>
      </c>
      <c r="J84" s="27">
        <f t="shared" si="35"/>
        <v>1821.9930000000004</v>
      </c>
      <c r="K84" s="27">
        <f t="shared" si="35"/>
        <v>2334.5519999999997</v>
      </c>
      <c r="L84" s="27">
        <f t="shared" si="35"/>
        <v>2154.96</v>
      </c>
      <c r="M84" s="27">
        <f t="shared" si="35"/>
        <v>1196.4179999999997</v>
      </c>
      <c r="N84" s="27">
        <f t="shared" si="35"/>
        <v>1699.3639999999996</v>
      </c>
      <c r="O84" s="27">
        <f t="shared" si="35"/>
        <v>1772.5309999999999</v>
      </c>
      <c r="P84" s="42">
        <f t="shared" si="24"/>
        <v>20426.990000000002</v>
      </c>
      <c r="V84" s="1">
        <v>6</v>
      </c>
      <c r="W84" s="52">
        <f t="shared" si="25"/>
        <v>132775.43500000003</v>
      </c>
      <c r="Y84" s="15">
        <f t="shared" si="26"/>
        <v>142988.93</v>
      </c>
      <c r="Z84" s="52">
        <f t="shared" si="26"/>
        <v>142988.93</v>
      </c>
      <c r="AB84" s="15">
        <f t="shared" si="27"/>
        <v>142988.93</v>
      </c>
    </row>
    <row r="85" spans="1:28" ht="15" x14ac:dyDescent="0.25">
      <c r="A85" s="1">
        <v>7</v>
      </c>
      <c r="B85" s="12">
        <f t="shared" si="30"/>
        <v>0</v>
      </c>
      <c r="C85" s="11">
        <f t="shared" si="30"/>
        <v>0</v>
      </c>
      <c r="D85" s="27">
        <f t="shared" si="22"/>
        <v>61.670000000000073</v>
      </c>
      <c r="E85" s="27">
        <f t="shared" si="22"/>
        <v>134.30600000000004</v>
      </c>
      <c r="F85" s="27">
        <f t="shared" si="22"/>
        <v>167.08699999999999</v>
      </c>
      <c r="G85" s="27">
        <f t="shared" ref="G85:O85" si="36">MAX(0,G58-3000)</f>
        <v>35.385999999999967</v>
      </c>
      <c r="H85" s="27">
        <f t="shared" si="36"/>
        <v>408.92000000000007</v>
      </c>
      <c r="I85" s="27">
        <f t="shared" si="36"/>
        <v>260.47600000000011</v>
      </c>
      <c r="J85" s="27">
        <f t="shared" si="36"/>
        <v>649.72499999999991</v>
      </c>
      <c r="K85" s="27">
        <f t="shared" si="36"/>
        <v>544.70899999999983</v>
      </c>
      <c r="L85" s="27">
        <f t="shared" si="36"/>
        <v>110.41800000000012</v>
      </c>
      <c r="M85" s="27">
        <f t="shared" si="36"/>
        <v>118.11400000000003</v>
      </c>
      <c r="N85" s="27">
        <f t="shared" si="36"/>
        <v>34.592000000000098</v>
      </c>
      <c r="O85" s="27">
        <f t="shared" si="36"/>
        <v>0</v>
      </c>
      <c r="P85" s="42">
        <f t="shared" si="24"/>
        <v>2525.4030000000002</v>
      </c>
      <c r="V85" s="1">
        <v>7</v>
      </c>
      <c r="W85" s="52">
        <f t="shared" si="25"/>
        <v>16415.119500000001</v>
      </c>
      <c r="Y85" s="15">
        <f t="shared" si="26"/>
        <v>17677.820999999996</v>
      </c>
      <c r="Z85" s="52">
        <f t="shared" si="26"/>
        <v>17677.820999999996</v>
      </c>
      <c r="AB85" s="15">
        <f t="shared" si="27"/>
        <v>17677.820999999996</v>
      </c>
    </row>
    <row r="86" spans="1:28" ht="15" x14ac:dyDescent="0.25">
      <c r="A86" s="1">
        <v>8</v>
      </c>
      <c r="B86" s="12" t="s">
        <v>25</v>
      </c>
      <c r="C86" s="11">
        <v>610074869</v>
      </c>
      <c r="D86" s="27">
        <f t="shared" si="22"/>
        <v>1179.9939999999997</v>
      </c>
      <c r="E86" s="27">
        <f t="shared" si="22"/>
        <v>1116.866</v>
      </c>
      <c r="F86" s="27">
        <f t="shared" si="22"/>
        <v>1122.7659999999996</v>
      </c>
      <c r="G86" s="27">
        <f t="shared" ref="G86:O86" si="37">MAX(0,G59-3000)</f>
        <v>1175.7380000000003</v>
      </c>
      <c r="H86" s="27">
        <f t="shared" si="37"/>
        <v>1152.0309999999999</v>
      </c>
      <c r="I86" s="27">
        <f t="shared" si="37"/>
        <v>1106.2939999999999</v>
      </c>
      <c r="J86" s="27">
        <f t="shared" si="37"/>
        <v>1239.0709999999999</v>
      </c>
      <c r="K86" s="27">
        <f t="shared" si="37"/>
        <v>1195.2430000000004</v>
      </c>
      <c r="L86" s="27">
        <f t="shared" si="37"/>
        <v>1110.0389999999998</v>
      </c>
      <c r="M86" s="27">
        <f t="shared" si="37"/>
        <v>1143.3459999999995</v>
      </c>
      <c r="N86" s="27">
        <f t="shared" si="37"/>
        <v>1199.8739999999998</v>
      </c>
      <c r="O86" s="27">
        <f t="shared" si="37"/>
        <v>1103.4840000000004</v>
      </c>
      <c r="P86" s="42">
        <f t="shared" si="24"/>
        <v>13844.746000000001</v>
      </c>
      <c r="V86" s="1">
        <v>8</v>
      </c>
      <c r="W86" s="52">
        <f t="shared" si="25"/>
        <v>89990.848999999987</v>
      </c>
      <c r="Y86" s="15">
        <f t="shared" si="26"/>
        <v>96913.221999999994</v>
      </c>
      <c r="Z86" s="52">
        <f t="shared" si="26"/>
        <v>96913.221999999994</v>
      </c>
      <c r="AB86" s="15">
        <f t="shared" si="27"/>
        <v>96913.221999999994</v>
      </c>
    </row>
    <row r="87" spans="1:28" ht="15" x14ac:dyDescent="0.25">
      <c r="A87" s="1">
        <v>9</v>
      </c>
      <c r="B87" s="12">
        <f t="shared" ref="B87:C99" si="38">B23</f>
        <v>0</v>
      </c>
      <c r="C87" s="11">
        <f t="shared" si="38"/>
        <v>0</v>
      </c>
      <c r="D87" s="27">
        <f>MAX(0,D60-3000)</f>
        <v>59256</v>
      </c>
      <c r="E87" s="27">
        <f>MAX(0,E60-3000)</f>
        <v>59379</v>
      </c>
      <c r="F87" s="27">
        <f>MAX(0,F60-3000)</f>
        <v>60189</v>
      </c>
      <c r="G87" s="27">
        <f t="shared" ref="G87:O87" si="39">MAX(0,G60-3000)</f>
        <v>58994.13</v>
      </c>
      <c r="H87" s="27">
        <f t="shared" si="39"/>
        <v>58517.53</v>
      </c>
      <c r="I87" s="27">
        <f t="shared" si="39"/>
        <v>56396.53</v>
      </c>
      <c r="J87" s="27">
        <f t="shared" si="39"/>
        <v>59813.1</v>
      </c>
      <c r="K87" s="27">
        <f t="shared" si="39"/>
        <v>58040.2</v>
      </c>
      <c r="L87" s="27">
        <f t="shared" si="39"/>
        <v>56942.23</v>
      </c>
      <c r="M87" s="27">
        <f t="shared" si="39"/>
        <v>58096.84</v>
      </c>
      <c r="N87" s="27">
        <f t="shared" si="39"/>
        <v>57588.02</v>
      </c>
      <c r="O87" s="27">
        <f t="shared" si="39"/>
        <v>57856.67</v>
      </c>
      <c r="P87" s="42">
        <f t="shared" si="24"/>
        <v>701069.25000000012</v>
      </c>
      <c r="V87" s="1">
        <v>9</v>
      </c>
      <c r="W87" s="52">
        <f t="shared" si="25"/>
        <v>4556950.125</v>
      </c>
      <c r="Y87" s="15">
        <f t="shared" ref="Y87:Y99" si="40">SUMPRODUCT($D87:$O87*Y$8)</f>
        <v>4907484.75</v>
      </c>
      <c r="AA87" s="52">
        <f>SUMPRODUCT($D87:$O87*AA$8)</f>
        <v>4206415.5</v>
      </c>
      <c r="AB87" s="15">
        <f t="shared" si="27"/>
        <v>4907484.75</v>
      </c>
    </row>
    <row r="88" spans="1:28" ht="15" x14ac:dyDescent="0.25">
      <c r="A88" s="1">
        <v>10</v>
      </c>
      <c r="B88" s="12">
        <f t="shared" si="38"/>
        <v>0</v>
      </c>
      <c r="C88" s="11">
        <f t="shared" si="38"/>
        <v>0</v>
      </c>
      <c r="D88" s="27">
        <f t="shared" ref="D88:F99" si="41">IF(D61&gt;3000,D61-3000,0)</f>
        <v>5442.4179999999997</v>
      </c>
      <c r="E88" s="27">
        <f t="shared" si="41"/>
        <v>5358.5110000000004</v>
      </c>
      <c r="F88" s="27">
        <f t="shared" si="41"/>
        <v>5105.5600000000004</v>
      </c>
      <c r="G88" s="27">
        <f t="shared" ref="G88:O88" si="42">MAX(0,G61-3000)</f>
        <v>5224.9040000000005</v>
      </c>
      <c r="H88" s="27">
        <f t="shared" si="42"/>
        <v>5483.3549999999996</v>
      </c>
      <c r="I88" s="27">
        <f t="shared" si="42"/>
        <v>5479.8610000000008</v>
      </c>
      <c r="J88" s="27">
        <f t="shared" si="42"/>
        <v>5624.3089999999993</v>
      </c>
      <c r="K88" s="27">
        <f t="shared" si="42"/>
        <v>5557.473</v>
      </c>
      <c r="L88" s="27">
        <f t="shared" si="42"/>
        <v>6557.9490000000005</v>
      </c>
      <c r="M88" s="27">
        <f t="shared" si="42"/>
        <v>5207.0059999999994</v>
      </c>
      <c r="N88" s="27">
        <f t="shared" si="42"/>
        <v>5147.16</v>
      </c>
      <c r="O88" s="27">
        <f t="shared" si="42"/>
        <v>5210.1049999999996</v>
      </c>
      <c r="P88" s="42">
        <f t="shared" si="24"/>
        <v>65398.611000000004</v>
      </c>
      <c r="V88" s="1">
        <v>10</v>
      </c>
      <c r="W88" s="52">
        <f t="shared" si="25"/>
        <v>425090.97149999993</v>
      </c>
      <c r="Y88" s="15">
        <f t="shared" si="40"/>
        <v>457790.277</v>
      </c>
      <c r="Z88" s="52">
        <f t="shared" ref="Z88:Z99" si="43">SUMPRODUCT($D88:$O88*Z$8)</f>
        <v>457790.277</v>
      </c>
      <c r="AB88" s="15">
        <f t="shared" si="27"/>
        <v>457790.277</v>
      </c>
    </row>
    <row r="89" spans="1:28" ht="15" x14ac:dyDescent="0.25">
      <c r="A89" s="1">
        <v>11</v>
      </c>
      <c r="B89" s="12">
        <f t="shared" si="38"/>
        <v>0</v>
      </c>
      <c r="C89" s="11">
        <f t="shared" si="38"/>
        <v>0</v>
      </c>
      <c r="D89" s="27">
        <f t="shared" si="41"/>
        <v>5657.7160000000003</v>
      </c>
      <c r="E89" s="27">
        <f t="shared" si="41"/>
        <v>5652.4400000000005</v>
      </c>
      <c r="F89" s="27">
        <f t="shared" si="41"/>
        <v>5902.7880000000005</v>
      </c>
      <c r="G89" s="27">
        <f t="shared" ref="G89:O89" si="44">MAX(0,G62-3000)</f>
        <v>6184</v>
      </c>
      <c r="H89" s="27">
        <f t="shared" si="44"/>
        <v>6377.5310000000009</v>
      </c>
      <c r="I89" s="27">
        <f t="shared" si="44"/>
        <v>5867.607</v>
      </c>
      <c r="J89" s="27">
        <f t="shared" si="44"/>
        <v>5953.0669999999991</v>
      </c>
      <c r="K89" s="27">
        <f t="shared" si="44"/>
        <v>5889.2520000000004</v>
      </c>
      <c r="L89" s="27">
        <f t="shared" si="44"/>
        <v>5913.0679999999993</v>
      </c>
      <c r="M89" s="27">
        <f t="shared" si="44"/>
        <v>6166.2610000000004</v>
      </c>
      <c r="N89" s="27">
        <f t="shared" si="44"/>
        <v>6181.9779999999992</v>
      </c>
      <c r="O89" s="27">
        <f t="shared" si="44"/>
        <v>6106.7780000000002</v>
      </c>
      <c r="P89" s="42">
        <f t="shared" si="24"/>
        <v>71852.486000000004</v>
      </c>
      <c r="V89" s="1">
        <v>11</v>
      </c>
      <c r="W89" s="52">
        <f t="shared" si="25"/>
        <v>467041.15899999999</v>
      </c>
      <c r="Y89" s="15">
        <f t="shared" si="40"/>
        <v>502967.402</v>
      </c>
      <c r="Z89" s="52">
        <f t="shared" si="43"/>
        <v>502967.402</v>
      </c>
      <c r="AB89" s="15">
        <f t="shared" si="27"/>
        <v>502967.402</v>
      </c>
    </row>
    <row r="90" spans="1:28" ht="15" x14ac:dyDescent="0.25">
      <c r="A90" s="1">
        <v>12</v>
      </c>
      <c r="B90" s="12">
        <f t="shared" si="38"/>
        <v>0</v>
      </c>
      <c r="C90" s="11">
        <f t="shared" si="38"/>
        <v>0</v>
      </c>
      <c r="D90" s="27">
        <f t="shared" si="41"/>
        <v>2071.4459999999999</v>
      </c>
      <c r="E90" s="27">
        <f t="shared" si="41"/>
        <v>2121.7960000000003</v>
      </c>
      <c r="F90" s="27">
        <f t="shared" si="41"/>
        <v>2189.1419999999998</v>
      </c>
      <c r="G90" s="27">
        <f t="shared" ref="G90:O90" si="45">MAX(0,G63-3000)</f>
        <v>4026.4409999999998</v>
      </c>
      <c r="H90" s="27">
        <f t="shared" si="45"/>
        <v>4631.1180000000004</v>
      </c>
      <c r="I90" s="27">
        <f t="shared" si="45"/>
        <v>4475.982</v>
      </c>
      <c r="J90" s="27">
        <f t="shared" si="45"/>
        <v>5008.9009999999998</v>
      </c>
      <c r="K90" s="27">
        <f t="shared" si="45"/>
        <v>5512.1190000000006</v>
      </c>
      <c r="L90" s="27">
        <f t="shared" si="45"/>
        <v>4510.1090000000004</v>
      </c>
      <c r="M90" s="27">
        <f t="shared" si="45"/>
        <v>3467.3239999999996</v>
      </c>
      <c r="N90" s="27">
        <f t="shared" si="45"/>
        <v>2024.3389999999999</v>
      </c>
      <c r="O90" s="27">
        <f t="shared" si="45"/>
        <v>2040.6610000000001</v>
      </c>
      <c r="P90" s="42">
        <f t="shared" si="24"/>
        <v>42079.378000000004</v>
      </c>
      <c r="V90" s="1">
        <v>12</v>
      </c>
      <c r="W90" s="52">
        <f t="shared" si="25"/>
        <v>273515.95700000005</v>
      </c>
      <c r="Y90" s="15">
        <f t="shared" si="40"/>
        <v>294555.64600000001</v>
      </c>
      <c r="Z90" s="52">
        <f t="shared" si="43"/>
        <v>294555.64600000001</v>
      </c>
      <c r="AB90" s="15">
        <f t="shared" si="27"/>
        <v>294555.64600000001</v>
      </c>
    </row>
    <row r="91" spans="1:28" ht="15" x14ac:dyDescent="0.25">
      <c r="A91" s="1">
        <v>13</v>
      </c>
      <c r="B91" s="12">
        <f t="shared" si="38"/>
        <v>0</v>
      </c>
      <c r="C91" s="11">
        <f t="shared" si="38"/>
        <v>0</v>
      </c>
      <c r="D91" s="27">
        <f t="shared" si="41"/>
        <v>0</v>
      </c>
      <c r="E91" s="27">
        <f t="shared" si="41"/>
        <v>0</v>
      </c>
      <c r="F91" s="27">
        <f t="shared" si="41"/>
        <v>0</v>
      </c>
      <c r="G91" s="27">
        <f t="shared" ref="G91:O91" si="46">MAX(0,G64-3000)</f>
        <v>0</v>
      </c>
      <c r="H91" s="27">
        <f t="shared" si="46"/>
        <v>0</v>
      </c>
      <c r="I91" s="27">
        <f t="shared" si="46"/>
        <v>0</v>
      </c>
      <c r="J91" s="27">
        <f t="shared" si="46"/>
        <v>0</v>
      </c>
      <c r="K91" s="27">
        <f t="shared" si="46"/>
        <v>0</v>
      </c>
      <c r="L91" s="27">
        <f t="shared" si="46"/>
        <v>0</v>
      </c>
      <c r="M91" s="27">
        <f t="shared" si="46"/>
        <v>0</v>
      </c>
      <c r="N91" s="27">
        <f t="shared" si="46"/>
        <v>0</v>
      </c>
      <c r="O91" s="27">
        <f t="shared" si="46"/>
        <v>0</v>
      </c>
      <c r="P91" s="42">
        <f t="shared" si="24"/>
        <v>0</v>
      </c>
      <c r="V91" s="1">
        <v>13</v>
      </c>
      <c r="W91" s="52">
        <f t="shared" si="25"/>
        <v>0</v>
      </c>
      <c r="Y91" s="15">
        <f t="shared" si="40"/>
        <v>0</v>
      </c>
      <c r="Z91" s="52">
        <f t="shared" si="43"/>
        <v>0</v>
      </c>
      <c r="AB91" s="15">
        <f t="shared" si="27"/>
        <v>0</v>
      </c>
    </row>
    <row r="92" spans="1:28" ht="15" x14ac:dyDescent="0.25">
      <c r="A92" s="1">
        <v>14</v>
      </c>
      <c r="B92" s="12">
        <f t="shared" si="38"/>
        <v>0</v>
      </c>
      <c r="C92" s="11">
        <f t="shared" si="38"/>
        <v>0</v>
      </c>
      <c r="D92" s="27">
        <f t="shared" si="41"/>
        <v>3008.5889999999999</v>
      </c>
      <c r="E92" s="27">
        <f t="shared" si="41"/>
        <v>2809.049</v>
      </c>
      <c r="F92" s="27">
        <f t="shared" si="41"/>
        <v>3148.5940000000001</v>
      </c>
      <c r="G92" s="27">
        <f t="shared" ref="G92:O92" si="47">MAX(0,G65-3000)</f>
        <v>3208.0169999999998</v>
      </c>
      <c r="H92" s="27">
        <f t="shared" si="47"/>
        <v>3002.5249999999996</v>
      </c>
      <c r="I92" s="27">
        <f t="shared" si="47"/>
        <v>3222.2669999999998</v>
      </c>
      <c r="J92" s="27">
        <f t="shared" si="47"/>
        <v>3246.7430000000004</v>
      </c>
      <c r="K92" s="27">
        <f t="shared" si="47"/>
        <v>3290.1589999999997</v>
      </c>
      <c r="L92" s="27">
        <f t="shared" si="47"/>
        <v>2921.3220000000001</v>
      </c>
      <c r="M92" s="27">
        <f t="shared" si="47"/>
        <v>3413.4849999999997</v>
      </c>
      <c r="N92" s="27">
        <f t="shared" si="47"/>
        <v>2857.6760000000004</v>
      </c>
      <c r="O92" s="27">
        <f t="shared" si="47"/>
        <v>3328.8339999999998</v>
      </c>
      <c r="P92" s="42">
        <f t="shared" si="24"/>
        <v>37457.26</v>
      </c>
      <c r="V92" s="1">
        <v>14</v>
      </c>
      <c r="W92" s="52">
        <f t="shared" si="25"/>
        <v>243472.18999999997</v>
      </c>
      <c r="Y92" s="15">
        <f t="shared" si="40"/>
        <v>262200.81999999995</v>
      </c>
      <c r="Z92" s="52">
        <f t="shared" si="43"/>
        <v>262200.81999999995</v>
      </c>
      <c r="AB92" s="15">
        <f t="shared" si="27"/>
        <v>262200.81999999995</v>
      </c>
    </row>
    <row r="93" spans="1:28" ht="15" x14ac:dyDescent="0.25">
      <c r="A93" s="1">
        <v>15</v>
      </c>
      <c r="B93" s="12">
        <f t="shared" si="38"/>
        <v>0</v>
      </c>
      <c r="C93" s="11">
        <f t="shared" si="38"/>
        <v>0</v>
      </c>
      <c r="D93" s="27">
        <f t="shared" si="41"/>
        <v>65.389999999999873</v>
      </c>
      <c r="E93" s="27">
        <f t="shared" si="41"/>
        <v>0</v>
      </c>
      <c r="F93" s="27">
        <f t="shared" si="41"/>
        <v>0</v>
      </c>
      <c r="G93" s="27">
        <f t="shared" ref="G93:O93" si="48">MAX(0,G66-3000)</f>
        <v>177.04399999999987</v>
      </c>
      <c r="H93" s="27">
        <f t="shared" si="48"/>
        <v>683.09099999999989</v>
      </c>
      <c r="I93" s="27">
        <f t="shared" si="48"/>
        <v>760.29300000000012</v>
      </c>
      <c r="J93" s="27">
        <f t="shared" si="48"/>
        <v>950.19799999999987</v>
      </c>
      <c r="K93" s="27">
        <f t="shared" si="48"/>
        <v>875.2510000000002</v>
      </c>
      <c r="L93" s="27">
        <f t="shared" si="48"/>
        <v>607.34799999999996</v>
      </c>
      <c r="M93" s="27">
        <f t="shared" si="48"/>
        <v>124.81100000000015</v>
      </c>
      <c r="N93" s="27">
        <f t="shared" si="48"/>
        <v>0</v>
      </c>
      <c r="O93" s="27">
        <f t="shared" si="48"/>
        <v>0</v>
      </c>
      <c r="P93" s="42">
        <f t="shared" si="24"/>
        <v>4243.4259999999995</v>
      </c>
      <c r="V93" s="1">
        <v>15</v>
      </c>
      <c r="W93" s="52">
        <f t="shared" si="25"/>
        <v>27582.269000000004</v>
      </c>
      <c r="Y93" s="15">
        <f t="shared" si="40"/>
        <v>29703.982</v>
      </c>
      <c r="Z93" s="52">
        <f t="shared" si="43"/>
        <v>29703.982</v>
      </c>
      <c r="AB93" s="15">
        <f t="shared" si="27"/>
        <v>29703.982</v>
      </c>
    </row>
    <row r="94" spans="1:28" ht="15" x14ac:dyDescent="0.25">
      <c r="A94" s="1">
        <v>16</v>
      </c>
      <c r="B94" s="12">
        <f t="shared" si="38"/>
        <v>0</v>
      </c>
      <c r="C94" s="11">
        <f t="shared" si="38"/>
        <v>0</v>
      </c>
      <c r="D94" s="27">
        <f t="shared" si="41"/>
        <v>1777.3739999999998</v>
      </c>
      <c r="E94" s="27">
        <f t="shared" si="41"/>
        <v>1899.0110000000004</v>
      </c>
      <c r="F94" s="27">
        <f t="shared" si="41"/>
        <v>1820.9589999999998</v>
      </c>
      <c r="G94" s="27">
        <f t="shared" ref="G94:O94" si="49">MAX(0,G67-3000)</f>
        <v>1753.4470000000001</v>
      </c>
      <c r="H94" s="27">
        <f t="shared" si="49"/>
        <v>1477.8860000000004</v>
      </c>
      <c r="I94" s="27">
        <f t="shared" si="49"/>
        <v>1414.1220000000003</v>
      </c>
      <c r="J94" s="27">
        <f t="shared" si="49"/>
        <v>1523.0389999999998</v>
      </c>
      <c r="K94" s="27">
        <f t="shared" si="49"/>
        <v>1447.9089999999997</v>
      </c>
      <c r="L94" s="27">
        <f t="shared" si="49"/>
        <v>1598.1149999999998</v>
      </c>
      <c r="M94" s="27">
        <f t="shared" si="49"/>
        <v>1784.4449999999997</v>
      </c>
      <c r="N94" s="27">
        <f t="shared" si="49"/>
        <v>1793.2470000000003</v>
      </c>
      <c r="O94" s="27">
        <f t="shared" si="49"/>
        <v>1869.4759999999997</v>
      </c>
      <c r="P94" s="42">
        <f t="shared" si="24"/>
        <v>20159.03</v>
      </c>
      <c r="V94" s="1">
        <v>16</v>
      </c>
      <c r="W94" s="52">
        <f t="shared" si="25"/>
        <v>131033.69500000001</v>
      </c>
      <c r="Y94" s="15">
        <f t="shared" si="40"/>
        <v>141113.21000000002</v>
      </c>
      <c r="Z94" s="52">
        <f t="shared" si="43"/>
        <v>141113.21000000002</v>
      </c>
      <c r="AB94" s="15">
        <f t="shared" si="27"/>
        <v>141113.21000000002</v>
      </c>
    </row>
    <row r="95" spans="1:28" ht="15" x14ac:dyDescent="0.25">
      <c r="A95" s="1">
        <v>17</v>
      </c>
      <c r="B95" s="12">
        <f t="shared" si="38"/>
        <v>0</v>
      </c>
      <c r="C95" s="11">
        <f t="shared" si="38"/>
        <v>0</v>
      </c>
      <c r="D95" s="27">
        <f t="shared" si="41"/>
        <v>1509.5410000000002</v>
      </c>
      <c r="E95" s="27">
        <f t="shared" si="41"/>
        <v>1640.6400000000003</v>
      </c>
      <c r="F95" s="27">
        <f t="shared" si="41"/>
        <v>1637.1379999999999</v>
      </c>
      <c r="G95" s="27">
        <f t="shared" ref="G95:O95" si="50">MAX(0,G68-3000)</f>
        <v>1368.6319999999996</v>
      </c>
      <c r="H95" s="27">
        <f t="shared" si="50"/>
        <v>971.70699999999988</v>
      </c>
      <c r="I95" s="27">
        <f t="shared" si="50"/>
        <v>937.00300000000016</v>
      </c>
      <c r="J95" s="27">
        <f t="shared" si="50"/>
        <v>983.56500000000005</v>
      </c>
      <c r="K95" s="27">
        <f t="shared" si="50"/>
        <v>1133.5439999999999</v>
      </c>
      <c r="L95" s="27">
        <f t="shared" si="50"/>
        <v>1257.915</v>
      </c>
      <c r="M95" s="27">
        <f t="shared" si="50"/>
        <v>1457.1499999999996</v>
      </c>
      <c r="N95" s="27">
        <f t="shared" si="50"/>
        <v>1390.9139999999998</v>
      </c>
      <c r="O95" s="27">
        <f t="shared" si="50"/>
        <v>1512.5990000000002</v>
      </c>
      <c r="P95" s="42">
        <f t="shared" si="24"/>
        <v>15800.348</v>
      </c>
      <c r="V95" s="1">
        <v>17</v>
      </c>
      <c r="W95" s="52">
        <f t="shared" si="25"/>
        <v>102702.26199999999</v>
      </c>
      <c r="Y95" s="15">
        <f t="shared" si="40"/>
        <v>110602.43600000002</v>
      </c>
      <c r="Z95" s="52">
        <f t="shared" si="43"/>
        <v>110602.43600000002</v>
      </c>
      <c r="AB95" s="15">
        <f t="shared" si="27"/>
        <v>110602.43600000002</v>
      </c>
    </row>
    <row r="96" spans="1:28" ht="15" x14ac:dyDescent="0.25">
      <c r="A96" s="1">
        <v>18</v>
      </c>
      <c r="B96" s="12">
        <f t="shared" si="38"/>
        <v>0</v>
      </c>
      <c r="C96" s="11">
        <f t="shared" si="38"/>
        <v>0</v>
      </c>
      <c r="D96" s="27">
        <f t="shared" si="41"/>
        <v>5308</v>
      </c>
      <c r="E96" s="27">
        <f t="shared" si="41"/>
        <v>4585</v>
      </c>
      <c r="F96" s="27">
        <f t="shared" si="41"/>
        <v>4410</v>
      </c>
      <c r="G96" s="27">
        <f t="shared" ref="G96:O96" si="51">MAX(0,G69-3000)</f>
        <v>6091.2000000000007</v>
      </c>
      <c r="H96" s="27">
        <f t="shared" si="51"/>
        <v>6326.83</v>
      </c>
      <c r="I96" s="27">
        <f t="shared" si="51"/>
        <v>6601.17</v>
      </c>
      <c r="J96" s="27">
        <f t="shared" si="51"/>
        <v>7739.17</v>
      </c>
      <c r="K96" s="27">
        <f t="shared" si="51"/>
        <v>7982.51</v>
      </c>
      <c r="L96" s="27">
        <f t="shared" si="51"/>
        <v>6616.0300000000007</v>
      </c>
      <c r="M96" s="27">
        <f t="shared" si="51"/>
        <v>4396.07</v>
      </c>
      <c r="N96" s="27">
        <f t="shared" si="51"/>
        <v>4264.42</v>
      </c>
      <c r="O96" s="27">
        <f t="shared" si="51"/>
        <v>4321.84</v>
      </c>
      <c r="P96" s="42">
        <f t="shared" si="24"/>
        <v>68642.239999999991</v>
      </c>
      <c r="V96" s="1">
        <v>18</v>
      </c>
      <c r="W96" s="52">
        <f t="shared" si="25"/>
        <v>446174.56</v>
      </c>
      <c r="Y96" s="15">
        <f t="shared" si="40"/>
        <v>480495.68000000005</v>
      </c>
      <c r="Z96" s="52">
        <f t="shared" si="43"/>
        <v>480495.68000000005</v>
      </c>
      <c r="AB96" s="15">
        <f t="shared" si="27"/>
        <v>480495.68000000005</v>
      </c>
    </row>
    <row r="97" spans="1:28" ht="15" x14ac:dyDescent="0.25">
      <c r="A97" s="1">
        <v>19</v>
      </c>
      <c r="B97" s="12">
        <f t="shared" si="38"/>
        <v>0</v>
      </c>
      <c r="C97" s="11">
        <f t="shared" si="38"/>
        <v>0</v>
      </c>
      <c r="D97" s="27">
        <f t="shared" si="41"/>
        <v>2683.2809999999999</v>
      </c>
      <c r="E97" s="27">
        <f t="shared" si="41"/>
        <v>2615.9319999999998</v>
      </c>
      <c r="F97" s="27">
        <f t="shared" si="41"/>
        <v>2617.817</v>
      </c>
      <c r="G97" s="27">
        <f t="shared" ref="G97:O97" si="52">MAX(0,G70-3000)</f>
        <v>2574.0569999999998</v>
      </c>
      <c r="H97" s="27">
        <f t="shared" si="52"/>
        <v>2024.5339999999997</v>
      </c>
      <c r="I97" s="27">
        <f t="shared" si="52"/>
        <v>1956.9750000000004</v>
      </c>
      <c r="J97" s="27">
        <f t="shared" si="52"/>
        <v>1832.4830000000002</v>
      </c>
      <c r="K97" s="27">
        <f t="shared" si="52"/>
        <v>2151.4189999999999</v>
      </c>
      <c r="L97" s="27">
        <f t="shared" si="52"/>
        <v>2185.6850000000004</v>
      </c>
      <c r="M97" s="27">
        <f t="shared" si="52"/>
        <v>2362.3459999999995</v>
      </c>
      <c r="N97" s="27">
        <f t="shared" si="52"/>
        <v>2780.5309999999999</v>
      </c>
      <c r="O97" s="27">
        <f t="shared" si="52"/>
        <v>2915.085</v>
      </c>
      <c r="P97" s="42">
        <f t="shared" si="24"/>
        <v>28700.145</v>
      </c>
      <c r="V97" s="1">
        <v>19</v>
      </c>
      <c r="W97" s="52">
        <f t="shared" si="25"/>
        <v>186550.94249999998</v>
      </c>
      <c r="Y97" s="15">
        <f t="shared" si="40"/>
        <v>200901.01499999998</v>
      </c>
      <c r="Z97" s="52">
        <f t="shared" si="43"/>
        <v>200901.01499999998</v>
      </c>
      <c r="AB97" s="15">
        <f t="shared" si="27"/>
        <v>200901.01499999998</v>
      </c>
    </row>
    <row r="98" spans="1:28" ht="15" x14ac:dyDescent="0.25">
      <c r="A98" s="1">
        <v>20</v>
      </c>
      <c r="B98" s="12">
        <f t="shared" si="38"/>
        <v>0</v>
      </c>
      <c r="C98" s="11">
        <f t="shared" si="38"/>
        <v>0</v>
      </c>
      <c r="D98" s="27">
        <f t="shared" si="41"/>
        <v>1817.3819999999996</v>
      </c>
      <c r="E98" s="27">
        <f t="shared" si="41"/>
        <v>2010.6570000000002</v>
      </c>
      <c r="F98" s="27">
        <f t="shared" si="41"/>
        <v>2289.2520000000004</v>
      </c>
      <c r="G98" s="27">
        <f t="shared" ref="G98:O98" si="53">MAX(0,G71-3000)</f>
        <v>2335.1059999999998</v>
      </c>
      <c r="H98" s="27">
        <f t="shared" si="53"/>
        <v>1795.3310000000001</v>
      </c>
      <c r="I98" s="27">
        <f t="shared" si="53"/>
        <v>1586.6450000000004</v>
      </c>
      <c r="J98" s="27">
        <f t="shared" si="53"/>
        <v>1694.7389999999996</v>
      </c>
      <c r="K98" s="27">
        <f t="shared" si="53"/>
        <v>2016.1980000000003</v>
      </c>
      <c r="L98" s="27">
        <f t="shared" si="53"/>
        <v>1987.9470000000001</v>
      </c>
      <c r="M98" s="27">
        <f t="shared" si="53"/>
        <v>2059.4920000000002</v>
      </c>
      <c r="N98" s="27">
        <f t="shared" si="53"/>
        <v>2305.9480000000003</v>
      </c>
      <c r="O98" s="27">
        <f t="shared" si="53"/>
        <v>2437.4110000000001</v>
      </c>
      <c r="P98" s="42">
        <f t="shared" si="24"/>
        <v>24336.108000000004</v>
      </c>
      <c r="V98" s="1">
        <v>20</v>
      </c>
      <c r="W98" s="52">
        <f t="shared" si="25"/>
        <v>158184.70199999999</v>
      </c>
      <c r="Y98" s="15">
        <f t="shared" si="40"/>
        <v>170352.75599999999</v>
      </c>
      <c r="Z98" s="52">
        <f t="shared" si="43"/>
        <v>170352.75599999999</v>
      </c>
      <c r="AB98" s="15">
        <f t="shared" si="27"/>
        <v>170352.75599999999</v>
      </c>
    </row>
    <row r="99" spans="1:28" ht="15" x14ac:dyDescent="0.25">
      <c r="A99" s="1">
        <v>21</v>
      </c>
      <c r="B99" s="12">
        <f t="shared" si="38"/>
        <v>0</v>
      </c>
      <c r="C99" s="11">
        <f t="shared" si="38"/>
        <v>0</v>
      </c>
      <c r="D99" s="27">
        <f t="shared" si="41"/>
        <v>1338.6229999999996</v>
      </c>
      <c r="E99" s="27">
        <f t="shared" si="41"/>
        <v>1320.7179999999998</v>
      </c>
      <c r="F99" s="27">
        <f t="shared" si="41"/>
        <v>1136.3190000000004</v>
      </c>
      <c r="G99" s="27">
        <f t="shared" ref="G99:O99" si="54">MAX(0,G72-3000)</f>
        <v>2872.9449999999997</v>
      </c>
      <c r="H99" s="27">
        <f t="shared" si="54"/>
        <v>2696.3199999999997</v>
      </c>
      <c r="I99" s="27">
        <f t="shared" si="54"/>
        <v>2612.3180000000002</v>
      </c>
      <c r="J99" s="27">
        <f t="shared" si="54"/>
        <v>3844.5559999999996</v>
      </c>
      <c r="K99" s="27">
        <f t="shared" si="54"/>
        <v>4163.116</v>
      </c>
      <c r="L99" s="27">
        <f t="shared" si="54"/>
        <v>3990.2089999999998</v>
      </c>
      <c r="M99" s="27">
        <f t="shared" si="54"/>
        <v>2036.2150000000001</v>
      </c>
      <c r="N99" s="27">
        <f t="shared" si="54"/>
        <v>1252.4620000000004</v>
      </c>
      <c r="O99" s="27">
        <f t="shared" si="54"/>
        <v>1379.9300000000003</v>
      </c>
      <c r="P99" s="42">
        <f t="shared" si="24"/>
        <v>28643.731</v>
      </c>
      <c r="V99" s="1">
        <v>21</v>
      </c>
      <c r="W99" s="52">
        <f t="shared" si="25"/>
        <v>186184.25149999998</v>
      </c>
      <c r="Y99" s="15">
        <f t="shared" si="40"/>
        <v>200506.117</v>
      </c>
      <c r="Z99" s="52">
        <f t="shared" si="43"/>
        <v>200506.117</v>
      </c>
      <c r="AB99" s="15">
        <f t="shared" si="27"/>
        <v>200506.117</v>
      </c>
    </row>
    <row r="100" spans="1:28" ht="15" x14ac:dyDescent="0.25">
      <c r="B100" s="1" t="s">
        <v>6</v>
      </c>
      <c r="C100" s="51"/>
      <c r="D100" s="34">
        <f t="shared" ref="D100:O100" si="55">SUM(D77:D99)</f>
        <v>102203.64599999998</v>
      </c>
      <c r="E100" s="34">
        <f t="shared" si="55"/>
        <v>103695.31200000001</v>
      </c>
      <c r="F100" s="34">
        <f t="shared" si="55"/>
        <v>104132.39100000002</v>
      </c>
      <c r="G100" s="34">
        <f t="shared" si="55"/>
        <v>110353.24099999998</v>
      </c>
      <c r="H100" s="34">
        <f t="shared" si="55"/>
        <v>108303.334</v>
      </c>
      <c r="I100" s="34">
        <f t="shared" si="55"/>
        <v>105562.72300000003</v>
      </c>
      <c r="J100" s="34">
        <f t="shared" si="55"/>
        <v>113399.31600000001</v>
      </c>
      <c r="K100" s="34">
        <f t="shared" si="55"/>
        <v>114159.48899999999</v>
      </c>
      <c r="L100" s="34">
        <f t="shared" si="55"/>
        <v>109398.17499999999</v>
      </c>
      <c r="M100" s="33">
        <f t="shared" si="55"/>
        <v>104853.17999999998</v>
      </c>
      <c r="N100" s="33">
        <f t="shared" si="55"/>
        <v>100805.55200000001</v>
      </c>
      <c r="O100" s="33">
        <f t="shared" si="55"/>
        <v>102528.03399999999</v>
      </c>
      <c r="P100" s="33">
        <f>IF(ROUND(SUM(P77:P99),0)&lt;&gt;ROUND(SUM(D100:O100),0),#VALUE!,SUM(P77:P99))</f>
        <v>1279394.3930000002</v>
      </c>
      <c r="W100" s="15">
        <f>SUM(W77:W99)-P100*W8</f>
        <v>0</v>
      </c>
      <c r="X100" s="15"/>
      <c r="Y100" s="15">
        <f>SUM(Y77:Y99)-P100*Y8</f>
        <v>0</v>
      </c>
    </row>
    <row r="101" spans="1:28" x14ac:dyDescent="0.2">
      <c r="C101" s="51"/>
      <c r="D101" s="27"/>
      <c r="E101" s="27"/>
      <c r="F101" s="27"/>
      <c r="G101" s="27"/>
      <c r="H101" s="27"/>
      <c r="I101" s="27"/>
      <c r="J101" s="27"/>
      <c r="K101" s="27"/>
      <c r="L101" s="27"/>
      <c r="M101" s="42"/>
      <c r="N101" s="42"/>
      <c r="O101" s="42"/>
      <c r="P101" s="42"/>
    </row>
    <row r="102" spans="1:28" x14ac:dyDescent="0.2">
      <c r="D102" s="50"/>
      <c r="E102" s="50"/>
      <c r="F102" s="50"/>
      <c r="G102" s="50"/>
      <c r="H102" s="50"/>
      <c r="I102" s="50"/>
      <c r="J102" s="50"/>
      <c r="K102" s="50"/>
      <c r="L102" s="50"/>
      <c r="M102" s="49"/>
      <c r="N102" s="49"/>
      <c r="O102" s="49"/>
      <c r="P102" s="49"/>
      <c r="W102" s="6" t="s">
        <v>24</v>
      </c>
    </row>
    <row r="103" spans="1:28" x14ac:dyDescent="0.2">
      <c r="D103" s="50"/>
      <c r="E103" s="50"/>
      <c r="F103" s="50"/>
      <c r="G103" s="50"/>
      <c r="H103" s="50"/>
      <c r="I103" s="50"/>
      <c r="J103" s="50"/>
      <c r="K103" s="50"/>
      <c r="L103" s="50"/>
      <c r="M103" s="49"/>
      <c r="N103" s="49"/>
      <c r="O103" s="49"/>
      <c r="P103" s="49"/>
      <c r="V103" s="1">
        <v>1</v>
      </c>
      <c r="W103" s="18">
        <f>P50*$C$122</f>
        <v>-26229.790800000002</v>
      </c>
      <c r="Y103" s="18">
        <f t="shared" ref="Y103:Y125" si="56">W103</f>
        <v>-26229.790800000002</v>
      </c>
      <c r="Z103" s="18">
        <f t="shared" ref="Z103:Z112" si="57">Y103</f>
        <v>-26229.790800000002</v>
      </c>
      <c r="AB103" s="18">
        <f t="shared" ref="AB103:AB112" si="58">Z103</f>
        <v>-26229.790800000002</v>
      </c>
    </row>
    <row r="104" spans="1:28" x14ac:dyDescent="0.2">
      <c r="D104" s="50"/>
      <c r="E104" s="50"/>
      <c r="F104" s="50"/>
      <c r="G104" s="50"/>
      <c r="H104" s="50"/>
      <c r="I104" s="50"/>
      <c r="J104" s="50"/>
      <c r="K104" s="50"/>
      <c r="L104" s="50"/>
      <c r="M104" s="49"/>
      <c r="N104" s="49"/>
      <c r="O104" s="49"/>
      <c r="P104" s="48"/>
      <c r="V104" s="1">
        <v>22</v>
      </c>
      <c r="W104" s="18">
        <v>0</v>
      </c>
      <c r="Y104" s="18">
        <f t="shared" si="56"/>
        <v>0</v>
      </c>
      <c r="Z104" s="18">
        <f t="shared" si="57"/>
        <v>0</v>
      </c>
      <c r="AB104" s="18">
        <f t="shared" si="58"/>
        <v>0</v>
      </c>
    </row>
    <row r="105" spans="1:28" x14ac:dyDescent="0.2">
      <c r="B105" s="17" t="s">
        <v>23</v>
      </c>
      <c r="D105" s="47">
        <f t="shared" ref="D105:O105" si="59">D$12</f>
        <v>43101</v>
      </c>
      <c r="E105" s="47">
        <f t="shared" si="59"/>
        <v>43132</v>
      </c>
      <c r="F105" s="47">
        <f t="shared" si="59"/>
        <v>43160</v>
      </c>
      <c r="G105" s="47">
        <f t="shared" si="59"/>
        <v>43191</v>
      </c>
      <c r="H105" s="47">
        <f t="shared" si="59"/>
        <v>43221</v>
      </c>
      <c r="I105" s="47">
        <f t="shared" si="59"/>
        <v>43252</v>
      </c>
      <c r="J105" s="47">
        <f t="shared" si="59"/>
        <v>43282</v>
      </c>
      <c r="K105" s="47">
        <f t="shared" si="59"/>
        <v>43313</v>
      </c>
      <c r="L105" s="47">
        <f t="shared" si="59"/>
        <v>43344</v>
      </c>
      <c r="M105" s="7">
        <f t="shared" si="59"/>
        <v>43374</v>
      </c>
      <c r="N105" s="7">
        <f t="shared" si="59"/>
        <v>43405</v>
      </c>
      <c r="O105" s="7">
        <f t="shared" si="59"/>
        <v>43435</v>
      </c>
      <c r="P105" s="6" t="s">
        <v>15</v>
      </c>
      <c r="V105" s="1">
        <v>23</v>
      </c>
      <c r="W105" s="18">
        <f t="shared" ref="W105:W112" si="60">P52*$C$122</f>
        <v>-9063.3395999999993</v>
      </c>
      <c r="Y105" s="18">
        <f t="shared" si="56"/>
        <v>-9063.3395999999993</v>
      </c>
      <c r="Z105" s="18">
        <f t="shared" si="57"/>
        <v>-9063.3395999999993</v>
      </c>
      <c r="AB105" s="18">
        <f t="shared" si="58"/>
        <v>-9063.3395999999993</v>
      </c>
    </row>
    <row r="106" spans="1:28" x14ac:dyDescent="0.2">
      <c r="B106" s="1" t="s">
        <v>22</v>
      </c>
      <c r="D106" s="38"/>
      <c r="E106" s="38"/>
      <c r="F106" s="38"/>
      <c r="G106" s="38"/>
      <c r="H106" s="38"/>
      <c r="I106" s="38"/>
      <c r="J106" s="38"/>
      <c r="K106" s="38"/>
      <c r="L106" s="38"/>
      <c r="M106" s="45"/>
      <c r="N106" s="45"/>
      <c r="O106" s="45"/>
      <c r="P106" s="35">
        <f>SUM(D106:O106)</f>
        <v>0</v>
      </c>
      <c r="V106" s="1">
        <v>2</v>
      </c>
      <c r="W106" s="18">
        <f t="shared" si="60"/>
        <v>-12196.527600000001</v>
      </c>
      <c r="Y106" s="18">
        <f t="shared" si="56"/>
        <v>-12196.527600000001</v>
      </c>
      <c r="Z106" s="18">
        <f t="shared" si="57"/>
        <v>-12196.527600000001</v>
      </c>
      <c r="AB106" s="18">
        <f t="shared" si="58"/>
        <v>-12196.527600000001</v>
      </c>
    </row>
    <row r="107" spans="1:28" x14ac:dyDescent="0.2">
      <c r="B107" s="1" t="s">
        <v>18</v>
      </c>
      <c r="D107" s="46"/>
      <c r="E107" s="41"/>
      <c r="F107" s="41"/>
      <c r="G107" s="41"/>
      <c r="H107" s="41"/>
      <c r="I107" s="41"/>
      <c r="J107" s="41"/>
      <c r="K107" s="41"/>
      <c r="L107" s="41"/>
      <c r="M107" s="40"/>
      <c r="N107" s="40"/>
      <c r="O107" s="40"/>
      <c r="P107" s="39">
        <f>SUM(D107:O107)</f>
        <v>0</v>
      </c>
      <c r="V107" s="1">
        <v>3</v>
      </c>
      <c r="W107" s="18">
        <f t="shared" si="60"/>
        <v>-6872.5496000000003</v>
      </c>
      <c r="Y107" s="18">
        <f t="shared" si="56"/>
        <v>-6872.5496000000003</v>
      </c>
      <c r="Z107" s="18">
        <f t="shared" si="57"/>
        <v>-6872.5496000000003</v>
      </c>
      <c r="AB107" s="18">
        <f t="shared" si="58"/>
        <v>-6872.5496000000003</v>
      </c>
    </row>
    <row r="108" spans="1:28" x14ac:dyDescent="0.2">
      <c r="B108" s="1" t="s">
        <v>17</v>
      </c>
      <c r="D108" s="38"/>
      <c r="E108" s="38"/>
      <c r="F108" s="38"/>
      <c r="G108" s="38"/>
      <c r="H108" s="38"/>
      <c r="I108" s="38"/>
      <c r="J108" s="38"/>
      <c r="K108" s="38"/>
      <c r="L108" s="38"/>
      <c r="M108" s="45"/>
      <c r="N108" s="45"/>
      <c r="O108" s="45"/>
      <c r="P108" s="35">
        <f>SUM(D108:O108)</f>
        <v>0</v>
      </c>
      <c r="V108" s="1">
        <v>4</v>
      </c>
      <c r="W108" s="18">
        <f t="shared" si="60"/>
        <v>-6166.0421999999999</v>
      </c>
      <c r="Y108" s="18">
        <f t="shared" si="56"/>
        <v>-6166.0421999999999</v>
      </c>
      <c r="Z108" s="18">
        <f t="shared" si="57"/>
        <v>-6166.0421999999999</v>
      </c>
      <c r="AB108" s="18">
        <f t="shared" si="58"/>
        <v>-6166.0421999999999</v>
      </c>
    </row>
    <row r="109" spans="1:28" x14ac:dyDescent="0.2">
      <c r="A109" s="1" t="s">
        <v>16</v>
      </c>
      <c r="B109" s="1" t="s">
        <v>21</v>
      </c>
      <c r="D109" s="44">
        <f t="shared" ref="D109:P109" si="61">SUM(D106:D108)</f>
        <v>0</v>
      </c>
      <c r="E109" s="44">
        <f t="shared" si="61"/>
        <v>0</v>
      </c>
      <c r="F109" s="44">
        <f t="shared" si="61"/>
        <v>0</v>
      </c>
      <c r="G109" s="44">
        <f t="shared" si="61"/>
        <v>0</v>
      </c>
      <c r="H109" s="44">
        <f t="shared" si="61"/>
        <v>0</v>
      </c>
      <c r="I109" s="44">
        <f t="shared" si="61"/>
        <v>0</v>
      </c>
      <c r="J109" s="44">
        <f t="shared" si="61"/>
        <v>0</v>
      </c>
      <c r="K109" s="44">
        <f t="shared" si="61"/>
        <v>0</v>
      </c>
      <c r="L109" s="44">
        <f t="shared" si="61"/>
        <v>0</v>
      </c>
      <c r="M109" s="32">
        <f t="shared" si="61"/>
        <v>0</v>
      </c>
      <c r="N109" s="32">
        <f t="shared" si="61"/>
        <v>0</v>
      </c>
      <c r="O109" s="32">
        <f t="shared" si="61"/>
        <v>0</v>
      </c>
      <c r="P109" s="32">
        <f t="shared" si="61"/>
        <v>0</v>
      </c>
      <c r="V109" s="1">
        <v>5</v>
      </c>
      <c r="W109" s="18">
        <f t="shared" si="60"/>
        <v>-7905.2974000000004</v>
      </c>
      <c r="Y109" s="18">
        <f t="shared" si="56"/>
        <v>-7905.2974000000004</v>
      </c>
      <c r="Z109" s="18">
        <f t="shared" si="57"/>
        <v>-7905.2974000000004</v>
      </c>
      <c r="AB109" s="18">
        <f t="shared" si="58"/>
        <v>-7905.2974000000004</v>
      </c>
    </row>
    <row r="110" spans="1:28" x14ac:dyDescent="0.2">
      <c r="D110" s="43">
        <f t="shared" ref="D110:O110" si="62">D23</f>
        <v>42113570</v>
      </c>
      <c r="E110" s="43">
        <f t="shared" si="62"/>
        <v>38726690</v>
      </c>
      <c r="F110" s="43">
        <f t="shared" si="62"/>
        <v>42012008</v>
      </c>
      <c r="G110" s="43">
        <f t="shared" si="62"/>
        <v>40858220</v>
      </c>
      <c r="H110" s="43">
        <f t="shared" si="62"/>
        <v>39613368</v>
      </c>
      <c r="I110" s="43">
        <f t="shared" si="62"/>
        <v>39658628</v>
      </c>
      <c r="J110" s="43">
        <f t="shared" si="62"/>
        <v>40571988</v>
      </c>
      <c r="K110" s="43">
        <f t="shared" si="62"/>
        <v>41162272</v>
      </c>
      <c r="L110" s="43">
        <f t="shared" si="62"/>
        <v>38387778</v>
      </c>
      <c r="M110" s="9">
        <f t="shared" si="62"/>
        <v>41469272</v>
      </c>
      <c r="N110" s="9">
        <f t="shared" si="62"/>
        <v>39553724</v>
      </c>
      <c r="O110" s="9">
        <f t="shared" si="62"/>
        <v>41299864</v>
      </c>
      <c r="P110" s="42">
        <f>SUM(D110:O110)</f>
        <v>485427382</v>
      </c>
      <c r="V110" s="1">
        <v>6</v>
      </c>
      <c r="W110" s="18">
        <f t="shared" si="60"/>
        <v>-11285.398000000001</v>
      </c>
      <c r="Y110" s="18">
        <f t="shared" si="56"/>
        <v>-11285.398000000001</v>
      </c>
      <c r="Z110" s="18">
        <f t="shared" si="57"/>
        <v>-11285.398000000001</v>
      </c>
      <c r="AB110" s="18">
        <f t="shared" si="58"/>
        <v>-11285.398000000001</v>
      </c>
    </row>
    <row r="111" spans="1:28" x14ac:dyDescent="0.2">
      <c r="B111" s="17" t="s">
        <v>20</v>
      </c>
      <c r="D111" s="16"/>
      <c r="E111" s="16"/>
      <c r="F111" s="16"/>
      <c r="G111" s="16"/>
      <c r="H111" s="16"/>
      <c r="I111" s="16"/>
      <c r="J111" s="16"/>
      <c r="K111" s="16"/>
      <c r="L111" s="16"/>
      <c r="V111" s="1">
        <v>7</v>
      </c>
      <c r="W111" s="18">
        <f t="shared" si="60"/>
        <v>-7686.0868000000009</v>
      </c>
      <c r="Y111" s="18">
        <f t="shared" si="56"/>
        <v>-7686.0868000000009</v>
      </c>
      <c r="Z111" s="18">
        <f t="shared" si="57"/>
        <v>-7686.0868000000009</v>
      </c>
      <c r="AB111" s="18">
        <f t="shared" si="58"/>
        <v>-7686.0868000000009</v>
      </c>
    </row>
    <row r="112" spans="1:28" x14ac:dyDescent="0.2">
      <c r="B112" s="1" t="s">
        <v>19</v>
      </c>
      <c r="D112" s="38">
        <v>9615</v>
      </c>
      <c r="E112" s="38">
        <v>9738</v>
      </c>
      <c r="F112" s="38">
        <v>9266</v>
      </c>
      <c r="G112" s="38">
        <v>9426.5</v>
      </c>
      <c r="H112" s="38">
        <v>13524.7</v>
      </c>
      <c r="I112" s="38">
        <v>8784.2999999999993</v>
      </c>
      <c r="J112" s="38">
        <v>8958.43</v>
      </c>
      <c r="K112" s="38">
        <v>9132.94</v>
      </c>
      <c r="L112" s="38">
        <v>11689.97</v>
      </c>
      <c r="M112" s="37">
        <v>9293.58</v>
      </c>
      <c r="N112" s="37">
        <v>10280.129999999999</v>
      </c>
      <c r="O112" s="36">
        <v>9078.2800000000007</v>
      </c>
      <c r="P112" s="35">
        <f>SUM(D112:O112)</f>
        <v>118787.83</v>
      </c>
      <c r="V112" s="1">
        <v>8</v>
      </c>
      <c r="W112" s="18">
        <f t="shared" si="60"/>
        <v>-9968.9491999999973</v>
      </c>
      <c r="Y112" s="18">
        <f t="shared" si="56"/>
        <v>-9968.9491999999973</v>
      </c>
      <c r="Z112" s="18">
        <f t="shared" si="57"/>
        <v>-9968.9491999999973</v>
      </c>
      <c r="AB112" s="18">
        <f t="shared" si="58"/>
        <v>-9968.9491999999973</v>
      </c>
    </row>
    <row r="113" spans="1:28" x14ac:dyDescent="0.2">
      <c r="B113" s="1" t="s">
        <v>18</v>
      </c>
      <c r="D113" s="41"/>
      <c r="E113" s="41"/>
      <c r="F113" s="41"/>
      <c r="G113" s="41"/>
      <c r="H113" s="41"/>
      <c r="I113" s="41"/>
      <c r="J113" s="41"/>
      <c r="K113" s="41"/>
      <c r="L113" s="41"/>
      <c r="M113" s="40"/>
      <c r="N113" s="40"/>
      <c r="O113" s="40"/>
      <c r="P113" s="39">
        <f>SUM(D113:O113)</f>
        <v>0</v>
      </c>
      <c r="V113" s="1">
        <v>9</v>
      </c>
      <c r="W113" s="18">
        <f>SUM(P123:P124)</f>
        <v>-1002792.1049999999</v>
      </c>
      <c r="Y113" s="18">
        <f t="shared" si="56"/>
        <v>-1002792.1049999999</v>
      </c>
      <c r="Z113" s="1">
        <v>0</v>
      </c>
      <c r="AA113" s="18">
        <f>Y113</f>
        <v>-1002792.1049999999</v>
      </c>
      <c r="AB113" s="18">
        <f>AA113</f>
        <v>-1002792.1049999999</v>
      </c>
    </row>
    <row r="114" spans="1:28" x14ac:dyDescent="0.2">
      <c r="B114" s="1" t="s">
        <v>17</v>
      </c>
      <c r="D114" s="38">
        <v>52272</v>
      </c>
      <c r="E114" s="38">
        <v>52705</v>
      </c>
      <c r="F114" s="38">
        <v>53136</v>
      </c>
      <c r="G114" s="38">
        <v>51984.800000000003</v>
      </c>
      <c r="H114" s="38">
        <v>51840</v>
      </c>
      <c r="I114" s="38">
        <v>50544</v>
      </c>
      <c r="J114" s="38">
        <v>52848.78</v>
      </c>
      <c r="K114" s="38">
        <v>51408</v>
      </c>
      <c r="L114" s="38">
        <v>50976</v>
      </c>
      <c r="M114" s="37">
        <v>51408</v>
      </c>
      <c r="N114" s="37">
        <v>51696</v>
      </c>
      <c r="O114" s="36">
        <v>52128.2</v>
      </c>
      <c r="P114" s="35">
        <f>SUM(D114:O114)</f>
        <v>622946.77999999991</v>
      </c>
      <c r="V114" s="1">
        <v>10</v>
      </c>
      <c r="W114" s="18">
        <f t="shared" ref="W114:W123" si="63">P61*$C$122</f>
        <v>-20279.722200000004</v>
      </c>
      <c r="Y114" s="18">
        <f t="shared" si="56"/>
        <v>-20279.722200000004</v>
      </c>
      <c r="Z114" s="18">
        <f t="shared" ref="Z114:Z125" si="64">Y114</f>
        <v>-20279.722200000004</v>
      </c>
      <c r="AB114" s="18">
        <f t="shared" ref="AB114:AB123" si="65">Z114</f>
        <v>-20279.722200000004</v>
      </c>
    </row>
    <row r="115" spans="1:28" x14ac:dyDescent="0.2">
      <c r="A115" s="1" t="s">
        <v>16</v>
      </c>
      <c r="B115" s="1" t="s">
        <v>15</v>
      </c>
      <c r="D115" s="34">
        <f t="shared" ref="D115:P115" si="66">SUM(D112:D114)</f>
        <v>61887</v>
      </c>
      <c r="E115" s="34">
        <f t="shared" si="66"/>
        <v>62443</v>
      </c>
      <c r="F115" s="34">
        <f t="shared" si="66"/>
        <v>62402</v>
      </c>
      <c r="G115" s="34">
        <f t="shared" si="66"/>
        <v>61411.3</v>
      </c>
      <c r="H115" s="34">
        <f t="shared" si="66"/>
        <v>65364.7</v>
      </c>
      <c r="I115" s="34">
        <f t="shared" si="66"/>
        <v>59328.3</v>
      </c>
      <c r="J115" s="34">
        <f t="shared" si="66"/>
        <v>61807.21</v>
      </c>
      <c r="K115" s="34">
        <f t="shared" si="66"/>
        <v>60540.94</v>
      </c>
      <c r="L115" s="34">
        <f t="shared" si="66"/>
        <v>62665.97</v>
      </c>
      <c r="M115" s="33">
        <f t="shared" si="66"/>
        <v>60701.58</v>
      </c>
      <c r="N115" s="33">
        <f t="shared" si="66"/>
        <v>61976.13</v>
      </c>
      <c r="O115" s="33">
        <f t="shared" si="66"/>
        <v>61206.479999999996</v>
      </c>
      <c r="P115" s="32">
        <f t="shared" si="66"/>
        <v>741734.60999999987</v>
      </c>
      <c r="V115" s="1">
        <v>11</v>
      </c>
      <c r="W115" s="18">
        <f t="shared" si="63"/>
        <v>-21570.497200000005</v>
      </c>
      <c r="Y115" s="18">
        <f t="shared" si="56"/>
        <v>-21570.497200000005</v>
      </c>
      <c r="Z115" s="18">
        <f t="shared" si="64"/>
        <v>-21570.497200000005</v>
      </c>
      <c r="AB115" s="18">
        <f t="shared" si="65"/>
        <v>-21570.497200000005</v>
      </c>
    </row>
    <row r="116" spans="1:28" x14ac:dyDescent="0.2">
      <c r="D116" s="31">
        <f t="shared" ref="D116:O116" si="67">D60</f>
        <v>62256</v>
      </c>
      <c r="E116" s="31">
        <f t="shared" si="67"/>
        <v>62379</v>
      </c>
      <c r="F116" s="31">
        <f t="shared" si="67"/>
        <v>63189</v>
      </c>
      <c r="G116" s="31">
        <f t="shared" si="67"/>
        <v>61994.13</v>
      </c>
      <c r="H116" s="31">
        <f t="shared" si="67"/>
        <v>61517.53</v>
      </c>
      <c r="I116" s="31">
        <f t="shared" si="67"/>
        <v>59396.53</v>
      </c>
      <c r="J116" s="31">
        <f t="shared" si="67"/>
        <v>62813.1</v>
      </c>
      <c r="K116" s="31">
        <f t="shared" si="67"/>
        <v>61040.2</v>
      </c>
      <c r="L116" s="31">
        <f t="shared" si="67"/>
        <v>59942.23</v>
      </c>
      <c r="M116" s="31">
        <f t="shared" si="67"/>
        <v>61096.84</v>
      </c>
      <c r="N116" s="31">
        <f t="shared" si="67"/>
        <v>60588.02</v>
      </c>
      <c r="O116" s="31">
        <f t="shared" si="67"/>
        <v>60856.67</v>
      </c>
      <c r="P116" s="9">
        <f>SUM(D116:O116)</f>
        <v>737069.25000000012</v>
      </c>
      <c r="V116" s="1">
        <v>12</v>
      </c>
      <c r="W116" s="18">
        <f t="shared" si="63"/>
        <v>-15615.875599999999</v>
      </c>
      <c r="Y116" s="18">
        <f t="shared" si="56"/>
        <v>-15615.875599999999</v>
      </c>
      <c r="Z116" s="18">
        <f t="shared" si="64"/>
        <v>-15615.875599999999</v>
      </c>
      <c r="AB116" s="18">
        <f t="shared" si="65"/>
        <v>-15615.875599999999</v>
      </c>
    </row>
    <row r="117" spans="1:28" x14ac:dyDescent="0.2">
      <c r="D117" s="16"/>
      <c r="E117" s="16"/>
      <c r="F117" s="16"/>
      <c r="G117" s="16"/>
      <c r="H117" s="16"/>
      <c r="I117" s="16"/>
      <c r="J117" s="16"/>
      <c r="K117" s="16"/>
      <c r="L117" s="16"/>
      <c r="V117" s="1">
        <v>13</v>
      </c>
      <c r="W117" s="18">
        <f t="shared" si="63"/>
        <v>-5471.1209999999992</v>
      </c>
      <c r="Y117" s="18">
        <f t="shared" si="56"/>
        <v>-5471.1209999999992</v>
      </c>
      <c r="Z117" s="18">
        <f t="shared" si="64"/>
        <v>-5471.1209999999992</v>
      </c>
      <c r="AB117" s="18">
        <f t="shared" si="65"/>
        <v>-5471.1209999999992</v>
      </c>
    </row>
    <row r="118" spans="1:28" x14ac:dyDescent="0.2">
      <c r="B118" s="1" t="s">
        <v>14</v>
      </c>
      <c r="D118" s="30">
        <f>500000*0.0575+MIN(5500000,D23-500000)*0.05177+MAX(0,D23-6000000)*0.04433+15000+D87*5.25-D112*1.1-D114*1.4</f>
        <v>2156736.2581000002</v>
      </c>
      <c r="E118" s="30">
        <f>500000*0.0575+MIN(5500000,E23-500000)*0.05177+MAX(0,E23-6000000)*0.04433+15000+E87*5.25-E112*1.1-E114*1.4</f>
        <v>2006500.1177000001</v>
      </c>
      <c r="F118" s="30">
        <f>500000*0.0575+MIN(5500000,F23-500000)*0.05177+MAX(0,F23-6000000)*0.04433+15000+F87*5.25-F112*1.1-F114*1.4</f>
        <v>2156306.56464</v>
      </c>
      <c r="G118" s="30">
        <f t="shared" ref="G118:O118" si="68">500000*0.05616+MIN(5500000,G23-500000)*0.05053+MAX(0,G23-6000000)*0.0432+21000+G87*6-G112*1.1-G114*1.4</f>
        <v>2103687.014</v>
      </c>
      <c r="H118" s="30">
        <f t="shared" si="68"/>
        <v>2042744.5076000001</v>
      </c>
      <c r="I118" s="30">
        <f t="shared" si="68"/>
        <v>2039002.5795999998</v>
      </c>
      <c r="J118" s="30">
        <f t="shared" si="68"/>
        <v>2095540.9166000001</v>
      </c>
      <c r="K118" s="30">
        <f t="shared" si="68"/>
        <v>2112228.9163999995</v>
      </c>
      <c r="L118" s="30">
        <f t="shared" si="68"/>
        <v>1983575.0226</v>
      </c>
      <c r="M118" s="30">
        <f t="shared" si="68"/>
        <v>2125654.4523999998</v>
      </c>
      <c r="N118" s="30">
        <f t="shared" si="68"/>
        <v>2038361.4537999998</v>
      </c>
      <c r="O118" s="30">
        <f t="shared" si="68"/>
        <v>2116123.5567999999</v>
      </c>
      <c r="P118" s="26">
        <f>SUM(D118:O118)</f>
        <v>24976461.360240001</v>
      </c>
      <c r="V118" s="1">
        <v>14</v>
      </c>
      <c r="W118" s="18">
        <f t="shared" si="63"/>
        <v>-14691.452000000003</v>
      </c>
      <c r="Y118" s="18">
        <f t="shared" si="56"/>
        <v>-14691.452000000003</v>
      </c>
      <c r="Z118" s="18">
        <f t="shared" si="64"/>
        <v>-14691.452000000003</v>
      </c>
      <c r="AB118" s="18">
        <f t="shared" si="65"/>
        <v>-14691.452000000003</v>
      </c>
    </row>
    <row r="119" spans="1:28" x14ac:dyDescent="0.2">
      <c r="B119" s="1" t="s">
        <v>13</v>
      </c>
      <c r="D119" s="29"/>
      <c r="E119" s="29"/>
      <c r="F119" s="29"/>
      <c r="G119" s="29"/>
      <c r="H119" s="29"/>
      <c r="I119" s="29"/>
      <c r="J119" s="29"/>
      <c r="K119" s="29"/>
      <c r="L119" s="29"/>
      <c r="M119" s="28"/>
      <c r="N119" s="28"/>
      <c r="O119" s="28"/>
      <c r="P119" s="26">
        <f>SUM(D119:O119)</f>
        <v>0</v>
      </c>
      <c r="V119" s="1">
        <v>15</v>
      </c>
      <c r="W119" s="18">
        <f t="shared" si="63"/>
        <v>-7976.1080000000002</v>
      </c>
      <c r="Y119" s="18">
        <f t="shared" si="56"/>
        <v>-7976.1080000000002</v>
      </c>
      <c r="Z119" s="18">
        <f t="shared" si="64"/>
        <v>-7976.1080000000002</v>
      </c>
      <c r="AB119" s="18">
        <f t="shared" si="65"/>
        <v>-7976.1080000000002</v>
      </c>
    </row>
    <row r="120" spans="1:28" x14ac:dyDescent="0.2">
      <c r="D120" s="27">
        <f t="shared" ref="D120:O120" si="69">D118-D119</f>
        <v>2156736.2581000002</v>
      </c>
      <c r="E120" s="27">
        <f t="shared" si="69"/>
        <v>2006500.1177000001</v>
      </c>
      <c r="F120" s="27">
        <f t="shared" si="69"/>
        <v>2156306.56464</v>
      </c>
      <c r="G120" s="27">
        <f t="shared" si="69"/>
        <v>2103687.014</v>
      </c>
      <c r="H120" s="27">
        <f t="shared" si="69"/>
        <v>2042744.5076000001</v>
      </c>
      <c r="I120" s="27">
        <f t="shared" si="69"/>
        <v>2039002.5795999998</v>
      </c>
      <c r="J120" s="27">
        <f t="shared" si="69"/>
        <v>2095540.9166000001</v>
      </c>
      <c r="K120" s="27">
        <f t="shared" si="69"/>
        <v>2112228.9163999995</v>
      </c>
      <c r="L120" s="27">
        <f t="shared" si="69"/>
        <v>1983575.0226</v>
      </c>
      <c r="M120" s="27">
        <f t="shared" si="69"/>
        <v>2125654.4523999998</v>
      </c>
      <c r="N120" s="27">
        <f t="shared" si="69"/>
        <v>2038361.4537999998</v>
      </c>
      <c r="O120" s="27">
        <f t="shared" si="69"/>
        <v>2116123.5567999999</v>
      </c>
      <c r="P120" s="26"/>
      <c r="V120" s="1">
        <v>16</v>
      </c>
      <c r="W120" s="18">
        <f t="shared" si="63"/>
        <v>-11231.806000000002</v>
      </c>
      <c r="Y120" s="18">
        <f t="shared" si="56"/>
        <v>-11231.806000000002</v>
      </c>
      <c r="Z120" s="18">
        <f t="shared" si="64"/>
        <v>-11231.806000000002</v>
      </c>
      <c r="AB120" s="18">
        <f t="shared" si="65"/>
        <v>-11231.806000000002</v>
      </c>
    </row>
    <row r="121" spans="1:28" x14ac:dyDescent="0.2">
      <c r="B121" s="17" t="s">
        <v>12</v>
      </c>
      <c r="D121" s="16"/>
      <c r="E121" s="16"/>
      <c r="F121" s="16"/>
      <c r="G121" s="16"/>
      <c r="H121" s="16"/>
      <c r="I121" s="16"/>
      <c r="J121" s="16"/>
      <c r="K121" s="16"/>
      <c r="L121" s="16"/>
      <c r="V121" s="1">
        <v>17</v>
      </c>
      <c r="W121" s="18">
        <f t="shared" si="63"/>
        <v>-10360.069600000001</v>
      </c>
      <c r="Y121" s="18">
        <f t="shared" si="56"/>
        <v>-10360.069600000001</v>
      </c>
      <c r="Z121" s="18">
        <f t="shared" si="64"/>
        <v>-10360.069600000001</v>
      </c>
      <c r="AB121" s="18">
        <f t="shared" si="65"/>
        <v>-10360.069600000001</v>
      </c>
    </row>
    <row r="122" spans="1:28" x14ac:dyDescent="0.2">
      <c r="B122" s="1" t="s">
        <v>11</v>
      </c>
      <c r="C122" s="25">
        <v>-0.2</v>
      </c>
      <c r="D122" s="23">
        <f t="shared" ref="D122:O122" si="70">(D73-D71-D72-D60-D51)*$C122</f>
        <v>-18998.044000000002</v>
      </c>
      <c r="E122" s="23">
        <f t="shared" si="70"/>
        <v>-19206.625599999999</v>
      </c>
      <c r="F122" s="23">
        <f t="shared" si="70"/>
        <v>-19089.191400000007</v>
      </c>
      <c r="G122" s="23">
        <f t="shared" si="70"/>
        <v>-20360.968200000003</v>
      </c>
      <c r="H122" s="23">
        <f t="shared" si="70"/>
        <v>-20244.355999999992</v>
      </c>
      <c r="I122" s="23">
        <f t="shared" si="70"/>
        <v>-20187.90040000001</v>
      </c>
      <c r="J122" s="23">
        <f t="shared" si="70"/>
        <v>-20835.425199999998</v>
      </c>
      <c r="K122" s="23">
        <f t="shared" si="70"/>
        <v>-21262.305600000007</v>
      </c>
      <c r="L122" s="23">
        <f t="shared" si="70"/>
        <v>-20436.211399999986</v>
      </c>
      <c r="M122" s="23">
        <f t="shared" si="70"/>
        <v>-19664.685199999993</v>
      </c>
      <c r="N122" s="23">
        <f t="shared" si="70"/>
        <v>-18994.889200000001</v>
      </c>
      <c r="O122" s="23">
        <f t="shared" si="70"/>
        <v>-19158.507599999994</v>
      </c>
      <c r="P122" s="21">
        <f>SUM(D122:O122)</f>
        <v>-238439.10979999998</v>
      </c>
      <c r="V122" s="1">
        <v>18</v>
      </c>
      <c r="W122" s="18">
        <f t="shared" si="63"/>
        <v>-20928.447999999997</v>
      </c>
      <c r="Y122" s="18">
        <f t="shared" si="56"/>
        <v>-20928.447999999997</v>
      </c>
      <c r="Z122" s="18">
        <f t="shared" si="64"/>
        <v>-20928.447999999997</v>
      </c>
      <c r="AB122" s="18">
        <f t="shared" si="65"/>
        <v>-20928.447999999997</v>
      </c>
    </row>
    <row r="123" spans="1:28" x14ac:dyDescent="0.2">
      <c r="B123" s="1" t="s">
        <v>10</v>
      </c>
      <c r="C123" s="24">
        <f>-1.1</f>
        <v>-1.1000000000000001</v>
      </c>
      <c r="D123" s="23">
        <f t="shared" ref="D123:O123" si="71">D112*$C123</f>
        <v>-10576.5</v>
      </c>
      <c r="E123" s="23">
        <f t="shared" si="71"/>
        <v>-10711.800000000001</v>
      </c>
      <c r="F123" s="23">
        <f t="shared" si="71"/>
        <v>-10192.6</v>
      </c>
      <c r="G123" s="23">
        <f t="shared" si="71"/>
        <v>-10369.150000000001</v>
      </c>
      <c r="H123" s="23">
        <f t="shared" si="71"/>
        <v>-14877.170000000002</v>
      </c>
      <c r="I123" s="23">
        <f t="shared" si="71"/>
        <v>-9662.73</v>
      </c>
      <c r="J123" s="23">
        <f t="shared" si="71"/>
        <v>-9854.273000000001</v>
      </c>
      <c r="K123" s="23">
        <f t="shared" si="71"/>
        <v>-10046.234000000002</v>
      </c>
      <c r="L123" s="23">
        <f t="shared" si="71"/>
        <v>-12858.967000000001</v>
      </c>
      <c r="M123" s="22">
        <f t="shared" si="71"/>
        <v>-10222.938</v>
      </c>
      <c r="N123" s="22">
        <f t="shared" si="71"/>
        <v>-11308.143</v>
      </c>
      <c r="O123" s="22">
        <f t="shared" si="71"/>
        <v>-9986.108000000002</v>
      </c>
      <c r="P123" s="21">
        <f>SUM(D123:O123)</f>
        <v>-130666.613</v>
      </c>
      <c r="Q123" s="21">
        <f>SUM(P123:P124)/P125</f>
        <v>0.80790113319989321</v>
      </c>
      <c r="V123" s="1">
        <v>19</v>
      </c>
      <c r="W123" s="18">
        <f t="shared" si="63"/>
        <v>-12940.029</v>
      </c>
      <c r="Y123" s="18">
        <f t="shared" si="56"/>
        <v>-12940.029</v>
      </c>
      <c r="Z123" s="18">
        <f t="shared" si="64"/>
        <v>-12940.029</v>
      </c>
      <c r="AB123" s="18">
        <f t="shared" si="65"/>
        <v>-12940.029</v>
      </c>
    </row>
    <row r="124" spans="1:28" x14ac:dyDescent="0.2">
      <c r="B124" s="1" t="s">
        <v>9</v>
      </c>
      <c r="C124" s="24">
        <v>-1.4</v>
      </c>
      <c r="D124" s="23">
        <f t="shared" ref="D124:O124" si="72">D114*$C124</f>
        <v>-73180.799999999988</v>
      </c>
      <c r="E124" s="23">
        <f t="shared" si="72"/>
        <v>-73787</v>
      </c>
      <c r="F124" s="23">
        <f t="shared" si="72"/>
        <v>-74390.399999999994</v>
      </c>
      <c r="G124" s="23">
        <f t="shared" si="72"/>
        <v>-72778.720000000001</v>
      </c>
      <c r="H124" s="23">
        <f t="shared" si="72"/>
        <v>-72576</v>
      </c>
      <c r="I124" s="23">
        <f t="shared" si="72"/>
        <v>-70761.599999999991</v>
      </c>
      <c r="J124" s="23">
        <f t="shared" si="72"/>
        <v>-73988.291999999987</v>
      </c>
      <c r="K124" s="23">
        <f t="shared" si="72"/>
        <v>-71971.199999999997</v>
      </c>
      <c r="L124" s="23">
        <f t="shared" si="72"/>
        <v>-71366.399999999994</v>
      </c>
      <c r="M124" s="22">
        <f t="shared" si="72"/>
        <v>-71971.199999999997</v>
      </c>
      <c r="N124" s="22">
        <f t="shared" si="72"/>
        <v>-72374.399999999994</v>
      </c>
      <c r="O124" s="22">
        <f t="shared" si="72"/>
        <v>-72979.48</v>
      </c>
      <c r="P124" s="21">
        <f>SUM(D124:O124)</f>
        <v>-872125.49199999985</v>
      </c>
      <c r="V124" s="1">
        <v>20</v>
      </c>
      <c r="W124" s="18">
        <v>0</v>
      </c>
      <c r="Y124" s="18">
        <f t="shared" si="56"/>
        <v>0</v>
      </c>
      <c r="Z124" s="18">
        <f t="shared" si="64"/>
        <v>0</v>
      </c>
    </row>
    <row r="125" spans="1:28" x14ac:dyDescent="0.2">
      <c r="D125" s="20">
        <f t="shared" ref="D125:P125" si="73">SUM(D122:D124)</f>
        <v>-102755.34399999998</v>
      </c>
      <c r="E125" s="20">
        <f t="shared" si="73"/>
        <v>-103705.4256</v>
      </c>
      <c r="F125" s="20">
        <f t="shared" si="73"/>
        <v>-103672.19140000001</v>
      </c>
      <c r="G125" s="20">
        <f t="shared" si="73"/>
        <v>-103508.8382</v>
      </c>
      <c r="H125" s="20">
        <f t="shared" si="73"/>
        <v>-107697.526</v>
      </c>
      <c r="I125" s="20">
        <f t="shared" si="73"/>
        <v>-100612.2304</v>
      </c>
      <c r="J125" s="20">
        <f t="shared" si="73"/>
        <v>-104677.99019999999</v>
      </c>
      <c r="K125" s="20">
        <f t="shared" si="73"/>
        <v>-103279.7396</v>
      </c>
      <c r="L125" s="20">
        <f t="shared" si="73"/>
        <v>-104661.57839999998</v>
      </c>
      <c r="M125" s="19">
        <f t="shared" si="73"/>
        <v>-101858.82319999998</v>
      </c>
      <c r="N125" s="19">
        <f t="shared" si="73"/>
        <v>-102677.4322</v>
      </c>
      <c r="O125" s="19">
        <f t="shared" si="73"/>
        <v>-102124.0956</v>
      </c>
      <c r="P125" s="19">
        <f t="shared" si="73"/>
        <v>-1241231.2147999997</v>
      </c>
      <c r="V125" s="1">
        <v>21</v>
      </c>
      <c r="W125" s="18">
        <v>0</v>
      </c>
      <c r="Y125" s="18">
        <f t="shared" si="56"/>
        <v>0</v>
      </c>
      <c r="Z125" s="18">
        <f t="shared" si="64"/>
        <v>0</v>
      </c>
    </row>
    <row r="126" spans="1:28" x14ac:dyDescent="0.2"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1:28" x14ac:dyDescent="0.2">
      <c r="B127" s="17" t="s">
        <v>8</v>
      </c>
      <c r="D127" s="16"/>
      <c r="E127" s="16"/>
      <c r="F127" s="16"/>
      <c r="G127" s="16"/>
      <c r="H127" s="16"/>
      <c r="I127" s="16"/>
      <c r="J127" s="16"/>
      <c r="K127" s="16"/>
      <c r="L127" s="16"/>
      <c r="T127" s="1" t="s">
        <v>7</v>
      </c>
      <c r="W127" s="13"/>
    </row>
    <row r="128" spans="1:28" ht="15" x14ac:dyDescent="0.25">
      <c r="B128" s="12"/>
      <c r="C128" s="11"/>
      <c r="D128" s="10">
        <v>334785.54622200003</v>
      </c>
      <c r="E128" s="10">
        <v>333379.569678</v>
      </c>
      <c r="F128" s="10">
        <v>353057.66680199996</v>
      </c>
      <c r="G128" s="10">
        <v>378207.31140599999</v>
      </c>
      <c r="H128" s="10">
        <v>377532.34989000001</v>
      </c>
      <c r="I128" s="10">
        <v>364118.69927400001</v>
      </c>
      <c r="J128" s="10">
        <v>382322.13299999997</v>
      </c>
      <c r="K128" s="10">
        <v>389183.98505999998</v>
      </c>
      <c r="L128" s="10">
        <v>333075.52071600006</v>
      </c>
      <c r="M128" s="10">
        <v>380718.53163000004</v>
      </c>
      <c r="N128" s="10">
        <v>309502.34590200003</v>
      </c>
      <c r="O128" s="10">
        <v>374867.36820000003</v>
      </c>
      <c r="P128" s="9">
        <f t="shared" ref="P128:P150" si="74">SUM(D128:O128)</f>
        <v>4310751.0277800001</v>
      </c>
      <c r="T128" s="1">
        <f t="shared" ref="T128:T150" si="75">IF(P128&lt;829950,829950-P128,0)</f>
        <v>0</v>
      </c>
      <c r="V128" s="1">
        <v>1</v>
      </c>
      <c r="W128" s="15">
        <f t="shared" ref="W128:W150" si="76">MAX(SUMIF(V$13:V$125,"="&amp;V128,W$13:W$125),829950)</f>
        <v>4310751.0277799992</v>
      </c>
      <c r="Y128" s="15">
        <f t="shared" ref="Y128:Z135" si="77">MAX(SUMIF($V$13:$V$125,"="&amp;$V128,Y$13:Y$125),829950)</f>
        <v>4452033.3485519988</v>
      </c>
      <c r="Z128" s="15">
        <f t="shared" si="77"/>
        <v>4446573.9459719984</v>
      </c>
      <c r="AB128" s="15">
        <f t="shared" ref="AB128:AB150" si="78">MAX(SUMIF($V$13:$V$125,"="&amp;$V128,AB$13:AB$125),829950)</f>
        <v>5026715.6230799984</v>
      </c>
    </row>
    <row r="129" spans="2:28" ht="15" x14ac:dyDescent="0.25">
      <c r="B129" s="12"/>
      <c r="C129" s="11"/>
      <c r="D129" s="10">
        <v>56804.749410000004</v>
      </c>
      <c r="E129" s="10">
        <v>59547.730715999998</v>
      </c>
      <c r="F129" s="10">
        <v>62776.234799999998</v>
      </c>
      <c r="G129" s="10">
        <v>61311.186930000003</v>
      </c>
      <c r="H129" s="10">
        <v>60986.101728000001</v>
      </c>
      <c r="I129" s="10">
        <v>64518.383207999999</v>
      </c>
      <c r="J129" s="10">
        <v>62572.646688000001</v>
      </c>
      <c r="K129" s="10">
        <v>67250.735375999997</v>
      </c>
      <c r="L129" s="10">
        <v>52106.165207999999</v>
      </c>
      <c r="M129" s="10">
        <v>58381.338839999997</v>
      </c>
      <c r="N129" s="10">
        <v>58913.608032000004</v>
      </c>
      <c r="O129" s="10">
        <v>62470.852632000002</v>
      </c>
      <c r="P129" s="9">
        <f t="shared" si="74"/>
        <v>727639.73356800003</v>
      </c>
      <c r="T129" s="1">
        <f t="shared" si="75"/>
        <v>102310.26643199997</v>
      </c>
      <c r="V129" s="1">
        <v>2</v>
      </c>
      <c r="W129" s="15">
        <f t="shared" si="76"/>
        <v>2146948.19181894</v>
      </c>
      <c r="Y129" s="15">
        <f t="shared" si="77"/>
        <v>2221163.8105690996</v>
      </c>
      <c r="Z129" s="15">
        <f t="shared" si="77"/>
        <v>2215570.8888734197</v>
      </c>
      <c r="AB129" s="15">
        <f t="shared" si="78"/>
        <v>2491122.6570733595</v>
      </c>
    </row>
    <row r="130" spans="2:28" ht="15" x14ac:dyDescent="0.25">
      <c r="B130" s="12"/>
      <c r="C130" s="11"/>
      <c r="D130" s="10">
        <v>80984.415408000001</v>
      </c>
      <c r="E130" s="10">
        <v>76608.004109999994</v>
      </c>
      <c r="F130" s="10">
        <v>79181.585169000013</v>
      </c>
      <c r="G130" s="10">
        <v>74999.416416000007</v>
      </c>
      <c r="H130" s="10">
        <v>75444.004014000006</v>
      </c>
      <c r="I130" s="10">
        <v>75534.62649000001</v>
      </c>
      <c r="J130" s="10">
        <v>69005.845014000006</v>
      </c>
      <c r="K130" s="10">
        <v>71092.267044000007</v>
      </c>
      <c r="L130" s="10">
        <v>68693.837262000001</v>
      </c>
      <c r="M130" s="10">
        <v>73367.409228000004</v>
      </c>
      <c r="N130" s="10">
        <v>71981.024045999991</v>
      </c>
      <c r="O130" s="10">
        <v>71080.862909999996</v>
      </c>
      <c r="P130" s="9">
        <f t="shared" si="74"/>
        <v>887973.29711099993</v>
      </c>
      <c r="T130" s="1">
        <f t="shared" si="75"/>
        <v>0</v>
      </c>
      <c r="V130" s="1">
        <v>3</v>
      </c>
      <c r="W130" s="15">
        <f t="shared" si="76"/>
        <v>1101673.0428210003</v>
      </c>
      <c r="Y130" s="15">
        <f t="shared" si="77"/>
        <v>1147024.8074650001</v>
      </c>
      <c r="Z130" s="15">
        <f t="shared" si="77"/>
        <v>1144308.0913530001</v>
      </c>
      <c r="AB130" s="15">
        <f t="shared" si="78"/>
        <v>1257534.0069240001</v>
      </c>
    </row>
    <row r="131" spans="2:28" ht="15" x14ac:dyDescent="0.25">
      <c r="B131" s="12"/>
      <c r="C131" s="11"/>
      <c r="D131" s="10">
        <v>192912.354888</v>
      </c>
      <c r="E131" s="10">
        <v>183885.22500000003</v>
      </c>
      <c r="F131" s="10">
        <v>197868.96708000003</v>
      </c>
      <c r="G131" s="10">
        <v>187466.12244600002</v>
      </c>
      <c r="H131" s="10">
        <v>186873.77490000002</v>
      </c>
      <c r="I131" s="10">
        <v>182940.68187600002</v>
      </c>
      <c r="J131" s="10">
        <v>177891.517896</v>
      </c>
      <c r="K131" s="10">
        <v>186317.50531199999</v>
      </c>
      <c r="L131" s="10">
        <v>173156.37527399999</v>
      </c>
      <c r="M131" s="10">
        <v>182683.68370800003</v>
      </c>
      <c r="N131" s="10">
        <v>176060.06115000002</v>
      </c>
      <c r="O131" s="10">
        <v>118891.92228894</v>
      </c>
      <c r="P131" s="9">
        <f t="shared" si="74"/>
        <v>2146948.19181894</v>
      </c>
      <c r="T131" s="1">
        <f t="shared" si="75"/>
        <v>0</v>
      </c>
      <c r="V131" s="1">
        <v>4</v>
      </c>
      <c r="W131" s="15">
        <f t="shared" si="76"/>
        <v>1061047.7875753201</v>
      </c>
      <c r="Y131" s="15">
        <f t="shared" si="77"/>
        <v>1105506.1829598001</v>
      </c>
      <c r="Z131" s="15">
        <f t="shared" si="77"/>
        <v>1102916.0272407602</v>
      </c>
      <c r="AB131" s="15">
        <f t="shared" si="78"/>
        <v>1208999.1906340802</v>
      </c>
    </row>
    <row r="132" spans="2:28" ht="15" x14ac:dyDescent="0.25">
      <c r="B132" s="12"/>
      <c r="C132" s="11"/>
      <c r="D132" s="10">
        <v>98330.629398000005</v>
      </c>
      <c r="E132" s="10">
        <v>93081.526854000011</v>
      </c>
      <c r="F132" s="10">
        <v>96178.232856000002</v>
      </c>
      <c r="G132" s="10">
        <v>88591.960772000006</v>
      </c>
      <c r="H132" s="10">
        <v>90396.204345999999</v>
      </c>
      <c r="I132" s="10">
        <v>88988.462228000004</v>
      </c>
      <c r="J132" s="10">
        <v>88350.540948000009</v>
      </c>
      <c r="K132" s="10">
        <v>90459.688775999995</v>
      </c>
      <c r="L132" s="10">
        <v>85252.936212000001</v>
      </c>
      <c r="M132" s="10">
        <v>94166.441466000004</v>
      </c>
      <c r="N132" s="10">
        <v>91804.236267999993</v>
      </c>
      <c r="O132" s="10">
        <v>96072.182696999997</v>
      </c>
      <c r="P132" s="9">
        <f t="shared" si="74"/>
        <v>1101673.0428210001</v>
      </c>
      <c r="T132" s="1">
        <f t="shared" si="75"/>
        <v>0</v>
      </c>
      <c r="V132" s="1">
        <v>5</v>
      </c>
      <c r="W132" s="15">
        <f t="shared" si="76"/>
        <v>1405912.4997324997</v>
      </c>
      <c r="Y132" s="15">
        <f t="shared" si="77"/>
        <v>1458491.2154624995</v>
      </c>
      <c r="Z132" s="15">
        <f t="shared" si="77"/>
        <v>1454874.5394224995</v>
      </c>
      <c r="AB132" s="15">
        <f t="shared" si="78"/>
        <v>1618891.9434299995</v>
      </c>
    </row>
    <row r="133" spans="2:28" ht="15" x14ac:dyDescent="0.25">
      <c r="B133" s="12"/>
      <c r="C133" s="11"/>
      <c r="D133" s="10">
        <v>90341.380911</v>
      </c>
      <c r="E133" s="10">
        <v>83593.949873999998</v>
      </c>
      <c r="F133" s="10">
        <v>88086.065590999991</v>
      </c>
      <c r="G133" s="10">
        <v>85991.370314</v>
      </c>
      <c r="H133" s="10">
        <v>89621.356344</v>
      </c>
      <c r="I133" s="10">
        <v>87561.739553000007</v>
      </c>
      <c r="J133" s="10">
        <v>91833.629889000018</v>
      </c>
      <c r="K133" s="10">
        <v>91216.159904</v>
      </c>
      <c r="L133" s="10">
        <v>88170.193168999991</v>
      </c>
      <c r="M133" s="10">
        <v>87565.585357000004</v>
      </c>
      <c r="N133" s="10">
        <v>86159.43663099999</v>
      </c>
      <c r="O133" s="10">
        <v>90906.920038320008</v>
      </c>
      <c r="P133" s="9">
        <f t="shared" si="74"/>
        <v>1061047.7875753199</v>
      </c>
      <c r="T133" s="1">
        <f t="shared" si="75"/>
        <v>0</v>
      </c>
      <c r="V133" s="1">
        <v>6</v>
      </c>
      <c r="W133" s="15">
        <f t="shared" si="76"/>
        <v>1673869.8185700001</v>
      </c>
      <c r="Y133" s="15">
        <f t="shared" si="77"/>
        <v>1737553.4730499999</v>
      </c>
      <c r="Z133" s="15">
        <f t="shared" si="77"/>
        <v>1733396.0540099998</v>
      </c>
      <c r="AB133" s="15">
        <f t="shared" si="78"/>
        <v>1927931.6410799997</v>
      </c>
    </row>
    <row r="134" spans="2:28" ht="15" x14ac:dyDescent="0.25">
      <c r="B134" s="12"/>
      <c r="C134" s="11"/>
      <c r="D134" s="10">
        <v>109423.21967900002</v>
      </c>
      <c r="E134" s="10">
        <v>103005.72565400001</v>
      </c>
      <c r="F134" s="10">
        <v>108898.759703</v>
      </c>
      <c r="G134" s="10">
        <v>109337.933265</v>
      </c>
      <c r="H134" s="10">
        <v>128984.335026</v>
      </c>
      <c r="I134" s="10">
        <v>125237.05168199999</v>
      </c>
      <c r="J134" s="10">
        <v>139864.71254100002</v>
      </c>
      <c r="K134" s="10">
        <v>136085.71014600003</v>
      </c>
      <c r="L134" s="10">
        <v>119783.09733</v>
      </c>
      <c r="M134" s="10">
        <v>108190.249161</v>
      </c>
      <c r="N134" s="10">
        <v>106447.15024900001</v>
      </c>
      <c r="O134" s="10">
        <v>110654.55529650001</v>
      </c>
      <c r="P134" s="9">
        <f t="shared" si="74"/>
        <v>1405912.4997324997</v>
      </c>
      <c r="T134" s="1">
        <f t="shared" si="75"/>
        <v>0</v>
      </c>
      <c r="V134" s="1">
        <v>7</v>
      </c>
      <c r="W134" s="15">
        <f t="shared" si="76"/>
        <v>1125686.2305830002</v>
      </c>
      <c r="Y134" s="15">
        <f t="shared" si="77"/>
        <v>1172331.2906950002</v>
      </c>
      <c r="Z134" s="15">
        <f t="shared" si="77"/>
        <v>1169580.4457190002</v>
      </c>
      <c r="AB134" s="15">
        <f t="shared" si="78"/>
        <v>1284732.5090520002</v>
      </c>
    </row>
    <row r="135" spans="2:28" ht="15" x14ac:dyDescent="0.25">
      <c r="B135" s="12"/>
      <c r="C135" s="11"/>
      <c r="D135" s="10">
        <v>146951.21350800002</v>
      </c>
      <c r="E135" s="10">
        <v>151677.43738800005</v>
      </c>
      <c r="F135" s="10">
        <v>141602.25176399999</v>
      </c>
      <c r="G135" s="10">
        <v>141769.20008400001</v>
      </c>
      <c r="H135" s="10">
        <v>129112.61046000003</v>
      </c>
      <c r="I135" s="10">
        <v>114127.596276</v>
      </c>
      <c r="J135" s="10">
        <v>135990.05896800003</v>
      </c>
      <c r="K135" s="10">
        <v>141925.737612</v>
      </c>
      <c r="L135" s="10">
        <v>140542.18050000002</v>
      </c>
      <c r="M135" s="10">
        <v>138299.56303200001</v>
      </c>
      <c r="N135" s="10">
        <v>145619.76705600001</v>
      </c>
      <c r="O135" s="10">
        <v>146252.20192200001</v>
      </c>
      <c r="P135" s="9">
        <f t="shared" si="74"/>
        <v>1673869.8185700001</v>
      </c>
      <c r="T135" s="1">
        <f t="shared" si="75"/>
        <v>0</v>
      </c>
      <c r="V135" s="1">
        <v>8</v>
      </c>
      <c r="W135" s="15">
        <f t="shared" si="76"/>
        <v>1018072.854531</v>
      </c>
      <c r="Y135" s="15">
        <f t="shared" si="77"/>
        <v>1067054.4740150003</v>
      </c>
      <c r="Z135" s="15">
        <f t="shared" si="77"/>
        <v>1064881.5615830002</v>
      </c>
      <c r="AB135" s="15">
        <f t="shared" si="78"/>
        <v>1147416.5569640005</v>
      </c>
    </row>
    <row r="136" spans="2:28" ht="15" x14ac:dyDescent="0.25">
      <c r="B136" s="12"/>
      <c r="C136" s="11"/>
      <c r="D136" s="10">
        <v>93039.108617999998</v>
      </c>
      <c r="E136" s="10">
        <v>90063.939708000005</v>
      </c>
      <c r="F136" s="10">
        <v>95300.390004000001</v>
      </c>
      <c r="G136" s="10">
        <v>90361.328099999999</v>
      </c>
      <c r="H136" s="10">
        <v>98647.563162000006</v>
      </c>
      <c r="I136" s="10">
        <v>96639.714564000009</v>
      </c>
      <c r="J136" s="10">
        <v>106533.558678</v>
      </c>
      <c r="K136" s="10">
        <v>104284.164762</v>
      </c>
      <c r="L136" s="10">
        <v>92846.750592000011</v>
      </c>
      <c r="M136" s="10">
        <v>93319.400406000001</v>
      </c>
      <c r="N136" s="10">
        <v>81178.149438000008</v>
      </c>
      <c r="O136" s="10">
        <v>83472.162551000001</v>
      </c>
      <c r="P136" s="9">
        <f t="shared" si="74"/>
        <v>1125686.230583</v>
      </c>
      <c r="T136" s="1">
        <f t="shared" si="75"/>
        <v>0</v>
      </c>
      <c r="V136" s="1">
        <v>9</v>
      </c>
      <c r="W136" s="15">
        <f t="shared" si="76"/>
        <v>24950087.647700001</v>
      </c>
      <c r="Y136" s="15">
        <f t="shared" ref="Y136:Y150" si="79">MAX(SUMIF($V$13:$V$125,"="&amp;$V136,Y$13:Y$125),829950)</f>
        <v>25724069.904479999</v>
      </c>
      <c r="Z136" s="15">
        <v>0</v>
      </c>
      <c r="AA136" s="15">
        <f>MAX(SUMIF($V$13:$V$125,"="&amp;$V136,AA$13:AA$125),829950)</f>
        <v>25825262.88374</v>
      </c>
      <c r="AB136" s="15">
        <f t="shared" si="78"/>
        <v>27556334.955200002</v>
      </c>
    </row>
    <row r="137" spans="2:28" ht="15" x14ac:dyDescent="0.25">
      <c r="B137" s="12"/>
      <c r="C137" s="11"/>
      <c r="D137" s="10">
        <v>88511.786070000002</v>
      </c>
      <c r="E137" s="10">
        <v>83188.440042000002</v>
      </c>
      <c r="F137" s="10">
        <v>86088.671879999994</v>
      </c>
      <c r="G137" s="10">
        <v>85243.928190000021</v>
      </c>
      <c r="H137" s="10">
        <v>87038.785086000004</v>
      </c>
      <c r="I137" s="10">
        <v>85274.905541999993</v>
      </c>
      <c r="J137" s="10">
        <v>86299.248120000018</v>
      </c>
      <c r="K137" s="10">
        <v>89740.348314000017</v>
      </c>
      <c r="L137" s="10">
        <v>80812.210325999986</v>
      </c>
      <c r="M137" s="10">
        <v>86698.657913999996</v>
      </c>
      <c r="N137" s="10">
        <v>81256.475615999996</v>
      </c>
      <c r="O137" s="10">
        <v>77919.397431000005</v>
      </c>
      <c r="P137" s="9">
        <f t="shared" si="74"/>
        <v>1018072.854531</v>
      </c>
      <c r="T137" s="1">
        <f t="shared" si="75"/>
        <v>0</v>
      </c>
      <c r="V137" s="1">
        <v>10</v>
      </c>
      <c r="W137" s="15">
        <f t="shared" si="76"/>
        <v>3648162.442545</v>
      </c>
      <c r="Y137" s="15">
        <f t="shared" si="79"/>
        <v>3765741.0272250003</v>
      </c>
      <c r="Z137" s="15">
        <f t="shared" ref="Z137:Z150" si="80">MAX(SUMIF($V$13:$V$125,"="&amp;$V137,Z$13:Z$125),829950)</f>
        <v>3756121.1525850003</v>
      </c>
      <c r="AB137" s="15">
        <f t="shared" si="78"/>
        <v>4258944.0775800003</v>
      </c>
    </row>
    <row r="138" spans="2:28" ht="15" x14ac:dyDescent="0.25">
      <c r="B138" s="12"/>
      <c r="C138" s="11"/>
      <c r="D138" s="10">
        <v>2154756.3895000005</v>
      </c>
      <c r="E138" s="10">
        <v>2011380.0215</v>
      </c>
      <c r="F138" s="10">
        <v>2155694.0388000002</v>
      </c>
      <c r="G138" s="10">
        <v>2100499.5920000002</v>
      </c>
      <c r="H138" s="10">
        <v>2040376.9098</v>
      </c>
      <c r="I138" s="10">
        <v>2035536.0108000003</v>
      </c>
      <c r="J138" s="10">
        <v>2093006.2768000001</v>
      </c>
      <c r="K138" s="10">
        <v>2108306.0851999996</v>
      </c>
      <c r="L138" s="10">
        <v>1981461.5263000003</v>
      </c>
      <c r="M138" s="10">
        <v>2121498.9912</v>
      </c>
      <c r="N138" s="10">
        <v>2035579.7984000002</v>
      </c>
      <c r="O138" s="10">
        <v>2111992.0074</v>
      </c>
      <c r="P138" s="9">
        <f t="shared" si="74"/>
        <v>24950087.647700001</v>
      </c>
      <c r="T138" s="1">
        <f t="shared" si="75"/>
        <v>0</v>
      </c>
      <c r="V138" s="1">
        <v>11</v>
      </c>
      <c r="W138" s="15">
        <f t="shared" si="76"/>
        <v>3739498.5488895304</v>
      </c>
      <c r="Y138" s="15">
        <f t="shared" si="79"/>
        <v>3861245.3704504501</v>
      </c>
      <c r="Z138" s="15">
        <f t="shared" si="80"/>
        <v>3851461.79157029</v>
      </c>
      <c r="AA138" s="15"/>
      <c r="AB138" s="15">
        <f t="shared" si="78"/>
        <v>4363523.7746193195</v>
      </c>
    </row>
    <row r="139" spans="2:28" ht="15" x14ac:dyDescent="0.25">
      <c r="B139" s="12"/>
      <c r="C139" s="11"/>
      <c r="D139" s="10">
        <v>331667.57970600005</v>
      </c>
      <c r="E139" s="10">
        <v>219682.58730000001</v>
      </c>
      <c r="F139" s="10">
        <v>320979.48770400003</v>
      </c>
      <c r="G139" s="10">
        <v>313654.95347999997</v>
      </c>
      <c r="H139" s="10">
        <v>335424.27210000006</v>
      </c>
      <c r="I139" s="10">
        <v>302392.69422</v>
      </c>
      <c r="J139" s="10">
        <v>281313.952368</v>
      </c>
      <c r="K139" s="10">
        <v>332359.97415000002</v>
      </c>
      <c r="L139" s="10">
        <v>302527.19254200003</v>
      </c>
      <c r="M139" s="10">
        <v>325118.21890200005</v>
      </c>
      <c r="N139" s="10">
        <v>282228.16363800003</v>
      </c>
      <c r="O139" s="10">
        <v>300813.36643500003</v>
      </c>
      <c r="P139" s="9">
        <f t="shared" si="74"/>
        <v>3648162.4425450009</v>
      </c>
      <c r="T139" s="1">
        <f t="shared" si="75"/>
        <v>0</v>
      </c>
      <c r="V139" s="1">
        <v>12</v>
      </c>
      <c r="W139" s="15">
        <f t="shared" si="76"/>
        <v>2682114.2113095</v>
      </c>
      <c r="Y139" s="15">
        <f t="shared" si="79"/>
        <v>2772818.0351675004</v>
      </c>
      <c r="Z139" s="15">
        <f t="shared" si="80"/>
        <v>2765844.2725835</v>
      </c>
      <c r="AB139" s="15">
        <f t="shared" si="78"/>
        <v>3119327.2484180001</v>
      </c>
    </row>
    <row r="140" spans="2:28" ht="15" x14ac:dyDescent="0.25">
      <c r="B140" s="12"/>
      <c r="C140" s="11"/>
      <c r="D140" s="10">
        <v>194303.69124000001</v>
      </c>
      <c r="E140" s="10">
        <v>301126.19707200001</v>
      </c>
      <c r="F140" s="10">
        <v>329134.34092799999</v>
      </c>
      <c r="G140" s="10">
        <v>316498.09576800006</v>
      </c>
      <c r="H140" s="10">
        <v>351613.09750800004</v>
      </c>
      <c r="I140" s="10">
        <v>309962.64149999997</v>
      </c>
      <c r="J140" s="10">
        <v>288644.4411</v>
      </c>
      <c r="K140" s="10">
        <v>322452.14361600007</v>
      </c>
      <c r="L140" s="10">
        <v>312399.75732153002</v>
      </c>
      <c r="M140" s="10">
        <v>353350.34132400004</v>
      </c>
      <c r="N140" s="10">
        <v>328805.21162400005</v>
      </c>
      <c r="O140" s="10">
        <v>331208.58988800005</v>
      </c>
      <c r="P140" s="9">
        <f t="shared" si="74"/>
        <v>3739498.5488895304</v>
      </c>
      <c r="T140" s="1">
        <f t="shared" si="75"/>
        <v>0</v>
      </c>
      <c r="V140" s="1">
        <v>13</v>
      </c>
      <c r="W140" s="15">
        <f t="shared" si="76"/>
        <v>893866.50717</v>
      </c>
      <c r="Y140" s="15">
        <f t="shared" si="79"/>
        <v>935206.66904999991</v>
      </c>
      <c r="Z140" s="15">
        <f t="shared" si="80"/>
        <v>933158.81480999989</v>
      </c>
      <c r="AB140" s="15">
        <f t="shared" si="78"/>
        <v>1008635.8384799999</v>
      </c>
    </row>
    <row r="141" spans="2:28" ht="15" x14ac:dyDescent="0.25">
      <c r="B141" s="12"/>
      <c r="C141" s="11"/>
      <c r="D141" s="10">
        <v>197740.27559400001</v>
      </c>
      <c r="E141" s="10">
        <v>184027.16702399999</v>
      </c>
      <c r="F141" s="10">
        <v>197994.97955400002</v>
      </c>
      <c r="G141" s="10">
        <v>209520.14102700001</v>
      </c>
      <c r="H141" s="10">
        <v>255674.44257000001</v>
      </c>
      <c r="I141" s="10">
        <v>248094.96460800004</v>
      </c>
      <c r="J141" s="10">
        <v>283139.29068000003</v>
      </c>
      <c r="K141" s="10">
        <v>280863.85945200006</v>
      </c>
      <c r="L141" s="10">
        <v>234113.02231200002</v>
      </c>
      <c r="M141" s="10">
        <v>208441.38534900002</v>
      </c>
      <c r="N141" s="10">
        <v>190282.726509</v>
      </c>
      <c r="O141" s="10">
        <v>192221.95663050003</v>
      </c>
      <c r="P141" s="9">
        <f t="shared" si="74"/>
        <v>2682114.2113095005</v>
      </c>
      <c r="T141" s="1">
        <f t="shared" si="75"/>
        <v>0</v>
      </c>
      <c r="V141" s="1">
        <v>14</v>
      </c>
      <c r="W141" s="15">
        <f t="shared" si="76"/>
        <v>1091356.7544</v>
      </c>
      <c r="Y141" s="15">
        <f t="shared" si="79"/>
        <v>1150742.7139999999</v>
      </c>
      <c r="Z141" s="15">
        <f t="shared" si="80"/>
        <v>1148813.6132</v>
      </c>
      <c r="AB141" s="15">
        <f t="shared" si="78"/>
        <v>1217588.4896</v>
      </c>
    </row>
    <row r="142" spans="2:28" ht="15" x14ac:dyDescent="0.25">
      <c r="B142" s="12"/>
      <c r="C142" s="11"/>
      <c r="D142" s="10">
        <v>71552.884253000011</v>
      </c>
      <c r="E142" s="10">
        <v>66885.186056999999</v>
      </c>
      <c r="F142" s="10">
        <v>70107.613758000007</v>
      </c>
      <c r="G142" s="10">
        <v>69930.043974000015</v>
      </c>
      <c r="H142" s="10">
        <v>79389.550833000016</v>
      </c>
      <c r="I142" s="10">
        <v>78054.402952999997</v>
      </c>
      <c r="J142" s="10">
        <v>85760.935297000004</v>
      </c>
      <c r="K142" s="10">
        <v>85612.889820000011</v>
      </c>
      <c r="L142" s="10">
        <v>74728.014847000013</v>
      </c>
      <c r="M142" s="10">
        <v>72621.255896999995</v>
      </c>
      <c r="N142" s="10">
        <v>68857.004765999998</v>
      </c>
      <c r="O142" s="10">
        <v>70366.724714999989</v>
      </c>
      <c r="P142" s="9">
        <f t="shared" si="74"/>
        <v>893866.50717</v>
      </c>
      <c r="T142" s="1">
        <f t="shared" si="75"/>
        <v>0</v>
      </c>
      <c r="V142" s="1">
        <v>15</v>
      </c>
      <c r="W142" s="15">
        <f t="shared" si="76"/>
        <v>1102112.0343885301</v>
      </c>
      <c r="Y142" s="15">
        <f t="shared" si="79"/>
        <v>1148976.18638545</v>
      </c>
      <c r="Z142" s="15">
        <f t="shared" si="80"/>
        <v>1146336.63177729</v>
      </c>
      <c r="AB142" s="15">
        <f t="shared" si="78"/>
        <v>1255207.7449753198</v>
      </c>
    </row>
    <row r="143" spans="2:28" ht="15" x14ac:dyDescent="0.25">
      <c r="B143" s="12"/>
      <c r="C143" s="11"/>
      <c r="D143" s="10">
        <v>89183.794722000006</v>
      </c>
      <c r="E143" s="10">
        <v>85708.244022000014</v>
      </c>
      <c r="F143" s="10">
        <v>93660.099450000009</v>
      </c>
      <c r="G143" s="10">
        <v>89211.440975999983</v>
      </c>
      <c r="H143" s="10">
        <v>90949.801019999984</v>
      </c>
      <c r="I143" s="10">
        <v>90100.095251999999</v>
      </c>
      <c r="J143" s="10">
        <v>91423.875660000005</v>
      </c>
      <c r="K143" s="10">
        <v>96020.028149999998</v>
      </c>
      <c r="L143" s="10">
        <v>91998.446837999989</v>
      </c>
      <c r="M143" s="10">
        <v>99316.355117999992</v>
      </c>
      <c r="N143" s="10">
        <v>83293.079118000009</v>
      </c>
      <c r="O143" s="10">
        <v>90491.494074000002</v>
      </c>
      <c r="P143" s="9">
        <f t="shared" si="74"/>
        <v>1091356.7544</v>
      </c>
      <c r="T143" s="1">
        <f t="shared" si="75"/>
        <v>0</v>
      </c>
      <c r="V143" s="1">
        <v>16</v>
      </c>
      <c r="W143" s="15">
        <f t="shared" si="76"/>
        <v>1693748.3500679997</v>
      </c>
      <c r="Y143" s="15">
        <f t="shared" si="79"/>
        <v>1757698.6170199995</v>
      </c>
      <c r="Z143" s="15">
        <f t="shared" si="80"/>
        <v>1753471.5297239996</v>
      </c>
      <c r="AB143" s="15">
        <f t="shared" si="78"/>
        <v>1951939.0189919996</v>
      </c>
    </row>
    <row r="144" spans="2:28" ht="15" x14ac:dyDescent="0.25">
      <c r="B144" s="12"/>
      <c r="C144" s="11"/>
      <c r="D144" s="10">
        <v>89484.636102000004</v>
      </c>
      <c r="E144" s="10">
        <v>81275.372860000003</v>
      </c>
      <c r="F144" s="10">
        <v>83646.593288000004</v>
      </c>
      <c r="G144" s="10">
        <v>87701.937575999997</v>
      </c>
      <c r="H144" s="10">
        <v>102404.06475000001</v>
      </c>
      <c r="I144" s="10">
        <v>102425.91529200001</v>
      </c>
      <c r="J144" s="10">
        <v>107933.23959</v>
      </c>
      <c r="K144" s="10">
        <v>105724.05639000001</v>
      </c>
      <c r="L144" s="10">
        <v>93240.55019400001</v>
      </c>
      <c r="M144" s="10">
        <v>86867.782548000017</v>
      </c>
      <c r="N144" s="10">
        <v>81170.391208000001</v>
      </c>
      <c r="O144" s="10">
        <v>80237.494590529997</v>
      </c>
      <c r="P144" s="9">
        <f t="shared" si="74"/>
        <v>1102112.0343885301</v>
      </c>
      <c r="T144" s="1">
        <f t="shared" si="75"/>
        <v>0</v>
      </c>
      <c r="V144" s="1">
        <v>17</v>
      </c>
      <c r="W144" s="15">
        <f t="shared" si="76"/>
        <v>1820182.5438000001</v>
      </c>
      <c r="Y144" s="15">
        <f t="shared" si="79"/>
        <v>1884811.9874</v>
      </c>
      <c r="Z144" s="15">
        <f t="shared" si="80"/>
        <v>1880087.7666</v>
      </c>
      <c r="AB144" s="15">
        <f t="shared" si="78"/>
        <v>2106612.2280000001</v>
      </c>
    </row>
    <row r="145" spans="1:28" ht="15" x14ac:dyDescent="0.25">
      <c r="B145" s="12"/>
      <c r="C145" s="11"/>
      <c r="D145" s="10">
        <v>154153.79258400001</v>
      </c>
      <c r="E145" s="10">
        <v>146627.079852</v>
      </c>
      <c r="F145" s="10">
        <v>154542.93106800003</v>
      </c>
      <c r="G145" s="10">
        <v>144196.98421200001</v>
      </c>
      <c r="H145" s="10">
        <v>124088.92569600001</v>
      </c>
      <c r="I145" s="10">
        <v>136381.79111999998</v>
      </c>
      <c r="J145" s="10">
        <v>131040.48421200001</v>
      </c>
      <c r="K145" s="10">
        <v>133842.88129200001</v>
      </c>
      <c r="L145" s="10">
        <v>133033.99438800002</v>
      </c>
      <c r="M145" s="10">
        <v>144345.39642</v>
      </c>
      <c r="N145" s="10">
        <v>141836.02712400001</v>
      </c>
      <c r="O145" s="10">
        <v>149658.06210000001</v>
      </c>
      <c r="P145" s="9">
        <f t="shared" si="74"/>
        <v>1693748.3500680001</v>
      </c>
      <c r="T145" s="1">
        <f t="shared" si="75"/>
        <v>0</v>
      </c>
      <c r="V145" s="1">
        <v>18</v>
      </c>
      <c r="W145" s="15">
        <f t="shared" si="76"/>
        <v>3214152.8355099005</v>
      </c>
      <c r="Y145" s="15">
        <f t="shared" si="79"/>
        <v>3324912.1098735002</v>
      </c>
      <c r="Z145" s="15">
        <f t="shared" si="80"/>
        <v>3316760.2569407001</v>
      </c>
      <c r="AB145" s="15">
        <f t="shared" si="78"/>
        <v>3736731.7068356001</v>
      </c>
    </row>
    <row r="146" spans="1:28" ht="15" x14ac:dyDescent="0.25">
      <c r="B146" s="12"/>
      <c r="C146" s="11"/>
      <c r="D146" s="10">
        <v>159689.93950800001</v>
      </c>
      <c r="E146" s="10">
        <v>160768.54545600002</v>
      </c>
      <c r="F146" s="10">
        <v>163694.07259200001</v>
      </c>
      <c r="G146" s="10">
        <v>151658.59996799999</v>
      </c>
      <c r="H146" s="10">
        <v>144196.69105200001</v>
      </c>
      <c r="I146" s="10">
        <v>137881.78458000001</v>
      </c>
      <c r="J146" s="10">
        <v>139753.34909999999</v>
      </c>
      <c r="K146" s="10">
        <v>147006.67459200002</v>
      </c>
      <c r="L146" s="10">
        <v>144889.77471600001</v>
      </c>
      <c r="M146" s="10">
        <v>156028.96389600003</v>
      </c>
      <c r="N146" s="10">
        <v>152343.17258399999</v>
      </c>
      <c r="O146" s="10">
        <v>162270.97575600003</v>
      </c>
      <c r="P146" s="9">
        <f t="shared" si="74"/>
        <v>1820182.5438000001</v>
      </c>
      <c r="T146" s="1">
        <f t="shared" si="75"/>
        <v>0</v>
      </c>
      <c r="V146" s="1">
        <v>19</v>
      </c>
      <c r="W146" s="15">
        <f t="shared" si="76"/>
        <v>2311791.21765</v>
      </c>
      <c r="Y146" s="15">
        <f t="shared" si="79"/>
        <v>2390492.4607500001</v>
      </c>
      <c r="Z146" s="15">
        <f t="shared" si="80"/>
        <v>2384442.6919500004</v>
      </c>
      <c r="AB146" s="15">
        <f t="shared" si="78"/>
        <v>2685777.7686000001</v>
      </c>
    </row>
    <row r="147" spans="1:28" ht="15" x14ac:dyDescent="0.25">
      <c r="B147" s="12"/>
      <c r="C147" s="11"/>
      <c r="D147" s="10">
        <v>275426.03769000003</v>
      </c>
      <c r="E147" s="10">
        <v>248056.97580000001</v>
      </c>
      <c r="F147" s="10">
        <v>236987.15766000003</v>
      </c>
      <c r="G147" s="10">
        <v>242606.79720000003</v>
      </c>
      <c r="H147" s="10">
        <v>276983.29719000007</v>
      </c>
      <c r="I147" s="10">
        <v>275838.40389000002</v>
      </c>
      <c r="J147" s="10">
        <v>327255.34469370003</v>
      </c>
      <c r="K147" s="10">
        <v>330593.11130370008</v>
      </c>
      <c r="L147" s="10">
        <v>270230.68797900004</v>
      </c>
      <c r="M147" s="10">
        <v>242824.77558240001</v>
      </c>
      <c r="N147" s="10">
        <v>237401.61771000002</v>
      </c>
      <c r="O147" s="10">
        <v>249948.62881110003</v>
      </c>
      <c r="P147" s="9">
        <f t="shared" si="74"/>
        <v>3214152.8355099005</v>
      </c>
      <c r="T147" s="1">
        <f t="shared" si="75"/>
        <v>0</v>
      </c>
      <c r="V147" s="1">
        <v>20</v>
      </c>
      <c r="W147" s="15">
        <f t="shared" si="76"/>
        <v>2040434.8494007203</v>
      </c>
      <c r="Y147" s="15">
        <f t="shared" si="79"/>
        <v>2112200.2733908002</v>
      </c>
      <c r="Z147" s="15">
        <f t="shared" si="80"/>
        <v>2106977.2525229603</v>
      </c>
      <c r="AB147" s="15">
        <f t="shared" si="78"/>
        <v>2361652.7427516803</v>
      </c>
    </row>
    <row r="148" spans="1:28" ht="15" x14ac:dyDescent="0.25">
      <c r="B148" s="12"/>
      <c r="C148" s="11"/>
      <c r="D148" s="10">
        <v>206262.10743</v>
      </c>
      <c r="E148" s="10">
        <v>191086.26901800002</v>
      </c>
      <c r="F148" s="10">
        <v>201660.66466799998</v>
      </c>
      <c r="G148" s="10">
        <v>194107.18705799998</v>
      </c>
      <c r="H148" s="10">
        <v>182858.362926</v>
      </c>
      <c r="I148" s="10">
        <v>177734.47401600002</v>
      </c>
      <c r="J148" s="10">
        <v>184033.66774199999</v>
      </c>
      <c r="K148" s="10">
        <v>187087.87914</v>
      </c>
      <c r="L148" s="10">
        <v>183918.75586800004</v>
      </c>
      <c r="M148" s="10">
        <v>194290.54137600004</v>
      </c>
      <c r="N148" s="10">
        <v>200299.91267399999</v>
      </c>
      <c r="O148" s="10">
        <v>208451.39573399999</v>
      </c>
      <c r="P148" s="9">
        <f t="shared" si="74"/>
        <v>2311791.21765</v>
      </c>
      <c r="T148" s="1">
        <f t="shared" si="75"/>
        <v>0</v>
      </c>
      <c r="V148" s="1">
        <v>21</v>
      </c>
      <c r="W148" s="15">
        <f t="shared" si="76"/>
        <v>1994314.8725959999</v>
      </c>
      <c r="Y148" s="15">
        <f t="shared" si="79"/>
        <v>2066857.3674399999</v>
      </c>
      <c r="Z148" s="15">
        <f t="shared" si="80"/>
        <v>2061873.7797279998</v>
      </c>
      <c r="AB148" s="15">
        <f t="shared" si="78"/>
        <v>2303036.2612239998</v>
      </c>
    </row>
    <row r="149" spans="1:28" ht="15" x14ac:dyDescent="0.25">
      <c r="B149" s="12"/>
      <c r="C149" s="11"/>
      <c r="D149" s="10">
        <v>166703.92308000004</v>
      </c>
      <c r="E149" s="10">
        <v>162401.75586</v>
      </c>
      <c r="F149" s="10">
        <v>179732.15544000003</v>
      </c>
      <c r="G149" s="10">
        <v>176102.27932000003</v>
      </c>
      <c r="H149" s="10">
        <v>165005.74582000001</v>
      </c>
      <c r="I149" s="10">
        <v>156425.83162000001</v>
      </c>
      <c r="J149" s="10">
        <v>161581.38774000001</v>
      </c>
      <c r="K149" s="10">
        <v>169300.64916000003</v>
      </c>
      <c r="L149" s="10">
        <v>166692.02886000002</v>
      </c>
      <c r="M149" s="10">
        <v>176357.76416000002</v>
      </c>
      <c r="N149" s="10">
        <v>176152.47752000001</v>
      </c>
      <c r="O149" s="10">
        <v>183978.85082072002</v>
      </c>
      <c r="P149" s="9">
        <f t="shared" si="74"/>
        <v>2040434.8494007201</v>
      </c>
      <c r="T149" s="1">
        <f t="shared" si="75"/>
        <v>0</v>
      </c>
      <c r="V149" s="1">
        <v>22</v>
      </c>
      <c r="W149" s="15">
        <f t="shared" si="76"/>
        <v>829950</v>
      </c>
      <c r="Y149" s="15">
        <f t="shared" si="79"/>
        <v>829950</v>
      </c>
      <c r="Z149" s="15">
        <f t="shared" si="80"/>
        <v>829950</v>
      </c>
      <c r="AB149" s="15">
        <f t="shared" si="78"/>
        <v>829950</v>
      </c>
    </row>
    <row r="150" spans="1:28" ht="15" x14ac:dyDescent="0.25">
      <c r="B150" s="12"/>
      <c r="C150" s="11"/>
      <c r="D150" s="10">
        <v>152839.85868400001</v>
      </c>
      <c r="E150" s="10">
        <v>145820.89613600002</v>
      </c>
      <c r="F150" s="10">
        <v>146036.3247</v>
      </c>
      <c r="G150" s="10">
        <v>161365.92282800001</v>
      </c>
      <c r="H150" s="10">
        <v>154679.376104</v>
      </c>
      <c r="I150" s="10">
        <v>152162.38609600003</v>
      </c>
      <c r="J150" s="10">
        <v>210906.70081600003</v>
      </c>
      <c r="K150" s="10">
        <v>222986.16509600001</v>
      </c>
      <c r="L150" s="10">
        <v>194233.64311600002</v>
      </c>
      <c r="M150" s="10">
        <v>167175.83706800002</v>
      </c>
      <c r="N150" s="10">
        <v>144287.45326399998</v>
      </c>
      <c r="O150" s="10">
        <v>141820.30868800002</v>
      </c>
      <c r="P150" s="9">
        <f t="shared" si="74"/>
        <v>1994314.8725960006</v>
      </c>
      <c r="T150" s="1">
        <f t="shared" si="75"/>
        <v>0</v>
      </c>
      <c r="V150" s="1">
        <v>23</v>
      </c>
      <c r="W150" s="15">
        <f t="shared" si="76"/>
        <v>887973.29711099982</v>
      </c>
      <c r="Y150" s="15">
        <f t="shared" si="79"/>
        <v>932804.2173149999</v>
      </c>
      <c r="Z150" s="15">
        <f t="shared" si="80"/>
        <v>930959.4223229998</v>
      </c>
      <c r="AB150" s="15">
        <f t="shared" si="78"/>
        <v>994976.28968399984</v>
      </c>
    </row>
    <row r="151" spans="1:28" x14ac:dyDescent="0.2">
      <c r="B151" s="1" t="s">
        <v>6</v>
      </c>
      <c r="P151" s="9">
        <f>SUM(P128:P150)</f>
        <v>66641397.299517959</v>
      </c>
      <c r="Q151" s="9">
        <v>-102310.26661404967</v>
      </c>
      <c r="T151" s="1">
        <f>SUM(T128:T150)</f>
        <v>102310.26643199997</v>
      </c>
      <c r="W151" s="13">
        <f>SUM(W128:W150)-P151</f>
        <v>102310.26643199474</v>
      </c>
      <c r="Z151" s="13">
        <v>-61329.24942356348</v>
      </c>
      <c r="AA151" s="13"/>
    </row>
    <row r="152" spans="1:28" ht="15" x14ac:dyDescent="0.25">
      <c r="P152" s="9"/>
      <c r="W152" s="14">
        <f>W151/P151</f>
        <v>1.5352359130791332E-3</v>
      </c>
      <c r="AA152" s="13"/>
    </row>
    <row r="153" spans="1:28" x14ac:dyDescent="0.2">
      <c r="B153" s="12"/>
      <c r="C153" s="11"/>
      <c r="D153" s="10">
        <v>60790.912059999995</v>
      </c>
      <c r="E153" s="10">
        <v>63669.574855999992</v>
      </c>
      <c r="F153" s="10">
        <v>67057.776799999992</v>
      </c>
      <c r="G153" s="10">
        <v>65520.260379999992</v>
      </c>
      <c r="H153" s="10">
        <v>65179.094847999993</v>
      </c>
      <c r="I153" s="10">
        <v>68886.100527999995</v>
      </c>
      <c r="J153" s="10">
        <v>66844.118208</v>
      </c>
      <c r="K153" s="10">
        <v>71753.608415999988</v>
      </c>
      <c r="L153" s="10">
        <v>55859.912527999986</v>
      </c>
      <c r="M153" s="10">
        <v>62445.48743999999</v>
      </c>
      <c r="N153" s="10">
        <v>63004.085311999996</v>
      </c>
      <c r="O153" s="10">
        <v>66737.288911999989</v>
      </c>
      <c r="P153" s="9">
        <f>SUM(D153:O153)</f>
        <v>777748.22028799995</v>
      </c>
    </row>
    <row r="154" spans="1:28" x14ac:dyDescent="0.2">
      <c r="P154" s="9"/>
      <c r="Y154" s="1" t="s">
        <v>5</v>
      </c>
      <c r="Z154" s="1" t="s">
        <v>4</v>
      </c>
      <c r="AB154" s="1" t="s">
        <v>3</v>
      </c>
    </row>
    <row r="155" spans="1:28" ht="15" x14ac:dyDescent="0.25">
      <c r="D155" s="1">
        <v>24</v>
      </c>
      <c r="E155" s="1">
        <v>24</v>
      </c>
      <c r="F155" s="1">
        <v>24</v>
      </c>
      <c r="G155" s="1">
        <v>24</v>
      </c>
      <c r="H155" s="1">
        <v>24</v>
      </c>
      <c r="I155" s="1">
        <v>24</v>
      </c>
      <c r="J155" s="1">
        <v>24</v>
      </c>
      <c r="K155" s="1">
        <v>24</v>
      </c>
      <c r="L155" s="1">
        <v>24</v>
      </c>
      <c r="M155" s="1">
        <v>24</v>
      </c>
      <c r="N155" s="1">
        <v>24</v>
      </c>
      <c r="O155" s="1">
        <v>24</v>
      </c>
      <c r="V155" s="1">
        <f t="shared" ref="V155:V177" si="81">V128</f>
        <v>1</v>
      </c>
      <c r="Y155" s="5">
        <f t="shared" ref="Y155:Z162" si="82">(Y128-$W128)/$W128</f>
        <v>3.277440980968898E-2</v>
      </c>
      <c r="Z155" s="5">
        <f t="shared" si="82"/>
        <v>3.1507947760542984E-2</v>
      </c>
      <c r="AB155" s="5">
        <f t="shared" ref="AB155:AB177" si="83">(AB128-$W128)/$W128</f>
        <v>0.16608813422210444</v>
      </c>
    </row>
    <row r="156" spans="1:28" ht="15" x14ac:dyDescent="0.25">
      <c r="D156" s="1">
        <v>31</v>
      </c>
      <c r="E156" s="1">
        <v>30</v>
      </c>
      <c r="F156" s="1">
        <v>31</v>
      </c>
      <c r="G156" s="1">
        <v>31</v>
      </c>
      <c r="H156" s="1">
        <v>28</v>
      </c>
      <c r="I156" s="1">
        <v>31</v>
      </c>
      <c r="J156" s="1">
        <v>30</v>
      </c>
      <c r="K156" s="1">
        <v>31</v>
      </c>
      <c r="L156" s="1">
        <v>30</v>
      </c>
      <c r="M156" s="1">
        <v>31</v>
      </c>
      <c r="N156" s="1">
        <v>31</v>
      </c>
      <c r="O156" s="1">
        <v>30</v>
      </c>
      <c r="P156" s="1">
        <f>SUM(D156:O156)</f>
        <v>365</v>
      </c>
      <c r="V156" s="1">
        <f t="shared" si="81"/>
        <v>2</v>
      </c>
      <c r="Y156" s="5">
        <f t="shared" si="82"/>
        <v>3.4567959782617105E-2</v>
      </c>
      <c r="Z156" s="5">
        <f t="shared" si="82"/>
        <v>3.1962903118002643E-2</v>
      </c>
      <c r="AB156" s="5">
        <f t="shared" si="83"/>
        <v>0.16030869611382079</v>
      </c>
    </row>
    <row r="157" spans="1:28" ht="15" x14ac:dyDescent="0.25">
      <c r="D157" s="1">
        <f t="shared" ref="D157:O157" si="84">D155*D156</f>
        <v>744</v>
      </c>
      <c r="E157" s="1">
        <f t="shared" si="84"/>
        <v>720</v>
      </c>
      <c r="F157" s="1">
        <f t="shared" si="84"/>
        <v>744</v>
      </c>
      <c r="G157" s="1">
        <f t="shared" si="84"/>
        <v>744</v>
      </c>
      <c r="H157" s="1">
        <f t="shared" si="84"/>
        <v>672</v>
      </c>
      <c r="I157" s="1">
        <f t="shared" si="84"/>
        <v>744</v>
      </c>
      <c r="J157" s="1">
        <f t="shared" si="84"/>
        <v>720</v>
      </c>
      <c r="K157" s="1">
        <f t="shared" si="84"/>
        <v>744</v>
      </c>
      <c r="L157" s="1">
        <f t="shared" si="84"/>
        <v>720</v>
      </c>
      <c r="M157" s="1">
        <f t="shared" si="84"/>
        <v>744</v>
      </c>
      <c r="N157" s="1">
        <f t="shared" si="84"/>
        <v>744</v>
      </c>
      <c r="O157" s="1">
        <f t="shared" si="84"/>
        <v>720</v>
      </c>
      <c r="P157" s="1">
        <f>SUM(D157:O157)</f>
        <v>8760</v>
      </c>
      <c r="V157" s="1">
        <f t="shared" si="81"/>
        <v>3</v>
      </c>
      <c r="Y157" s="5">
        <f t="shared" si="82"/>
        <v>4.116626519958199E-2</v>
      </c>
      <c r="Z157" s="5">
        <f t="shared" si="82"/>
        <v>3.8700273924127546E-2</v>
      </c>
      <c r="AB157" s="5">
        <f t="shared" si="83"/>
        <v>0.14147660698304301</v>
      </c>
    </row>
    <row r="158" spans="1:28" ht="15" x14ac:dyDescent="0.25">
      <c r="B158" s="8" t="s">
        <v>2</v>
      </c>
      <c r="D158" s="7">
        <f t="shared" ref="D158:O158" si="85">D12</f>
        <v>43101</v>
      </c>
      <c r="E158" s="7">
        <f t="shared" si="85"/>
        <v>43132</v>
      </c>
      <c r="F158" s="7">
        <f t="shared" si="85"/>
        <v>43160</v>
      </c>
      <c r="G158" s="7">
        <f t="shared" si="85"/>
        <v>43191</v>
      </c>
      <c r="H158" s="7">
        <f t="shared" si="85"/>
        <v>43221</v>
      </c>
      <c r="I158" s="7">
        <f t="shared" si="85"/>
        <v>43252</v>
      </c>
      <c r="J158" s="7">
        <f t="shared" si="85"/>
        <v>43282</v>
      </c>
      <c r="K158" s="7">
        <f t="shared" si="85"/>
        <v>43313</v>
      </c>
      <c r="L158" s="7">
        <f t="shared" si="85"/>
        <v>43344</v>
      </c>
      <c r="M158" s="7">
        <f t="shared" si="85"/>
        <v>43374</v>
      </c>
      <c r="N158" s="7">
        <f t="shared" si="85"/>
        <v>43405</v>
      </c>
      <c r="O158" s="7">
        <f t="shared" si="85"/>
        <v>43435</v>
      </c>
      <c r="P158" s="6" t="s">
        <v>1</v>
      </c>
      <c r="Q158" s="1" t="s">
        <v>0</v>
      </c>
      <c r="V158" s="1">
        <f t="shared" si="81"/>
        <v>4</v>
      </c>
      <c r="Y158" s="5">
        <f t="shared" si="82"/>
        <v>4.1900464715237028E-2</v>
      </c>
      <c r="Z158" s="5">
        <f t="shared" si="82"/>
        <v>3.9459334589553509E-2</v>
      </c>
      <c r="AB158" s="5">
        <f t="shared" si="83"/>
        <v>0.13943896287353366</v>
      </c>
    </row>
    <row r="159" spans="1:28" ht="15" x14ac:dyDescent="0.25">
      <c r="A159" s="1">
        <v>1</v>
      </c>
      <c r="B159" s="4"/>
      <c r="D159" s="3">
        <f t="shared" ref="D159:O159" si="86">(D13/D$157)/D50</f>
        <v>0.77482793226733071</v>
      </c>
      <c r="E159" s="3">
        <f t="shared" si="86"/>
        <v>0.66941348774188592</v>
      </c>
      <c r="F159" s="3">
        <f t="shared" si="86"/>
        <v>0.69176804142728743</v>
      </c>
      <c r="G159" s="3">
        <f t="shared" si="86"/>
        <v>0.65487633784306576</v>
      </c>
      <c r="H159" s="3">
        <f t="shared" si="86"/>
        <v>0.88429051194935748</v>
      </c>
      <c r="I159" s="3">
        <f t="shared" si="86"/>
        <v>0.68819749403747521</v>
      </c>
      <c r="J159" s="3">
        <f t="shared" si="86"/>
        <v>0.78494180436374528</v>
      </c>
      <c r="K159" s="3">
        <f t="shared" si="86"/>
        <v>0.73292087732438471</v>
      </c>
      <c r="L159" s="3">
        <f t="shared" si="86"/>
        <v>0.675850850930244</v>
      </c>
      <c r="M159" s="3">
        <f t="shared" si="86"/>
        <v>0.67934636032377249</v>
      </c>
      <c r="N159" s="3">
        <f t="shared" si="86"/>
        <v>0.61464114921237678</v>
      </c>
      <c r="O159" s="3">
        <f t="shared" si="86"/>
        <v>0.79585348916343335</v>
      </c>
      <c r="P159" s="2">
        <f t="shared" ref="P159:P179" si="87">AVERAGE(D159:O159)</f>
        <v>0.72057736138202999</v>
      </c>
      <c r="Q159" s="2">
        <f>(P13/8760)/Q50</f>
        <v>0.64344896899630866</v>
      </c>
      <c r="V159" s="1">
        <f t="shared" si="81"/>
        <v>5</v>
      </c>
      <c r="Y159" s="5">
        <f t="shared" si="82"/>
        <v>3.7398284558963574E-2</v>
      </c>
      <c r="Z159" s="5">
        <f t="shared" si="82"/>
        <v>3.4825808646921974E-2</v>
      </c>
      <c r="AB159" s="5">
        <f t="shared" si="83"/>
        <v>0.1514884060978354</v>
      </c>
    </row>
    <row r="160" spans="1:28" ht="15" x14ac:dyDescent="0.25">
      <c r="A160" s="1">
        <v>2</v>
      </c>
      <c r="B160" s="4"/>
      <c r="D160" s="3">
        <f t="shared" ref="D160:O160" si="88">(D16/D$157)/D53</f>
        <v>0.81555510306209522</v>
      </c>
      <c r="E160" s="3">
        <f t="shared" si="88"/>
        <v>0.77055071785256479</v>
      </c>
      <c r="F160" s="3">
        <f t="shared" si="88"/>
        <v>0.83290444949254439</v>
      </c>
      <c r="G160" s="3">
        <f t="shared" si="88"/>
        <v>0.80403673569289047</v>
      </c>
      <c r="H160" s="3">
        <f t="shared" si="88"/>
        <v>0.89073408396661635</v>
      </c>
      <c r="I160" s="3">
        <f t="shared" si="88"/>
        <v>0.7881342400294733</v>
      </c>
      <c r="J160" s="3">
        <f t="shared" si="88"/>
        <v>0.79425320476399197</v>
      </c>
      <c r="K160" s="3">
        <f t="shared" si="88"/>
        <v>0.79758311972326257</v>
      </c>
      <c r="L160" s="3">
        <f t="shared" si="88"/>
        <v>0.75185118431485876</v>
      </c>
      <c r="M160" s="3">
        <f t="shared" si="88"/>
        <v>0.74080529575976128</v>
      </c>
      <c r="N160" s="3">
        <f t="shared" si="88"/>
        <v>0.71937109087302997</v>
      </c>
      <c r="O160" s="3">
        <f t="shared" si="88"/>
        <v>0.42644626824901699</v>
      </c>
      <c r="P160" s="2">
        <f t="shared" si="87"/>
        <v>0.76101879114834203</v>
      </c>
      <c r="Q160" s="2">
        <f t="shared" ref="Q160:Q179" si="89">(P16/8760)/Q53</f>
        <v>0.73858865957441178</v>
      </c>
      <c r="V160" s="1">
        <f t="shared" si="81"/>
        <v>6</v>
      </c>
      <c r="Y160" s="5">
        <f t="shared" si="82"/>
        <v>3.8045763041719236E-2</v>
      </c>
      <c r="Z160" s="5">
        <f t="shared" si="82"/>
        <v>3.5562045972519801E-2</v>
      </c>
      <c r="AB160" s="5">
        <f t="shared" si="83"/>
        <v>0.151781112062255</v>
      </c>
    </row>
    <row r="161" spans="1:28" ht="15" x14ac:dyDescent="0.25">
      <c r="A161" s="1">
        <v>3</v>
      </c>
      <c r="B161" s="4"/>
      <c r="D161" s="3">
        <f t="shared" ref="D161:O161" si="90">(D17/D$157)/D54</f>
        <v>0.64069656404391218</v>
      </c>
      <c r="E161" s="3">
        <f t="shared" si="90"/>
        <v>0.58352976022757086</v>
      </c>
      <c r="F161" s="3">
        <f t="shared" si="90"/>
        <v>0.64701060984913128</v>
      </c>
      <c r="G161" s="3">
        <f t="shared" si="90"/>
        <v>0.59775977669622693</v>
      </c>
      <c r="H161" s="3">
        <f t="shared" si="90"/>
        <v>0.6912142190881545</v>
      </c>
      <c r="I161" s="3">
        <f t="shared" si="90"/>
        <v>0.64458878268160613</v>
      </c>
      <c r="J161" s="3">
        <f t="shared" si="90"/>
        <v>0.64589111842274638</v>
      </c>
      <c r="K161" s="3">
        <f t="shared" si="90"/>
        <v>0.63674812401930936</v>
      </c>
      <c r="L161" s="3">
        <f t="shared" si="90"/>
        <v>0.61656264464747235</v>
      </c>
      <c r="M161" s="3">
        <f t="shared" si="90"/>
        <v>0.67021057494702796</v>
      </c>
      <c r="N161" s="3">
        <f t="shared" si="90"/>
        <v>0.60203355961489324</v>
      </c>
      <c r="O161" s="3">
        <f t="shared" si="90"/>
        <v>0.62136132282227663</v>
      </c>
      <c r="P161" s="2">
        <f t="shared" si="87"/>
        <v>0.633133921421694</v>
      </c>
      <c r="Q161" s="2">
        <f t="shared" si="89"/>
        <v>0.57170860607277874</v>
      </c>
      <c r="V161" s="1">
        <f t="shared" si="81"/>
        <v>7</v>
      </c>
      <c r="Y161" s="5">
        <f t="shared" si="82"/>
        <v>4.1436999800417026E-2</v>
      </c>
      <c r="Z161" s="5">
        <f>(Z134-$W134)/$W134</f>
        <v>3.8993294884016531E-2</v>
      </c>
      <c r="AB161" s="5">
        <f t="shared" si="83"/>
        <v>0.1412882863341314</v>
      </c>
    </row>
    <row r="162" spans="1:28" ht="15" x14ac:dyDescent="0.25">
      <c r="A162" s="1">
        <v>4</v>
      </c>
      <c r="B162" s="4"/>
      <c r="D162" s="3">
        <f t="shared" ref="D162:O162" si="91">(D18/D$157)/D55</f>
        <v>0.66057504330699901</v>
      </c>
      <c r="E162" s="3">
        <f t="shared" si="91"/>
        <v>0.65956013982034978</v>
      </c>
      <c r="F162" s="3">
        <f t="shared" si="91"/>
        <v>0.65755232816131282</v>
      </c>
      <c r="G162" s="3">
        <f t="shared" si="91"/>
        <v>0.6606783079201719</v>
      </c>
      <c r="H162" s="3">
        <f t="shared" si="91"/>
        <v>0.80812475897791347</v>
      </c>
      <c r="I162" s="3">
        <f t="shared" si="91"/>
        <v>0.63717549736089818</v>
      </c>
      <c r="J162" s="3">
        <f t="shared" si="91"/>
        <v>0.70410445223548346</v>
      </c>
      <c r="K162" s="3">
        <f t="shared" si="91"/>
        <v>0.63825774944987712</v>
      </c>
      <c r="L162" s="3">
        <f t="shared" si="91"/>
        <v>0.66729065097506401</v>
      </c>
      <c r="M162" s="3">
        <f t="shared" si="91"/>
        <v>0.60486493030597943</v>
      </c>
      <c r="N162" s="3">
        <f t="shared" si="91"/>
        <v>0.63668388674370979</v>
      </c>
      <c r="O162" s="3">
        <f t="shared" si="91"/>
        <v>0.72419023566198926</v>
      </c>
      <c r="P162" s="2">
        <f t="shared" si="87"/>
        <v>0.67158816507664565</v>
      </c>
      <c r="Q162" s="2">
        <f t="shared" si="89"/>
        <v>0.62213577465040604</v>
      </c>
      <c r="V162" s="1">
        <f t="shared" si="81"/>
        <v>8</v>
      </c>
      <c r="Y162" s="5">
        <f t="shared" si="82"/>
        <v>4.8112096561659948E-2</v>
      </c>
      <c r="Z162" s="5">
        <f t="shared" si="82"/>
        <v>4.5977757724975178E-2</v>
      </c>
      <c r="AB162" s="5">
        <f t="shared" si="83"/>
        <v>0.12704758982360428</v>
      </c>
    </row>
    <row r="163" spans="1:28" ht="15" x14ac:dyDescent="0.25">
      <c r="A163" s="1">
        <v>5</v>
      </c>
      <c r="B163" s="4"/>
      <c r="D163" s="3">
        <f t="shared" ref="D163:O163" si="92">(D19/D$157)/D56</f>
        <v>0.81261041576996196</v>
      </c>
      <c r="E163" s="3">
        <f t="shared" si="92"/>
        <v>0.75068791561568449</v>
      </c>
      <c r="F163" s="3">
        <f t="shared" si="92"/>
        <v>0.82430692479577816</v>
      </c>
      <c r="G163" s="3">
        <f t="shared" si="92"/>
        <v>0.63185431516728485</v>
      </c>
      <c r="H163" s="3">
        <f t="shared" si="92"/>
        <v>0.75864775594967782</v>
      </c>
      <c r="I163" s="3">
        <f t="shared" si="92"/>
        <v>0.69573575935342225</v>
      </c>
      <c r="J163" s="3">
        <f t="shared" si="92"/>
        <v>0.77392870238500933</v>
      </c>
      <c r="K163" s="3">
        <f t="shared" si="92"/>
        <v>0.72888840453356596</v>
      </c>
      <c r="L163" s="3">
        <f t="shared" si="92"/>
        <v>0.70442670337745794</v>
      </c>
      <c r="M163" s="3">
        <f t="shared" si="92"/>
        <v>0.72545292871366196</v>
      </c>
      <c r="N163" s="3">
        <f t="shared" si="92"/>
        <v>0.76890870059608663</v>
      </c>
      <c r="O163" s="3">
        <f t="shared" si="92"/>
        <v>0.82022816743032012</v>
      </c>
      <c r="P163" s="2">
        <f t="shared" si="87"/>
        <v>0.74963972447399285</v>
      </c>
      <c r="Q163" s="2">
        <f t="shared" si="89"/>
        <v>0.62682931544537468</v>
      </c>
      <c r="V163" s="1">
        <f t="shared" si="81"/>
        <v>9</v>
      </c>
      <c r="Y163" s="5">
        <f t="shared" ref="Y163:Y177" si="93">(Y136-$W136)/$W136</f>
        <v>3.1021223961565817E-2</v>
      </c>
      <c r="Z163" s="5">
        <f>(AA136-$W136)/$W136</f>
        <v>3.5077040545814557E-2</v>
      </c>
      <c r="AB163" s="5">
        <f t="shared" si="83"/>
        <v>0.10445844296423766</v>
      </c>
    </row>
    <row r="164" spans="1:28" ht="15" x14ac:dyDescent="0.25">
      <c r="A164" s="1">
        <v>6</v>
      </c>
      <c r="B164" s="4"/>
      <c r="D164" s="3">
        <f t="shared" ref="D164:O164" si="94">(D20/D$157)/D57</f>
        <v>0.67607680802181191</v>
      </c>
      <c r="E164" s="3">
        <f t="shared" si="94"/>
        <v>0.65318482301302039</v>
      </c>
      <c r="F164" s="3">
        <f t="shared" si="94"/>
        <v>0.6511373701211649</v>
      </c>
      <c r="G164" s="3">
        <f t="shared" si="94"/>
        <v>0.5871518613030634</v>
      </c>
      <c r="H164" s="3">
        <f t="shared" si="94"/>
        <v>0.58579360206630826</v>
      </c>
      <c r="I164" s="3">
        <f t="shared" si="94"/>
        <v>0.5330824687838932</v>
      </c>
      <c r="J164" s="3">
        <f t="shared" si="94"/>
        <v>0.57194412259734828</v>
      </c>
      <c r="K164" s="3">
        <f t="shared" si="94"/>
        <v>0.51408122195691186</v>
      </c>
      <c r="L164" s="3">
        <f t="shared" si="94"/>
        <v>0.54835267608499605</v>
      </c>
      <c r="M164" s="3">
        <f t="shared" si="94"/>
        <v>0.67642635741613066</v>
      </c>
      <c r="N164" s="3">
        <f t="shared" si="94"/>
        <v>0.62800628074924225</v>
      </c>
      <c r="O164" s="3">
        <f t="shared" si="94"/>
        <v>0.63999857843889441</v>
      </c>
      <c r="P164" s="2">
        <f t="shared" si="87"/>
        <v>0.60543634754606546</v>
      </c>
      <c r="Q164" s="2">
        <f t="shared" si="89"/>
        <v>0.5319604033834433</v>
      </c>
      <c r="V164" s="1">
        <f t="shared" si="81"/>
        <v>10</v>
      </c>
      <c r="Y164" s="5">
        <f t="shared" si="93"/>
        <v>3.2229536521947239E-2</v>
      </c>
      <c r="Z164" s="5">
        <f t="shared" ref="Z164:Z177" si="95">(Z137-$W137)/$W137</f>
        <v>2.9592626901966304E-2</v>
      </c>
      <c r="AB164" s="5">
        <f t="shared" si="83"/>
        <v>0.16742172111418152</v>
      </c>
    </row>
    <row r="165" spans="1:28" ht="15" x14ac:dyDescent="0.25">
      <c r="A165" s="1">
        <v>7</v>
      </c>
      <c r="B165" s="4"/>
      <c r="D165" s="3">
        <f t="shared" ref="D165:O165" si="96">(D21/D$157)/D58</f>
        <v>0.58933268585480314</v>
      </c>
      <c r="E165" s="3">
        <f t="shared" si="96"/>
        <v>0.56415270947451279</v>
      </c>
      <c r="F165" s="3">
        <f t="shared" si="96"/>
        <v>0.58340167825125799</v>
      </c>
      <c r="G165" s="3">
        <f t="shared" si="96"/>
        <v>0.57197646521355427</v>
      </c>
      <c r="H165" s="3">
        <f t="shared" si="96"/>
        <v>0.61615983459081858</v>
      </c>
      <c r="I165" s="3">
        <f t="shared" si="96"/>
        <v>0.57294177390841294</v>
      </c>
      <c r="J165" s="3">
        <f t="shared" si="96"/>
        <v>0.58607254275626552</v>
      </c>
      <c r="K165" s="3">
        <f t="shared" si="96"/>
        <v>0.57181445930118768</v>
      </c>
      <c r="L165" s="3">
        <f t="shared" si="96"/>
        <v>0.59493004191433785</v>
      </c>
      <c r="M165" s="3">
        <f t="shared" si="96"/>
        <v>0.57800922477945904</v>
      </c>
      <c r="N165" s="3">
        <f t="shared" si="96"/>
        <v>0.49005037810329932</v>
      </c>
      <c r="O165" s="3">
        <f t="shared" si="96"/>
        <v>0.55303325506681333</v>
      </c>
      <c r="P165" s="2">
        <f t="shared" si="87"/>
        <v>0.57265625410122678</v>
      </c>
      <c r="Q165" s="2">
        <f t="shared" si="89"/>
        <v>0.50256432656103978</v>
      </c>
      <c r="V165" s="1">
        <f t="shared" si="81"/>
        <v>11</v>
      </c>
      <c r="Y165" s="5">
        <f t="shared" si="93"/>
        <v>3.2556991256775136E-2</v>
      </c>
      <c r="Z165" s="5">
        <f t="shared" si="95"/>
        <v>2.994071028962102E-2</v>
      </c>
      <c r="AB165" s="5">
        <f t="shared" si="83"/>
        <v>0.16687403874380369</v>
      </c>
    </row>
    <row r="166" spans="1:28" ht="15" x14ac:dyDescent="0.25">
      <c r="A166" s="1">
        <v>8</v>
      </c>
      <c r="B166" s="4"/>
      <c r="D166" s="3">
        <f t="shared" ref="D166:O166" si="97">(D22/D$157)/D59</f>
        <v>0.35653026172733976</v>
      </c>
      <c r="E166" s="3">
        <f t="shared" si="97"/>
        <v>0.34051367391279352</v>
      </c>
      <c r="F166" s="3">
        <f t="shared" si="97"/>
        <v>0.34790298082529092</v>
      </c>
      <c r="G166" s="3">
        <f t="shared" si="97"/>
        <v>0.33583111343084354</v>
      </c>
      <c r="H166" s="3">
        <f t="shared" si="97"/>
        <v>0.38800438869555642</v>
      </c>
      <c r="I166" s="3">
        <f t="shared" si="97"/>
        <v>0.34460651019174227</v>
      </c>
      <c r="J166" s="3">
        <f t="shared" si="97"/>
        <v>0.3461823750219486</v>
      </c>
      <c r="K166" s="3">
        <f t="shared" si="97"/>
        <v>0.36255983572423001</v>
      </c>
      <c r="L166" s="3">
        <f t="shared" si="97"/>
        <v>0.32516053983915966</v>
      </c>
      <c r="M166" s="3">
        <f t="shared" si="97"/>
        <v>0.34932087691071811</v>
      </c>
      <c r="N166" s="3">
        <f t="shared" si="97"/>
        <v>0.30715437592160022</v>
      </c>
      <c r="O166" s="3">
        <f t="shared" si="97"/>
        <v>0.30619397646812641</v>
      </c>
      <c r="P166" s="2">
        <f t="shared" si="87"/>
        <v>0.34249674238911249</v>
      </c>
      <c r="Q166" s="2">
        <f t="shared" si="89"/>
        <v>0.33542346185355554</v>
      </c>
      <c r="V166" s="1">
        <f t="shared" si="81"/>
        <v>12</v>
      </c>
      <c r="Y166" s="5">
        <f t="shared" si="93"/>
        <v>3.3818031862899542E-2</v>
      </c>
      <c r="Z166" s="5">
        <f t="shared" si="95"/>
        <v>3.1217932823643664E-2</v>
      </c>
      <c r="AB166" s="5">
        <f t="shared" si="83"/>
        <v>0.16301059636645288</v>
      </c>
    </row>
    <row r="167" spans="1:28" ht="15" x14ac:dyDescent="0.25">
      <c r="A167" s="1">
        <v>9</v>
      </c>
      <c r="B167" s="4"/>
      <c r="D167" s="3">
        <f t="shared" ref="D167:O167" si="98">(D23/D$157)/D60</f>
        <v>0.90921775817091</v>
      </c>
      <c r="E167" s="3">
        <f t="shared" si="98"/>
        <v>0.86226245121666656</v>
      </c>
      <c r="F167" s="3">
        <f t="shared" si="98"/>
        <v>0.89363263682242222</v>
      </c>
      <c r="G167" s="3">
        <f t="shared" si="98"/>
        <v>0.88584132668030668</v>
      </c>
      <c r="H167" s="3">
        <f t="shared" si="98"/>
        <v>0.95823847748299196</v>
      </c>
      <c r="I167" s="3">
        <f t="shared" si="98"/>
        <v>0.89743639109694995</v>
      </c>
      <c r="J167" s="3">
        <f t="shared" si="98"/>
        <v>0.89710559315386973</v>
      </c>
      <c r="K167" s="3">
        <f t="shared" si="98"/>
        <v>0.90638029378347629</v>
      </c>
      <c r="L167" s="3">
        <f t="shared" si="98"/>
        <v>0.88946237624681845</v>
      </c>
      <c r="M167" s="3">
        <f t="shared" si="98"/>
        <v>0.91229380794823922</v>
      </c>
      <c r="N167" s="3">
        <f t="shared" si="98"/>
        <v>0.87746071792545333</v>
      </c>
      <c r="O167" s="3">
        <f t="shared" si="98"/>
        <v>0.9425576887828766</v>
      </c>
      <c r="P167" s="2">
        <f t="shared" si="87"/>
        <v>0.90265745994258184</v>
      </c>
      <c r="Q167" s="2">
        <f t="shared" si="89"/>
        <v>0.87695777276418918</v>
      </c>
      <c r="V167" s="1">
        <f t="shared" si="81"/>
        <v>13</v>
      </c>
      <c r="Y167" s="5">
        <f t="shared" si="93"/>
        <v>4.6248697706421205E-2</v>
      </c>
      <c r="Z167" s="5">
        <f t="shared" si="95"/>
        <v>4.395769091337829E-2</v>
      </c>
      <c r="AB167" s="5">
        <f t="shared" si="83"/>
        <v>0.12839650036039724</v>
      </c>
    </row>
    <row r="168" spans="1:28" ht="15" x14ac:dyDescent="0.25">
      <c r="A168" s="1">
        <v>10</v>
      </c>
      <c r="B168" s="4"/>
      <c r="D168" s="3">
        <f t="shared" ref="D168:O168" si="99">(D24/D$157)/D61</f>
        <v>0.8717945536762175</v>
      </c>
      <c r="E168" s="3">
        <f t="shared" si="99"/>
        <v>0.53598063099994719</v>
      </c>
      <c r="F168" s="3">
        <f t="shared" si="99"/>
        <v>0.87934741409679917</v>
      </c>
      <c r="G168" s="3">
        <f t="shared" si="99"/>
        <v>0.83994116938884245</v>
      </c>
      <c r="H168" s="3">
        <f t="shared" si="99"/>
        <v>0.97293464672880015</v>
      </c>
      <c r="I168" s="3">
        <f t="shared" si="99"/>
        <v>0.77350628818698941</v>
      </c>
      <c r="J168" s="3">
        <f t="shared" si="99"/>
        <v>0.71440757360000284</v>
      </c>
      <c r="K168" s="3">
        <f t="shared" si="99"/>
        <v>0.85997038928393632</v>
      </c>
      <c r="L168" s="3">
        <f t="shared" si="99"/>
        <v>0.68960218348099578</v>
      </c>
      <c r="M168" s="3">
        <f t="shared" si="99"/>
        <v>0.88004953014455567</v>
      </c>
      <c r="N168" s="3">
        <f t="shared" si="99"/>
        <v>0.74491037763565027</v>
      </c>
      <c r="O168" s="3">
        <f t="shared" si="99"/>
        <v>0.82596208168673446</v>
      </c>
      <c r="P168" s="2">
        <f t="shared" si="87"/>
        <v>0.79903390324245593</v>
      </c>
      <c r="Q168" s="2">
        <f t="shared" si="89"/>
        <v>0.70465644634767655</v>
      </c>
      <c r="V168" s="1">
        <f t="shared" si="81"/>
        <v>14</v>
      </c>
      <c r="Y168" s="5">
        <f t="shared" si="93"/>
        <v>5.441480007392159E-2</v>
      </c>
      <c r="Z168" s="5">
        <f t="shared" si="95"/>
        <v>5.2647183030070085E-2</v>
      </c>
      <c r="AB168" s="5">
        <f t="shared" si="83"/>
        <v>0.11566495986859858</v>
      </c>
    </row>
    <row r="169" spans="1:28" ht="15" x14ac:dyDescent="0.25">
      <c r="A169" s="1">
        <v>11</v>
      </c>
      <c r="B169" s="4"/>
      <c r="D169" s="3">
        <f t="shared" ref="D169:O169" si="100">(D25/D$157)/D62</f>
        <v>0.41530919150709772</v>
      </c>
      <c r="E169" s="3">
        <f t="shared" si="100"/>
        <v>0.77571927045370381</v>
      </c>
      <c r="F169" s="3">
        <f t="shared" si="100"/>
        <v>0.81015119096122112</v>
      </c>
      <c r="G169" s="3">
        <f t="shared" si="100"/>
        <v>0.74277225937581959</v>
      </c>
      <c r="H169" s="3">
        <f t="shared" si="100"/>
        <v>0.913980805110997</v>
      </c>
      <c r="I169" s="3">
        <f t="shared" si="100"/>
        <v>0.75537405018668102</v>
      </c>
      <c r="J169" s="3">
        <f t="shared" si="100"/>
        <v>0.70464679868920899</v>
      </c>
      <c r="K169" s="3">
        <f t="shared" si="100"/>
        <v>0.79124598405316438</v>
      </c>
      <c r="L169" s="3">
        <f t="shared" si="100"/>
        <v>0.78333832740495934</v>
      </c>
      <c r="M169" s="3">
        <f t="shared" si="100"/>
        <v>0.8536420004126094</v>
      </c>
      <c r="N169" s="3">
        <f t="shared" si="100"/>
        <v>0.77934644751750348</v>
      </c>
      <c r="O169" s="3">
        <f t="shared" si="100"/>
        <v>0.82083391318227172</v>
      </c>
      <c r="P169" s="2">
        <f t="shared" si="87"/>
        <v>0.76219668657126982</v>
      </c>
      <c r="Q169" s="2">
        <f t="shared" si="89"/>
        <v>0.7306687115472974</v>
      </c>
      <c r="V169" s="1">
        <f t="shared" si="81"/>
        <v>15</v>
      </c>
      <c r="Y169" s="5">
        <f t="shared" si="93"/>
        <v>4.252213072232796E-2</v>
      </c>
      <c r="Z169" s="5">
        <f t="shared" si="95"/>
        <v>4.0127134092403309E-2</v>
      </c>
      <c r="AB169" s="5">
        <f t="shared" si="83"/>
        <v>0.1389112048592499</v>
      </c>
    </row>
    <row r="170" spans="1:28" ht="15" x14ac:dyDescent="0.25">
      <c r="A170" s="1">
        <v>12</v>
      </c>
      <c r="B170" s="4"/>
      <c r="D170" s="3">
        <f t="shared" ref="D170:O170" si="101">(D26/D$157)/D63</f>
        <v>0.84827925198352483</v>
      </c>
      <c r="E170" s="3">
        <f t="shared" si="101"/>
        <v>0.79112353036578043</v>
      </c>
      <c r="F170" s="3">
        <f t="shared" si="101"/>
        <v>0.82649361723681558</v>
      </c>
      <c r="G170" s="3">
        <f t="shared" si="101"/>
        <v>0.61018668281800859</v>
      </c>
      <c r="H170" s="3">
        <f t="shared" si="101"/>
        <v>0.78874828694825572</v>
      </c>
      <c r="I170" s="3">
        <f t="shared" si="101"/>
        <v>0.70323656089163167</v>
      </c>
      <c r="J170" s="3">
        <f t="shared" si="101"/>
        <v>0.78926871489608874</v>
      </c>
      <c r="K170" s="3">
        <f t="shared" si="101"/>
        <v>0.70129272121009989</v>
      </c>
      <c r="L170" s="3">
        <f t="shared" si="101"/>
        <v>0.67036687927343441</v>
      </c>
      <c r="M170" s="3">
        <f t="shared" si="101"/>
        <v>0.67319256550064155</v>
      </c>
      <c r="N170" s="3">
        <f t="shared" si="101"/>
        <v>0.81755666861625165</v>
      </c>
      <c r="O170" s="3">
        <f t="shared" si="101"/>
        <v>0.85228897393946279</v>
      </c>
      <c r="P170" s="2">
        <f t="shared" si="87"/>
        <v>0.75600287113999964</v>
      </c>
      <c r="Q170" s="2">
        <f t="shared" si="89"/>
        <v>0.56944081283741044</v>
      </c>
      <c r="V170" s="1">
        <f t="shared" si="81"/>
        <v>16</v>
      </c>
      <c r="Y170" s="5">
        <f t="shared" si="93"/>
        <v>3.7756651954484514E-2</v>
      </c>
      <c r="Z170" s="5">
        <f t="shared" si="95"/>
        <v>3.5260952226818194E-2</v>
      </c>
      <c r="AB170" s="5">
        <f t="shared" si="83"/>
        <v>0.15243744379950788</v>
      </c>
    </row>
    <row r="171" spans="1:28" ht="15" x14ac:dyDescent="0.25">
      <c r="A171" s="1">
        <v>13</v>
      </c>
      <c r="B171" s="4"/>
      <c r="D171" s="3">
        <f t="shared" ref="D171:O171" si="102">(D27/D$157)/D64</f>
        <v>0.6860513042801939</v>
      </c>
      <c r="E171" s="3">
        <f t="shared" si="102"/>
        <v>0.63856017720803593</v>
      </c>
      <c r="F171" s="3">
        <f t="shared" si="102"/>
        <v>0.66793072804826792</v>
      </c>
      <c r="G171" s="3">
        <f t="shared" si="102"/>
        <v>0.50014450655629028</v>
      </c>
      <c r="H171" s="3">
        <f t="shared" si="102"/>
        <v>0.57421981541632672</v>
      </c>
      <c r="I171" s="3">
        <f t="shared" si="102"/>
        <v>0.51746204322829825</v>
      </c>
      <c r="J171" s="3">
        <f t="shared" si="102"/>
        <v>0.59220982614807371</v>
      </c>
      <c r="K171" s="3">
        <f t="shared" si="102"/>
        <v>0.56200033797194893</v>
      </c>
      <c r="L171" s="3">
        <f t="shared" si="102"/>
        <v>0.56233092475261626</v>
      </c>
      <c r="M171" s="3">
        <f t="shared" si="102"/>
        <v>0.58199012529883309</v>
      </c>
      <c r="N171" s="3">
        <f t="shared" si="102"/>
        <v>0.54730446648723419</v>
      </c>
      <c r="O171" s="3">
        <f t="shared" si="102"/>
        <v>0.6947191776151358</v>
      </c>
      <c r="P171" s="2">
        <f t="shared" si="87"/>
        <v>0.59374361941760456</v>
      </c>
      <c r="Q171" s="2">
        <f t="shared" si="89"/>
        <v>0.46442381415912376</v>
      </c>
      <c r="V171" s="1">
        <f t="shared" si="81"/>
        <v>17</v>
      </c>
      <c r="Y171" s="5">
        <f t="shared" si="93"/>
        <v>3.5507121975289803E-2</v>
      </c>
      <c r="Z171" s="5">
        <f t="shared" si="95"/>
        <v>3.2911656583045554E-2</v>
      </c>
      <c r="AB171" s="5">
        <f t="shared" si="83"/>
        <v>0.15736316402750461</v>
      </c>
    </row>
    <row r="172" spans="1:28" ht="15" x14ac:dyDescent="0.25">
      <c r="A172" s="1">
        <v>14</v>
      </c>
      <c r="B172" s="4"/>
      <c r="D172" s="3">
        <f t="shared" ref="D172:O172" si="103">(D28/D$157)/D65</f>
        <v>0.19903349752678504</v>
      </c>
      <c r="E172" s="3">
        <f t="shared" si="103"/>
        <v>0.20202374490787275</v>
      </c>
      <c r="F172" s="3">
        <f t="shared" si="103"/>
        <v>0.21036477292941463</v>
      </c>
      <c r="G172" s="3">
        <f t="shared" si="103"/>
        <v>0.18726851570030462</v>
      </c>
      <c r="H172" s="3">
        <f t="shared" si="103"/>
        <v>0.22961170507411466</v>
      </c>
      <c r="I172" s="3">
        <f t="shared" si="103"/>
        <v>0.19032374555613293</v>
      </c>
      <c r="J172" s="3">
        <f t="shared" si="103"/>
        <v>0.20114748864594983</v>
      </c>
      <c r="K172" s="3">
        <f t="shared" si="103"/>
        <v>0.21196384548030991</v>
      </c>
      <c r="L172" s="3">
        <f t="shared" si="103"/>
        <v>0.22463184741515493</v>
      </c>
      <c r="M172" s="3">
        <f t="shared" si="103"/>
        <v>0.21854795516915757</v>
      </c>
      <c r="N172" s="3">
        <f t="shared" si="103"/>
        <v>0.18127592669196629</v>
      </c>
      <c r="O172" s="3">
        <f t="shared" si="103"/>
        <v>0.19211582523205173</v>
      </c>
      <c r="P172" s="2">
        <f t="shared" si="87"/>
        <v>0.20402573919410125</v>
      </c>
      <c r="Q172" s="2">
        <f t="shared" si="89"/>
        <v>0.19457931325158087</v>
      </c>
      <c r="V172" s="1">
        <f t="shared" si="81"/>
        <v>18</v>
      </c>
      <c r="Y172" s="5">
        <f t="shared" si="93"/>
        <v>3.4459865486150293E-2</v>
      </c>
      <c r="Z172" s="5">
        <f t="shared" si="95"/>
        <v>3.1923628614418942E-2</v>
      </c>
      <c r="AB172" s="5">
        <f t="shared" si="83"/>
        <v>0.16258681465058475</v>
      </c>
    </row>
    <row r="173" spans="1:28" ht="15" x14ac:dyDescent="0.25">
      <c r="A173" s="1">
        <v>15</v>
      </c>
      <c r="B173" s="4"/>
      <c r="D173" s="3">
        <f t="shared" ref="D173:O173" si="104">(D29/D$157)/D66</f>
        <v>0.55694355157039954</v>
      </c>
      <c r="E173" s="3">
        <f t="shared" si="104"/>
        <v>0.52136366018505331</v>
      </c>
      <c r="F173" s="3">
        <f t="shared" si="104"/>
        <v>0.53006140844910454</v>
      </c>
      <c r="G173" s="3">
        <f t="shared" si="104"/>
        <v>0.51613508373435868</v>
      </c>
      <c r="H173" s="3">
        <f t="shared" si="104"/>
        <v>0.58684573636654647</v>
      </c>
      <c r="I173" s="3">
        <f t="shared" si="104"/>
        <v>0.51581944759743881</v>
      </c>
      <c r="J173" s="3">
        <f t="shared" si="104"/>
        <v>0.53799096484108722</v>
      </c>
      <c r="K173" s="3">
        <f t="shared" si="104"/>
        <v>0.51854185411723708</v>
      </c>
      <c r="L173" s="3">
        <f t="shared" si="104"/>
        <v>0.49170078221822056</v>
      </c>
      <c r="M173" s="3">
        <f t="shared" si="104"/>
        <v>0.52037624654893966</v>
      </c>
      <c r="N173" s="3">
        <f t="shared" si="104"/>
        <v>0.52120333302217769</v>
      </c>
      <c r="O173" s="3">
        <f t="shared" si="104"/>
        <v>0.52848511787669872</v>
      </c>
      <c r="P173" s="2">
        <f t="shared" si="87"/>
        <v>0.52878893221060508</v>
      </c>
      <c r="Q173" s="2">
        <f t="shared" si="89"/>
        <v>0.44423576044616553</v>
      </c>
      <c r="V173" s="1">
        <f t="shared" si="81"/>
        <v>19</v>
      </c>
      <c r="Y173" s="5">
        <f t="shared" si="93"/>
        <v>3.4043404308803489E-2</v>
      </c>
      <c r="Z173" s="5">
        <f t="shared" si="95"/>
        <v>3.1426485984254494E-2</v>
      </c>
      <c r="AB173" s="5">
        <f t="shared" si="83"/>
        <v>0.16177349757828383</v>
      </c>
    </row>
    <row r="174" spans="1:28" ht="15" x14ac:dyDescent="0.25">
      <c r="A174" s="1">
        <v>16</v>
      </c>
      <c r="B174" s="4"/>
      <c r="D174" s="3">
        <f t="shared" ref="D174:O174" si="105">(D30/D$157)/D67</f>
        <v>0.66343551287641978</v>
      </c>
      <c r="E174" s="3">
        <f t="shared" si="105"/>
        <v>0.62106027341255421</v>
      </c>
      <c r="F174" s="3">
        <f t="shared" si="105"/>
        <v>0.65808237988396312</v>
      </c>
      <c r="G174" s="3">
        <f t="shared" si="105"/>
        <v>0.61079342917852808</v>
      </c>
      <c r="H174" s="3">
        <f t="shared" si="105"/>
        <v>0.5945830242216974</v>
      </c>
      <c r="I174" s="3">
        <f t="shared" si="105"/>
        <v>0.62284333138343329</v>
      </c>
      <c r="J174" s="3">
        <f t="shared" si="105"/>
        <v>0.59073802173961165</v>
      </c>
      <c r="K174" s="3">
        <f t="shared" si="105"/>
        <v>0.60132351135432771</v>
      </c>
      <c r="L174" s="3">
        <f t="shared" si="105"/>
        <v>0.59036559305038894</v>
      </c>
      <c r="M174" s="3">
        <f t="shared" si="105"/>
        <v>0.60657028151387138</v>
      </c>
      <c r="N174" s="3">
        <f t="shared" si="105"/>
        <v>0.59093576343318355</v>
      </c>
      <c r="O174" s="3">
        <f t="shared" si="105"/>
        <v>0.64335293297814111</v>
      </c>
      <c r="P174" s="2">
        <f t="shared" si="87"/>
        <v>0.6161736712521767</v>
      </c>
      <c r="Q174" s="2">
        <f t="shared" si="89"/>
        <v>0.58939991493521171</v>
      </c>
      <c r="V174" s="1">
        <f t="shared" si="81"/>
        <v>20</v>
      </c>
      <c r="Y174" s="5">
        <f t="shared" si="93"/>
        <v>3.5171632170053133E-2</v>
      </c>
      <c r="Z174" s="5">
        <f t="shared" si="95"/>
        <v>3.2611873465003605E-2</v>
      </c>
      <c r="AB174" s="5">
        <f t="shared" si="83"/>
        <v>0.15742619444345518</v>
      </c>
    </row>
    <row r="175" spans="1:28" ht="15" x14ac:dyDescent="0.25">
      <c r="A175" s="1">
        <v>17</v>
      </c>
      <c r="B175" s="4"/>
      <c r="D175" s="3">
        <f t="shared" ref="D175:O175" si="106">(D31/D$157)/D68</f>
        <v>0.74630703003645704</v>
      </c>
      <c r="E175" s="3">
        <f t="shared" si="106"/>
        <v>0.75092468088692743</v>
      </c>
      <c r="F175" s="3">
        <f t="shared" si="106"/>
        <v>0.74449958397355365</v>
      </c>
      <c r="G175" s="3">
        <f t="shared" si="106"/>
        <v>0.72600468792701189</v>
      </c>
      <c r="H175" s="3">
        <f t="shared" si="106"/>
        <v>0.84659022766113745</v>
      </c>
      <c r="I175" s="3">
        <f t="shared" si="106"/>
        <v>0.72938238684636258</v>
      </c>
      <c r="J175" s="3">
        <f t="shared" si="106"/>
        <v>0.75599508368899604</v>
      </c>
      <c r="K175" s="3">
        <f t="shared" si="106"/>
        <v>0.74647808272997696</v>
      </c>
      <c r="L175" s="3">
        <f t="shared" si="106"/>
        <v>0.72972830859965776</v>
      </c>
      <c r="M175" s="3">
        <f t="shared" si="106"/>
        <v>0.73479955306798961</v>
      </c>
      <c r="N175" s="3">
        <f t="shared" si="106"/>
        <v>0.72568377649014315</v>
      </c>
      <c r="O175" s="3">
        <f t="shared" si="106"/>
        <v>0.78658021931731825</v>
      </c>
      <c r="P175" s="2">
        <f t="shared" si="87"/>
        <v>0.75191446843546095</v>
      </c>
      <c r="Q175" s="2">
        <f t="shared" si="89"/>
        <v>0.69864645106422096</v>
      </c>
      <c r="V175" s="1">
        <f t="shared" si="81"/>
        <v>21</v>
      </c>
      <c r="Y175" s="5">
        <f t="shared" si="93"/>
        <v>3.6374644666602479E-2</v>
      </c>
      <c r="Z175" s="5">
        <f t="shared" si="95"/>
        <v>3.3875747536324857E-2</v>
      </c>
      <c r="AB175" s="5">
        <f t="shared" si="83"/>
        <v>0.15480072523660082</v>
      </c>
    </row>
    <row r="176" spans="1:28" ht="15" x14ac:dyDescent="0.25">
      <c r="A176" s="1">
        <v>18</v>
      </c>
      <c r="B176" s="4"/>
      <c r="D176" s="3">
        <f t="shared" ref="D176:O176" si="107">(D32/D$157)/D69</f>
        <v>0.70496130818332892</v>
      </c>
      <c r="E176" s="3">
        <f t="shared" si="107"/>
        <v>0.71355379770013916</v>
      </c>
      <c r="F176" s="3">
        <f t="shared" si="107"/>
        <v>0.67034195289713105</v>
      </c>
      <c r="G176" s="3">
        <f t="shared" si="107"/>
        <v>0.53153729188192855</v>
      </c>
      <c r="H176" s="3">
        <f t="shared" si="107"/>
        <v>0.67957476160812669</v>
      </c>
      <c r="I176" s="3">
        <f t="shared" si="107"/>
        <v>0.58814978541873719</v>
      </c>
      <c r="J176" s="3">
        <f t="shared" si="107"/>
        <v>0.65888876499145965</v>
      </c>
      <c r="K176" s="3">
        <f t="shared" si="107"/>
        <v>0.62796550939258322</v>
      </c>
      <c r="L176" s="3">
        <f t="shared" si="107"/>
        <v>0.59018989645414988</v>
      </c>
      <c r="M176" s="3">
        <f t="shared" si="107"/>
        <v>0.69334520595658977</v>
      </c>
      <c r="N176" s="3">
        <f t="shared" si="107"/>
        <v>0.68875004799501038</v>
      </c>
      <c r="O176" s="3">
        <f t="shared" si="107"/>
        <v>0.75279439283325267</v>
      </c>
      <c r="P176" s="2">
        <f t="shared" si="87"/>
        <v>0.65833772627603637</v>
      </c>
      <c r="Q176" s="2">
        <f t="shared" si="89"/>
        <v>0.51788529762737845</v>
      </c>
      <c r="V176" s="1">
        <f t="shared" si="81"/>
        <v>22</v>
      </c>
      <c r="Y176" s="5">
        <f t="shared" si="93"/>
        <v>0</v>
      </c>
      <c r="Z176" s="5">
        <f t="shared" si="95"/>
        <v>0</v>
      </c>
      <c r="AB176" s="5">
        <f t="shared" si="83"/>
        <v>0</v>
      </c>
    </row>
    <row r="177" spans="1:28" ht="15" x14ac:dyDescent="0.25">
      <c r="A177" s="1">
        <v>19</v>
      </c>
      <c r="B177" s="4"/>
      <c r="D177" s="3">
        <f t="shared" ref="D177:O177" si="108">(D33/D$157)/D70</f>
        <v>0.77924305661896998</v>
      </c>
      <c r="E177" s="3">
        <f t="shared" si="108"/>
        <v>0.74121727850930774</v>
      </c>
      <c r="F177" s="3">
        <f t="shared" si="108"/>
        <v>0.76808850219957148</v>
      </c>
      <c r="G177" s="3">
        <f t="shared" si="108"/>
        <v>0.73868722142944621</v>
      </c>
      <c r="H177" s="3">
        <f t="shared" si="108"/>
        <v>0.86071539171592837</v>
      </c>
      <c r="I177" s="3">
        <f t="shared" si="108"/>
        <v>0.76229535800726533</v>
      </c>
      <c r="J177" s="3">
        <f t="shared" si="108"/>
        <v>0.84910093493000027</v>
      </c>
      <c r="K177" s="3">
        <f t="shared" si="108"/>
        <v>0.77634105564236366</v>
      </c>
      <c r="L177" s="3">
        <f t="shared" si="108"/>
        <v>0.77861394717702037</v>
      </c>
      <c r="M177" s="3">
        <f t="shared" si="108"/>
        <v>0.77552900143140291</v>
      </c>
      <c r="N177" s="3">
        <f t="shared" si="108"/>
        <v>0.73526745039903429</v>
      </c>
      <c r="O177" s="3">
        <f t="shared" si="108"/>
        <v>0.77711802394499263</v>
      </c>
      <c r="P177" s="2">
        <f t="shared" si="87"/>
        <v>0.77851810183377534</v>
      </c>
      <c r="Q177" s="2">
        <f t="shared" si="89"/>
        <v>0.70800433500411364</v>
      </c>
      <c r="V177" s="1">
        <f t="shared" si="81"/>
        <v>23</v>
      </c>
      <c r="Y177" s="5">
        <f t="shared" si="93"/>
        <v>5.0486788679182611E-2</v>
      </c>
      <c r="Z177" s="5">
        <f t="shared" si="95"/>
        <v>4.8409254368182386E-2</v>
      </c>
      <c r="AB177" s="5">
        <f t="shared" si="83"/>
        <v>0.12050248911890903</v>
      </c>
    </row>
    <row r="178" spans="1:28" ht="15" x14ac:dyDescent="0.25">
      <c r="A178" s="1">
        <v>20</v>
      </c>
      <c r="B178" s="4"/>
      <c r="D178" s="3">
        <f t="shared" ref="D178:O178" si="109">(D34/D$157)/D71</f>
        <v>0.72177471417650341</v>
      </c>
      <c r="E178" s="3">
        <f t="shared" si="109"/>
        <v>0.68595794922701747</v>
      </c>
      <c r="F178" s="3">
        <f t="shared" si="109"/>
        <v>0.70848890241682971</v>
      </c>
      <c r="G178" s="3">
        <f t="shared" si="109"/>
        <v>0.68242035795288036</v>
      </c>
      <c r="H178" s="3">
        <f t="shared" si="109"/>
        <v>0.7930407425770728</v>
      </c>
      <c r="I178" s="3">
        <f t="shared" si="109"/>
        <v>0.70614784060366376</v>
      </c>
      <c r="J178" s="3">
        <f t="shared" si="109"/>
        <v>0.73948259483174217</v>
      </c>
      <c r="K178" s="3">
        <f t="shared" si="109"/>
        <v>0.70022402735924649</v>
      </c>
      <c r="L178" s="3">
        <f t="shared" si="109"/>
        <v>0.7140301299200742</v>
      </c>
      <c r="M178" s="3">
        <f t="shared" si="109"/>
        <v>0.73057400492644975</v>
      </c>
      <c r="N178" s="3">
        <f t="shared" si="109"/>
        <v>0.68739654489275903</v>
      </c>
      <c r="O178" s="3">
        <f t="shared" si="109"/>
        <v>0.72909096913136706</v>
      </c>
      <c r="P178" s="2">
        <f t="shared" si="87"/>
        <v>0.71655239816796712</v>
      </c>
      <c r="Q178" s="2">
        <f t="shared" si="89"/>
        <v>0.66172038687203949</v>
      </c>
      <c r="Y178" s="95">
        <f>AVERAGE(Y155:Y177)</f>
        <v>3.7044076731143905E-2</v>
      </c>
      <c r="Z178" s="95">
        <f>AVERAGE(Z155:Z177)</f>
        <v>3.5042142782417629E-2</v>
      </c>
    </row>
    <row r="179" spans="1:28" ht="15" x14ac:dyDescent="0.25">
      <c r="A179" s="1">
        <v>21</v>
      </c>
      <c r="B179" s="4"/>
      <c r="D179" s="3">
        <f t="shared" ref="D179:O179" si="110">(D35/D$157)/D72</f>
        <v>0.73416980952375355</v>
      </c>
      <c r="E179" s="3">
        <f t="shared" si="110"/>
        <v>0.71698834416975255</v>
      </c>
      <c r="F179" s="3">
        <f t="shared" si="110"/>
        <v>0.73406912910283395</v>
      </c>
      <c r="G179" s="3">
        <f t="shared" si="110"/>
        <v>0.53567984709032568</v>
      </c>
      <c r="H179" s="3">
        <f t="shared" si="110"/>
        <v>0.5822516408254218</v>
      </c>
      <c r="I179" s="3">
        <f t="shared" si="110"/>
        <v>0.52424603949223259</v>
      </c>
      <c r="J179" s="3">
        <f t="shared" si="110"/>
        <v>0.65204846336595434</v>
      </c>
      <c r="K179" s="3">
        <f t="shared" si="110"/>
        <v>0.64086950157517497</v>
      </c>
      <c r="L179" s="3">
        <f t="shared" si="110"/>
        <v>0.56777971715708209</v>
      </c>
      <c r="M179" s="3">
        <f t="shared" si="110"/>
        <v>0.68529063349001895</v>
      </c>
      <c r="N179" s="3">
        <f t="shared" si="110"/>
        <v>0.69804243394325027</v>
      </c>
      <c r="O179" s="3">
        <f t="shared" si="110"/>
        <v>0.67921861764914049</v>
      </c>
      <c r="P179" s="2">
        <f t="shared" si="87"/>
        <v>0.64588784811541167</v>
      </c>
      <c r="Q179" s="2">
        <f t="shared" si="89"/>
        <v>0.47845340774517298</v>
      </c>
    </row>
  </sheetData>
  <conditionalFormatting sqref="P47">
    <cfRule type="expression" dxfId="2" priority="2" stopIfTrue="1">
      <formula>ABS(P47-#REF!)&gt;1</formula>
    </cfRule>
  </conditionalFormatting>
  <conditionalFormatting sqref="S37">
    <cfRule type="cellIs" dxfId="1" priority="1" operator="notEqual">
      <formula>$P$36</formula>
    </cfRule>
    <cfRule type="expression" dxfId="0" priority="3" stopIfTrue="1">
      <formula>ABS($P$36-$S$37)&gt;0.5</formula>
    </cfRule>
  </conditionalFormatting>
  <printOptions horizontalCentered="1"/>
  <pageMargins left="0.25" right="0.25" top="0.87" bottom="0.21" header="0.4" footer="0.18"/>
  <pageSetup fitToHeight="2" orientation="landscape" r:id="rId1"/>
  <headerFooter alignWithMargins="0"/>
  <rowBreaks count="1" manualBreakCount="1">
    <brk id="75" max="1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tabSelected="1" zoomScaleNormal="100" workbookViewId="0">
      <selection activeCell="D5" sqref="D5"/>
    </sheetView>
  </sheetViews>
  <sheetFormatPr defaultRowHeight="12.75" x14ac:dyDescent="0.2"/>
  <cols>
    <col min="1" max="1" width="44.5703125" style="107" bestFit="1" customWidth="1"/>
    <col min="2" max="2" width="16.42578125" style="107" bestFit="1" customWidth="1"/>
    <col min="3" max="3" width="1.85546875" style="107" customWidth="1"/>
    <col min="4" max="4" width="16.42578125" style="107" bestFit="1" customWidth="1"/>
    <col min="5" max="5" width="1.85546875" style="107" customWidth="1"/>
    <col min="6" max="6" width="16.42578125" style="107" bestFit="1" customWidth="1"/>
    <col min="7" max="7" width="1.85546875" style="107" customWidth="1"/>
    <col min="8" max="8" width="23.42578125" style="107" customWidth="1"/>
    <col min="9" max="16384" width="9.140625" style="107"/>
  </cols>
  <sheetData>
    <row r="1" spans="1:8" s="105" customFormat="1" ht="38.25" x14ac:dyDescent="0.25">
      <c r="A1" s="108" t="s">
        <v>56</v>
      </c>
      <c r="B1" s="109" t="s">
        <v>58</v>
      </c>
      <c r="D1" s="106" t="s">
        <v>67</v>
      </c>
      <c r="F1" s="118" t="s">
        <v>68</v>
      </c>
      <c r="G1" s="118"/>
      <c r="H1" s="118"/>
    </row>
    <row r="2" spans="1:8" x14ac:dyDescent="0.2">
      <c r="A2" s="96" t="s">
        <v>57</v>
      </c>
      <c r="B2" s="97"/>
      <c r="C2" s="97"/>
      <c r="D2" s="97"/>
      <c r="E2" s="97"/>
      <c r="F2" s="111" t="s">
        <v>69</v>
      </c>
      <c r="G2" s="97"/>
      <c r="H2" s="114" t="s">
        <v>70</v>
      </c>
    </row>
    <row r="3" spans="1:8" x14ac:dyDescent="0.2">
      <c r="A3" s="98" t="s">
        <v>73</v>
      </c>
      <c r="B3" s="112">
        <v>829950</v>
      </c>
      <c r="C3" s="113"/>
      <c r="D3" s="112">
        <v>829950</v>
      </c>
      <c r="E3" s="113"/>
      <c r="F3" s="112">
        <v>829950</v>
      </c>
      <c r="G3" s="113"/>
      <c r="H3" s="112">
        <f>(H9+H10*47000)*12</f>
        <v>3642000</v>
      </c>
    </row>
    <row r="4" spans="1:8" x14ac:dyDescent="0.2">
      <c r="A4" s="98"/>
      <c r="B4" s="99"/>
      <c r="C4" s="97"/>
      <c r="D4" s="99"/>
      <c r="E4" s="97"/>
      <c r="F4" s="99"/>
      <c r="G4" s="97"/>
      <c r="H4" s="99"/>
    </row>
    <row r="5" spans="1:8" x14ac:dyDescent="0.2">
      <c r="A5" s="98" t="s">
        <v>59</v>
      </c>
      <c r="B5" s="100">
        <v>5.5050000000000002E-2</v>
      </c>
      <c r="C5" s="97"/>
      <c r="D5" s="100">
        <v>5.6070000000000002E-2</v>
      </c>
      <c r="E5" s="97"/>
      <c r="F5" s="100">
        <v>5.5879999999999999E-2</v>
      </c>
      <c r="G5" s="97"/>
      <c r="H5" s="100">
        <v>4.607E-2</v>
      </c>
    </row>
    <row r="6" spans="1:8" x14ac:dyDescent="0.2">
      <c r="A6" s="98" t="s">
        <v>60</v>
      </c>
      <c r="B6" s="100">
        <v>4.9529999999999998E-2</v>
      </c>
      <c r="C6" s="97"/>
      <c r="D6" s="100">
        <v>5.0450000000000002E-2</v>
      </c>
      <c r="E6" s="97"/>
      <c r="F6" s="100">
        <v>5.0290000000000001E-2</v>
      </c>
      <c r="G6" s="97"/>
      <c r="H6" s="100">
        <v>4.607E-2</v>
      </c>
    </row>
    <row r="7" spans="1:8" x14ac:dyDescent="0.2">
      <c r="A7" s="98" t="s">
        <v>61</v>
      </c>
      <c r="B7" s="100">
        <v>4.2349999999999999E-2</v>
      </c>
      <c r="C7" s="97"/>
      <c r="D7" s="100">
        <v>4.3139999999999998E-2</v>
      </c>
      <c r="E7" s="97"/>
      <c r="F7" s="100">
        <v>0</v>
      </c>
      <c r="G7" s="97"/>
      <c r="H7" s="100">
        <v>4.607E-2</v>
      </c>
    </row>
    <row r="8" spans="1:8" x14ac:dyDescent="0.2">
      <c r="A8" s="101"/>
      <c r="B8" s="102"/>
      <c r="C8" s="97"/>
      <c r="D8" s="102"/>
      <c r="E8" s="97"/>
      <c r="F8" s="102"/>
      <c r="G8" s="97"/>
      <c r="H8" s="102"/>
    </row>
    <row r="9" spans="1:8" x14ac:dyDescent="0.2">
      <c r="A9" s="98" t="s">
        <v>62</v>
      </c>
      <c r="B9" s="103">
        <v>24000</v>
      </c>
      <c r="C9" s="97"/>
      <c r="D9" s="103">
        <v>26500</v>
      </c>
      <c r="E9" s="97"/>
      <c r="F9" s="103">
        <v>26500</v>
      </c>
      <c r="G9" s="97"/>
      <c r="H9" s="103">
        <v>21500</v>
      </c>
    </row>
    <row r="10" spans="1:8" x14ac:dyDescent="0.2">
      <c r="A10" s="98" t="s">
        <v>63</v>
      </c>
      <c r="B10" s="103">
        <v>6.5</v>
      </c>
      <c r="C10" s="97"/>
      <c r="D10" s="103">
        <v>7</v>
      </c>
      <c r="E10" s="97"/>
      <c r="F10" s="103">
        <v>7</v>
      </c>
      <c r="G10" s="97"/>
      <c r="H10" s="103">
        <v>6</v>
      </c>
    </row>
    <row r="11" spans="1:8" x14ac:dyDescent="0.2">
      <c r="A11" s="98"/>
      <c r="B11" s="103"/>
      <c r="C11" s="97"/>
      <c r="D11" s="103"/>
      <c r="E11" s="97"/>
      <c r="F11" s="103"/>
      <c r="G11" s="97"/>
      <c r="H11" s="103"/>
    </row>
    <row r="12" spans="1:8" x14ac:dyDescent="0.2">
      <c r="A12" s="98" t="s">
        <v>64</v>
      </c>
      <c r="B12" s="103">
        <v>-0.2</v>
      </c>
      <c r="C12" s="97"/>
      <c r="D12" s="103">
        <v>-0.2</v>
      </c>
      <c r="E12" s="97"/>
      <c r="F12" s="103">
        <v>-0.2</v>
      </c>
      <c r="G12" s="97"/>
      <c r="H12" s="103">
        <v>-0.2</v>
      </c>
    </row>
    <row r="13" spans="1:8" x14ac:dyDescent="0.2">
      <c r="A13" s="98" t="s">
        <v>65</v>
      </c>
      <c r="B13" s="103">
        <v>-1.1000000000000001</v>
      </c>
      <c r="C13" s="97"/>
      <c r="D13" s="103">
        <v>-1.1000000000000001</v>
      </c>
      <c r="E13" s="97"/>
      <c r="F13" s="103">
        <v>-1.1000000000000001</v>
      </c>
      <c r="G13" s="97"/>
      <c r="H13" s="103">
        <v>-1.1000000000000001</v>
      </c>
    </row>
    <row r="14" spans="1:8" x14ac:dyDescent="0.2">
      <c r="A14" s="98" t="s">
        <v>66</v>
      </c>
      <c r="B14" s="110">
        <v>-1.4</v>
      </c>
      <c r="C14" s="97"/>
      <c r="D14" s="110">
        <v>-1.4</v>
      </c>
      <c r="E14" s="97"/>
      <c r="F14" s="110">
        <v>-1.4</v>
      </c>
      <c r="G14" s="97"/>
      <c r="H14" s="110">
        <v>-1.4</v>
      </c>
    </row>
    <row r="15" spans="1:8" x14ac:dyDescent="0.2">
      <c r="A15" s="98"/>
      <c r="B15" s="104"/>
      <c r="C15" s="97"/>
      <c r="D15" s="104"/>
      <c r="E15" s="97"/>
      <c r="F15" s="104"/>
      <c r="G15" s="97"/>
      <c r="H15" s="104"/>
    </row>
    <row r="16" spans="1:8" ht="38.25" x14ac:dyDescent="0.2">
      <c r="A16" s="116" t="s">
        <v>71</v>
      </c>
      <c r="H16" s="115" t="s">
        <v>72</v>
      </c>
    </row>
    <row r="18" spans="2:2" x14ac:dyDescent="0.2">
      <c r="B18" s="117"/>
    </row>
  </sheetData>
  <mergeCells count="1">
    <mergeCell ref="F1:H1"/>
  </mergeCells>
  <printOptions horizontalCentered="1"/>
  <pageMargins left="0.7" right="0.7" top="1" bottom="0.75" header="0.3" footer="0.3"/>
  <pageSetup scale="73" orientation="landscape" r:id="rId1"/>
  <headerFooter>
    <oddHeader xml:space="preserve">&amp;R&amp;"Times New Roman,Regular"Exh. JLB-3
Dockets UE-1900334
Page &amp;P of &amp;N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Exhibit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Date1 xmlns="dc463f71-b30c-4ab2-9473-d307f9d35888">2020-04-14T22:03:39+00:00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8A8764-2F60-45E3-B8DC-DC5FB558C191}"/>
</file>

<file path=customXml/itemProps2.xml><?xml version="1.0" encoding="utf-8"?>
<ds:datastoreItem xmlns:ds="http://schemas.openxmlformats.org/officeDocument/2006/customXml" ds:itemID="{F9A7B26A-33B1-4E4E-A266-1B3D7E025BA5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schemas.microsoft.com/sharepoint/v3"/>
    <ds:schemaRef ds:uri="http://purl.org/dc/elements/1.1/"/>
    <ds:schemaRef ds:uri="http://schemas.openxmlformats.org/package/2006/metadata/core-properties"/>
    <ds:schemaRef ds:uri="dc463f71-b30c-4ab2-9473-d307f9d35888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B781D7E-B0E3-4738-AECE-4FB409E53662}"/>
</file>

<file path=customXml/itemProps4.xml><?xml version="1.0" encoding="utf-8"?>
<ds:datastoreItem xmlns:ds="http://schemas.openxmlformats.org/officeDocument/2006/customXml" ds:itemID="{4C4B26AF-993A-4F79-B2E4-F43D584528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WA Sch 25</vt:lpstr>
      <vt:lpstr>Rate Design</vt:lpstr>
      <vt:lpstr>WA Sch 25 - Chart</vt:lpstr>
      <vt:lpstr>'WA Sch 25'!Print_Area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Ball, Jason (UTC)</dc:creator>
  <dc:description/>
  <cp:lastModifiedBy>Brewster, Stacey (UTC)</cp:lastModifiedBy>
  <cp:lastPrinted>2019-09-30T21:15:09Z</cp:lastPrinted>
  <dcterms:created xsi:type="dcterms:W3CDTF">2019-09-30T18:48:32Z</dcterms:created>
  <dcterms:modified xsi:type="dcterms:W3CDTF">2020-04-02T18:46:35Z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EfsecDocumentType">
    <vt:lpwstr>Documents</vt:lpwstr>
  </property>
  <property fmtid="{D5CDD505-2E9C-101B-9397-08002B2CF9AE}" pid="4" name="IsOfficialRecord">
    <vt:bool>false</vt:bool>
  </property>
  <property fmtid="{D5CDD505-2E9C-101B-9397-08002B2CF9AE}" pid="5" name="IsVisibleToEfsecCouncil">
    <vt:bool>false</vt:bool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