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D:\wrk\30_ava\AV07 - 2021GRC\dir\_exh\_xlsfnl\"/>
    </mc:Choice>
  </mc:AlternateContent>
  <xr:revisionPtr revIDLastSave="0" documentId="13_ncr:1_{D975DA04-77B9-4B5B-9FA6-737966A3C848}" xr6:coauthVersionLast="47" xr6:coauthVersionMax="47" xr10:uidLastSave="{00000000-0000-0000-0000-000000000000}"/>
  <bookViews>
    <workbookView xWindow="3120" yWindow="3120" windowWidth="24240" windowHeight="12960" xr2:uid="{00000000-000D-0000-FFFF-FFFF00000000}"/>
  </bookViews>
  <sheets>
    <sheet name="Table 1" sheetId="117" r:id="rId1"/>
    <sheet name="Exh. No. BGM-3 (1)" sheetId="116" r:id="rId2"/>
    <sheet name="PROPOSED RATES" sheetId="50" r:id="rId3"/>
    <sheet name="RR SUMMARY" sheetId="51" r:id="rId4"/>
    <sheet name="CF " sheetId="52" r:id="rId5"/>
    <sheet name="Acerno_Cache_XXXXX" sheetId="115" state="veryHidden" r:id="rId6"/>
    <sheet name="ADJ DETAIL-INPUT" sheetId="1" r:id="rId7"/>
    <sheet name="ADJ SUMMARY" sheetId="3" r:id="rId8"/>
    <sheet name="LEAD SHEETS-DO NOT ENTER" sheetId="113" r:id="rId9"/>
    <sheet name="ROO INPUT" sheetId="111" r:id="rId10"/>
    <sheet name="DEBT CALC" sheetId="48" r:id="rId11"/>
    <sheet name="COMPARISON" sheetId="9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Order1">255</definedName>
    <definedName name="_Order2">255</definedName>
    <definedName name="_Regression_Int">1</definedName>
    <definedName name="_Toc69648761" localSheetId="0">'Table 1'!$H$20</definedName>
    <definedName name="a" hidden="1">{"Print_Detail",#N/A,FALSE,"Redemption_Maturity Extract"}</definedName>
    <definedName name="AccessDatabase">"I:\COMTREL\FINICLE\TradeSummary.mdb"</definedName>
    <definedName name="AcctGrp">[1]Amort!$O$34</definedName>
    <definedName name="ActualsDate">[2]Sheet2!$B$1</definedName>
    <definedName name="AS2DocOpenMode">"AS2DocumentEdit"</definedName>
    <definedName name="CASE" localSheetId="1">'[3]Named Ranges'!$C$4</definedName>
    <definedName name="CASE">'[4]Named Ranges'!$C$4</definedName>
    <definedName name="CASE_E" localSheetId="1">'[5]Named Ranges E'!$C$4</definedName>
    <definedName name="CASE_E">'[6]Named Ranges E'!$C$4</definedName>
    <definedName name="CASE_GAS">'[7]Named Ranges G'!$C$4</definedName>
    <definedName name="CBWorkbookPriority">-2060790043</definedName>
    <definedName name="Comp" localSheetId="1">'[3]Named Ranges'!$C$8</definedName>
    <definedName name="Comp">'[4]Named Ranges'!$C$8</definedName>
    <definedName name="Comp_E" localSheetId="1">'[5]Named Ranges E'!$C$8</definedName>
    <definedName name="Comp_E">'[6]Named Ranges E'!$C$8</definedName>
    <definedName name="Comp_GAS">'[7]Named Ranges G'!$C$8</definedName>
    <definedName name="CurrDte">[8]Debt!$C$1</definedName>
    <definedName name="d">[9]Sheet2!$B$8</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fadf">[10]Sheet2!$B$8</definedName>
    <definedName name="DOCKETNUMBER" localSheetId="1">'[3]Named Ranges'!$C$6</definedName>
    <definedName name="DOCKETNUMBER">'[4]Named Ranges'!$C$6</definedName>
    <definedName name="DOCKETNUMBER_E" localSheetId="1">'[5]Named Ranges E'!$C$6</definedName>
    <definedName name="DOCKETNUMBER_E">'[6]Named Ranges E'!$C$6</definedName>
    <definedName name="DOCKETNUMBER_GAS">'[7]Named Ranges G'!$C$6</definedName>
    <definedName name="DollarType">[1]Amort!$R$1</definedName>
    <definedName name="EndAR">#N/A</definedName>
    <definedName name="EndCash">#N/A</definedName>
    <definedName name="EndCashTCI">#N/A</definedName>
    <definedName name="EndSTDebt">#N/A</definedName>
    <definedName name="EndTCI">#N/A</definedName>
    <definedName name="fasd">[10]Sheet2!$B$8</definedName>
    <definedName name="first_day">'[11]Historic Data'!$K$3</definedName>
    <definedName name="FIT" localSheetId="1">'[3]Named Ranges'!$C$3</definedName>
    <definedName name="FIT">'[4]Named Ranges'!$C$3</definedName>
    <definedName name="FIT_E" localSheetId="1">'[5]Named Ranges E'!$C$3</definedName>
    <definedName name="FIT_E">'[6]Named Ranges E'!$C$3</definedName>
    <definedName name="FIT_GAS">'[7]Named Ranges G'!$C$3</definedName>
    <definedName name="HTML_CodePage">1252</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D_Elec" localSheetId="9">#REF!</definedName>
    <definedName name="ID_Elec">'DEBT CALC'!$A$93:$F$170</definedName>
    <definedName name="ID_Gas" localSheetId="1">'[12]DEBT CALC'!#REF!</definedName>
    <definedName name="ID_Gas" localSheetId="8">'DEBT CALC'!#REF!</definedName>
    <definedName name="ID_Gas" localSheetId="9">#REF!</definedName>
    <definedName name="ID_Gas">'DEBT CALC'!#REF!</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6">'ADJ DETAIL-INPUT'!$A$1:$BG$84</definedName>
    <definedName name="_xlnm.Print_Area" localSheetId="7">'ADJ SUMMARY'!$A$1:$F$66</definedName>
    <definedName name="_xlnm.Print_Area" localSheetId="4">'CF '!$A$1:$F$26</definedName>
    <definedName name="_xlnm.Print_Area" localSheetId="11">COMPARISON!$A$1:$Q$129</definedName>
    <definedName name="_xlnm.Print_Area" localSheetId="10">'DEBT CALC'!$A$1:$I$72</definedName>
    <definedName name="_xlnm.Print_Area" localSheetId="1">'Exh. No. BGM-3 (1)'!$A$1:$AH$73</definedName>
    <definedName name="_xlnm.Print_Area" localSheetId="8">'LEAD SHEETS-DO NOT ENTER'!$A$2:$AY$80</definedName>
    <definedName name="_xlnm.Print_Area" localSheetId="2">'PROPOSED RATES'!$A$1:$I$81</definedName>
    <definedName name="_xlnm.Print_Area" localSheetId="9">'ROO INPUT'!$A$1:$G$81</definedName>
    <definedName name="_xlnm.Print_Area" localSheetId="3">'RR SUMMARY'!$A$1:$F$33,'RR SUMMARY'!$H$1:$L$17</definedName>
    <definedName name="Print_for_CBReport" localSheetId="11">COMPARISON!$A$10:$H$126</definedName>
    <definedName name="Print_for_CBReport">'ADJ SUMMARY'!$A$1:$F$64</definedName>
    <definedName name="Print_for_Checking" localSheetId="11">COMPARISON!#REF!:COMPARISON!#REF!</definedName>
    <definedName name="Print_for_Checking" localSheetId="1">'[12]ADJ SUMMARY'!#REF!:'[12]ADJ SUMMARY'!#REF!</definedName>
    <definedName name="Print_for_Checking" localSheetId="8">'ADJ SUMMARY'!#REF!:'ADJ SUMMARY'!#REF!</definedName>
    <definedName name="Print_for_Checking" localSheetId="9">[13]PFRstmtSheet!$A$1:[13]PFRstmtSheet!#REF!</definedName>
    <definedName name="Print_for_Checking">'ADJ SUMMARY'!#REF!:'ADJ SUMMARY'!#REF!</definedName>
    <definedName name="Print_ScenDate">[2]Sheet2!$B$2</definedName>
    <definedName name="_xlnm.Print_Titles" localSheetId="6">'ADJ DETAIL-INPUT'!$A:$D,'ADJ DETAIL-INPUT'!$2:$10</definedName>
    <definedName name="_xlnm.Print_Titles" localSheetId="1">'Exh. No. BGM-3 (1)'!$A:$G</definedName>
    <definedName name="_xlnm.Print_Titles" localSheetId="8">'LEAD SHEETS-DO NOT ENTER'!$A:$D,'LEAD SHEETS-DO NOT ENTER'!$2:$10</definedName>
    <definedName name="_xlnm.Print_Titles" localSheetId="9">'ROO INPUT'!$1:$10</definedName>
    <definedName name="RRC_Adjustment_Print" localSheetId="1">#REF!</definedName>
    <definedName name="RRC_Adjustment_Print">#REF!</definedName>
    <definedName name="RRC_Rate_Print" localSheetId="1">#REF!</definedName>
    <definedName name="RRC_Rate_Print">#REF!</definedName>
    <definedName name="SAPBEXhrIndnt">"Wide"</definedName>
    <definedName name="SAPsysID">"708C5W7SBKP804JT78WJ0JNKI"</definedName>
    <definedName name="SAPwbID">"ARS"</definedName>
    <definedName name="Scenario_Name">[2]Sheet2!$B$8</definedName>
    <definedName name="Start_Page">[2]Sheet2!$B$10</definedName>
    <definedName name="Summary" localSheetId="1">#REF!</definedName>
    <definedName name="Summary" localSheetId="8">#REF!</definedName>
    <definedName name="Summary" localSheetId="9">#REF!</definedName>
    <definedName name="Summary">#REF!</definedName>
    <definedName name="TableName">"Dummy"</definedName>
    <definedName name="TESTYEAR" localSheetId="1">'[3]Named Ranges'!$C$5</definedName>
    <definedName name="TESTYEAR">'[4]Named Ranges'!$C$5</definedName>
    <definedName name="TESTYEAR_E" localSheetId="1">'[5]Named Ranges E'!$C$5</definedName>
    <definedName name="TESTYEAR_E">'[6]Named Ranges E'!$C$5</definedName>
    <definedName name="TESTYEAR_GAS">'[7]Named Ranges G'!$C$5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A_Elec" localSheetId="9">#REF!</definedName>
    <definedName name="WA_Elec">'DEBT CALC'!$A$1:$F$92</definedName>
    <definedName name="WA_Gas" localSheetId="1">'[12]DEBT CALC'!#REF!</definedName>
    <definedName name="WA_Gas" localSheetId="8">'DEBT CALC'!#REF!</definedName>
    <definedName name="WA_Gas" localSheetId="9">#REF!</definedName>
    <definedName name="WA_Gas">'DEBT CALC'!#REF!</definedName>
    <definedName name="wrn.All._.Sheets." hidden="1">{"IncSt",#N/A,FALSE,"IS";"BalSht",#N/A,FALSE,"BS";"IntCash",#N/A,FALSE,"Int. Cash";"Stats",#N/A,FALSE,"Stats"}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Z_6E1B8C45_B07F_11D2_B0DC_0000832CDFF0_.wvu.Cols" localSheetId="6" hidden="1">'ADJ DETAIL-INPUT'!#REF!,'ADJ DETAIL-INPUT'!$AD:$BG</definedName>
    <definedName name="Z_6E1B8C45_B07F_11D2_B0DC_0000832CDFF0_.wvu.Cols" localSheetId="8" hidden="1">'LEAD SHEETS-DO NOT ENTER'!#REF!,'LEAD SHEETS-DO NOT ENTER'!$AC:$AM</definedName>
    <definedName name="Z_6E1B8C45_B07F_11D2_B0DC_0000832CDFF0_.wvu.PrintArea" localSheetId="6" hidden="1">'ADJ DETAIL-INPUT'!$E:$AC</definedName>
    <definedName name="Z_6E1B8C45_B07F_11D2_B0DC_0000832CDFF0_.wvu.PrintArea" localSheetId="7" hidden="1">'ADJ SUMMARY'!$A$1:$F$64</definedName>
    <definedName name="Z_6E1B8C45_B07F_11D2_B0DC_0000832CDFF0_.wvu.PrintArea" localSheetId="11" hidden="1">COMPARISON!$A$10:$H$107</definedName>
    <definedName name="Z_6E1B8C45_B07F_11D2_B0DC_0000832CDFF0_.wvu.PrintArea" localSheetId="8" hidden="1">'LEAD SHEETS-DO NOT ENTER'!$E:$Z</definedName>
    <definedName name="Z_6E1B8C45_B07F_11D2_B0DC_0000832CDFF0_.wvu.PrintArea" localSheetId="9" hidden="1">'ROO INPUT'!$A$1:$G$80</definedName>
    <definedName name="Z_6E1B8C45_B07F_11D2_B0DC_0000832CDFF0_.wvu.PrintTitles" localSheetId="6" hidden="1">'ADJ DETAIL-INPUT'!$A:$D,'ADJ DETAIL-INPUT'!$2:$10</definedName>
    <definedName name="Z_6E1B8C45_B07F_11D2_B0DC_0000832CDFF0_.wvu.PrintTitles" localSheetId="8" hidden="1">'LEAD SHEETS-DO NOT ENTER'!$A:$D,'LEAD SHEETS-DO NOT ENTER'!$2:$10</definedName>
    <definedName name="Z_6E1B8C45_B07F_11D2_B0DC_0000832CDFF0_.wvu.Rows" localSheetId="7" hidden="1">'ADJ SUMMARY'!#REF!,'ADJ SUMMARY'!$21:$64,'ADJ SUMMARY'!$34:$34,'ADJ SUMMARY'!$43:$64,'ADJ SUMMARY'!#REF!,'ADJ SUMMARY'!#REF!,'ADJ SUMMARY'!#REF!</definedName>
    <definedName name="Z_6E1B8C45_B07F_11D2_B0DC_0000832CDFF0_.wvu.Rows" localSheetId="11" hidden="1">COMPARISON!#REF!,COMPARISON!$23:$52,COMPARISON!$36:$36,COMPARISON!$44:$68,COMPARISON!$99:$99,COMPARISON!$101:$101,COMPARISON!$108:$126</definedName>
    <definedName name="Z_A15D1962_B049_11D2_8670_0000832CEEE8_.wvu.Cols" localSheetId="6" hidden="1">'ADJ DETAIL-INPUT'!$AD:$BG</definedName>
    <definedName name="Z_A15D1962_B049_11D2_8670_0000832CEEE8_.wvu.Cols" localSheetId="8" hidden="1">'LEAD SHEETS-DO NOT ENTER'!$AC:$AM</definedName>
    <definedName name="Z_A15D1962_B049_11D2_8670_0000832CEEE8_.wvu.Rows" localSheetId="7" hidden="1">'ADJ SUMMARY'!$43:$64,'ADJ SUMMARY'!#REF!</definedName>
    <definedName name="Z_A15D1962_B049_11D2_8670_0000832CEEE8_.wvu.Rows" localSheetId="11" hidden="1">COMPARISON!$44:$63,COMPARISON!$107:$126</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7" i="116" l="1"/>
  <c r="AA57" i="116" s="1"/>
  <c r="AK57" i="116"/>
  <c r="AW53" i="1"/>
  <c r="AC57" i="116"/>
  <c r="AI42" i="1" l="1"/>
  <c r="AI38" i="1"/>
  <c r="AI37" i="1"/>
  <c r="AI31" i="1"/>
  <c r="AI23" i="1"/>
  <c r="AM42" i="1" l="1"/>
  <c r="Y47" i="116"/>
  <c r="BA76" i="1"/>
  <c r="BA72" i="1"/>
  <c r="BA71" i="1"/>
  <c r="BA70" i="1"/>
  <c r="BA69" i="1"/>
  <c r="BA68" i="1"/>
  <c r="BA65" i="1"/>
  <c r="BA64" i="1"/>
  <c r="BA63" i="1"/>
  <c r="BA62" i="1"/>
  <c r="BA61" i="1"/>
  <c r="BA43" i="1"/>
  <c r="BA32" i="1"/>
  <c r="BA25" i="1"/>
  <c r="AC61" i="116"/>
  <c r="Y61" i="116"/>
  <c r="Q23" i="117"/>
  <c r="Q22" i="117"/>
  <c r="Q20" i="117"/>
  <c r="Q19" i="117"/>
  <c r="Q18" i="117"/>
  <c r="Q16" i="117"/>
  <c r="AX78" i="1"/>
  <c r="AX26" i="1"/>
  <c r="AX25" i="1"/>
  <c r="AC58" i="116"/>
  <c r="Y58" i="116"/>
  <c r="AU71" i="1"/>
  <c r="AU64" i="1"/>
  <c r="AU44" i="1"/>
  <c r="AC55" i="116"/>
  <c r="Y55" i="116"/>
  <c r="AR12" i="116" l="1"/>
  <c r="AR10" i="116"/>
  <c r="AR11" i="116"/>
  <c r="Y56" i="116"/>
  <c r="Y44" i="116" l="1"/>
  <c r="L12" i="117"/>
  <c r="L13" i="117"/>
  <c r="L14" i="117"/>
  <c r="L15" i="117"/>
  <c r="J18" i="117"/>
  <c r="O20" i="117"/>
  <c r="J20" i="117" s="1"/>
  <c r="Y27" i="116"/>
  <c r="BE44" i="1"/>
  <c r="BE46" i="1" s="1"/>
  <c r="BD44" i="1"/>
  <c r="BD46" i="1" s="1"/>
  <c r="BE73" i="1"/>
  <c r="BE66" i="1"/>
  <c r="BE74" i="1" s="1"/>
  <c r="BE77" i="1" s="1"/>
  <c r="BE81" i="1" s="1"/>
  <c r="BE35" i="1"/>
  <c r="BE28" i="1"/>
  <c r="BE17" i="1"/>
  <c r="BE19" i="1" s="1"/>
  <c r="BD73" i="1"/>
  <c r="BD66" i="1"/>
  <c r="BD74" i="1" s="1"/>
  <c r="BD77" i="1" s="1"/>
  <c r="BD81" i="1" s="1"/>
  <c r="BD35" i="1"/>
  <c r="BD28" i="1"/>
  <c r="BD17" i="1"/>
  <c r="BD19" i="1" s="1"/>
  <c r="AA65" i="116"/>
  <c r="R65" i="116" s="1"/>
  <c r="V65" i="116" s="1"/>
  <c r="AE65" i="116" s="1"/>
  <c r="O23" i="117" s="1"/>
  <c r="T65" i="116"/>
  <c r="O65" i="116"/>
  <c r="K65" i="116"/>
  <c r="AA64" i="116"/>
  <c r="R64" i="116" s="1"/>
  <c r="T64" i="116"/>
  <c r="K64" i="116"/>
  <c r="O64" i="116" s="1"/>
  <c r="Y43" i="116"/>
  <c r="AA63" i="116"/>
  <c r="T63" i="116"/>
  <c r="BC73" i="1"/>
  <c r="BC66" i="1"/>
  <c r="BC74" i="1" s="1"/>
  <c r="BC77" i="1" s="1"/>
  <c r="BC81" i="1" s="1"/>
  <c r="BC46" i="1"/>
  <c r="BC35" i="1"/>
  <c r="BC28" i="1"/>
  <c r="BC17" i="1"/>
  <c r="BC19" i="1" s="1"/>
  <c r="BD47" i="1" l="1"/>
  <c r="BE47" i="1"/>
  <c r="BE49" i="1"/>
  <c r="BE52" i="1" s="1"/>
  <c r="BD49" i="1"/>
  <c r="V64" i="116"/>
  <c r="AE64" i="116" s="1"/>
  <c r="O22" i="117" s="1"/>
  <c r="BC47" i="1"/>
  <c r="BC49" i="1" s="1"/>
  <c r="BC52" i="1" s="1"/>
  <c r="BD52" i="1" l="1"/>
  <c r="AA47" i="116" l="1"/>
  <c r="AA46" i="116" l="1"/>
  <c r="AL42" i="1"/>
  <c r="AA56" i="116"/>
  <c r="AC56" i="116"/>
  <c r="AA58" i="116"/>
  <c r="AA62" i="116" l="1"/>
  <c r="T62" i="116" l="1"/>
  <c r="BF10" i="1" l="1"/>
  <c r="BF17" i="1"/>
  <c r="BF19" i="1" s="1"/>
  <c r="BF28" i="1"/>
  <c r="BF35" i="1"/>
  <c r="BF46" i="1"/>
  <c r="BF66" i="1"/>
  <c r="BF73" i="1"/>
  <c r="BB17" i="1"/>
  <c r="BB19" i="1" s="1"/>
  <c r="AE18" i="1"/>
  <c r="AA39" i="116"/>
  <c r="BF47" i="1" l="1"/>
  <c r="BF49" i="1" s="1"/>
  <c r="BB73" i="1"/>
  <c r="BB66" i="1"/>
  <c r="BF74" i="1"/>
  <c r="BF77" i="1" s="1"/>
  <c r="BF81" i="1" s="1"/>
  <c r="BB74" i="1" l="1"/>
  <c r="BB77" i="1" s="1"/>
  <c r="BB81" i="1" s="1"/>
  <c r="BF52" i="1"/>
  <c r="AC50" i="116" l="1"/>
  <c r="AA50" i="116"/>
  <c r="Y50" i="116"/>
  <c r="AC54" i="116"/>
  <c r="AA54" i="116"/>
  <c r="AC53" i="116"/>
  <c r="AA53" i="116"/>
  <c r="AC52" i="116"/>
  <c r="AA52" i="116"/>
  <c r="AA51" i="116"/>
  <c r="Y51" i="116" s="1"/>
  <c r="AC51" i="116"/>
  <c r="T61" i="116"/>
  <c r="AK23" i="116" l="1"/>
  <c r="AK29" i="116"/>
  <c r="AM29" i="116" s="1"/>
  <c r="AM28" i="116"/>
  <c r="AM23" i="116"/>
  <c r="AM22" i="116"/>
  <c r="D6" i="117"/>
  <c r="AM11" i="116"/>
  <c r="AM10" i="116"/>
  <c r="AM17" i="116"/>
  <c r="AM16" i="116"/>
  <c r="J13" i="51"/>
  <c r="J11" i="51"/>
  <c r="K11" i="51"/>
  <c r="K13" i="51"/>
  <c r="AB25" i="1"/>
  <c r="K63" i="116" l="1"/>
  <c r="R63" i="116"/>
  <c r="K62" i="116"/>
  <c r="R62" i="116"/>
  <c r="K44" i="116"/>
  <c r="K16" i="116"/>
  <c r="AM12" i="116"/>
  <c r="K10" i="116"/>
  <c r="K38" i="116"/>
  <c r="K56" i="116"/>
  <c r="AM18" i="116"/>
  <c r="K49" i="116"/>
  <c r="AM30" i="116"/>
  <c r="AM24" i="116"/>
  <c r="D8" i="117"/>
  <c r="K55" i="116"/>
  <c r="K43" i="116"/>
  <c r="K17" i="116"/>
  <c r="K51" i="116"/>
  <c r="K39" i="116"/>
  <c r="K18" i="116"/>
  <c r="K50" i="116"/>
  <c r="K32" i="116"/>
  <c r="K22" i="116"/>
  <c r="K57" i="116"/>
  <c r="K45" i="116"/>
  <c r="K11" i="116"/>
  <c r="K59" i="116"/>
  <c r="K53" i="116"/>
  <c r="K47" i="116"/>
  <c r="K41" i="116"/>
  <c r="K29" i="116"/>
  <c r="K14" i="116"/>
  <c r="K20" i="116"/>
  <c r="K26" i="116"/>
  <c r="K58" i="116"/>
  <c r="K52" i="116"/>
  <c r="K46" i="116"/>
  <c r="K40" i="116"/>
  <c r="K28" i="116"/>
  <c r="K15" i="116"/>
  <c r="K21" i="116"/>
  <c r="K23" i="116"/>
  <c r="K31" i="116"/>
  <c r="K12" i="116"/>
  <c r="K24" i="116"/>
  <c r="K60" i="116"/>
  <c r="K54" i="116"/>
  <c r="K48" i="116"/>
  <c r="K42" i="116"/>
  <c r="K30" i="116"/>
  <c r="K13" i="116"/>
  <c r="K19" i="116"/>
  <c r="K25" i="116"/>
  <c r="D9" i="117" l="1"/>
  <c r="D10" i="117" l="1"/>
  <c r="T40" i="116" l="1"/>
  <c r="R40" i="116" s="1"/>
  <c r="T38" i="116"/>
  <c r="R38" i="116" s="1"/>
  <c r="Y60" i="116"/>
  <c r="Y59" i="116"/>
  <c r="Y54" i="116"/>
  <c r="Y53" i="116"/>
  <c r="Y52" i="116"/>
  <c r="Y49" i="116"/>
  <c r="Y48" i="116"/>
  <c r="Y45" i="116"/>
  <c r="Y42" i="116"/>
  <c r="Y41" i="116"/>
  <c r="Y40" i="116"/>
  <c r="Y38" i="116"/>
  <c r="Y10" i="116"/>
  <c r="Y11" i="116"/>
  <c r="Y12" i="116"/>
  <c r="Y13" i="116"/>
  <c r="Y14" i="116"/>
  <c r="Y16" i="116"/>
  <c r="Y17" i="116"/>
  <c r="Y18" i="116"/>
  <c r="Y19" i="116"/>
  <c r="Y20" i="116"/>
  <c r="Y21" i="116"/>
  <c r="Y22" i="116"/>
  <c r="Y23" i="116"/>
  <c r="Y24" i="116"/>
  <c r="Y25" i="116"/>
  <c r="Y26" i="116"/>
  <c r="Y28" i="116"/>
  <c r="Y29" i="116"/>
  <c r="Y30" i="116"/>
  <c r="Y31" i="116"/>
  <c r="Y32" i="116"/>
  <c r="AK4" i="116"/>
  <c r="T21" i="116"/>
  <c r="R21" i="116" s="1"/>
  <c r="T22" i="116"/>
  <c r="R22" i="116" s="1"/>
  <c r="T23" i="116"/>
  <c r="R23" i="116" s="1"/>
  <c r="T24" i="116"/>
  <c r="R24" i="116" s="1"/>
  <c r="T25" i="116"/>
  <c r="R25" i="116" s="1"/>
  <c r="T26" i="116"/>
  <c r="R26" i="116" s="1"/>
  <c r="T27" i="116"/>
  <c r="T28" i="116"/>
  <c r="R28" i="116" s="1"/>
  <c r="T29" i="116"/>
  <c r="R29" i="116" s="1"/>
  <c r="T30" i="116"/>
  <c r="R30" i="116" s="1"/>
  <c r="T31" i="116"/>
  <c r="R31" i="116" s="1"/>
  <c r="T32" i="116"/>
  <c r="R32" i="116" s="1"/>
  <c r="V63" i="116" l="1"/>
  <c r="O63" i="116"/>
  <c r="V62" i="116"/>
  <c r="O62" i="116"/>
  <c r="K61" i="116"/>
  <c r="T49" i="116"/>
  <c r="R49" i="116" s="1"/>
  <c r="T55" i="116"/>
  <c r="T47" i="116"/>
  <c r="R47" i="116" s="1"/>
  <c r="T39" i="116"/>
  <c r="R39" i="116" s="1"/>
  <c r="T42" i="116"/>
  <c r="R42" i="116" s="1"/>
  <c r="T45" i="116"/>
  <c r="R45" i="116" s="1"/>
  <c r="T48" i="116"/>
  <c r="R48" i="116" s="1"/>
  <c r="T46" i="116"/>
  <c r="R46" i="116" s="1"/>
  <c r="T57" i="116"/>
  <c r="R57" i="116" s="1"/>
  <c r="T43" i="116"/>
  <c r="R43" i="116" s="1"/>
  <c r="T59" i="116"/>
  <c r="R59" i="116" s="1"/>
  <c r="T41" i="116"/>
  <c r="R41" i="116" s="1"/>
  <c r="T50" i="116"/>
  <c r="R50" i="116" s="1"/>
  <c r="T52" i="116"/>
  <c r="R52" i="116" s="1"/>
  <c r="T54" i="116"/>
  <c r="R54" i="116" s="1"/>
  <c r="T56" i="116"/>
  <c r="R56" i="116" s="1"/>
  <c r="T58" i="116"/>
  <c r="R58" i="116" s="1"/>
  <c r="T60" i="116"/>
  <c r="R60" i="116" s="1"/>
  <c r="T53" i="116"/>
  <c r="R53" i="116" s="1"/>
  <c r="T44" i="116"/>
  <c r="R44" i="116" s="1"/>
  <c r="AE63" i="116" l="1"/>
  <c r="AE62" i="116"/>
  <c r="O11" i="117" s="1"/>
  <c r="J11" i="117" s="1"/>
  <c r="J22" i="117"/>
  <c r="J23" i="117"/>
  <c r="T20" i="116" l="1"/>
  <c r="R20" i="116" s="1"/>
  <c r="T19" i="116"/>
  <c r="R19" i="116" s="1"/>
  <c r="T18" i="116"/>
  <c r="R18" i="116" s="1"/>
  <c r="T17" i="116"/>
  <c r="R17" i="116" s="1"/>
  <c r="T16" i="116"/>
  <c r="R16" i="116" s="1"/>
  <c r="Y15" i="116"/>
  <c r="T15" i="116"/>
  <c r="R15" i="116" s="1"/>
  <c r="AC35" i="116"/>
  <c r="T14" i="116"/>
  <c r="R14" i="116" s="1"/>
  <c r="T13" i="116"/>
  <c r="R13" i="116" s="1"/>
  <c r="T12" i="116"/>
  <c r="R12" i="116" s="1"/>
  <c r="T11" i="116"/>
  <c r="R11" i="116" s="1"/>
  <c r="T10" i="116"/>
  <c r="R10" i="116" s="1"/>
  <c r="B10" i="116"/>
  <c r="B11" i="116" l="1"/>
  <c r="O12" i="116" l="1"/>
  <c r="O61" i="116"/>
  <c r="V12" i="116"/>
  <c r="O16" i="116"/>
  <c r="V17" i="116"/>
  <c r="V18" i="116"/>
  <c r="V15" i="116"/>
  <c r="V10" i="116"/>
  <c r="O15" i="116"/>
  <c r="V11" i="116"/>
  <c r="O11" i="116"/>
  <c r="V16" i="116"/>
  <c r="O19" i="116"/>
  <c r="V14" i="116"/>
  <c r="V19" i="116"/>
  <c r="O18" i="116"/>
  <c r="O25" i="116"/>
  <c r="O40" i="116"/>
  <c r="O22" i="116"/>
  <c r="O24" i="116"/>
  <c r="V25" i="116"/>
  <c r="O31" i="116"/>
  <c r="O29" i="116"/>
  <c r="O23" i="116"/>
  <c r="O32" i="116"/>
  <c r="O49" i="116"/>
  <c r="O57" i="116"/>
  <c r="O59" i="116"/>
  <c r="O52" i="116"/>
  <c r="O58" i="116"/>
  <c r="O44" i="116"/>
  <c r="O30" i="116"/>
  <c r="V26" i="116"/>
  <c r="O39" i="116"/>
  <c r="O48" i="116"/>
  <c r="V30" i="116"/>
  <c r="V22" i="116"/>
  <c r="V32" i="116"/>
  <c r="O55" i="116"/>
  <c r="V40" i="116"/>
  <c r="O43" i="116"/>
  <c r="O41" i="116"/>
  <c r="O54" i="116"/>
  <c r="O60" i="116"/>
  <c r="V21" i="116"/>
  <c r="O21" i="116"/>
  <c r="V23" i="116"/>
  <c r="O38" i="116"/>
  <c r="O42" i="116"/>
  <c r="V28" i="116"/>
  <c r="V29" i="116"/>
  <c r="O26" i="116"/>
  <c r="O46" i="116"/>
  <c r="O51" i="116"/>
  <c r="O50" i="116"/>
  <c r="O56" i="116"/>
  <c r="O53" i="116"/>
  <c r="O28" i="116"/>
  <c r="V38" i="116"/>
  <c r="O47" i="116"/>
  <c r="O45" i="116"/>
  <c r="V31" i="116"/>
  <c r="V24" i="116"/>
  <c r="V58" i="116"/>
  <c r="V47" i="116"/>
  <c r="V42" i="116"/>
  <c r="AE42" i="116" s="1"/>
  <c r="V48" i="116"/>
  <c r="V52" i="116"/>
  <c r="V53" i="116"/>
  <c r="V60" i="116"/>
  <c r="V39" i="116"/>
  <c r="V59" i="116"/>
  <c r="V56" i="116"/>
  <c r="V54" i="116"/>
  <c r="AE54" i="116" s="1"/>
  <c r="V57" i="116"/>
  <c r="V50" i="116"/>
  <c r="V41" i="116"/>
  <c r="V44" i="116"/>
  <c r="AE44" i="116" s="1"/>
  <c r="V45" i="116"/>
  <c r="V49" i="116"/>
  <c r="V43" i="116"/>
  <c r="V46" i="116"/>
  <c r="AE12" i="116"/>
  <c r="O17" i="116"/>
  <c r="V20" i="116"/>
  <c r="O20" i="116"/>
  <c r="O10" i="116"/>
  <c r="V13" i="116"/>
  <c r="O13" i="116"/>
  <c r="O14" i="116"/>
  <c r="AE14" i="116" s="1"/>
  <c r="B12" i="116"/>
  <c r="AE41" i="116" l="1"/>
  <c r="AE56" i="116"/>
  <c r="O15" i="117" s="1"/>
  <c r="J15" i="117" s="1"/>
  <c r="AE40" i="116"/>
  <c r="AE10" i="116"/>
  <c r="AE38" i="116"/>
  <c r="AE17" i="116"/>
  <c r="AE49" i="116"/>
  <c r="AE18" i="116"/>
  <c r="AE58" i="116"/>
  <c r="O14" i="117" s="1"/>
  <c r="J14" i="117" s="1"/>
  <c r="AE50" i="116"/>
  <c r="AE15" i="116"/>
  <c r="AE16" i="116"/>
  <c r="AE23" i="116"/>
  <c r="AE24" i="116"/>
  <c r="AE31" i="116"/>
  <c r="AE29" i="116"/>
  <c r="AE52" i="116"/>
  <c r="AE32" i="116"/>
  <c r="AE19" i="116"/>
  <c r="AE22" i="116"/>
  <c r="AE11" i="116"/>
  <c r="AE45" i="116"/>
  <c r="AE20" i="116"/>
  <c r="AE60" i="116"/>
  <c r="AE57" i="116"/>
  <c r="O12" i="117" s="1"/>
  <c r="J12" i="117" s="1"/>
  <c r="AE53" i="116"/>
  <c r="AE21" i="116"/>
  <c r="AE26" i="116"/>
  <c r="AE13" i="116"/>
  <c r="AE48" i="116"/>
  <c r="AE28" i="116"/>
  <c r="AE25" i="116"/>
  <c r="AE59" i="116"/>
  <c r="AE46" i="116"/>
  <c r="O16" i="117" s="1"/>
  <c r="J16" i="117" s="1"/>
  <c r="AE43" i="116"/>
  <c r="O19" i="117" s="1"/>
  <c r="J19" i="117" s="1"/>
  <c r="AE39" i="116"/>
  <c r="O13" i="117" s="1"/>
  <c r="J13" i="117" s="1"/>
  <c r="AE47" i="116"/>
  <c r="O17" i="117" s="1"/>
  <c r="J17" i="117" s="1"/>
  <c r="AE30" i="116"/>
  <c r="B13" i="116"/>
  <c r="B14" i="116" l="1"/>
  <c r="B15" i="116" l="1"/>
  <c r="B16" i="116" l="1"/>
  <c r="B17" i="116" l="1"/>
  <c r="B18" i="116" l="1"/>
  <c r="B19" i="116" s="1"/>
  <c r="B58" i="99"/>
  <c r="B57" i="99"/>
  <c r="B56" i="99"/>
  <c r="B55" i="99"/>
  <c r="B54" i="99"/>
  <c r="B53" i="99"/>
  <c r="B43" i="99"/>
  <c r="B41" i="99"/>
  <c r="A41" i="99"/>
  <c r="B40" i="99"/>
  <c r="A40" i="99"/>
  <c r="B20" i="116" l="1"/>
  <c r="B21" i="116" l="1"/>
  <c r="B22" i="116" s="1"/>
  <c r="B23" i="116" s="1"/>
  <c r="B24" i="116" s="1"/>
  <c r="B25" i="116" s="1"/>
  <c r="B26" i="116" s="1"/>
  <c r="B27" i="116" s="1"/>
  <c r="B28" i="116" s="1"/>
  <c r="B29" i="116" s="1"/>
  <c r="B30" i="116" s="1"/>
  <c r="B31" i="116" s="1"/>
  <c r="B32" i="116" s="1"/>
  <c r="B35" i="116" s="1"/>
  <c r="B38" i="116" s="1"/>
  <c r="BB7" i="113"/>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39" i="116" l="1"/>
  <c r="B40" i="116" s="1"/>
  <c r="B41" i="116" s="1"/>
  <c r="B42" i="116" s="1"/>
  <c r="B43" i="116" s="1"/>
  <c r="B44" i="116" s="1"/>
  <c r="B45" i="116" s="1"/>
  <c r="B46" i="116" s="1"/>
  <c r="B47" i="116" s="1"/>
  <c r="BA72" i="113"/>
  <c r="BA34" i="113"/>
  <c r="BA28" i="113"/>
  <c r="B48" i="116" l="1"/>
  <c r="B49" i="116" s="1"/>
  <c r="B50" i="116" s="1"/>
  <c r="B51" i="116" s="1"/>
  <c r="B52" i="116" s="1"/>
  <c r="B53" i="116" s="1"/>
  <c r="B54" i="116" s="1"/>
  <c r="B55" i="116" s="1"/>
  <c r="B56" i="116" s="1"/>
  <c r="B57" i="116" s="1"/>
  <c r="B58" i="116" s="1"/>
  <c r="B59" i="116" s="1"/>
  <c r="B60" i="116" s="1"/>
  <c r="B61" i="116" s="1"/>
  <c r="B62" i="116" s="1"/>
  <c r="B63" i="116" s="1"/>
  <c r="B64" i="116" s="1"/>
  <c r="B65" i="116" s="1"/>
  <c r="BA19" i="113"/>
  <c r="BA17" i="113"/>
  <c r="BA65" i="113"/>
  <c r="AD23" i="1"/>
  <c r="B68" i="116" l="1"/>
  <c r="B70" i="116" s="1"/>
  <c r="B72" i="116" s="1"/>
  <c r="BA73" i="113"/>
  <c r="AU42" i="1"/>
  <c r="BA76" i="113" l="1"/>
  <c r="BA80" i="113" l="1"/>
  <c r="E65"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U43" i="113"/>
  <c r="AV43" i="113"/>
  <c r="AW43" i="113"/>
  <c r="AX43" i="113"/>
  <c r="AY43" i="113"/>
  <c r="AT44" i="113"/>
  <c r="AU44" i="113"/>
  <c r="AV44" i="113"/>
  <c r="AW44" i="113"/>
  <c r="AX44" i="113"/>
  <c r="AY44" i="113"/>
  <c r="AT50" i="113"/>
  <c r="AU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U32" i="1" l="1"/>
  <c r="AT32" i="113" s="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0" i="3"/>
  <c r="C60" i="3"/>
  <c r="AT49" i="1" l="1"/>
  <c r="AS48" i="113" s="1"/>
  <c r="AS52" i="1"/>
  <c r="AR51" i="113" s="1"/>
  <c r="AR48" i="113"/>
  <c r="AT77" i="1"/>
  <c r="AS73" i="113"/>
  <c r="AS77" i="1"/>
  <c r="AR73" i="113"/>
  <c r="AT52" i="1" l="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V72" i="113" s="1"/>
  <c r="AW66" i="1"/>
  <c r="AV65" i="113" s="1"/>
  <c r="AW46" i="1"/>
  <c r="AV45" i="113" s="1"/>
  <c r="AW35" i="1"/>
  <c r="AV34" i="113" s="1"/>
  <c r="AW28" i="1"/>
  <c r="AV28" i="113" s="1"/>
  <c r="AW17" i="1"/>
  <c r="AV17" i="113" s="1"/>
  <c r="AE74" i="1" l="1"/>
  <c r="AE77" i="1" s="1"/>
  <c r="AE81" i="1" s="1"/>
  <c r="AW19" i="1"/>
  <c r="AV19" i="113" s="1"/>
  <c r="AW74" i="1"/>
  <c r="AD65" i="113"/>
  <c r="AW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E38" i="3" l="1"/>
  <c r="F36" i="48" s="1"/>
  <c r="G36" i="48" s="1"/>
  <c r="H40" i="99"/>
  <c r="K40" i="99" s="1"/>
  <c r="AW77" i="1"/>
  <c r="AV73" i="113"/>
  <c r="AR19" i="1"/>
  <c r="AQ19" i="113" s="1"/>
  <c r="AQ17" i="113"/>
  <c r="AD73" i="113"/>
  <c r="AD76" i="113"/>
  <c r="AD80" i="113"/>
  <c r="AW49" i="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17" i="1"/>
  <c r="BA19" i="1" s="1"/>
  <c r="AV73" i="1"/>
  <c r="AU72" i="113" s="1"/>
  <c r="AV66" i="1"/>
  <c r="AU65" i="113" s="1"/>
  <c r="AV46" i="1"/>
  <c r="AU45" i="113" s="1"/>
  <c r="AV35" i="1"/>
  <c r="AU34" i="113" s="1"/>
  <c r="AV28" i="1"/>
  <c r="AU28" i="113" s="1"/>
  <c r="AV17" i="1"/>
  <c r="AU17" i="113" s="1"/>
  <c r="AU73" i="1"/>
  <c r="AT72" i="113" s="1"/>
  <c r="AU66" i="1"/>
  <c r="AT65" i="113" s="1"/>
  <c r="AU35" i="1"/>
  <c r="AT34" i="113" s="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V48" i="113" l="1"/>
  <c r="AU19" i="1"/>
  <c r="AT19" i="113" s="1"/>
  <c r="AT17" i="113"/>
  <c r="AW81" i="1"/>
  <c r="H58" i="99" s="1"/>
  <c r="K58" i="99" s="1"/>
  <c r="AV76" i="113"/>
  <c r="AR77" i="1"/>
  <c r="AQ73" i="113"/>
  <c r="AR49" i="1"/>
  <c r="AQ48" i="113" s="1"/>
  <c r="AQ46" i="113"/>
  <c r="A41" i="3"/>
  <c r="A39" i="48" s="1"/>
  <c r="AI10" i="1"/>
  <c r="A44" i="99" s="1"/>
  <c r="AG10" i="113"/>
  <c r="AW52" i="1"/>
  <c r="AV51" i="113" s="1"/>
  <c r="AU74" i="1"/>
  <c r="AT73" i="113" s="1"/>
  <c r="AF74" i="1"/>
  <c r="AV19" i="1"/>
  <c r="AU19" i="113" s="1"/>
  <c r="AV74" i="1"/>
  <c r="BA74" i="1"/>
  <c r="BA77" i="1" s="1"/>
  <c r="BA81" i="1" s="1"/>
  <c r="AE52" i="1"/>
  <c r="AD51" i="113" s="1"/>
  <c r="AE33" i="113"/>
  <c r="AV47" i="1"/>
  <c r="AU46" i="113" s="1"/>
  <c r="AE41" i="113"/>
  <c r="AE65" i="113"/>
  <c r="AE17" i="113"/>
  <c r="AR52" i="1"/>
  <c r="AQ51" i="113" s="1"/>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W51" i="1" l="1"/>
  <c r="AV50" i="113" s="1"/>
  <c r="F72" i="111"/>
  <c r="AV77" i="1"/>
  <c r="AU73" i="113"/>
  <c r="AV80" i="113"/>
  <c r="E56" i="3"/>
  <c r="F54" i="48" s="1"/>
  <c r="G54" i="48" s="1"/>
  <c r="AR81" i="1"/>
  <c r="H53" i="99" s="1"/>
  <c r="K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AU77" i="1"/>
  <c r="AT76" i="113" s="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F23" i="111"/>
  <c r="E23" i="111" s="1"/>
  <c r="E38" i="111"/>
  <c r="H38" i="111" s="1"/>
  <c r="E72" i="111"/>
  <c r="F68" i="111"/>
  <c r="E68" i="1" s="1"/>
  <c r="E42" i="1"/>
  <c r="E52" i="1"/>
  <c r="E61" i="1"/>
  <c r="E65" i="1"/>
  <c r="E71" i="1"/>
  <c r="G35" i="111"/>
  <c r="E34" i="111"/>
  <c r="H34" i="111" s="1"/>
  <c r="I62" i="111"/>
  <c r="I66" i="111" s="1"/>
  <c r="E72" i="1"/>
  <c r="AF49" i="1"/>
  <c r="AE46" i="113"/>
  <c r="E31" i="111"/>
  <c r="I31" i="111"/>
  <c r="I35" i="111" s="1"/>
  <c r="J35" i="111"/>
  <c r="I46" i="111"/>
  <c r="E16" i="111"/>
  <c r="H16" i="111" s="1"/>
  <c r="J46" i="111"/>
  <c r="I23" i="111"/>
  <c r="I28" i="111" s="1"/>
  <c r="G74" i="111" l="1"/>
  <c r="G77" i="111" s="1"/>
  <c r="G81" i="111" s="1"/>
  <c r="AV81" i="1"/>
  <c r="H57" i="99" s="1"/>
  <c r="K57" i="99" s="1"/>
  <c r="AU76" i="113"/>
  <c r="F35" i="111"/>
  <c r="F19" i="111"/>
  <c r="E51" i="3"/>
  <c r="F49" i="48" s="1"/>
  <c r="G49" i="48" s="1"/>
  <c r="AQ80" i="113"/>
  <c r="E43" i="111"/>
  <c r="H43" i="111" s="1"/>
  <c r="F46" i="111"/>
  <c r="E69" i="111"/>
  <c r="AU81" i="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F52" i="1"/>
  <c r="AE48" i="113"/>
  <c r="H31" i="111"/>
  <c r="E35" i="111"/>
  <c r="I47" i="111"/>
  <c r="I49" i="111" s="1"/>
  <c r="I57" i="111" s="1"/>
  <c r="I82" i="111" s="1"/>
  <c r="H23" i="111"/>
  <c r="E28" i="111"/>
  <c r="AT80" i="113" l="1"/>
  <c r="H56" i="99"/>
  <c r="K56" i="99" s="1"/>
  <c r="H35" i="11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H28" i="111"/>
  <c r="E47" i="111" l="1"/>
  <c r="H47" i="111" s="1"/>
  <c r="E19" i="11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H47" i="99" s="1"/>
  <c r="AL47" i="1"/>
  <c r="AL49" i="1" s="1"/>
  <c r="AL52" i="1" s="1"/>
  <c r="S34" i="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J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AV10" i="1"/>
  <c r="H14" i="99"/>
  <c r="K14" i="99" s="1"/>
  <c r="I80" i="113"/>
  <c r="E14" i="3"/>
  <c r="F15" i="48" s="1"/>
  <c r="E24" i="52"/>
  <c r="AB25" i="113"/>
  <c r="AU10" i="113" l="1"/>
  <c r="A57" i="99"/>
  <c r="AW10" i="1"/>
  <c r="A55" i="3"/>
  <c r="A53" i="48" s="1"/>
  <c r="G15" i="48"/>
  <c r="E22" i="51"/>
  <c r="B61" i="3"/>
  <c r="AV10" i="113" l="1"/>
  <c r="A58" i="99"/>
  <c r="A56" i="3"/>
  <c r="A54" i="48" s="1"/>
  <c r="AX10" i="1"/>
  <c r="AB42" i="113"/>
  <c r="AY10" i="1" l="1"/>
  <c r="AW10" i="113"/>
  <c r="AZ10" i="1" l="1"/>
  <c r="AY10" i="113" s="1"/>
  <c r="AX10" i="113"/>
  <c r="A60" i="3" l="1"/>
  <c r="A58" i="48" s="1"/>
  <c r="B35" i="99" l="1"/>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L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W72" i="113" s="1"/>
  <c r="AX66" i="1"/>
  <c r="AW65" i="113" s="1"/>
  <c r="AX46" i="1"/>
  <c r="AW45" i="113" s="1"/>
  <c r="AX35" i="1"/>
  <c r="AW34" i="113" s="1"/>
  <c r="AX28" i="1"/>
  <c r="AW28" i="113" s="1"/>
  <c r="AX17" i="1"/>
  <c r="AX19" i="1" l="1"/>
  <c r="AW19" i="113" s="1"/>
  <c r="AW17" i="113"/>
  <c r="AX47" i="1"/>
  <c r="AW46" i="113" s="1"/>
  <c r="AX74" i="1"/>
  <c r="AW73" i="113" s="1"/>
  <c r="AX77" i="1" l="1"/>
  <c r="AW76" i="113" s="1"/>
  <c r="AX49" i="1"/>
  <c r="AX52" i="1" l="1"/>
  <c r="AW51" i="113" s="1"/>
  <c r="AW48" i="113"/>
  <c r="AX81" i="1"/>
  <c r="AW80" i="113" l="1"/>
  <c r="H59" i="99"/>
  <c r="K59" i="99" s="1"/>
  <c r="E57" i="3"/>
  <c r="F55" i="48" s="1"/>
  <c r="G55" i="48" s="1"/>
  <c r="B29" i="99" l="1"/>
  <c r="B60"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E43" i="50"/>
  <c r="AM73" i="1" l="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X73" i="113" s="1"/>
  <c r="AY47" i="1"/>
  <c r="AX46" i="113" s="1"/>
  <c r="AY77" i="1" l="1"/>
  <c r="AX76" i="113" s="1"/>
  <c r="AY49" i="1"/>
  <c r="AX48" i="113" s="1"/>
  <c r="AY52" i="1" l="1"/>
  <c r="AX51" i="113" s="1"/>
  <c r="AY81" i="1"/>
  <c r="AX80" i="113" l="1"/>
  <c r="H60" i="99"/>
  <c r="K60" i="99"/>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H51" i="99" s="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L11" i="51"/>
  <c r="B61" i="99"/>
  <c r="F11" i="113"/>
  <c r="F9" i="113"/>
  <c r="F8" i="113"/>
  <c r="F7" i="113"/>
  <c r="C59" i="3"/>
  <c r="B57" i="48" s="1"/>
  <c r="B59" i="3"/>
  <c r="M12" i="51" l="1"/>
  <c r="AB53" i="1"/>
  <c r="AH53" i="1"/>
  <c r="AT53" i="1"/>
  <c r="AE53" i="1"/>
  <c r="AR53" i="1"/>
  <c r="BA53" i="1"/>
  <c r="AF53" i="1"/>
  <c r="AV53" i="1"/>
  <c r="AL53" i="1"/>
  <c r="S10" i="1"/>
  <c r="T10" i="1" s="1"/>
  <c r="AZ66" i="1"/>
  <c r="AY65" i="113" s="1"/>
  <c r="AZ46" i="1"/>
  <c r="AY45" i="113" s="1"/>
  <c r="AZ35" i="1"/>
  <c r="AY34" i="113" s="1"/>
  <c r="AZ17" i="1"/>
  <c r="AY17" i="113" s="1"/>
  <c r="BC53" i="1" l="1"/>
  <c r="BC57" i="1" s="1"/>
  <c r="BE53" i="1"/>
  <c r="BE57" i="1" s="1"/>
  <c r="BD53" i="1"/>
  <c r="BD57" i="1" s="1"/>
  <c r="AP53" i="1"/>
  <c r="BF53" i="1"/>
  <c r="BF57" i="1" s="1"/>
  <c r="BB53" i="1"/>
  <c r="AL57" i="1"/>
  <c r="G47" i="99" s="1"/>
  <c r="AU52" i="113"/>
  <c r="AG52" i="113"/>
  <c r="AV52" i="113"/>
  <c r="AB57" i="1"/>
  <c r="AU53" i="1"/>
  <c r="AS53" i="1"/>
  <c r="AS57" i="1" s="1"/>
  <c r="BA52" i="113"/>
  <c r="BK40" i="1"/>
  <c r="AS52" i="113"/>
  <c r="AT57" i="1"/>
  <c r="AH57" i="1"/>
  <c r="AR57" i="1"/>
  <c r="AQ52" i="113"/>
  <c r="AW57" i="1"/>
  <c r="AD52" i="113"/>
  <c r="AE57" i="1"/>
  <c r="AE52" i="113"/>
  <c r="AF57" i="1"/>
  <c r="AV57" i="1"/>
  <c r="U10" i="1"/>
  <c r="V10" i="1" s="1"/>
  <c r="W10" i="1" s="1"/>
  <c r="X10" i="1" s="1"/>
  <c r="Y10" i="1" s="1"/>
  <c r="Z10" i="1" s="1"/>
  <c r="AA10" i="1" s="1"/>
  <c r="AB10" i="1" s="1"/>
  <c r="AZ47" i="1"/>
  <c r="AY46" i="113" s="1"/>
  <c r="S10" i="113"/>
  <c r="T10" i="113"/>
  <c r="AZ19" i="1"/>
  <c r="AY19" i="113" s="1"/>
  <c r="AZ74" i="1"/>
  <c r="AY73" i="113" s="1"/>
  <c r="U35" i="1"/>
  <c r="U34" i="113" s="1"/>
  <c r="U28" i="1"/>
  <c r="U28" i="113" s="1"/>
  <c r="U17" i="1"/>
  <c r="U17" i="113" s="1"/>
  <c r="AR52" i="113" l="1"/>
  <c r="AT52" i="113"/>
  <c r="G40" i="99"/>
  <c r="J40" i="99" s="1"/>
  <c r="G55" i="99"/>
  <c r="J55" i="99" s="1"/>
  <c r="G54" i="99"/>
  <c r="J54" i="99" s="1"/>
  <c r="G41" i="99"/>
  <c r="J41" i="99" s="1"/>
  <c r="G53" i="99"/>
  <c r="J53" i="99" s="1"/>
  <c r="AV56" i="113"/>
  <c r="G58" i="99"/>
  <c r="J58" i="99" s="1"/>
  <c r="AU56" i="113"/>
  <c r="G57" i="99"/>
  <c r="J57" i="99" s="1"/>
  <c r="AG56" i="113"/>
  <c r="G43" i="99"/>
  <c r="J43" i="99" s="1"/>
  <c r="D41" i="3"/>
  <c r="AS56" i="113"/>
  <c r="D53" i="3"/>
  <c r="D51" i="3"/>
  <c r="AQ56" i="113"/>
  <c r="AR56" i="113"/>
  <c r="D52" i="3"/>
  <c r="D56" i="3"/>
  <c r="AD56" i="113"/>
  <c r="D38" i="3"/>
  <c r="D55" i="3"/>
  <c r="D39" i="3"/>
  <c r="AE56" i="113"/>
  <c r="V10" i="113"/>
  <c r="A27" i="3"/>
  <c r="A28" i="48" s="1"/>
  <c r="AB10" i="113"/>
  <c r="A35" i="99"/>
  <c r="A32" i="3"/>
  <c r="A33" i="48" s="1"/>
  <c r="A29" i="99"/>
  <c r="Z10" i="113"/>
  <c r="AA10" i="113"/>
  <c r="A34" i="99"/>
  <c r="A27" i="99"/>
  <c r="A25" i="3"/>
  <c r="A26" i="48" s="1"/>
  <c r="AZ77" i="1"/>
  <c r="AY76" i="113" s="1"/>
  <c r="AZ49" i="1"/>
  <c r="U19" i="1"/>
  <c r="U19" i="113" s="1"/>
  <c r="AZ57" i="116" l="1"/>
  <c r="AZ52" i="1"/>
  <c r="AY51" i="113" s="1"/>
  <c r="AY48" i="113"/>
  <c r="X10" i="113"/>
  <c r="U10" i="113"/>
  <c r="AZ81" i="1"/>
  <c r="A10" i="99"/>
  <c r="B10" i="99"/>
  <c r="E11" i="113"/>
  <c r="AY80" i="113" l="1"/>
  <c r="H61" i="99"/>
  <c r="Y10" i="113"/>
  <c r="E59" i="3"/>
  <c r="F57" i="48" s="1"/>
  <c r="G57" i="48" s="1"/>
  <c r="K61" i="99"/>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G22" i="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G30" i="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F10" i="116" l="1" a="1"/>
  <c r="F10" i="116" s="1"/>
  <c r="AI28" i="113"/>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G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F11" i="116" l="1" a="1"/>
  <c r="F11" i="116" s="1"/>
  <c r="BB46" i="1"/>
  <c r="G44" i="50"/>
  <c r="BB44" i="113"/>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E24" i="113"/>
  <c r="E53" i="113"/>
  <c r="E46" i="1"/>
  <c r="E45" i="113" s="1"/>
  <c r="E41" i="113"/>
  <c r="E42" i="113"/>
  <c r="N49" i="1"/>
  <c r="AC46" i="1"/>
  <c r="E36" i="113"/>
  <c r="U77" i="1"/>
  <c r="U76" i="113" s="1"/>
  <c r="BG37" i="1"/>
  <c r="AZ36" i="113" s="1"/>
  <c r="BG42" i="1"/>
  <c r="AZ41" i="113" s="1"/>
  <c r="AJ76" i="113"/>
  <c r="E54" i="113"/>
  <c r="J49" i="1"/>
  <c r="BG34" i="1"/>
  <c r="AZ33" i="113" s="1"/>
  <c r="BG27" i="1"/>
  <c r="AZ27" i="113" s="1"/>
  <c r="Q49" i="1"/>
  <c r="E33" i="113"/>
  <c r="E27" i="113"/>
  <c r="AH48" i="113"/>
  <c r="AK76" i="113"/>
  <c r="L77" i="1"/>
  <c r="L76" i="113" s="1"/>
  <c r="AI10" i="113"/>
  <c r="L49" i="1"/>
  <c r="L48" i="113" s="1"/>
  <c r="X77" i="1"/>
  <c r="X76" i="113" s="1"/>
  <c r="H10" i="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F31" i="116" l="1" a="1"/>
  <c r="F31" i="116" s="1"/>
  <c r="I10" i="1"/>
  <c r="F50" i="116" s="1" a="1"/>
  <c r="F50" i="116" s="1"/>
  <c r="F54" i="116" a="1"/>
  <c r="F54" i="116" s="1"/>
  <c r="F59" i="116" a="1"/>
  <c r="F59" i="116" s="1"/>
  <c r="F39" i="116" a="1"/>
  <c r="F39" i="116" s="1"/>
  <c r="F28" i="116" a="1"/>
  <c r="F28" i="116" s="1"/>
  <c r="F22" i="116" a="1"/>
  <c r="F22" i="116" s="1"/>
  <c r="F18" i="116" a="1"/>
  <c r="F18" i="116" s="1"/>
  <c r="F29" i="116" a="1"/>
  <c r="F29" i="116" s="1"/>
  <c r="F58" i="116" a="1"/>
  <c r="F58" i="116" s="1"/>
  <c r="F41" i="116" a="1"/>
  <c r="F41" i="116" s="1"/>
  <c r="F30" i="116" a="1"/>
  <c r="F30" i="116" s="1"/>
  <c r="F48" i="116" a="1"/>
  <c r="F48" i="116" s="1"/>
  <c r="F44" i="116" a="1"/>
  <c r="F44" i="116" s="1"/>
  <c r="F52" i="116" a="1"/>
  <c r="F52" i="116" s="1"/>
  <c r="F46" i="116" a="1"/>
  <c r="F46" i="116" s="1"/>
  <c r="F24" i="116" a="1"/>
  <c r="F24" i="116" s="1"/>
  <c r="F15" i="116" a="1"/>
  <c r="F15" i="116" s="1"/>
  <c r="F53" i="116" a="1"/>
  <c r="F53" i="116" s="1"/>
  <c r="F38" i="116" a="1"/>
  <c r="F38" i="116" s="1"/>
  <c r="F27" i="116" a="1"/>
  <c r="F27" i="116" s="1"/>
  <c r="F57" i="116" a="1"/>
  <c r="F57" i="116" s="1"/>
  <c r="F40" i="116" a="1"/>
  <c r="F40" i="116" s="1"/>
  <c r="F16" i="116" a="1"/>
  <c r="F16" i="116" s="1"/>
  <c r="F26" i="116" a="1"/>
  <c r="F26" i="116" s="1"/>
  <c r="F12" i="116" a="1"/>
  <c r="F12" i="116" s="1"/>
  <c r="F55" i="116" a="1"/>
  <c r="F55" i="116" s="1"/>
  <c r="F21" i="116" a="1"/>
  <c r="F21" i="116" s="1"/>
  <c r="F51" i="116" a="1"/>
  <c r="F51" i="116" s="1"/>
  <c r="G33" i="50"/>
  <c r="BB33" i="113"/>
  <c r="G41" i="50"/>
  <c r="BB41" i="113"/>
  <c r="G36" i="50"/>
  <c r="BB36" i="113"/>
  <c r="BB42" i="113"/>
  <c r="G27" i="50"/>
  <c r="BB27" i="113"/>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G15" i="1" s="1"/>
  <c r="AZ15" i="113" s="1"/>
  <c r="G48" i="113"/>
  <c r="G51" i="113"/>
  <c r="AJ81" i="1"/>
  <c r="AC80" i="113"/>
  <c r="R81" i="1"/>
  <c r="R80" i="113" s="1"/>
  <c r="BG38" i="1"/>
  <c r="AZ37" i="113" s="1"/>
  <c r="M81" i="1"/>
  <c r="M80" i="113" s="1"/>
  <c r="Y81" i="1"/>
  <c r="Y80" i="113" s="1"/>
  <c r="O81" i="1"/>
  <c r="H81" i="1"/>
  <c r="AF80" i="113"/>
  <c r="AJ80" i="113"/>
  <c r="BG39" i="1"/>
  <c r="AZ38" i="113" s="1"/>
  <c r="AH51" i="113"/>
  <c r="AK80" i="113"/>
  <c r="AC14" i="1"/>
  <c r="BG14" i="1" s="1"/>
  <c r="E14" i="113"/>
  <c r="BG24" i="1"/>
  <c r="AZ24" i="113" s="1"/>
  <c r="AC26" i="1"/>
  <c r="E26" i="113"/>
  <c r="AC18" i="1"/>
  <c r="E18" i="113"/>
  <c r="AC23" i="1"/>
  <c r="BG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F25" i="116" l="1" a="1"/>
  <c r="F25" i="116" s="1"/>
  <c r="F19" i="116" a="1"/>
  <c r="F19" i="116" s="1"/>
  <c r="F17" i="116" a="1"/>
  <c r="F17" i="116" s="1"/>
  <c r="F32" i="116" a="1"/>
  <c r="F32" i="116" s="1"/>
  <c r="F45" i="116" a="1"/>
  <c r="F45" i="116" s="1"/>
  <c r="F47" i="116" a="1"/>
  <c r="F47" i="116" s="1"/>
  <c r="F20" i="116" a="1"/>
  <c r="F20" i="116" s="1"/>
  <c r="F13" i="116" a="1"/>
  <c r="F13" i="116" s="1"/>
  <c r="F14" i="116" a="1"/>
  <c r="F14" i="116" s="1"/>
  <c r="F42" i="116" a="1"/>
  <c r="F42" i="116" s="1"/>
  <c r="F23" i="116" a="1"/>
  <c r="F23" i="116" s="1"/>
  <c r="F43" i="116" a="1"/>
  <c r="F43" i="116" s="1"/>
  <c r="F56" i="116" a="1"/>
  <c r="F56" i="116" s="1"/>
  <c r="F49" i="116" a="1"/>
  <c r="F49" i="116" s="1"/>
  <c r="F60" i="116" a="1"/>
  <c r="F60" i="116" s="1"/>
  <c r="AI80" i="113"/>
  <c r="H45" i="99"/>
  <c r="K45" i="99" s="1"/>
  <c r="BB14" i="113"/>
  <c r="AZ14" i="113"/>
  <c r="G23" i="50"/>
  <c r="BB23" i="113"/>
  <c r="G15" i="50"/>
  <c r="BB15" i="113"/>
  <c r="G24" i="50"/>
  <c r="BB24" i="113"/>
  <c r="G37" i="50"/>
  <c r="BB37" i="113"/>
  <c r="G38" i="50"/>
  <c r="BB38" i="113"/>
  <c r="G14" i="50"/>
  <c r="H80" i="113"/>
  <c r="AI51" i="113"/>
  <c r="O80" i="113"/>
  <c r="AJ10" i="113"/>
  <c r="M51" i="113"/>
  <c r="AC54" i="1"/>
  <c r="BG54" i="1" s="1"/>
  <c r="AZ53" i="113" s="1"/>
  <c r="Q80" i="113"/>
  <c r="E22" i="3"/>
  <c r="F23" i="48" s="1"/>
  <c r="H27" i="99"/>
  <c r="K27" i="99" s="1"/>
  <c r="E25" i="3"/>
  <c r="F26" i="48" s="1"/>
  <c r="K44"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G18" i="1"/>
  <c r="AZ18" i="113" s="1"/>
  <c r="BG26" i="1"/>
  <c r="AZ26" i="113" s="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G18" i="50" l="1"/>
  <c r="BB18" i="113"/>
  <c r="G26" i="50"/>
  <c r="BB26" i="113"/>
  <c r="G53" i="50"/>
  <c r="BB53" i="113"/>
  <c r="G26" i="48"/>
  <c r="G13" i="48"/>
  <c r="G14" i="48"/>
  <c r="G23" i="48"/>
  <c r="E26" i="51"/>
  <c r="K13" i="99"/>
  <c r="AF10" i="113"/>
  <c r="AC28" i="1"/>
  <c r="H76" i="50"/>
  <c r="H80" i="50" s="1"/>
  <c r="AC10" i="113" l="1"/>
  <c r="C49" i="3"/>
  <c r="B47" i="48" s="1"/>
  <c r="C40" i="3"/>
  <c r="B38" i="48" s="1"/>
  <c r="C44" i="3"/>
  <c r="B42" i="48" s="1"/>
  <c r="C43" i="3"/>
  <c r="B41" i="48" s="1"/>
  <c r="C42" i="3"/>
  <c r="B40" i="48" s="1"/>
  <c r="C37" i="3"/>
  <c r="B35" i="48" s="1"/>
  <c r="BB28" i="1" l="1"/>
  <c r="E54" i="50"/>
  <c r="E53" i="50"/>
  <c r="E26" i="50"/>
  <c r="A42" i="3"/>
  <c r="A40" i="48" s="1"/>
  <c r="A37" i="3"/>
  <c r="A35" i="48" s="1"/>
  <c r="AP10" i="113" l="1"/>
  <c r="A52" i="99"/>
  <c r="A50" i="3"/>
  <c r="A48" i="48" s="1"/>
  <c r="E44" i="50"/>
  <c r="A43" i="3"/>
  <c r="A41" i="48" s="1"/>
  <c r="BB25" i="113" l="1"/>
  <c r="A44" i="3"/>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S15" i="51"/>
  <c r="S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F41" i="50"/>
  <c r="I27" i="50"/>
  <c r="F27" i="50"/>
  <c r="I38" i="50"/>
  <c r="F38" i="50"/>
  <c r="A24" i="99"/>
  <c r="A22" i="3"/>
  <c r="A23" i="48" s="1"/>
  <c r="I24" i="50"/>
  <c r="F24"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E40" i="3"/>
  <c r="F38" i="48" s="1"/>
  <c r="G38" i="48" s="1"/>
  <c r="E29" i="3"/>
  <c r="F30" i="48" s="1"/>
  <c r="E20" i="3"/>
  <c r="F21" i="48" s="1"/>
  <c r="E26" i="3"/>
  <c r="F27" i="48" s="1"/>
  <c r="E30" i="3"/>
  <c r="F31" i="48" s="1"/>
  <c r="A23" i="3"/>
  <c r="A24" i="48" s="1"/>
  <c r="A25" i="99"/>
  <c r="E23" i="3"/>
  <c r="F24" i="48" s="1"/>
  <c r="E11" i="3"/>
  <c r="F12" i="48" s="1"/>
  <c r="E47" i="3"/>
  <c r="F45" i="48" s="1"/>
  <c r="G45" i="48" s="1"/>
  <c r="F47" i="48" l="1"/>
  <c r="G47" i="48" s="1"/>
  <c r="G25" i="48"/>
  <c r="G21" i="48"/>
  <c r="G22" i="48"/>
  <c r="G27" i="48"/>
  <c r="G12" i="48"/>
  <c r="G31" i="48"/>
  <c r="G30" i="48"/>
  <c r="G24" i="48"/>
  <c r="G18" i="48"/>
  <c r="G35" i="48"/>
  <c r="A26" i="99"/>
  <c r="A24" i="3"/>
  <c r="A25" i="48" s="1"/>
  <c r="F59" i="48" l="1"/>
  <c r="A26" i="3"/>
  <c r="A27" i="48" s="1"/>
  <c r="A28" i="99"/>
  <c r="A45" i="3" l="1"/>
  <c r="A43" i="48" s="1"/>
  <c r="A47" i="99"/>
  <c r="A28" i="3" l="1"/>
  <c r="A29" i="48" s="1"/>
  <c r="A30" i="99" l="1"/>
  <c r="L15" i="51" l="1"/>
  <c r="BK41" i="1" s="1"/>
  <c r="BJ41" i="1" s="1"/>
  <c r="BK44" i="1" s="1"/>
  <c r="BK45" i="1" s="1"/>
  <c r="BK46" i="1" s="1"/>
  <c r="AN53" i="1" l="1"/>
  <c r="AI53" i="1"/>
  <c r="Z53" i="1"/>
  <c r="U53" i="1"/>
  <c r="Q53" i="1"/>
  <c r="H53" i="1"/>
  <c r="L53" i="1"/>
  <c r="AX53" i="1"/>
  <c r="AK52" i="113"/>
  <c r="AD53" i="1"/>
  <c r="V53" i="1"/>
  <c r="T53" i="1"/>
  <c r="P53" i="1"/>
  <c r="I53" i="1"/>
  <c r="M53" i="1"/>
  <c r="AY53" i="1"/>
  <c r="AK53" i="1"/>
  <c r="Y53" i="1"/>
  <c r="S53" i="1"/>
  <c r="O53" i="1"/>
  <c r="J53" i="1"/>
  <c r="N53" i="1"/>
  <c r="AM53" i="1"/>
  <c r="AJ53" i="1"/>
  <c r="AA53" i="1"/>
  <c r="X53" i="1"/>
  <c r="R53" i="1"/>
  <c r="G53" i="1"/>
  <c r="K53" i="1"/>
  <c r="F52" i="113"/>
  <c r="AZ53" i="1"/>
  <c r="AO53" i="1"/>
  <c r="AQ53" i="1"/>
  <c r="AG53" i="1"/>
  <c r="E61" i="48"/>
  <c r="E14" i="51"/>
  <c r="E85" i="1" s="1"/>
  <c r="N9" i="99"/>
  <c r="BC88" i="1" l="1"/>
  <c r="BC89" i="1" s="1"/>
  <c r="BC83" i="1" s="1"/>
  <c r="BD88" i="1"/>
  <c r="BD89" i="1" s="1"/>
  <c r="BD83" i="1" s="1"/>
  <c r="BE88" i="1"/>
  <c r="BE89" i="1" s="1"/>
  <c r="BE83" i="1" s="1"/>
  <c r="BF88" i="1"/>
  <c r="BF89" i="1" s="1"/>
  <c r="BF83" i="1" s="1"/>
  <c r="AD57" i="1"/>
  <c r="G39" i="99" s="1"/>
  <c r="AW52" i="113"/>
  <c r="AK57" i="1"/>
  <c r="G46" i="99" s="1"/>
  <c r="AG57" i="1"/>
  <c r="G42" i="99" s="1"/>
  <c r="AX52" i="113"/>
  <c r="AO57" i="1"/>
  <c r="G50" i="99" s="1"/>
  <c r="I57" i="1"/>
  <c r="AY52" i="113"/>
  <c r="AI57" i="1"/>
  <c r="AH56" i="113" s="1"/>
  <c r="AN57" i="1"/>
  <c r="G49" i="99" s="1"/>
  <c r="H52" i="113"/>
  <c r="Q52" i="113"/>
  <c r="N52" i="113"/>
  <c r="J52" i="113"/>
  <c r="M52" i="113"/>
  <c r="U52" i="113"/>
  <c r="Z52" i="113"/>
  <c r="K52" i="113"/>
  <c r="R52" i="113"/>
  <c r="X52" i="113"/>
  <c r="O52" i="113"/>
  <c r="AA57" i="1"/>
  <c r="S52" i="113"/>
  <c r="P52" i="113"/>
  <c r="G52" i="113"/>
  <c r="Y52" i="113"/>
  <c r="L52" i="113"/>
  <c r="O54" i="99"/>
  <c r="N58" i="99"/>
  <c r="N41" i="99"/>
  <c r="O58" i="99"/>
  <c r="O57" i="99"/>
  <c r="O43" i="99"/>
  <c r="O55" i="99"/>
  <c r="N56" i="99"/>
  <c r="O53" i="99"/>
  <c r="N54" i="99"/>
  <c r="O41" i="99"/>
  <c r="N53" i="99"/>
  <c r="N55" i="99"/>
  <c r="N43" i="99"/>
  <c r="N57" i="99"/>
  <c r="O40" i="99"/>
  <c r="N40" i="99"/>
  <c r="AB88" i="1"/>
  <c r="AB89" i="1" s="1"/>
  <c r="AB83" i="1" s="1"/>
  <c r="AO52" i="113"/>
  <c r="AP57" i="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W88" i="1"/>
  <c r="AW89" i="1" s="1"/>
  <c r="AW83" i="1" s="1"/>
  <c r="AV88" i="1"/>
  <c r="AV89" i="1" s="1"/>
  <c r="AV83" i="1" s="1"/>
  <c r="AL88" i="1"/>
  <c r="AL89" i="1" s="1"/>
  <c r="AL83" i="1" s="1"/>
  <c r="AF88" i="1"/>
  <c r="AF89" i="1" s="1"/>
  <c r="AF83" i="1" s="1"/>
  <c r="AC52" i="113"/>
  <c r="AB52" i="113"/>
  <c r="I52" i="113"/>
  <c r="N14" i="99"/>
  <c r="AP52" i="113"/>
  <c r="N35" i="99"/>
  <c r="AJ52" i="113"/>
  <c r="AM52" i="113"/>
  <c r="AI52" i="113"/>
  <c r="AX57" i="1"/>
  <c r="AH52" i="113"/>
  <c r="D48" i="3"/>
  <c r="AN52" i="113"/>
  <c r="N29" i="99"/>
  <c r="N59" i="99"/>
  <c r="N60" i="99"/>
  <c r="N50" i="99"/>
  <c r="O57" i="1"/>
  <c r="V52" i="113"/>
  <c r="V57" i="1"/>
  <c r="AY57" i="1"/>
  <c r="AL52" i="113"/>
  <c r="AM57" i="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AZ57" i="1"/>
  <c r="T57" i="1"/>
  <c r="T52" i="113"/>
  <c r="J57" i="1"/>
  <c r="AJ57" i="1"/>
  <c r="S57" i="1"/>
  <c r="L57" i="1"/>
  <c r="P57" i="1"/>
  <c r="Y57" i="1"/>
  <c r="AK56" i="113"/>
  <c r="K57" i="1"/>
  <c r="M57" i="1"/>
  <c r="Q57" i="1"/>
  <c r="U57" i="1"/>
  <c r="N57" i="1"/>
  <c r="R57" i="1"/>
  <c r="H57" i="1"/>
  <c r="AC53" i="1"/>
  <c r="F57" i="1"/>
  <c r="G57" i="1"/>
  <c r="X57" i="1"/>
  <c r="F61" i="48"/>
  <c r="I35" i="48"/>
  <c r="O16" i="99"/>
  <c r="O38" i="99"/>
  <c r="AF56" i="113" l="1"/>
  <c r="AC56" i="113"/>
  <c r="AM56" i="113"/>
  <c r="AJ56" i="113"/>
  <c r="G44" i="99"/>
  <c r="BG53" i="1"/>
  <c r="AZ52" i="113" s="1"/>
  <c r="O56" i="113"/>
  <c r="P56" i="113"/>
  <c r="G59" i="99"/>
  <c r="M56" i="113"/>
  <c r="R56" i="113"/>
  <c r="S56" i="113"/>
  <c r="N56" i="113"/>
  <c r="Y56" i="113"/>
  <c r="G45" i="99"/>
  <c r="Z56" i="113"/>
  <c r="X56" i="113"/>
  <c r="T56" i="113"/>
  <c r="G56" i="113"/>
  <c r="L56" i="113"/>
  <c r="G48" i="99"/>
  <c r="U56" i="113"/>
  <c r="G29" i="99"/>
  <c r="O29" i="99" s="1"/>
  <c r="Q56" i="113"/>
  <c r="J56" i="113"/>
  <c r="AY56" i="113"/>
  <c r="G61" i="99"/>
  <c r="AP88" i="1"/>
  <c r="G51" i="99"/>
  <c r="J51" i="99" s="1"/>
  <c r="M51" i="99" s="1"/>
  <c r="Q51" i="99" s="1"/>
  <c r="AX56" i="113"/>
  <c r="G60" i="99"/>
  <c r="P57" i="99"/>
  <c r="Q57" i="99"/>
  <c r="P43" i="99"/>
  <c r="Q43" i="99"/>
  <c r="Q54" i="99"/>
  <c r="P54" i="99"/>
  <c r="Q41" i="99"/>
  <c r="P41" i="99"/>
  <c r="P55" i="99"/>
  <c r="Q55" i="99"/>
  <c r="Q58" i="99"/>
  <c r="P58" i="99"/>
  <c r="P53" i="99"/>
  <c r="Q53" i="99"/>
  <c r="Q40" i="99"/>
  <c r="P40" i="99"/>
  <c r="AX88" i="1"/>
  <c r="AX89" i="1" s="1"/>
  <c r="AW56" i="113"/>
  <c r="H56" i="113"/>
  <c r="H88" i="1"/>
  <c r="H89" i="1" s="1"/>
  <c r="F63" i="48"/>
  <c r="D61" i="3"/>
  <c r="D14" i="3"/>
  <c r="G14" i="99"/>
  <c r="I56" i="113"/>
  <c r="G35" i="99"/>
  <c r="AB56" i="113"/>
  <c r="AO88" i="1"/>
  <c r="AO89" i="1" s="1"/>
  <c r="AO83" i="1" s="1"/>
  <c r="I88" i="1"/>
  <c r="I89" i="1" s="1"/>
  <c r="I83" i="1" s="1"/>
  <c r="AD88" i="1"/>
  <c r="AD89" i="1" s="1"/>
  <c r="AD83" i="1" s="1"/>
  <c r="AI56" i="113"/>
  <c r="AN88" i="1"/>
  <c r="AI88" i="1"/>
  <c r="AK88" i="1"/>
  <c r="D57" i="3"/>
  <c r="AA88" i="1"/>
  <c r="AN56" i="113"/>
  <c r="J29" i="99"/>
  <c r="M29" i="99" s="1"/>
  <c r="AG88" i="1"/>
  <c r="D20" i="3"/>
  <c r="G22" i="99"/>
  <c r="J22" i="99" s="1"/>
  <c r="M22" i="99" s="1"/>
  <c r="V56" i="113"/>
  <c r="D27" i="3"/>
  <c r="D58" i="3"/>
  <c r="V88" i="1"/>
  <c r="G34" i="99"/>
  <c r="AA56" i="113"/>
  <c r="D32" i="3"/>
  <c r="AL56" i="113"/>
  <c r="D46" i="3"/>
  <c r="AM88" i="1"/>
  <c r="AY88" i="1"/>
  <c r="AO56" i="113"/>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G52" i="50" l="1"/>
  <c r="BB52" i="113"/>
  <c r="F67" i="48"/>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AY89" i="1"/>
  <c r="AY83" i="1" s="1"/>
  <c r="V89" i="1"/>
  <c r="V83" i="1" s="1"/>
  <c r="AK89" i="1"/>
  <c r="AK83" i="1" s="1"/>
  <c r="X89" i="1"/>
  <c r="X83" i="1" s="1"/>
  <c r="Q89" i="1"/>
  <c r="Q83" i="1" s="1"/>
  <c r="S89" i="1"/>
  <c r="S83" i="1" s="1"/>
  <c r="AJ89" i="1"/>
  <c r="AJ83" i="1" s="1"/>
  <c r="Z89" i="1"/>
  <c r="Z83" i="1" s="1"/>
  <c r="AM89" i="1"/>
  <c r="AM83" i="1" s="1"/>
  <c r="AX83" i="1"/>
  <c r="AI89" i="1"/>
  <c r="AI83" i="1" s="1"/>
  <c r="AZ89" i="1"/>
  <c r="AZ83" i="1" s="1"/>
  <c r="G89" i="1"/>
  <c r="G83" i="1" s="1"/>
  <c r="F89" i="1"/>
  <c r="F83" i="1" s="1"/>
  <c r="U89" i="1"/>
  <c r="U83" i="1" s="1"/>
  <c r="J89" i="1"/>
  <c r="J83" i="1" s="1"/>
  <c r="AP89" i="1"/>
  <c r="AP83" i="1" s="1"/>
  <c r="AA89" i="1"/>
  <c r="AA83" i="1" s="1"/>
  <c r="AN89" i="1"/>
  <c r="AN83" i="1" s="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M13" i="99" l="1"/>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B28" i="113" l="1"/>
  <c r="F23" i="50"/>
  <c r="I23" i="50"/>
  <c r="E77" i="113" l="1"/>
  <c r="E62" i="113"/>
  <c r="E75" i="113"/>
  <c r="E69" i="113"/>
  <c r="E68" i="50"/>
  <c r="E63" i="113"/>
  <c r="E64" i="113"/>
  <c r="AC71" i="1"/>
  <c r="BG71" i="1" s="1"/>
  <c r="AZ70" i="113" s="1"/>
  <c r="E67" i="50"/>
  <c r="G70" i="50" l="1"/>
  <c r="BB70" i="113"/>
  <c r="E16" i="1"/>
  <c r="E16" i="113" s="1"/>
  <c r="E63" i="50"/>
  <c r="E69" i="50"/>
  <c r="AC64" i="1"/>
  <c r="E70" i="113"/>
  <c r="AC63" i="1"/>
  <c r="BG63" i="1" s="1"/>
  <c r="AZ62" i="113" s="1"/>
  <c r="AC70" i="1"/>
  <c r="BG70" i="1" s="1"/>
  <c r="AZ69" i="113" s="1"/>
  <c r="AC76" i="1"/>
  <c r="BG76" i="1" s="1"/>
  <c r="AZ75" i="113" s="1"/>
  <c r="E68" i="113"/>
  <c r="E67" i="113"/>
  <c r="AC68" i="1"/>
  <c r="BG68" i="1" s="1"/>
  <c r="AZ67" i="113" s="1"/>
  <c r="E64" i="50"/>
  <c r="AC65" i="1"/>
  <c r="BG65" i="1" s="1"/>
  <c r="AZ64" i="113" s="1"/>
  <c r="AC62" i="1"/>
  <c r="E61" i="113"/>
  <c r="E61" i="50"/>
  <c r="E78" i="50"/>
  <c r="AC79" i="1"/>
  <c r="BG79" i="1" s="1"/>
  <c r="AZ78" i="113" s="1"/>
  <c r="E78" i="113"/>
  <c r="AC61" i="1"/>
  <c r="BG61" i="1" s="1"/>
  <c r="AZ60" i="113" s="1"/>
  <c r="E60" i="50"/>
  <c r="E60" i="113"/>
  <c r="E71" i="113"/>
  <c r="E71" i="50"/>
  <c r="AC72" i="1"/>
  <c r="BG72" i="1" s="1"/>
  <c r="AZ71" i="113" s="1"/>
  <c r="AC69" i="1"/>
  <c r="BG69" i="1" s="1"/>
  <c r="AZ68" i="113" s="1"/>
  <c r="E70" i="50"/>
  <c r="E77" i="50"/>
  <c r="E75" i="50"/>
  <c r="E62" i="50"/>
  <c r="E73" i="1"/>
  <c r="E72" i="113" s="1"/>
  <c r="AC78" i="1"/>
  <c r="BG78" i="1" s="1"/>
  <c r="AZ77" i="113" s="1"/>
  <c r="G78" i="50" l="1"/>
  <c r="BB78" i="113"/>
  <c r="G62" i="50"/>
  <c r="BB62" i="113"/>
  <c r="G68" i="50"/>
  <c r="BB68" i="113"/>
  <c r="G71" i="50"/>
  <c r="BB71" i="113"/>
  <c r="G64" i="50"/>
  <c r="BB64" i="113"/>
  <c r="G60" i="50"/>
  <c r="BB60" i="113"/>
  <c r="G75" i="50"/>
  <c r="I75" i="50" s="1"/>
  <c r="BB75" i="113"/>
  <c r="G77" i="50"/>
  <c r="I77" i="50" s="1"/>
  <c r="BB77" i="113"/>
  <c r="G67" i="50"/>
  <c r="BB67" i="113"/>
  <c r="G69" i="50"/>
  <c r="BB69" i="113"/>
  <c r="BG64" i="1"/>
  <c r="AZ63" i="113" s="1"/>
  <c r="BG62" i="1"/>
  <c r="AZ61" i="113" s="1"/>
  <c r="AC16" i="1"/>
  <c r="AC17" i="1" s="1"/>
  <c r="E16" i="50"/>
  <c r="E17" i="50" s="1"/>
  <c r="E19" i="50" s="1"/>
  <c r="E17" i="1"/>
  <c r="E19" i="1" s="1"/>
  <c r="E72" i="50"/>
  <c r="AC73" i="1"/>
  <c r="BG73" i="1" s="1"/>
  <c r="E65" i="113"/>
  <c r="E74" i="1"/>
  <c r="AC66" i="1"/>
  <c r="E65" i="50"/>
  <c r="BB72" i="113" l="1"/>
  <c r="AZ72" i="113"/>
  <c r="G61" i="50"/>
  <c r="I61" i="50" s="1"/>
  <c r="BB61" i="113"/>
  <c r="G63" i="50"/>
  <c r="BB63" i="113"/>
  <c r="F70" i="50"/>
  <c r="I70" i="50"/>
  <c r="BG16" i="1"/>
  <c r="AZ16" i="113" s="1"/>
  <c r="I71" i="50"/>
  <c r="F64" i="50"/>
  <c r="I68" i="50"/>
  <c r="E17" i="113"/>
  <c r="E73" i="50"/>
  <c r="E76" i="50" s="1"/>
  <c r="E80" i="50" s="1"/>
  <c r="E73" i="113"/>
  <c r="E77" i="1"/>
  <c r="AC74" i="1"/>
  <c r="AC77" i="1" s="1"/>
  <c r="AC81" i="1" s="1"/>
  <c r="BG66" i="1"/>
  <c r="AC19" i="1"/>
  <c r="E19" i="113"/>
  <c r="AZ65" i="113" l="1"/>
  <c r="G16" i="50"/>
  <c r="BB16" i="113"/>
  <c r="F69" i="50"/>
  <c r="F62" i="50"/>
  <c r="F63" i="50"/>
  <c r="I63" i="50"/>
  <c r="F61" i="50"/>
  <c r="F68" i="50"/>
  <c r="I64" i="50"/>
  <c r="F71" i="50"/>
  <c r="I69" i="50"/>
  <c r="I62" i="50"/>
  <c r="I60" i="50"/>
  <c r="BG74" i="1"/>
  <c r="AZ73" i="113" s="1"/>
  <c r="E76" i="113"/>
  <c r="E81" i="1"/>
  <c r="M7" i="116" s="1"/>
  <c r="M35" i="116" l="1"/>
  <c r="M68" i="116" s="1"/>
  <c r="T7" i="116"/>
  <c r="BB65" i="113"/>
  <c r="F75" i="50"/>
  <c r="F78" i="50"/>
  <c r="I78" i="50"/>
  <c r="G72" i="50"/>
  <c r="I67" i="50"/>
  <c r="I72" i="50" s="1"/>
  <c r="F67" i="50"/>
  <c r="F72" i="50" s="1"/>
  <c r="G65" i="50"/>
  <c r="I65" i="50"/>
  <c r="F60" i="50"/>
  <c r="F65" i="50" s="1"/>
  <c r="BG77" i="1"/>
  <c r="E80" i="113"/>
  <c r="E10" i="3"/>
  <c r="H10" i="99"/>
  <c r="H15" i="99" s="1"/>
  <c r="T35" i="116" l="1"/>
  <c r="AN24" i="116"/>
  <c r="AN18" i="116"/>
  <c r="AN12" i="116"/>
  <c r="BG81" i="1"/>
  <c r="AZ76" i="113"/>
  <c r="BB73" i="113"/>
  <c r="I73" i="50"/>
  <c r="G73" i="50"/>
  <c r="G76" i="50" s="1"/>
  <c r="I76" i="50" s="1"/>
  <c r="G17" i="50"/>
  <c r="G19" i="50" s="1"/>
  <c r="K10" i="99"/>
  <c r="F73" i="50"/>
  <c r="F76" i="50" s="1"/>
  <c r="E11" i="48"/>
  <c r="E59" i="48" s="1"/>
  <c r="E63" i="48" s="1"/>
  <c r="E67" i="48" s="1"/>
  <c r="E70" i="48" s="1"/>
  <c r="E35" i="3"/>
  <c r="BB76" i="113" l="1"/>
  <c r="BB80" i="113"/>
  <c r="E12" i="51"/>
  <c r="AZ80" i="113"/>
  <c r="I11" i="48"/>
  <c r="I63" i="48" s="1"/>
  <c r="G63" i="48"/>
  <c r="E62" i="3"/>
  <c r="N10" i="99"/>
  <c r="N15" i="99" s="1"/>
  <c r="N37" i="99" s="1"/>
  <c r="N63" i="99" s="1"/>
  <c r="K15" i="99"/>
  <c r="K37" i="99" s="1"/>
  <c r="K63" i="99" s="1"/>
  <c r="I16" i="50"/>
  <c r="F16" i="50"/>
  <c r="F17" i="50" s="1"/>
  <c r="F19" i="50" s="1"/>
  <c r="H37" i="99"/>
  <c r="H63" i="99" s="1"/>
  <c r="G11" i="48"/>
  <c r="G59" i="48" s="1"/>
  <c r="E66" i="3" l="1"/>
  <c r="K59" i="48"/>
  <c r="E16" i="51" l="1"/>
  <c r="G67" i="48"/>
  <c r="I70" i="48" l="1"/>
  <c r="W52" i="1"/>
  <c r="F77" i="50"/>
  <c r="F80" i="50" s="1"/>
  <c r="I80" i="50"/>
  <c r="G80" i="50"/>
  <c r="G70" i="48"/>
  <c r="K70" i="48" l="1"/>
  <c r="W51" i="113"/>
  <c r="AC52" i="1"/>
  <c r="W57" i="1"/>
  <c r="R27" i="116" s="1"/>
  <c r="W56" i="113" l="1"/>
  <c r="G30" i="99"/>
  <c r="J30" i="99" s="1"/>
  <c r="M30" i="99" s="1"/>
  <c r="Q30" i="99" s="1"/>
  <c r="D28" i="3"/>
  <c r="W88" i="1"/>
  <c r="W89" i="1" l="1"/>
  <c r="W83" i="1" s="1"/>
  <c r="O30" i="99"/>
  <c r="P30" i="99" l="1"/>
  <c r="AP17" i="113" l="1"/>
  <c r="BG17" i="1"/>
  <c r="BB17" i="113" l="1"/>
  <c r="AZ17" i="113"/>
  <c r="BG19" i="1"/>
  <c r="AP19" i="113"/>
  <c r="BB19" i="113" l="1"/>
  <c r="AZ19" i="113"/>
  <c r="AP48" i="113"/>
  <c r="AP51" i="113" l="1"/>
  <c r="E31" i="1" l="1"/>
  <c r="E32" i="1" l="1"/>
  <c r="AC32" i="1" s="1"/>
  <c r="AC31" i="1"/>
  <c r="E31" i="113"/>
  <c r="E31" i="50"/>
  <c r="AC35" i="1" l="1"/>
  <c r="E35" i="1"/>
  <c r="E47" i="1" s="1"/>
  <c r="E32" i="113"/>
  <c r="E32" i="50"/>
  <c r="E34" i="50" s="1"/>
  <c r="E46" i="50" s="1"/>
  <c r="E48" i="50" s="1"/>
  <c r="E56" i="50" s="1"/>
  <c r="E81" i="50" s="1"/>
  <c r="BG31" i="1"/>
  <c r="AZ31" i="113" s="1"/>
  <c r="G31" i="50" l="1"/>
  <c r="BB31" i="113"/>
  <c r="E34" i="113"/>
  <c r="F26" i="51"/>
  <c r="F28" i="51" s="1"/>
  <c r="E46" i="113"/>
  <c r="E49" i="1"/>
  <c r="AC47" i="1"/>
  <c r="BB35" i="1" l="1"/>
  <c r="BB47" i="1" s="1"/>
  <c r="BB49" i="1" s="1"/>
  <c r="AC49" i="1"/>
  <c r="E48" i="113"/>
  <c r="E57" i="1"/>
  <c r="BB52" i="1" l="1"/>
  <c r="BB57" i="1" s="1"/>
  <c r="BB88" i="1" s="1"/>
  <c r="BB89" i="1" s="1"/>
  <c r="BB83" i="1" s="1"/>
  <c r="E82" i="1"/>
  <c r="K7" i="116"/>
  <c r="D10" i="3"/>
  <c r="E56" i="113"/>
  <c r="E88" i="1"/>
  <c r="E89" i="1" s="1"/>
  <c r="E83" i="1" s="1"/>
  <c r="G10" i="99"/>
  <c r="G15" i="99" s="1"/>
  <c r="AC57" i="1"/>
  <c r="I7" i="116" l="1"/>
  <c r="I35" i="116" s="1"/>
  <c r="I68" i="116" s="1"/>
  <c r="R7" i="116"/>
  <c r="V7" i="116" s="1"/>
  <c r="O7" i="116"/>
  <c r="BB32" i="113"/>
  <c r="I31" i="50"/>
  <c r="F31" i="50"/>
  <c r="D35" i="3"/>
  <c r="F10" i="3"/>
  <c r="AC88" i="1"/>
  <c r="O10" i="99"/>
  <c r="J10" i="99"/>
  <c r="J15" i="99" s="1"/>
  <c r="BB34" i="113" l="1"/>
  <c r="AC89" i="1"/>
  <c r="AC83" i="1" s="1"/>
  <c r="F35" i="3"/>
  <c r="G37" i="99"/>
  <c r="O15" i="99"/>
  <c r="J37" i="99"/>
  <c r="M10" i="99"/>
  <c r="Q10" i="99" l="1"/>
  <c r="M15" i="99"/>
  <c r="M37" i="99" s="1"/>
  <c r="O37" i="99"/>
  <c r="P10" i="99"/>
  <c r="BG55" i="1" l="1"/>
  <c r="AZ54" i="113" s="1"/>
  <c r="AQ57" i="1"/>
  <c r="AP54" i="113"/>
  <c r="AQ88" i="1" l="1"/>
  <c r="AQ89" i="1" s="1"/>
  <c r="AQ83" i="1" s="1"/>
  <c r="G52" i="99"/>
  <c r="G54" i="50"/>
  <c r="F54" i="50" s="1"/>
  <c r="BB54" i="113"/>
  <c r="D50" i="3"/>
  <c r="AP56" i="113"/>
  <c r="I54" i="50" l="1"/>
  <c r="O52" i="99"/>
  <c r="J52" i="99"/>
  <c r="M52" i="99" l="1"/>
  <c r="BK47" i="1" l="1"/>
  <c r="P52" i="99"/>
  <c r="Q52" i="99"/>
  <c r="BA43" i="113" l="1"/>
  <c r="BB43" i="113"/>
  <c r="BA45" i="113" l="1"/>
  <c r="BB45" i="113"/>
  <c r="BA46" i="113" l="1"/>
  <c r="BB46" i="113"/>
  <c r="BA48" i="113" l="1"/>
  <c r="BB48" i="113"/>
  <c r="D65" i="3" l="1"/>
  <c r="BA56" i="113"/>
  <c r="BA51" i="113"/>
  <c r="BB51" i="113"/>
  <c r="BB56" i="113" l="1"/>
  <c r="AA35" i="116" l="1"/>
  <c r="O27" i="116"/>
  <c r="O35" i="116" s="1"/>
  <c r="O68" i="116" s="1"/>
  <c r="O72" i="116" s="1"/>
  <c r="AN32" i="116" s="1"/>
  <c r="AN35" i="116" s="1"/>
  <c r="O9" i="117" s="1"/>
  <c r="J9" i="117" s="1"/>
  <c r="K35" i="116"/>
  <c r="K68" i="116" s="1"/>
  <c r="Y35" i="116" l="1"/>
  <c r="R35" i="116" l="1"/>
  <c r="V27" i="116"/>
  <c r="AE27" i="116" s="1"/>
  <c r="AE35" i="116" l="1"/>
  <c r="V35" i="116"/>
  <c r="AC68" i="116"/>
  <c r="T51" i="116"/>
  <c r="R51" i="116" s="1"/>
  <c r="T68" i="116" l="1"/>
  <c r="V51" i="116"/>
  <c r="AE51" i="116" l="1"/>
  <c r="L20" i="117" l="1"/>
  <c r="L23" i="117"/>
  <c r="L22" i="117"/>
  <c r="L19" i="117" l="1"/>
  <c r="L16" i="117"/>
  <c r="L18" i="117" l="1"/>
  <c r="AU46" i="1" l="1"/>
  <c r="AT43" i="113"/>
  <c r="BG44" i="1"/>
  <c r="AA55" i="116"/>
  <c r="R55" i="116" l="1"/>
  <c r="G43" i="50"/>
  <c r="AZ43" i="113"/>
  <c r="AT45" i="113"/>
  <c r="AU47" i="1"/>
  <c r="I43" i="50" l="1"/>
  <c r="F43" i="50"/>
  <c r="AT46" i="113"/>
  <c r="AU49" i="1"/>
  <c r="V55" i="116"/>
  <c r="AU52" i="1" l="1"/>
  <c r="AT51" i="113" s="1"/>
  <c r="AT48" i="113"/>
  <c r="AU57" i="1"/>
  <c r="AE55" i="116"/>
  <c r="O21" i="117" l="1"/>
  <c r="J21" i="117" s="1"/>
  <c r="AT56" i="113"/>
  <c r="AU88" i="1"/>
  <c r="AU89" i="1" s="1"/>
  <c r="AU83" i="1" s="1"/>
  <c r="AU94" i="1" s="1"/>
  <c r="D54" i="3"/>
  <c r="G56" i="99"/>
  <c r="O56" i="99" l="1"/>
  <c r="J56" i="99"/>
  <c r="G63" i="99"/>
  <c r="M56" i="99" l="1"/>
  <c r="J63" i="99"/>
  <c r="Q56" i="99" l="1"/>
  <c r="M63" i="99"/>
  <c r="N64" i="99" s="1"/>
  <c r="N66" i="99" s="1"/>
  <c r="N68" i="99" s="1"/>
  <c r="P56" i="99"/>
  <c r="P63" i="99" s="1"/>
  <c r="BG43" i="1" l="1"/>
  <c r="BA46" i="1"/>
  <c r="BG46" i="1" l="1"/>
  <c r="AZ45" i="113" s="1"/>
  <c r="AZ42" i="113"/>
  <c r="G42" i="50"/>
  <c r="I42" i="50" l="1"/>
  <c r="G45" i="50"/>
  <c r="F42" i="50"/>
  <c r="F45" i="50" s="1"/>
  <c r="BG25" i="1" l="1"/>
  <c r="BA28" i="1"/>
  <c r="BG28" i="1" s="1"/>
  <c r="AZ28" i="113" s="1"/>
  <c r="G25" i="50" l="1"/>
  <c r="AZ25" i="113"/>
  <c r="F25" i="50" l="1"/>
  <c r="F28" i="50" s="1"/>
  <c r="I25" i="50"/>
  <c r="I28" i="50" s="1"/>
  <c r="G28" i="50"/>
  <c r="AA61" i="116" l="1"/>
  <c r="Y68" i="116"/>
  <c r="BA35" i="1"/>
  <c r="BG32" i="1"/>
  <c r="AZ32" i="113" l="1"/>
  <c r="G32" i="50"/>
  <c r="BG35" i="1"/>
  <c r="AZ34" i="113" s="1"/>
  <c r="BA47" i="1"/>
  <c r="R61" i="116"/>
  <c r="AA68" i="116"/>
  <c r="BA49" i="1" l="1"/>
  <c r="BG47" i="1"/>
  <c r="AZ46" i="113" s="1"/>
  <c r="F32" i="50"/>
  <c r="F34" i="50" s="1"/>
  <c r="F46" i="50" s="1"/>
  <c r="F48" i="50" s="1"/>
  <c r="I32" i="50"/>
  <c r="G34" i="50"/>
  <c r="G46" i="50" s="1"/>
  <c r="G48" i="50" s="1"/>
  <c r="V61" i="116"/>
  <c r="R68" i="116"/>
  <c r="AE61" i="116" l="1"/>
  <c r="V68" i="116"/>
  <c r="BA52" i="1"/>
  <c r="BG52" i="1" s="1"/>
  <c r="BG49" i="1"/>
  <c r="AZ48" i="113" s="1"/>
  <c r="BA57" i="1" l="1"/>
  <c r="BA88" i="1"/>
  <c r="BA89" i="1" s="1"/>
  <c r="BA83" i="1" s="1"/>
  <c r="D60" i="3"/>
  <c r="D62" i="3" s="1"/>
  <c r="BG57" i="1"/>
  <c r="AZ51" i="113"/>
  <c r="G51" i="50"/>
  <c r="O10" i="117"/>
  <c r="J10" i="117" s="1"/>
  <c r="J25" i="117" s="1"/>
  <c r="J27" i="117" s="1"/>
  <c r="AE68" i="116"/>
  <c r="E18" i="51" l="1"/>
  <c r="E20" i="51" s="1"/>
  <c r="E24" i="51" s="1"/>
  <c r="BG88" i="1"/>
  <c r="BG89" i="1" s="1"/>
  <c r="BG83" i="1" s="1"/>
  <c r="AZ56" i="113"/>
  <c r="D66" i="3"/>
  <c r="F66" i="3" s="1"/>
  <c r="F62" i="3"/>
  <c r="F51" i="50"/>
  <c r="F56" i="50" s="1"/>
  <c r="G56" i="50"/>
  <c r="G81" i="50" s="1"/>
  <c r="J28" i="117"/>
  <c r="O27" i="117"/>
  <c r="E28" i="51" l="1"/>
  <c r="V70" i="116"/>
  <c r="E32" i="51"/>
  <c r="N127" i="99"/>
  <c r="Q127" i="99" s="1"/>
  <c r="J9" i="52"/>
  <c r="R68" i="99"/>
  <c r="H14" i="50" l="1"/>
  <c r="J14" i="52"/>
  <c r="H41" i="50" s="1"/>
  <c r="J16" i="52"/>
  <c r="H33" i="50" s="1"/>
  <c r="J12" i="52"/>
  <c r="V72" i="116"/>
  <c r="J31" i="117"/>
  <c r="J18" i="52" l="1"/>
  <c r="J20" i="52" s="1"/>
  <c r="H36" i="50"/>
  <c r="I36" i="50" s="1"/>
  <c r="H34" i="50"/>
  <c r="I33" i="50"/>
  <c r="I34" i="50" s="1"/>
  <c r="H45" i="50"/>
  <c r="I41" i="50"/>
  <c r="I45" i="50" s="1"/>
  <c r="I14" i="50"/>
  <c r="I17" i="50" s="1"/>
  <c r="I19" i="50" s="1"/>
  <c r="H17" i="50"/>
  <c r="H19" i="50" s="1"/>
  <c r="H46" i="50" l="1"/>
  <c r="H48" i="50" s="1"/>
  <c r="I46" i="50"/>
  <c r="I48" i="50" s="1"/>
  <c r="J22" i="52"/>
  <c r="H51" i="50" s="1"/>
  <c r="I51" i="50" s="1"/>
  <c r="I56" i="50" l="1"/>
  <c r="I81" i="50" s="1"/>
  <c r="J24" i="52"/>
  <c r="J26" i="52" s="1"/>
  <c r="J28" i="52" s="1"/>
  <c r="H56" i="50"/>
  <c r="D11" i="117" l="1"/>
  <c r="D12" i="117" l="1"/>
  <c r="D13" i="117" l="1"/>
  <c r="D14" i="117" s="1"/>
  <c r="D15" i="117" l="1"/>
  <c r="D16" i="117" l="1"/>
  <c r="D17" i="117" l="1"/>
  <c r="D18" i="117" l="1"/>
  <c r="D19" i="117" l="1"/>
  <c r="D20" i="117" s="1"/>
  <c r="D21" i="117" l="1"/>
  <c r="D22" i="117" s="1"/>
  <c r="D23" i="117" l="1"/>
  <c r="D25" i="117" s="1"/>
  <c r="D27" i="117" s="1"/>
  <c r="D28" i="117" s="1"/>
  <c r="Q11" i="117" l="1"/>
  <c r="L11" i="117" s="1"/>
  <c r="Q17" i="117" l="1"/>
  <c r="L17" i="117" s="1"/>
  <c r="Q9" i="117" l="1"/>
  <c r="L9" i="117" s="1"/>
  <c r="Q21" i="117" l="1"/>
  <c r="L21" i="117" s="1"/>
  <c r="Q10" i="117" l="1"/>
  <c r="L10" i="117" s="1"/>
  <c r="L25" i="117" s="1"/>
  <c r="L27" i="117" s="1"/>
  <c r="L28" i="117" l="1"/>
  <c r="Q27" i="117"/>
  <c r="L31"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<sst xmlns="http://schemas.openxmlformats.org/spreadsheetml/2006/main" count="1469" uniqueCount="869">
  <si>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</si>
  <si>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</si>
  <si>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</si>
  <si>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</si>
  <si>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</si>
  <si>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</si>
  <si>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</si>
  <si>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</si>
  <si>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</si>
  <si>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</si>
  <si>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</si>
  <si>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</si>
  <si>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</si>
  <si>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</si>
  <si>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</si>
  <si>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</si>
  <si>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</si>
  <si>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</si>
  <si>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</si>
  <si>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</si>
  <si>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</si>
  <si>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</si>
  <si>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</si>
  <si>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</si>
  <si>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</si>
  <si>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</si>
  <si>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</si>
  <si>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</si>
  <si>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</si>
  <si>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</si>
  <si>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</si>
  <si>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</si>
  <si>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</si>
  <si>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</si>
  <si>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</si>
  <si>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</si>
  <si>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</si>
  <si>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</si>
  <si>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</si>
  <si>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</si>
  <si>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</si>
  <si>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</si>
  <si>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</si>
  <si>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</si>
  <si>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</si>
  <si>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</si>
  <si>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</si>
  <si>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</si>
  <si>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</si>
  <si>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</si>
  <si>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</si>
  <si>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</si>
  <si>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</si>
  <si>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</si>
  <si>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</si>
  <si>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</si>
  <si>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</si>
  <si>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</si>
  <si>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</si>
  <si>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</si>
  <si>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</si>
  <si>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</si>
  <si>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</si>
  <si>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</si>
  <si>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</si>
  <si>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</si>
  <si>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</si>
  <si>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</si>
  <si>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</si>
  <si>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</si>
  <si>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</si>
  <si>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</si>
  <si>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</si>
  <si>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</si>
  <si>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</si>
  <si>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</si>
  <si>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</si>
  <si>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</si>
  <si>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</si>
  <si>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</si>
  <si>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</si>
  <si>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</si>
  <si>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</si>
  <si>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</si>
  <si>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</si>
  <si>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</si>
  <si>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</si>
  <si>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</si>
  <si>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</si>
  <si>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</si>
  <si>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</si>
  <si>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</si>
  <si>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</si>
  <si>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</si>
  <si>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</si>
  <si>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</si>
  <si>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</si>
  <si>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</si>
  <si>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</si>
  <si>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</si>
  <si>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</si>
  <si>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</si>
  <si>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</si>
  <si>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</si>
  <si>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</si>
  <si>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</si>
  <si>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</si>
  <si>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</si>
  <si>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</si>
  <si>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</si>
  <si>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</si>
  <si>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</si>
  <si>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</si>
  <si>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</si>
  <si>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</si>
  <si>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</si>
  <si>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</si>
  <si>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</si>
  <si>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</si>
  <si>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</si>
  <si>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</si>
  <si>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</si>
  <si>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</si>
  <si>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</si>
  <si>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</si>
  <si>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</si>
  <si>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</si>
  <si>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</si>
  <si>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</si>
  <si>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</si>
  <si>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</si>
  <si>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</si>
  <si>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</si>
  <si>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</si>
  <si>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</si>
  <si>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</si>
  <si>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</si>
  <si>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</si>
  <si>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</si>
  <si>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</si>
  <si>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</si>
  <si>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</si>
  <si>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</si>
  <si>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</si>
  <si>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</si>
  <si>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</si>
  <si>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</si>
  <si>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</si>
  <si>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</si>
  <si>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</si>
  <si>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</si>
  <si>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</si>
  <si>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</si>
  <si>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</si>
  <si>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</si>
  <si>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</si>
  <si>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</si>
  <si>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</si>
  <si>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</si>
  <si>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</si>
  <si>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</si>
  <si>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</si>
  <si>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</si>
  <si>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</si>
  <si>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</si>
  <si>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</si>
  <si>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</si>
  <si>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</si>
  <si>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</si>
  <si>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</si>
  <si>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</si>
  <si>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</si>
  <si>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</si>
  <si>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</si>
  <si>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</si>
  <si>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</si>
  <si>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</si>
  <si>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</si>
  <si>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</si>
  <si>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</si>
  <si>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</si>
  <si>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</si>
  <si>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</si>
  <si>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</si>
  <si>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</si>
  <si>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</si>
  <si>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</si>
  <si>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</si>
  <si>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</si>
  <si>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</si>
  <si>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</si>
  <si>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</si>
  <si>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</si>
  <si>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</si>
  <si>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</si>
  <si>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</si>
  <si>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</si>
  <si>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</si>
  <si>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</si>
  <si>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</si>
  <si>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</si>
  <si>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</si>
  <si>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</si>
  <si>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</si>
  <si>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</si>
  <si>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</si>
  <si>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</si>
  <si>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</si>
  <si>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</si>
  <si>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</si>
  <si>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</si>
  <si>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</si>
  <si>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</si>
  <si>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</si>
  <si>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</si>
  <si>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</si>
  <si>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</si>
  <si>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</si>
  <si>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</si>
  <si>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</si>
  <si>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</si>
  <si>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</si>
  <si>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</si>
  <si>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</si>
  <si>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</si>
  <si>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</si>
  <si>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</si>
  <si>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</si>
  <si>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</si>
  <si>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</si>
  <si>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</si>
  <si>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</si>
  <si>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</si>
  <si>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</si>
  <si>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</si>
  <si>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</si>
  <si>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</si>
  <si>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</si>
  <si>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</si>
  <si>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</si>
  <si>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</si>
  <si>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</si>
  <si>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</si>
  <si>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</si>
  <si>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</si>
  <si>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</si>
  <si>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</si>
  <si>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</si>
  <si>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</si>
  <si>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</si>
  <si>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</si>
  <si>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</si>
  <si>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</si>
  <si>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</si>
  <si>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</si>
  <si>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</si>
  <si>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</si>
  <si>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</si>
  <si>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</si>
  <si>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</si>
  <si>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</si>
  <si>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</si>
  <si>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</si>
  <si>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</si>
  <si>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</si>
  <si>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</si>
  <si>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</si>
  <si>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</si>
  <si>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</si>
  <si>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</si>
  <si>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</si>
  <si>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</si>
  <si>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</si>
  <si>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</si>
  <si>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</si>
  <si>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</si>
  <si>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</si>
  <si>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</si>
  <si>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</si>
  <si>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</si>
  <si>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</si>
  <si>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</si>
  <si>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</si>
  <si>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</si>
  <si>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</si>
  <si>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</si>
  <si>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</si>
  <si>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</si>
  <si>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</si>
  <si>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</si>
  <si>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</si>
  <si>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</si>
  <si>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</si>
  <si>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</si>
  <si>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</si>
  <si>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</si>
  <si>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</si>
  <si>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</si>
  <si>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</si>
  <si>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</si>
  <si>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</si>
  <si>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</si>
  <si>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</si>
  <si>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</si>
  <si>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</si>
  <si>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</si>
  <si>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</si>
  <si>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</si>
  <si>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</si>
  <si>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</si>
  <si>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</si>
  <si>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</si>
  <si>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</si>
  <si>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</si>
  <si>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</si>
  <si>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</si>
  <si>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</si>
  <si>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</si>
  <si>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</si>
  <si>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</si>
  <si>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</si>
  <si>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</si>
  <si>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</si>
  <si>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</si>
  <si>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</si>
  <si>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</si>
  <si>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</si>
  <si>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</si>
  <si>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</si>
  <si>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</si>
  <si>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</si>
  <si>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</si>
  <si>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</si>
  <si>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</si>
  <si>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</si>
  <si>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</si>
  <si>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</si>
  <si>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</si>
  <si>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</si>
  <si>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</si>
  <si>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</si>
  <si>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</si>
  <si>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</si>
  <si>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</si>
  <si>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</si>
  <si>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</si>
  <si>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</si>
  <si>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</si>
  <si>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</si>
  <si>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</si>
  <si>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</si>
  <si>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</si>
  <si>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</si>
  <si>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</si>
  <si>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</si>
  <si>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</si>
  <si>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</si>
  <si>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</si>
  <si>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</si>
  <si>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</si>
  <si>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</si>
  <si>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</si>
  <si>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</si>
  <si>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</si>
  <si>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</si>
  <si>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</si>
  <si>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</si>
  <si>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</si>
  <si>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</si>
  <si>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</si>
  <si>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</si>
  <si>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</si>
  <si>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</si>
  <si>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</si>
  <si>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</si>
  <si>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</si>
  <si>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</si>
  <si>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</si>
  <si>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</si>
  <si>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</si>
  <si>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</si>
  <si>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</si>
  <si>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</si>
  <si>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</si>
  <si>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</si>
  <si>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</si>
  <si>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</si>
  <si>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</si>
  <si>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</si>
  <si>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</si>
  <si>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</si>
  <si>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</si>
  <si>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</si>
  <si>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</si>
  <si>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</si>
  <si>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</si>
  <si>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</si>
  <si>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</si>
  <si>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</si>
  <si>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</si>
  <si>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</si>
  <si>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</si>
  <si>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</si>
  <si>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</si>
  <si>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</si>
  <si>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</si>
  <si>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</si>
  <si>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</si>
  <si>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</si>
  <si>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</si>
  <si>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</si>
  <si>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</si>
  <si>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</si>
  <si>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</si>
  <si>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</si>
  <si>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</si>
  <si>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</si>
  <si>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</si>
  <si>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</si>
  <si>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</si>
  <si>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</si>
  <si>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</si>
  <si>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</si>
  <si>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</si>
  <si>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</si>
  <si>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</si>
  <si>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</si>
  <si>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</si>
  <si>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</si>
  <si>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</si>
  <si>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</si>
  <si>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</si>
  <si>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</si>
  <si>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</si>
  <si>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</si>
  <si>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</si>
  <si>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</si>
  <si>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</si>
  <si>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</si>
  <si>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</si>
  <si>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</si>
  <si>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</si>
  <si>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</si>
  <si>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</si>
  <si>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</si>
  <si>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</si>
  <si>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</si>
  <si>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</si>
  <si>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</si>
  <si>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</si>
  <si>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</si>
  <si>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</si>
  <si>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</si>
  <si>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</si>
  <si>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</si>
  <si>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</si>
  <si>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</si>
  <si>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</si>
  <si>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</si>
  <si>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</si>
  <si>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</si>
  <si>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</si>
  <si>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</si>
  <si>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</si>
  <si>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</si>
  <si>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</si>
  <si>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</si>
  <si>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</si>
  <si>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</si>
  <si>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</si>
  <si>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</si>
  <si>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</si>
  <si>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</si>
  <si>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</si>
  <si>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</si>
  <si>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</si>
  <si>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</si>
  <si>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</si>
  <si>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</si>
  <si>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</si>
  <si>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</si>
  <si>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</si>
  <si>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</si>
  <si>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</si>
  <si>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</si>
  <si>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</si>
  <si>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</si>
  <si>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</si>
  <si>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</si>
  <si>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</si>
  <si>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</si>
  <si>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</si>
  <si>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</si>
  <si>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</si>
  <si>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</si>
  <si>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</si>
  <si>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</si>
  <si>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</si>
  <si>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</si>
  <si>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</si>
  <si>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</si>
  <si>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</si>
  <si>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</si>
  <si>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</si>
  <si>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</si>
  <si>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</si>
  <si>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</si>
  <si>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</si>
  <si>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</si>
  <si>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</si>
  <si>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</si>
  <si>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</si>
  <si>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</si>
  <si>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</si>
  <si>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</si>
  <si>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</si>
  <si>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</si>
  <si>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</si>
  <si>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</si>
  <si>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</si>
  <si>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</si>
  <si>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</si>
  <si>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</si>
  <si>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</si>
  <si>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</si>
  <si>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</si>
  <si>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</si>
  <si>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</si>
  <si>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</si>
  <si>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</si>
  <si>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</si>
  <si>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</si>
  <si>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</si>
  <si>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</si>
  <si>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</si>
  <si>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</si>
  <si>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</si>
  <si>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</si>
  <si>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</si>
  <si>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</si>
  <si>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</si>
  <si>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</si>
  <si>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</si>
  <si>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</si>
  <si>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</si>
  <si>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</si>
  <si>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</si>
  <si>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</si>
  <si>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</si>
  <si>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</si>
  <si>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</si>
  <si>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</si>
  <si>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</si>
  <si>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</si>
  <si>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</si>
  <si>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</si>
  <si>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</si>
  <si>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</si>
  <si>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</si>
  <si>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</si>
  <si>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</si>
  <si>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</si>
  <si>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</si>
  <si>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</si>
  <si>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</si>
  <si>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</si>
  <si>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</si>
  <si>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</si>
  <si>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</si>
  <si>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</si>
  <si>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</si>
  <si>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</si>
  <si>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</si>
  <si>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</si>
  <si>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</si>
  <si>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</si>
  <si>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</si>
  <si>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</si>
  <si>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</si>
  <si>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</si>
  <si>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</si>
  <si>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</si>
  <si>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</si>
  <si>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</si>
  <si>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</si>
  <si>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</si>
  <si>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</si>
  <si>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</si>
  <si>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</si>
  <si>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</si>
  <si>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</si>
  <si>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</si>
  <si>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</si>
  <si>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</si>
  <si>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</si>
  <si>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</si>
  <si>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</si>
  <si>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</si>
  <si>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</si>
  <si>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</si>
  <si>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</si>
  <si>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</si>
  <si>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</si>
  <si>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</si>
  <si>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</si>
  <si>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</si>
  <si>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</si>
  <si>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</si>
  <si>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</si>
  <si>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</si>
  <si>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</si>
  <si>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</si>
  <si>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</si>
  <si>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</si>
  <si>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</si>
  <si>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</si>
  <si>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</si>
  <si>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</si>
  <si>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</si>
  <si>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</si>
  <si>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</si>
  <si>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</si>
  <si>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</si>
  <si>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</si>
  <si>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</si>
  <si>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</si>
  <si>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</si>
  <si>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</si>
  <si>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</si>
  <si>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</si>
  <si>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</si>
  <si>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</si>
  <si>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</si>
  <si>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</si>
  <si>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</si>
  <si>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</si>
  <si>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</si>
  <si>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</si>
  <si>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</si>
  <si>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</si>
  <si>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</si>
  <si>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</si>
  <si>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</si>
  <si>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</si>
  <si>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</si>
  <si>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</si>
  <si>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</si>
  <si>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</si>
  <si>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</si>
  <si>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</si>
  <si>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</si>
  <si>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</si>
  <si>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</si>
  <si>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</si>
  <si>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</si>
  <si>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</si>
  <si>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</si>
  <si>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</si>
  <si>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</si>
  <si>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</si>
  <si>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</si>
  <si>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</si>
  <si>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</si>
  <si>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</si>
  <si>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</si>
  <si>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</si>
  <si>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</si>
  <si>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</si>
  <si>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</si>
  <si>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</si>
  <si>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</si>
  <si>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</si>
  <si>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</si>
  <si>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</si>
  <si>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</si>
  <si>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</si>
  <si>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</si>
  <si>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</si>
  <si>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</si>
  <si>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</si>
  <si>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</si>
  <si>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</si>
  <si>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</si>
  <si>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</si>
  <si>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</si>
  <si>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</si>
  <si>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</si>
  <si>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</si>
  <si>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</si>
  <si>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</si>
  <si>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</si>
  <si>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</si>
  <si>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</si>
  <si>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</si>
  <si>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</si>
  <si>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</si>
  <si>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</si>
  <si>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</si>
  <si>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</si>
  <si>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</si>
  <si>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</si>
  <si>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</si>
  <si>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</si>
  <si>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</si>
  <si>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</si>
  <si>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</si>
  <si>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</si>
  <si>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</si>
  <si>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</si>
  <si>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</si>
  <si>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</si>
  <si>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</si>
  <si>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</si>
  <si>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</si>
  <si>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</si>
  <si>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</si>
  <si>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</si>
  <si>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</si>
  <si>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</si>
  <si>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</si>
  <si>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</si>
  <si>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</si>
  <si>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</si>
  <si>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</si>
  <si>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</si>
  <si>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</si>
  <si>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</si>
  <si>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</si>
  <si>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</si>
  <si>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</si>
  <si>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</si>
  <si>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</si>
  <si>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</si>
  <si>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</si>
  <si>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</si>
  <si>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</si>
  <si>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</si>
  <si>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</si>
  <si>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</si>
  <si>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</si>
  <si>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</si>
  <si>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</si>
  <si>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</si>
  <si>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</si>
  <si>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</si>
  <si>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</si>
  <si>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</si>
  <si>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</si>
  <si>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</si>
  <si>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</si>
  <si>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</si>
  <si>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</si>
  <si>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</si>
  <si>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</si>
  <si>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</si>
  <si>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</si>
  <si>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</si>
  <si>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</si>
  <si>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</si>
  <si>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</si>
  <si>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</si>
  <si>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</si>
  <si>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</si>
  <si>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</si>
  <si>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</si>
  <si>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</si>
  <si>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</si>
  <si>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</si>
  <si>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</si>
  <si>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</si>
  <si>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</si>
  <si>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</si>
  <si>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</si>
  <si>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</si>
  <si>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</si>
  <si>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</si>
  <si>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Base</t>
  </si>
  <si>
    <t>Revised to Reflect</t>
  </si>
  <si>
    <t>Filed 2019</t>
  </si>
  <si>
    <t>4.00T</t>
  </si>
  <si>
    <t>INFORMATIONAL ONLY</t>
  </si>
  <si>
    <t>Plan</t>
  </si>
  <si>
    <t>Expenditures</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</si>
  <si>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</si>
  <si>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</si>
  <si>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</si>
  <si>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</si>
  <si>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</si>
  <si>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</si>
  <si>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</si>
  <si>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</si>
  <si>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</si>
  <si>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</si>
  <si>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Tax Customer</t>
  </si>
  <si>
    <t>Credit</t>
  </si>
  <si>
    <t>Per Joe Miller</t>
  </si>
  <si>
    <t>AWEC Proposed</t>
  </si>
  <si>
    <t>Impact of AWEC Adjustments</t>
  </si>
  <si>
    <t>Rev. Req. Parameters</t>
  </si>
  <si>
    <t xml:space="preserve">Rev. Req. </t>
  </si>
  <si>
    <t>Pre-Tax</t>
  </si>
  <si>
    <t xml:space="preserve">Adj. </t>
  </si>
  <si>
    <t xml:space="preserve">Net Oper. </t>
  </si>
  <si>
    <t xml:space="preserve">Def. / </t>
  </si>
  <si>
    <t>Revenue Conversion</t>
  </si>
  <si>
    <t xml:space="preserve">No. </t>
  </si>
  <si>
    <t>Income</t>
  </si>
  <si>
    <t>(Suf.)</t>
  </si>
  <si>
    <t>AWEC Position</t>
  </si>
  <si>
    <t>Tax Rate</t>
  </si>
  <si>
    <t>Cost of Capital</t>
  </si>
  <si>
    <t>Restating Adjustments:</t>
  </si>
  <si>
    <t>Neutral</t>
  </si>
  <si>
    <t>Total Debt</t>
  </si>
  <si>
    <t>Restated Results</t>
  </si>
  <si>
    <t>Pro Forma Adjustments:</t>
  </si>
  <si>
    <t>Pro Forma Results</t>
  </si>
  <si>
    <t>Calculated:</t>
  </si>
  <si>
    <t>ROE Impact</t>
  </si>
  <si>
    <t>Cost of Debt</t>
  </si>
  <si>
    <t>Pro-Forma Plant</t>
  </si>
  <si>
    <t>EIM Expenditures</t>
  </si>
  <si>
    <t>Total Adjustments</t>
  </si>
  <si>
    <t xml:space="preserve">Adjusted Rev. Req. </t>
  </si>
  <si>
    <t>Wheeling Revenues</t>
  </si>
  <si>
    <t>LEAP Amortization</t>
  </si>
  <si>
    <t>Pro-form Wildfire</t>
  </si>
  <si>
    <t>Pro-Forma Insurance</t>
  </si>
  <si>
    <t>Pro Forma IT&amp;S</t>
  </si>
  <si>
    <t>AFUDC Deferral</t>
  </si>
  <si>
    <t>Tax Accounting Change</t>
  </si>
  <si>
    <t>Inter-Corp. Cost Allocation</t>
  </si>
  <si>
    <t>Filed Rev. Req.</t>
  </si>
  <si>
    <t>2020 AMA Rate Base</t>
  </si>
  <si>
    <t>NOI Bef.</t>
  </si>
  <si>
    <t>Int. Ded.</t>
  </si>
  <si>
    <t>Electric Revenue Requirement Summary ($000)</t>
  </si>
  <si>
    <t xml:space="preserve">Adjustments </t>
  </si>
  <si>
    <t>Cap Structure</t>
  </si>
  <si>
    <t>ROE</t>
  </si>
  <si>
    <t xml:space="preserve">Total </t>
  </si>
  <si>
    <t>Approx Impact</t>
  </si>
  <si>
    <t xml:space="preserve">Cost of Capital </t>
  </si>
  <si>
    <t xml:space="preserve">2020 AMA </t>
  </si>
  <si>
    <t>O&amp;M Expense</t>
  </si>
  <si>
    <t>O&amp;M</t>
  </si>
  <si>
    <t>2020 O&amp;M Expense</t>
  </si>
  <si>
    <t>Colstrip Pro Forma</t>
  </si>
  <si>
    <t>Inter-Corporate Cost Allocation</t>
  </si>
  <si>
    <t>Inter-Corp.</t>
  </si>
  <si>
    <t>Allocation</t>
  </si>
  <si>
    <t>AFUDC</t>
  </si>
  <si>
    <t xml:space="preserve">Flow Through </t>
  </si>
  <si>
    <t>Amort.</t>
  </si>
  <si>
    <t>AFUDC Flow Through Amort.</t>
  </si>
  <si>
    <t>Tax Accounting Change Credit</t>
  </si>
  <si>
    <t>AVISTA UTILITIES  -  AWEC ADJUSTED</t>
  </si>
  <si>
    <t>Contest</t>
  </si>
  <si>
    <t>AVISTA UTILITIES - AWEC ADJUSTED</t>
  </si>
  <si>
    <t>Gas Service</t>
  </si>
  <si>
    <t>Electric Service</t>
  </si>
  <si>
    <t>Avista Filed at AWEC ROR</t>
  </si>
  <si>
    <t>Advanced Metering Infrastructure</t>
  </si>
  <si>
    <t xml:space="preserve">Pro Forma Non-Exec. Labor </t>
  </si>
  <si>
    <t>3.11-3.15, 
7.01</t>
  </si>
  <si>
    <t>Per Book Results (Y/E Dec. 2019)</t>
  </si>
  <si>
    <t>Withdrawn</t>
  </si>
  <si>
    <t>Separate Tariff</t>
  </si>
  <si>
    <t>Prtl.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</si>
</sst>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_(* #,##0.000_);_(* \(#,##0.000\);_(* &quot;-&quot;_);_(@_)"/>
    <numFmt numFmtId="178" formatCode="&quot;$&quot;#,##0.000_);\(&quot;$&quot;#,##0.000\)"/>
  </numFmts>
  <fonts count="78">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
      <i/>
      <u/>
      <sz val="10"/>
      <name val="Times New Roman"/>
      <family val="1"/>
    </font>
    <font>
      <i/>
      <sz val="12"/>
      <name val="Times New Roman"/>
      <family val="1"/>
    </font>
    <font>
      <sz val="10"/>
      <color theme="1"/>
      <name val="Arial"/>
      <family val="2"/>
    </font>
    <font>
      <sz val="9"/>
      <color rgb="FFDC4040"/>
      <name val="Times New Roman"/>
      <family val="1"/>
    </font>
    <font>
      <b/>
      <u/>
      <sz val="12"/>
      <name val="Times New Roman"/>
      <family val="1"/>
    </font>
    <font>
      <sz val="10"/>
      <name val="Calibri"/>
      <family val="2"/>
      <scheme val="minor"/>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gray0625">
        <fgColor rgb="FF37E9A5"/>
      </patternFill>
    </fill>
    <fill>
      <patternFill patternType="solid">
        <fgColor rgb="FFE8F4F3"/>
        <bgColor indexed="64"/>
      </patternFill>
    </fill>
    <fill>
      <patternFill patternType="solid">
        <fgColor rgb="FF62F4CE"/>
        <bgColor indexed="64"/>
      </patternFill>
    </fill>
    <fill>
      <patternFill patternType="solid">
        <fgColor rgb="FFF066E9"/>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E44C1C"/>
      </left>
      <right style="thin">
        <color rgb="FFE44C1C"/>
      </right>
      <top style="thin">
        <color rgb="FFE44C1C"/>
      </top>
      <bottom style="thin">
        <color rgb="FFE44C1C"/>
      </bottom>
      <diagonal/>
    </border>
  </borders>
  <cellStyleXfs count="30">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74" fillId="0" borderId="0"/>
    <xf numFmtId="43" fontId="74" fillId="0" borderId="0" applyFont="0" applyFill="0" applyBorder="0" applyAlignment="0" applyProtection="0"/>
    <xf numFmtId="0" fontId="4" fillId="0" borderId="0"/>
  </cellStyleXfs>
  <cellXfs count="951">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41" fontId="6" fillId="0" borderId="10" xfId="12" applyNumberFormat="1" applyFont="1" applyFill="1" applyBorder="1" applyAlignment="1"/>
    <xf numFmtId="10" fontId="35" fillId="0" borderId="0" xfId="0" applyNumberFormat="1" applyFont="1" applyBorder="1"/>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1"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41" fontId="6" fillId="0" borderId="0" xfId="12" applyNumberFormat="1" applyFont="1" applyFill="1" applyAlignment="1"/>
    <xf numFmtId="10" fontId="9" fillId="0" borderId="0" xfId="14" applyNumberFormat="1" applyFont="1" applyBorder="1" applyAlignment="1">
      <alignment horizontal="right"/>
    </xf>
    <xf numFmtId="41" fontId="63" fillId="0" borderId="0" xfId="12" applyNumberFormat="1" applyFont="1" applyFill="1"/>
    <xf numFmtId="41" fontId="64" fillId="0" borderId="0" xfId="12" applyNumberFormat="1" applyFont="1" applyFill="1" applyAlignment="1"/>
    <xf numFmtId="41" fontId="65" fillId="0" borderId="0" xfId="12" applyNumberFormat="1" applyFont="1" applyFill="1" applyBorder="1" applyAlignment="1">
      <alignment horizontal="center" wrapText="1"/>
    </xf>
    <xf numFmtId="2" fontId="65" fillId="0" borderId="0" xfId="4" applyNumberFormat="1" applyFont="1" applyFill="1" applyAlignment="1" applyProtection="1">
      <alignment horizontal="center"/>
    </xf>
    <xf numFmtId="2" fontId="65" fillId="0" borderId="0" xfId="4" applyNumberFormat="1" applyFont="1" applyFill="1" applyBorder="1" applyAlignment="1" applyProtection="1">
      <alignment horizontal="center"/>
    </xf>
    <xf numFmtId="41" fontId="63" fillId="0" borderId="0" xfId="12" applyNumberFormat="1" applyFont="1" applyFill="1" applyBorder="1"/>
    <xf numFmtId="5" fontId="63" fillId="0" borderId="0" xfId="10" applyNumberFormat="1" applyFont="1" applyFill="1" applyBorder="1"/>
    <xf numFmtId="41" fontId="63" fillId="0" borderId="10" xfId="12" applyNumberFormat="1" applyFont="1" applyFill="1" applyBorder="1"/>
    <xf numFmtId="41" fontId="63" fillId="0" borderId="13" xfId="12" applyNumberFormat="1" applyFont="1" applyFill="1" applyBorder="1"/>
    <xf numFmtId="5" fontId="63" fillId="0" borderId="0" xfId="12" applyNumberFormat="1" applyFont="1" applyFill="1" applyBorder="1"/>
    <xf numFmtId="41" fontId="63" fillId="0" borderId="0" xfId="12" applyNumberFormat="1" applyFont="1" applyBorder="1"/>
    <xf numFmtId="41" fontId="63" fillId="0" borderId="10" xfId="12" applyNumberFormat="1" applyFont="1" applyBorder="1"/>
    <xf numFmtId="41" fontId="63" fillId="0" borderId="12" xfId="12" applyNumberFormat="1" applyFont="1" applyFill="1" applyBorder="1"/>
    <xf numFmtId="5" fontId="63" fillId="0" borderId="13" xfId="12" applyNumberFormat="1" applyFont="1" applyFill="1" applyBorder="1"/>
    <xf numFmtId="41" fontId="65" fillId="0" borderId="0" xfId="12" applyNumberFormat="1" applyFont="1" applyFill="1" applyBorder="1" applyAlignment="1">
      <alignment horizontal="right"/>
    </xf>
    <xf numFmtId="41" fontId="63" fillId="0" borderId="0" xfId="14" applyNumberFormat="1" applyFont="1" applyFill="1"/>
    <xf numFmtId="41" fontId="63" fillId="0" borderId="0" xfId="12" applyNumberFormat="1" applyFont="1"/>
    <xf numFmtId="41" fontId="65" fillId="0" borderId="1" xfId="12" applyNumberFormat="1" applyFont="1" applyFill="1" applyBorder="1" applyAlignment="1">
      <alignment horizontal="center"/>
    </xf>
    <xf numFmtId="41" fontId="65" fillId="0" borderId="5" xfId="12" applyNumberFormat="1" applyFont="1" applyFill="1" applyBorder="1" applyAlignment="1">
      <alignment horizontal="center"/>
    </xf>
    <xf numFmtId="41" fontId="65" fillId="0" borderId="8" xfId="12" applyNumberFormat="1" applyFont="1" applyFill="1" applyBorder="1" applyAlignment="1">
      <alignment horizontal="center"/>
    </xf>
    <xf numFmtId="2" fontId="65" fillId="0" borderId="0" xfId="4" applyNumberFormat="1" applyFont="1" applyAlignment="1" applyProtection="1">
      <alignment horizontal="center"/>
    </xf>
    <xf numFmtId="5" fontId="63" fillId="0" borderId="13" xfId="12" applyNumberFormat="1" applyFont="1" applyBorder="1"/>
    <xf numFmtId="5" fontId="63" fillId="0" borderId="0" xfId="12" applyNumberFormat="1" applyFont="1"/>
    <xf numFmtId="41" fontId="63" fillId="0" borderId="3" xfId="12" applyNumberFormat="1" applyFont="1" applyFill="1" applyBorder="1"/>
    <xf numFmtId="41" fontId="63" fillId="0" borderId="0" xfId="12" applyNumberFormat="1" applyFont="1" applyFill="1" applyAlignment="1">
      <alignment vertical="top"/>
    </xf>
    <xf numFmtId="41" fontId="66" fillId="0" borderId="0" xfId="12" quotePrefix="1" applyNumberFormat="1" applyFont="1" applyFill="1" applyAlignment="1">
      <alignment horizontal="center"/>
    </xf>
    <xf numFmtId="41" fontId="65" fillId="0" borderId="0" xfId="12" applyNumberFormat="1" applyFont="1" applyFill="1" applyAlignment="1"/>
    <xf numFmtId="0" fontId="65" fillId="0" borderId="0" xfId="12" applyFont="1" applyFill="1" applyAlignment="1">
      <alignment horizontal="center"/>
    </xf>
    <xf numFmtId="41" fontId="65" fillId="0" borderId="0" xfId="12" applyNumberFormat="1" applyFont="1" applyFill="1" applyBorder="1" applyAlignment="1">
      <alignment horizontal="center" vertical="center"/>
    </xf>
    <xf numFmtId="41" fontId="65" fillId="0" borderId="1" xfId="10" applyNumberFormat="1" applyFont="1" applyFill="1" applyBorder="1" applyAlignment="1">
      <alignment horizontal="center"/>
    </xf>
    <xf numFmtId="9" fontId="5" fillId="0" borderId="0" xfId="14" applyFont="1"/>
    <xf numFmtId="41" fontId="63" fillId="0" borderId="0" xfId="12" applyNumberFormat="1" applyFont="1" applyFill="1" applyAlignment="1"/>
    <xf numFmtId="41" fontId="65" fillId="0" borderId="0" xfId="12" applyNumberFormat="1" applyFont="1" applyFill="1" applyBorder="1" applyAlignment="1">
      <alignment vertical="center"/>
    </xf>
    <xf numFmtId="41" fontId="65" fillId="0" borderId="10" xfId="12" applyNumberFormat="1" applyFont="1" applyFill="1" applyBorder="1" applyAlignment="1">
      <alignment vertical="center"/>
    </xf>
    <xf numFmtId="41" fontId="65" fillId="0" borderId="1" xfId="23" applyNumberFormat="1" applyFont="1" applyFill="1" applyBorder="1" applyAlignment="1">
      <alignment horizontal="center"/>
    </xf>
    <xf numFmtId="41" fontId="65" fillId="0" borderId="5" xfId="23" quotePrefix="1" applyNumberFormat="1" applyFont="1" applyFill="1" applyBorder="1" applyAlignment="1">
      <alignment horizontal="center"/>
    </xf>
    <xf numFmtId="41" fontId="65" fillId="0" borderId="8" xfId="23" applyNumberFormat="1" applyFont="1" applyFill="1" applyBorder="1" applyAlignment="1">
      <alignment horizontal="center"/>
    </xf>
    <xf numFmtId="10" fontId="62" fillId="6" borderId="0" xfId="14" applyNumberFormat="1" applyFont="1" applyFill="1" applyBorder="1"/>
    <xf numFmtId="41" fontId="67"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8"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41" fontId="60" fillId="0" borderId="0" xfId="13" applyNumberFormat="1" applyFont="1" applyFill="1" applyAlignment="1">
      <alignment horizontal="center"/>
    </xf>
    <xf numFmtId="0" fontId="55" fillId="0" borderId="0" xfId="0" applyFont="1" applyAlignment="1">
      <alignment horizontal="left"/>
    </xf>
    <xf numFmtId="3" fontId="69" fillId="0" borderId="0" xfId="13" applyNumberFormat="1" applyFont="1" applyFill="1"/>
    <xf numFmtId="41" fontId="65"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0" fillId="0" borderId="0" xfId="12" applyNumberFormat="1" applyFont="1" applyFill="1" applyBorder="1" applyAlignment="1"/>
    <xf numFmtId="41" fontId="70"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1"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0" fontId="10" fillId="0" borderId="0" xfId="24" applyFont="1"/>
    <xf numFmtId="0" fontId="9" fillId="0" borderId="0" xfId="24" applyFont="1"/>
    <xf numFmtId="0" fontId="17" fillId="0" borderId="0" xfId="24" applyFont="1"/>
    <xf numFmtId="0" fontId="9" fillId="0" borderId="0" xfId="24" applyFont="1" applyAlignment="1">
      <alignment horizontal="center"/>
    </xf>
    <xf numFmtId="0" fontId="17" fillId="0" borderId="6" xfId="24" applyFont="1" applyBorder="1"/>
    <xf numFmtId="0" fontId="72" fillId="0" borderId="0" xfId="24" applyFont="1"/>
    <xf numFmtId="0" fontId="9" fillId="0" borderId="10" xfId="24" applyFont="1" applyBorder="1"/>
    <xf numFmtId="0" fontId="23" fillId="0" borderId="10" xfId="24" applyFont="1" applyBorder="1"/>
    <xf numFmtId="0" fontId="10" fillId="0" borderId="10" xfId="24" applyFont="1" applyBorder="1"/>
    <xf numFmtId="0" fontId="11" fillId="0" borderId="10" xfId="24" applyFont="1" applyBorder="1" applyAlignment="1">
      <alignment horizontal="center"/>
    </xf>
    <xf numFmtId="0" fontId="72" fillId="0" borderId="10" xfId="24" applyFont="1" applyBorder="1"/>
    <xf numFmtId="0" fontId="17" fillId="0" borderId="10" xfId="24" applyFont="1" applyBorder="1"/>
    <xf numFmtId="0" fontId="10" fillId="0" borderId="0" xfId="24" applyFont="1" applyAlignment="1">
      <alignment horizontal="center"/>
    </xf>
    <xf numFmtId="168" fontId="9" fillId="0" borderId="0" xfId="24" applyNumberFormat="1" applyFont="1"/>
    <xf numFmtId="0" fontId="10" fillId="0" borderId="10" xfId="24" applyFont="1" applyBorder="1" applyAlignment="1">
      <alignment horizontal="center"/>
    </xf>
    <xf numFmtId="0" fontId="9" fillId="0" borderId="10" xfId="24" applyFont="1" applyBorder="1" applyAlignment="1">
      <alignment horizontal="center"/>
    </xf>
    <xf numFmtId="9" fontId="9" fillId="0" borderId="0" xfId="24" applyNumberFormat="1" applyFont="1"/>
    <xf numFmtId="41" fontId="10" fillId="0" borderId="0" xfId="24" applyNumberFormat="1" applyFont="1"/>
    <xf numFmtId="5" fontId="10" fillId="0" borderId="0" xfId="24" applyNumberFormat="1" applyFont="1"/>
    <xf numFmtId="3" fontId="9" fillId="0" borderId="0" xfId="24" applyNumberFormat="1" applyFont="1"/>
    <xf numFmtId="10" fontId="9" fillId="0" borderId="0" xfId="24" applyNumberFormat="1" applyFont="1"/>
    <xf numFmtId="2" fontId="9" fillId="0" borderId="0" xfId="24" applyNumberFormat="1" applyFont="1"/>
    <xf numFmtId="41" fontId="9" fillId="0" borderId="0" xfId="24" applyNumberFormat="1" applyFont="1"/>
    <xf numFmtId="0" fontId="9" fillId="6" borderId="2" xfId="24" applyFont="1" applyFill="1" applyBorder="1"/>
    <xf numFmtId="0" fontId="9" fillId="6" borderId="3" xfId="24" applyFont="1" applyFill="1" applyBorder="1"/>
    <xf numFmtId="0" fontId="9" fillId="6" borderId="4" xfId="24" applyFont="1" applyFill="1" applyBorder="1"/>
    <xf numFmtId="0" fontId="9" fillId="6" borderId="9" xfId="24" applyFont="1" applyFill="1" applyBorder="1"/>
    <xf numFmtId="0" fontId="9" fillId="6" borderId="10" xfId="24" applyFont="1" applyFill="1" applyBorder="1"/>
    <xf numFmtId="0" fontId="9" fillId="6" borderId="11" xfId="24" applyFont="1" applyFill="1" applyBorder="1"/>
    <xf numFmtId="41" fontId="17" fillId="0" borderId="0" xfId="24" applyNumberFormat="1" applyFont="1"/>
    <xf numFmtId="0" fontId="9" fillId="6" borderId="6" xfId="24" applyFont="1" applyFill="1" applyBorder="1"/>
    <xf numFmtId="10" fontId="9" fillId="6" borderId="0" xfId="24" applyNumberFormat="1" applyFont="1" applyFill="1"/>
    <xf numFmtId="10" fontId="9" fillId="6" borderId="7" xfId="25" applyNumberFormat="1" applyFont="1" applyFill="1" applyBorder="1"/>
    <xf numFmtId="10" fontId="9" fillId="6" borderId="10" xfId="24" applyNumberFormat="1" applyFont="1" applyFill="1" applyBorder="1"/>
    <xf numFmtId="10" fontId="9" fillId="6" borderId="11" xfId="25" applyNumberFormat="1" applyFont="1" applyFill="1" applyBorder="1"/>
    <xf numFmtId="0" fontId="9" fillId="0" borderId="0" xfId="24" applyFont="1" applyAlignment="1">
      <alignment horizontal="right"/>
    </xf>
    <xf numFmtId="0" fontId="26" fillId="0" borderId="0" xfId="24" applyFont="1"/>
    <xf numFmtId="41" fontId="10" fillId="0" borderId="3" xfId="24" applyNumberFormat="1" applyFont="1" applyBorder="1"/>
    <xf numFmtId="41" fontId="9" fillId="0" borderId="3" xfId="24" applyNumberFormat="1" applyFont="1" applyBorder="1"/>
    <xf numFmtId="41" fontId="10" fillId="0" borderId="13" xfId="24" applyNumberFormat="1" applyFont="1" applyBorder="1"/>
    <xf numFmtId="177" fontId="9" fillId="0" borderId="0" xfId="24" applyNumberFormat="1" applyFont="1"/>
    <xf numFmtId="0" fontId="35" fillId="6" borderId="2" xfId="0" applyFont="1" applyFill="1" applyBorder="1"/>
    <xf numFmtId="0" fontId="35" fillId="6" borderId="3" xfId="0" applyFont="1" applyFill="1" applyBorder="1"/>
    <xf numFmtId="0" fontId="35" fillId="6" borderId="4" xfId="0" applyFont="1" applyFill="1" applyBorder="1"/>
    <xf numFmtId="0" fontId="35" fillId="6" borderId="6" xfId="0" applyFont="1" applyFill="1" applyBorder="1"/>
    <xf numFmtId="0" fontId="35" fillId="6" borderId="7" xfId="0" applyFont="1" applyFill="1" applyBorder="1"/>
    <xf numFmtId="0" fontId="35" fillId="6" borderId="9" xfId="0" applyFont="1" applyFill="1" applyBorder="1"/>
    <xf numFmtId="0" fontId="35" fillId="6" borderId="10" xfId="0" applyFont="1" applyFill="1" applyBorder="1"/>
    <xf numFmtId="0" fontId="35" fillId="6" borderId="11" xfId="0" applyFont="1" applyFill="1" applyBorder="1"/>
    <xf numFmtId="0" fontId="53" fillId="6" borderId="0" xfId="0" applyFont="1" applyFill="1" applyBorder="1"/>
    <xf numFmtId="5" fontId="53" fillId="6" borderId="0" xfId="0" applyNumberFormat="1" applyFont="1" applyFill="1" applyBorder="1"/>
    <xf numFmtId="41" fontId="9" fillId="11" borderId="41" xfId="24" applyNumberFormat="1" applyFont="1" applyFill="1" applyBorder="1"/>
    <xf numFmtId="5" fontId="10" fillId="0" borderId="13" xfId="24" applyNumberFormat="1" applyFont="1" applyBorder="1"/>
    <xf numFmtId="0" fontId="53" fillId="0" borderId="0" xfId="0" applyFont="1" applyFill="1" applyBorder="1" applyAlignment="1">
      <alignment horizontal="center"/>
    </xf>
    <xf numFmtId="7" fontId="53" fillId="0" borderId="0" xfId="0" applyNumberFormat="1" applyFont="1" applyFill="1" applyBorder="1" applyAlignment="1">
      <alignment horizontal="center"/>
    </xf>
    <xf numFmtId="178" fontId="35" fillId="0" borderId="0" xfId="0" applyNumberFormat="1" applyFont="1" applyFill="1" applyBorder="1" applyAlignment="1">
      <alignment horizontal="left"/>
    </xf>
    <xf numFmtId="6" fontId="53" fillId="0" borderId="0" xfId="0" applyNumberFormat="1" applyFont="1" applyFill="1" applyBorder="1" applyAlignment="1">
      <alignment horizontal="center"/>
    </xf>
    <xf numFmtId="9" fontId="53" fillId="0" borderId="0" xfId="14" applyFont="1" applyFill="1" applyBorder="1" applyAlignment="1">
      <alignment horizontal="center"/>
    </xf>
    <xf numFmtId="0" fontId="53" fillId="6" borderId="0" xfId="0" applyFont="1" applyFill="1" applyBorder="1" applyAlignment="1">
      <alignment horizontal="center"/>
    </xf>
    <xf numFmtId="0" fontId="9" fillId="0" borderId="0" xfId="24" applyFont="1" applyBorder="1" applyAlignment="1">
      <alignment horizontal="center"/>
    </xf>
    <xf numFmtId="41" fontId="10" fillId="0" borderId="0" xfId="24" applyNumberFormat="1" applyFont="1" applyBorder="1"/>
    <xf numFmtId="10" fontId="9" fillId="0" borderId="0" xfId="24" applyNumberFormat="1" applyFont="1" applyFill="1" applyBorder="1"/>
    <xf numFmtId="10" fontId="9" fillId="0" borderId="0" xfId="25" applyNumberFormat="1" applyFont="1" applyFill="1" applyBorder="1"/>
    <xf numFmtId="0" fontId="9" fillId="0" borderId="0" xfId="24" applyFont="1" applyFill="1" applyBorder="1"/>
    <xf numFmtId="41" fontId="10" fillId="0" borderId="10" xfId="24" applyNumberFormat="1" applyFont="1" applyBorder="1"/>
    <xf numFmtId="41" fontId="9" fillId="0" borderId="10" xfId="24" applyNumberFormat="1" applyFont="1" applyBorder="1"/>
    <xf numFmtId="0" fontId="9" fillId="6" borderId="0" xfId="24" applyFont="1" applyFill="1"/>
    <xf numFmtId="41" fontId="6" fillId="7" borderId="0" xfId="23" applyNumberFormat="1" applyFont="1" applyFill="1" applyAlignment="1">
      <alignment horizontal="center" vertical="top"/>
    </xf>
    <xf numFmtId="41" fontId="75" fillId="0" borderId="0" xfId="12" applyNumberFormat="1" applyFont="1" applyFill="1"/>
    <xf numFmtId="41" fontId="5" fillId="0" borderId="0" xfId="12" applyNumberFormat="1" applyFont="1" applyFill="1" applyAlignment="1">
      <alignment horizontal="left" indent="1"/>
    </xf>
    <xf numFmtId="3" fontId="6" fillId="0" borderId="1" xfId="13" applyNumberFormat="1" applyFont="1" applyFill="1" applyBorder="1" applyAlignment="1">
      <alignment horizontal="center"/>
    </xf>
    <xf numFmtId="3" fontId="6" fillId="0" borderId="5" xfId="13" applyNumberFormat="1" applyFont="1" applyFill="1" applyBorder="1" applyAlignment="1">
      <alignment horizontal="center"/>
    </xf>
    <xf numFmtId="3" fontId="6" fillId="0" borderId="8" xfId="13" applyNumberFormat="1" applyFont="1" applyFill="1" applyBorder="1" applyAlignment="1">
      <alignment horizontal="center"/>
    </xf>
    <xf numFmtId="4" fontId="6" fillId="0" borderId="0" xfId="13" applyNumberFormat="1" applyFont="1" applyFill="1" applyBorder="1" applyAlignment="1">
      <alignment horizontal="center"/>
    </xf>
    <xf numFmtId="3" fontId="6" fillId="0" borderId="1" xfId="29" applyNumberFormat="1" applyFont="1" applyBorder="1" applyAlignment="1">
      <alignment horizontal="center"/>
    </xf>
    <xf numFmtId="3" fontId="6" fillId="0" borderId="5" xfId="29" applyNumberFormat="1" applyFont="1" applyBorder="1" applyAlignment="1">
      <alignment horizontal="center"/>
    </xf>
    <xf numFmtId="3" fontId="6" fillId="0" borderId="8" xfId="29" applyNumberFormat="1" applyFont="1" applyBorder="1" applyAlignment="1">
      <alignment horizontal="center"/>
    </xf>
    <xf numFmtId="4" fontId="6" fillId="0" borderId="0" xfId="29" applyNumberFormat="1" applyFont="1" applyAlignment="1">
      <alignment horizontal="center"/>
    </xf>
    <xf numFmtId="2" fontId="9" fillId="0" borderId="0" xfId="24" applyNumberFormat="1" applyFont="1" applyAlignment="1">
      <alignment horizontal="right"/>
    </xf>
    <xf numFmtId="0" fontId="45" fillId="0" borderId="0" xfId="0" applyFont="1" applyFill="1" applyBorder="1" applyAlignment="1">
      <alignment horizontal="right"/>
    </xf>
    <xf numFmtId="176" fontId="9" fillId="0" borderId="0" xfId="2" applyNumberFormat="1" applyFont="1" applyFill="1" applyBorder="1" applyAlignment="1">
      <alignment horizontal="right"/>
    </xf>
    <xf numFmtId="14" fontId="35" fillId="0" borderId="0" xfId="0" applyNumberFormat="1" applyFont="1" applyFill="1" applyBorder="1"/>
    <xf numFmtId="7" fontId="35" fillId="0" borderId="0" xfId="0" applyNumberFormat="1" applyFont="1" applyFill="1" applyBorder="1" applyAlignment="1">
      <alignment horizontal="center"/>
    </xf>
    <xf numFmtId="178" fontId="35" fillId="0" borderId="0" xfId="0" applyNumberFormat="1" applyFont="1" applyFill="1" applyBorder="1"/>
    <xf numFmtId="3" fontId="35" fillId="0" borderId="0" xfId="0" applyNumberFormat="1" applyFont="1" applyFill="1" applyBorder="1"/>
    <xf numFmtId="6" fontId="35" fillId="0" borderId="0" xfId="0" applyNumberFormat="1" applyFont="1" applyFill="1" applyBorder="1"/>
    <xf numFmtId="5" fontId="0" fillId="0" borderId="0" xfId="0" applyNumberFormat="1"/>
    <xf numFmtId="43" fontId="0" fillId="0" borderId="0" xfId="0" applyNumberFormat="1"/>
    <xf numFmtId="5" fontId="53" fillId="6" borderId="10" xfId="0" applyNumberFormat="1" applyFont="1" applyFill="1" applyBorder="1" applyAlignment="1">
      <alignment horizontal="center"/>
    </xf>
    <xf numFmtId="0" fontId="9" fillId="6" borderId="0" xfId="24" applyFont="1" applyFill="1" applyAlignment="1">
      <alignment vertical="center"/>
    </xf>
    <xf numFmtId="0" fontId="35" fillId="6" borderId="0" xfId="0" applyFont="1" applyFill="1" applyBorder="1" applyAlignment="1">
      <alignment vertical="center"/>
    </xf>
    <xf numFmtId="0" fontId="53" fillId="6" borderId="0" xfId="0" applyFont="1" applyFill="1" applyBorder="1" applyAlignment="1">
      <alignment vertical="center"/>
    </xf>
    <xf numFmtId="41" fontId="35" fillId="6" borderId="0" xfId="0" applyNumberFormat="1" applyFont="1" applyFill="1" applyBorder="1" applyAlignment="1">
      <alignment vertical="center"/>
    </xf>
    <xf numFmtId="0" fontId="35" fillId="6" borderId="0" xfId="0" applyFont="1" applyFill="1" applyBorder="1" applyAlignment="1">
      <alignment horizontal="left" vertical="center"/>
    </xf>
    <xf numFmtId="41" fontId="35" fillId="6" borderId="0" xfId="0" applyNumberFormat="1" applyFont="1" applyFill="1" applyAlignment="1">
      <alignment vertical="center"/>
    </xf>
    <xf numFmtId="0" fontId="35" fillId="6" borderId="0" xfId="0" quotePrefix="1" applyFont="1" applyFill="1" applyBorder="1" applyAlignment="1">
      <alignment horizontal="left" vertical="center"/>
    </xf>
    <xf numFmtId="41" fontId="35" fillId="6" borderId="10" xfId="0" applyNumberFormat="1" applyFont="1" applyFill="1" applyBorder="1" applyAlignment="1">
      <alignment vertical="center"/>
    </xf>
    <xf numFmtId="0" fontId="73" fillId="6" borderId="0" xfId="0" applyFont="1" applyFill="1" applyBorder="1" applyAlignment="1">
      <alignment horizontal="right" vertical="center"/>
    </xf>
    <xf numFmtId="0" fontId="73" fillId="6" borderId="0" xfId="0" applyFont="1" applyFill="1" applyBorder="1" applyAlignment="1">
      <alignment vertical="center"/>
    </xf>
    <xf numFmtId="165" fontId="73" fillId="6" borderId="0" xfId="0" applyNumberFormat="1" applyFont="1" applyFill="1" applyBorder="1" applyAlignment="1">
      <alignment vertical="center"/>
    </xf>
    <xf numFmtId="0" fontId="45" fillId="6" borderId="0" xfId="0" applyFont="1" applyFill="1" applyBorder="1" applyAlignment="1">
      <alignment horizontal="center" vertical="center" wrapText="1"/>
    </xf>
    <xf numFmtId="0" fontId="45" fillId="6" borderId="0" xfId="0" applyFont="1" applyFill="1" applyBorder="1" applyAlignment="1">
      <alignment horizontal="center" vertical="center"/>
    </xf>
    <xf numFmtId="0" fontId="35" fillId="12" borderId="0" xfId="0" applyFont="1" applyFill="1" applyBorder="1" applyAlignment="1">
      <alignment vertical="center"/>
    </xf>
    <xf numFmtId="0" fontId="35" fillId="12" borderId="0" xfId="0" applyFont="1" applyFill="1" applyBorder="1" applyAlignment="1">
      <alignment horizontal="left" vertical="center"/>
    </xf>
    <xf numFmtId="41" fontId="35" fillId="12" borderId="0" xfId="0" applyNumberFormat="1" applyFont="1" applyFill="1" applyAlignment="1">
      <alignment vertical="center"/>
    </xf>
    <xf numFmtId="41" fontId="35" fillId="12" borderId="0" xfId="0" applyNumberFormat="1" applyFont="1" applyFill="1" applyBorder="1" applyAlignment="1">
      <alignment vertical="center"/>
    </xf>
    <xf numFmtId="0" fontId="45" fillId="12" borderId="0" xfId="0" applyFont="1" applyFill="1" applyBorder="1" applyAlignment="1">
      <alignment horizontal="center" vertical="center" wrapText="1"/>
    </xf>
    <xf numFmtId="0" fontId="70" fillId="12" borderId="0" xfId="0" applyFont="1" applyFill="1" applyBorder="1" applyAlignment="1">
      <alignment horizontal="center" vertical="center" wrapText="1"/>
    </xf>
    <xf numFmtId="0" fontId="53" fillId="12" borderId="0" xfId="0" applyFont="1" applyFill="1" applyBorder="1" applyAlignment="1">
      <alignment horizontal="left" vertical="center"/>
    </xf>
    <xf numFmtId="0" fontId="53" fillId="12" borderId="0" xfId="0" applyFont="1" applyFill="1" applyBorder="1" applyAlignment="1">
      <alignment vertical="center"/>
    </xf>
    <xf numFmtId="41" fontId="53" fillId="12" borderId="0" xfId="0" applyNumberFormat="1" applyFont="1" applyFill="1" applyAlignment="1">
      <alignment vertical="center"/>
    </xf>
    <xf numFmtId="41" fontId="53" fillId="12" borderId="0" xfId="0" applyNumberFormat="1" applyFont="1" applyFill="1" applyBorder="1" applyAlignment="1">
      <alignment vertical="center"/>
    </xf>
    <xf numFmtId="0" fontId="76" fillId="6" borderId="0" xfId="0" applyFont="1" applyFill="1" applyBorder="1" applyAlignment="1">
      <alignment vertical="center"/>
    </xf>
    <xf numFmtId="0" fontId="77" fillId="0" borderId="0" xfId="0" applyFont="1"/>
    <xf numFmtId="41" fontId="77" fillId="0" borderId="0" xfId="0" applyNumberFormat="1" applyFont="1"/>
    <xf numFmtId="41" fontId="6" fillId="13" borderId="0" xfId="23" applyNumberFormat="1" applyFont="1" applyFill="1" applyAlignment="1">
      <alignment horizontal="center" vertical="top"/>
    </xf>
    <xf numFmtId="0" fontId="9" fillId="13" borderId="0" xfId="24" applyFont="1" applyFill="1" applyAlignment="1">
      <alignment horizontal="center"/>
    </xf>
    <xf numFmtId="41" fontId="6" fillId="14" borderId="0" xfId="23" applyNumberFormat="1" applyFont="1" applyFill="1" applyAlignment="1">
      <alignment horizontal="center" vertical="top"/>
    </xf>
    <xf numFmtId="0" fontId="9" fillId="14" borderId="0" xfId="24" applyFont="1" applyFill="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30">
    <cellStyle name="Comma" xfId="1" builtinId="3"/>
    <cellStyle name="Comma 2" xfId="18" xr:uid="{00000000-0005-0000-0000-000001000000}"/>
    <cellStyle name="Comma 3" xfId="20" xr:uid="{00000000-0005-0000-0000-000002000000}"/>
    <cellStyle name="Comma 4" xfId="28" xr:uid="{59C26A5C-03D0-4F09-8A7E-D7AACDCBFA31}"/>
    <cellStyle name="Currency" xfId="2" builtinId="4"/>
    <cellStyle name="Currency 2" xfId="3" xr:uid="{00000000-0005-0000-0000-000004000000}"/>
    <cellStyle name="Currency 2 2" xfId="26" xr:uid="{D23880EB-6C26-494A-AED4-D4F179F8086C}"/>
    <cellStyle name="Followed Hyperlink" xfId="4" builtinId="9" customBuiltin="1"/>
    <cellStyle name="Hyperlink" xfId="5" builtinId="8" customBuiltin="1"/>
    <cellStyle name="Manual-Input" xfId="17" xr:uid="{00000000-0005-0000-0000-000007000000}"/>
    <cellStyle name="Normal" xfId="0" builtinId="0"/>
    <cellStyle name="Normal 16" xfId="27" xr:uid="{15E2FA7B-EEBA-4F9F-8222-5BFC915C138D}"/>
    <cellStyle name="Normal 2" xfId="16" xr:uid="{00000000-0005-0000-0000-000009000000}"/>
    <cellStyle name="Normal 2 10 3 8 2" xfId="22" xr:uid="{00000000-0005-0000-0000-00000A000000}"/>
    <cellStyle name="Normal 2 2" xfId="6" xr:uid="{00000000-0005-0000-0000-00000B000000}"/>
    <cellStyle name="Normal 2 2 2 2 4" xfId="24" xr:uid="{25117303-B427-4E53-A281-18849569500B}"/>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29" xr:uid="{16FFB397-1305-49BE-9650-A80A202449CF}"/>
    <cellStyle name="Percent" xfId="14" builtinId="5"/>
    <cellStyle name="Percent 2" xfId="15" xr:uid="{00000000-0005-0000-0000-000017000000}"/>
    <cellStyle name="Percent 2 12" xfId="25" xr:uid="{066A88CC-2E97-4FC5-A46E-DA569178E0C3}"/>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2F4CE"/>
      <color rgb="FFEDF9F9"/>
      <color rgb="FFFFFFFF"/>
      <color rgb="FFE8F4F3"/>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NEW-PSE-WP-SEF-4.00E-ELECTRIC-MODEL-19GRC-06-2019%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23NEW-PSE-WP-SEF-4.00G-GAS-MODEL-19GRC-06-2019%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9%20-%20Electric%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rpRevnu\PUBLIC\%23%202019%20GRC\Attrition%20Change\190529-30-PSE-WP-SEF-4.00E-ELECTRIC-MODEL-19GRC-09-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10%20-%20Natural%20Gas%20Rev%20Req.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wrk\30_ava\3046-8%20-%20UE-160228%202016%20GRC\disc\BR1\Attachment%20Bench%20Request%201\Exhibit%20No.%20BGM-13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ttachment%20B%20-%20AWEC%20Gas%20Rev.%20Req.%20Revis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rk/30_ava/AV07%20-%202021GRC/dir/_exh/_xlsfnl%20-%20CONF/Confidential%20Exh.%20BGM-9%20-%20IT&amp;S%20Comparis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orkpaper%20AMI%20Capital%20and%20Regulatory%20Asse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rk/30_ava/AV07%20-%202021GRC/init/3.WPs/5.%20UE__Andrews(AVA-Oct20)/Native%20Workpapers/Exh.%20EMA-2%20-%202019%20WA%20Electric%20RR%20Model%20AMA%201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paper%20WA%20Colstrip%20Account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xh.%20BGM-7%20BGM-8%20-%20Pro%20Form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Named Ranges"/>
      <sheetName val="ETR GRC vs CBR TBPI 100%"/>
      <sheetName val="ETR GRC vs CBR"/>
      <sheetName val="ETR"/>
      <sheetName val="Check ETR"/>
      <sheetName val="Dirty only==&gt;"/>
      <sheetName val="FIT Plug Temp Adj"/>
      <sheetName val="Verify"/>
      <sheetName val="ARAM"/>
      <sheetName val="Matrix"/>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UE-__________</v>
          </cell>
        </row>
        <row r="8">
          <cell r="C8" t="str">
            <v>PUGET SOUND ENERGY - ELECTRIC</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CA"/>
      <sheetName val="Exh. No. BGM-9 (1)"/>
      <sheetName val="Exh. No. BGM-9 (1A)"/>
      <sheetName val="BGM-9 (2) Detailed Summary"/>
      <sheetName val="BGM-9 (4) Electric Adj"/>
      <sheetName val="BGM-9 (3) Common Adj"/>
      <sheetName val="DR 046"/>
      <sheetName val="Impacts"/>
      <sheetName val="Rllfwd"/>
      <sheetName val="COC, Def, ConvF"/>
      <sheetName val="Summary"/>
      <sheetName val="COC-Restating"/>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v>0.21</v>
          </cell>
        </row>
        <row r="4">
          <cell r="C4" t="str">
            <v>2019 GENERAL RATE CASE</v>
          </cell>
        </row>
        <row r="5">
          <cell r="C5" t="str">
            <v>12 MONTHS ENDED DECEMBER 31, 2018</v>
          </cell>
        </row>
        <row r="6">
          <cell r="C6" t="str">
            <v>UE-190529</v>
          </cell>
        </row>
        <row r="8">
          <cell r="C8" t="str">
            <v>PUGET SOUND ENERGY - ELECTRIC -AWEC CROSS ANSWERING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4 (1)"/>
      <sheetName val="PROP0SED RATES"/>
      <sheetName val="RR SUMMARY"/>
      <sheetName val="CF"/>
      <sheetName val="ADJ DETAIL INPUT"/>
      <sheetName val="Acerno_Cache_XXXXX"/>
      <sheetName val="ADJ SUMMARY"/>
      <sheetName val="DEBT CALC"/>
      <sheetName val="ROO INPUT"/>
      <sheetName val="LEAD SHEETS-DO NOT ENTER"/>
      <sheetName val="Recap Summary"/>
    </sheetNames>
    <sheetDataSet>
      <sheetData sheetId="0">
        <row r="34">
          <cell r="AN34">
            <v>-2455183.7999999998</v>
          </cell>
        </row>
        <row r="37">
          <cell r="AE37">
            <v>0</v>
          </cell>
        </row>
        <row r="40">
          <cell r="AE40">
            <v>-820.8873234029993</v>
          </cell>
        </row>
        <row r="41">
          <cell r="AE41">
            <v>-356.40836149487137</v>
          </cell>
        </row>
        <row r="44">
          <cell r="AE44">
            <v>-854.69899253835058</v>
          </cell>
        </row>
        <row r="45">
          <cell r="AE45">
            <v>-813.24884713775214</v>
          </cell>
        </row>
        <row r="46">
          <cell r="AE46">
            <v>-857.98658517507931</v>
          </cell>
        </row>
        <row r="47">
          <cell r="AE47">
            <v>-1417.1009891855081</v>
          </cell>
        </row>
        <row r="48">
          <cell r="AE48">
            <v>-964.37104133491653</v>
          </cell>
        </row>
        <row r="49">
          <cell r="AE49">
            <v>-1262.7727333311113</v>
          </cell>
        </row>
        <row r="50">
          <cell r="AE50">
            <v>0</v>
          </cell>
        </row>
        <row r="52">
          <cell r="AE52">
            <v>2104.1284478445727</v>
          </cell>
        </row>
        <row r="53">
          <cell r="AE53">
            <v>0</v>
          </cell>
        </row>
        <row r="54">
          <cell r="AE54">
            <v>-16.370689232960448</v>
          </cell>
        </row>
        <row r="55">
          <cell r="AE55">
            <v>0</v>
          </cell>
        </row>
        <row r="56">
          <cell r="AE56">
            <v>0</v>
          </cell>
        </row>
        <row r="59">
          <cell r="V59">
            <v>5074.4313568556499</v>
          </cell>
        </row>
      </sheetData>
      <sheetData sheetId="1"/>
      <sheetData sheetId="2">
        <row r="25">
          <cell r="F25">
            <v>105173</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FERC by Org"/>
      <sheetName val="2016"/>
      <sheetName val="2016 Pivot"/>
      <sheetName val="2017"/>
      <sheetName val="2018"/>
      <sheetName val="Recap"/>
      <sheetName val="Oper Pivot"/>
      <sheetName val="NonOper"/>
      <sheetName val="Exh. BGM-9"/>
      <sheetName val="ISIT-1 (Adj. 3.07) 2020"/>
      <sheetName val="Acerno_Cache_XXXXX"/>
      <sheetName val="ISIT -DR 80- Non-Labor Actual"/>
      <sheetName val="DR 81 Pivot"/>
      <sheetName val="DR 81 Product List"/>
      <sheetName val="Data"/>
    </sheetNames>
    <sheetDataSet>
      <sheetData sheetId="0"/>
      <sheetData sheetId="1"/>
      <sheetData sheetId="2"/>
      <sheetData sheetId="3"/>
      <sheetData sheetId="4"/>
      <sheetData sheetId="5"/>
      <sheetData sheetId="6"/>
      <sheetData sheetId="7"/>
      <sheetData sheetId="8"/>
      <sheetData sheetId="9"/>
      <sheetData sheetId="10">
        <row r="15">
          <cell r="S15">
            <v>1030036.26</v>
          </cell>
          <cell r="W15">
            <v>-982720.58000000007</v>
          </cell>
        </row>
      </sheetData>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justment"/>
      <sheetName val="AMI"/>
      <sheetName val="Amortization"/>
      <sheetName val="Electric-Old meter deferral"/>
      <sheetName val="Gas-Old meter deferral"/>
      <sheetName val="Old Meters"/>
      <sheetName val="Deprec Ex ADJ by Func"/>
      <sheetName val="AWEC DR 40"/>
    </sheetNames>
    <sheetDataSet>
      <sheetData sheetId="0"/>
      <sheetData sheetId="1">
        <row r="3">
          <cell r="E3">
            <v>-24366497.947500002</v>
          </cell>
        </row>
        <row r="8">
          <cell r="E8">
            <v>2631818.6745833331</v>
          </cell>
        </row>
        <row r="26">
          <cell r="B26">
            <v>92163760.517083317</v>
          </cell>
          <cell r="E26">
            <v>-21734679.272916667</v>
          </cell>
        </row>
        <row r="48">
          <cell r="E48">
            <v>5904977.9394944478</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cerno_Cache_XXXXX"/>
      <sheetName val="ADJ DETAIL-INPUT"/>
      <sheetName val="ADJ SUMMARY"/>
      <sheetName val="LEAD SHEETS-DO NOT ENTER"/>
      <sheetName val="ROO INPUT"/>
      <sheetName val="DEBT CALC"/>
      <sheetName val="COMPARISON"/>
    </sheetNames>
    <sheetDataSet>
      <sheetData sheetId="0"/>
      <sheetData sheetId="1"/>
      <sheetData sheetId="2"/>
      <sheetData sheetId="3"/>
      <sheetData sheetId="4">
        <row r="23">
          <cell r="AI23">
            <v>1169</v>
          </cell>
        </row>
        <row r="31">
          <cell r="AI31">
            <v>713</v>
          </cell>
        </row>
        <row r="37">
          <cell r="AI37">
            <v>315</v>
          </cell>
        </row>
        <row r="38">
          <cell r="AI38">
            <v>25</v>
          </cell>
        </row>
        <row r="42">
          <cell r="AI42">
            <v>1045</v>
          </cell>
        </row>
        <row r="47">
          <cell r="AW47">
            <v>2796</v>
          </cell>
        </row>
      </sheetData>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DJ - include PF"/>
      <sheetName val="12.31.2019 ADJ"/>
      <sheetName val="adj"/>
      <sheetName val="ARO"/>
      <sheetName val="do not print"/>
      <sheetName val="D&amp;R Costs"/>
      <sheetName val="Entries"/>
      <sheetName val="ARO Entry April 2020"/>
    </sheetNames>
    <sheetDataSet>
      <sheetData sheetId="0">
        <row r="7">
          <cell r="F7">
            <v>-4266112.713014219</v>
          </cell>
        </row>
        <row r="8">
          <cell r="J8">
            <v>11339926.191700069</v>
          </cell>
        </row>
        <row r="10">
          <cell r="F10">
            <v>763239.25</v>
          </cell>
        </row>
        <row r="11">
          <cell r="F11">
            <v>-2533819.7999999989</v>
          </cell>
        </row>
        <row r="12">
          <cell r="J12">
            <v>-2289717.75</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6"/>
      <sheetName val="Electric"/>
      <sheetName val="E-PLT 2019 EOP"/>
      <sheetName val="E-PLT  2020 AMA"/>
      <sheetName val="E-DEPX 2020 AMA"/>
      <sheetName val="E-AMTX 2020 AMA"/>
      <sheetName val="Exh BGM-7-&gt;"/>
      <sheetName val="Gas"/>
      <sheetName val="G-PLT 2019 EOP"/>
      <sheetName val="G-PLT 2020 AMA"/>
      <sheetName val="G-DEPX 2020 AMA"/>
      <sheetName val="G-AMTX 2020 AMA"/>
      <sheetName val="Allocation Factors"/>
      <sheetName val="AMI - Electric"/>
      <sheetName val="AMI - Natural Gas"/>
      <sheetName val="AWEC DR 40"/>
      <sheetName val="AWEC-033.Attch A AMI Meters"/>
      <sheetName val="AWEC-DR-031-Attachmnt A meters"/>
      <sheetName val="Deprec Ex ADJ by Func"/>
    </sheetNames>
    <sheetDataSet>
      <sheetData sheetId="0"/>
      <sheetData sheetId="1">
        <row r="6">
          <cell r="L6">
            <v>3248.134</v>
          </cell>
        </row>
        <row r="7">
          <cell r="L7">
            <v>12889.547</v>
          </cell>
        </row>
        <row r="8">
          <cell r="L8">
            <v>31444.242608669771</v>
          </cell>
        </row>
        <row r="9">
          <cell r="L9">
            <v>-668.6578120630619</v>
          </cell>
        </row>
        <row r="10">
          <cell r="L10">
            <v>-2005.7196299400339</v>
          </cell>
        </row>
        <row r="17">
          <cell r="L17">
            <v>-12152.587</v>
          </cell>
        </row>
        <row r="18">
          <cell r="L18">
            <v>-3151.4189999999999</v>
          </cell>
        </row>
        <row r="19">
          <cell r="L19">
            <v>-6649.3347863013387</v>
          </cell>
        </row>
        <row r="20">
          <cell r="L20">
            <v>-2370.7371596097801</v>
          </cell>
        </row>
        <row r="21">
          <cell r="L21">
            <v>-5308.6255540888815</v>
          </cell>
        </row>
        <row r="29">
          <cell r="L29">
            <v>-2543.168292770285</v>
          </cell>
        </row>
        <row r="34">
          <cell r="H34">
            <v>12731674.373896383</v>
          </cell>
        </row>
        <row r="39">
          <cell r="L39">
            <v>2959.5680000000002</v>
          </cell>
        </row>
        <row r="40">
          <cell r="L40">
            <v>2371.2036226647037</v>
          </cell>
        </row>
        <row r="41">
          <cell r="L41">
            <v>2437.9913773352964</v>
          </cell>
        </row>
        <row r="44">
          <cell r="H44">
            <v>7768763</v>
          </cell>
        </row>
      </sheetData>
      <sheetData sheetId="2"/>
      <sheetData sheetId="3"/>
      <sheetData sheetId="4"/>
      <sheetData sheetId="5"/>
      <sheetData sheetId="6"/>
      <sheetData sheetId="7">
        <row r="6">
          <cell r="L6">
            <v>688.20600000000002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438A-0AB6-441C-A007-477E92D5E880}">
  <sheetPr codeName="Sheet7"/>
  <dimension ref="C3:Q31"/>
  <sheetViews>
    <sheetView tabSelected="1" workbookViewId="0"/>
  </sheetViews>
  <sheetFormatPr defaultRowHeight="12.75"/>
  <cols>
    <col min="3" max="3" width="1.42578125" customWidth="1"/>
    <col min="4" max="4" width="3.140625" customWidth="1"/>
    <col min="5" max="5" width="1.42578125" customWidth="1"/>
    <col min="6" max="6" width="8.42578125" customWidth="1"/>
    <col min="7" max="7" width="1.42578125" customWidth="1"/>
    <col min="8" max="8" width="29.140625" customWidth="1"/>
    <col min="9" max="9" width="1.42578125" customWidth="1"/>
    <col min="10" max="10" width="17.7109375" customWidth="1"/>
    <col min="11" max="11" width="1.42578125" customWidth="1"/>
    <col min="12" max="12" width="17.7109375" customWidth="1"/>
    <col min="13" max="13" width="1.42578125" customWidth="1"/>
    <col min="15" max="15" width="12.85546875" bestFit="1" customWidth="1"/>
    <col min="17" max="17" width="12.85546875" bestFit="1" customWidth="1"/>
  </cols>
  <sheetData>
    <row r="3" spans="3:17" ht="4.5" customHeight="1">
      <c r="C3" s="840"/>
      <c r="D3" s="841"/>
      <c r="E3" s="841"/>
      <c r="F3" s="841"/>
      <c r="G3" s="841"/>
      <c r="H3" s="841"/>
      <c r="I3" s="841"/>
      <c r="J3" s="841"/>
      <c r="K3" s="841"/>
      <c r="L3" s="841"/>
      <c r="M3" s="842"/>
    </row>
    <row r="4" spans="3:17" ht="15.75">
      <c r="C4" s="843"/>
      <c r="D4" s="865"/>
      <c r="E4" s="489"/>
      <c r="F4" s="489"/>
      <c r="G4" s="489"/>
      <c r="H4" s="848"/>
      <c r="I4" s="848"/>
      <c r="J4" s="887" t="s">
        <v>860</v>
      </c>
      <c r="K4" s="857"/>
      <c r="L4" s="887" t="s">
        <v>859</v>
      </c>
      <c r="M4" s="844"/>
    </row>
    <row r="5" spans="3:17" ht="4.5" customHeight="1">
      <c r="C5" s="843"/>
      <c r="D5" s="865"/>
      <c r="E5" s="489"/>
      <c r="F5" s="489"/>
      <c r="G5" s="489"/>
      <c r="H5" s="848"/>
      <c r="I5" s="848"/>
      <c r="J5" s="849"/>
      <c r="K5" s="848"/>
      <c r="L5" s="849"/>
      <c r="M5" s="844"/>
    </row>
    <row r="6" spans="3:17" ht="15.75">
      <c r="C6" s="843"/>
      <c r="D6" s="888">
        <f ca="1">+MAX(OFFSET($D$2,0,0,ROW($D6)-ROW($D$2),1))+1</f>
        <v>1</v>
      </c>
      <c r="E6" s="889"/>
      <c r="F6" s="908" t="s">
        <v>832</v>
      </c>
      <c r="G6" s="908"/>
      <c r="H6" s="907"/>
      <c r="I6" s="908"/>
      <c r="J6" s="909">
        <v>44183.458383399979</v>
      </c>
      <c r="K6" s="910"/>
      <c r="L6" s="910">
        <v>12790</v>
      </c>
      <c r="M6" s="844"/>
      <c r="O6" s="912"/>
      <c r="P6" s="912"/>
      <c r="Q6" s="912"/>
    </row>
    <row r="7" spans="3:17" ht="4.5" customHeight="1">
      <c r="C7" s="843"/>
      <c r="D7" s="889"/>
      <c r="E7" s="889"/>
      <c r="F7" s="889"/>
      <c r="G7" s="889"/>
      <c r="H7" s="890"/>
      <c r="I7" s="889"/>
      <c r="J7" s="891"/>
      <c r="K7" s="891"/>
      <c r="L7" s="891"/>
      <c r="M7" s="844"/>
      <c r="O7" s="912"/>
      <c r="P7" s="912"/>
      <c r="Q7" s="912"/>
    </row>
    <row r="8" spans="3:17" ht="15.75">
      <c r="C8" s="843"/>
      <c r="D8" s="888">
        <f ca="1">+MAX(OFFSET($D$2,0,0,ROW($D8)-ROW($D$2),1))+1</f>
        <v>2</v>
      </c>
      <c r="E8" s="889"/>
      <c r="F8" s="911" t="s">
        <v>837</v>
      </c>
      <c r="G8" s="890"/>
      <c r="H8" s="890"/>
      <c r="I8" s="889"/>
      <c r="J8" s="891"/>
      <c r="K8" s="891"/>
      <c r="L8" s="891"/>
      <c r="M8" s="844"/>
      <c r="O8" s="913"/>
      <c r="P8" s="912"/>
      <c r="Q8" s="912"/>
    </row>
    <row r="9" spans="3:17" ht="15.75">
      <c r="C9" s="843"/>
      <c r="D9" s="888">
        <f ca="1">+MAX(OFFSET($D$2,0,0,ROW($D9)-ROW($D$2),1))+1</f>
        <v>3</v>
      </c>
      <c r="E9" s="889"/>
      <c r="F9" s="901"/>
      <c r="G9" s="901"/>
      <c r="H9" s="902" t="s">
        <v>842</v>
      </c>
      <c r="I9" s="901"/>
      <c r="J9" s="903">
        <f t="shared" ref="J9:J18" si="0">+O9/1000</f>
        <v>-10283.666499999999</v>
      </c>
      <c r="K9" s="904"/>
      <c r="L9" s="904">
        <f t="shared" ref="L9:L18" si="1">+Q9/1000</f>
        <v>-2455.1837999999998</v>
      </c>
      <c r="M9" s="844"/>
      <c r="O9" s="913">
        <f>+'Exh. No. BGM-3 (1)'!AN35</f>
        <v>-10283666.5</v>
      </c>
      <c r="P9" s="913"/>
      <c r="Q9" s="913">
        <f>+'[14]Exh. No. BGM-4 (1)'!$AN$34</f>
        <v>-2455183.7999999998</v>
      </c>
    </row>
    <row r="10" spans="3:17" ht="22.5">
      <c r="C10" s="843"/>
      <c r="D10" s="888">
        <f t="shared" ref="D10:D28" ca="1" si="2">+MAX(OFFSET($D$2,0,0,ROW($D10)-ROW($D$2),1))+1</f>
        <v>4</v>
      </c>
      <c r="E10" s="889"/>
      <c r="F10" s="899" t="s">
        <v>864</v>
      </c>
      <c r="G10" s="899"/>
      <c r="H10" s="892" t="s">
        <v>820</v>
      </c>
      <c r="I10" s="889"/>
      <c r="J10" s="893">
        <f t="shared" si="0"/>
        <v>-8556.7950032858607</v>
      </c>
      <c r="K10" s="891"/>
      <c r="L10" s="891">
        <f t="shared" si="1"/>
        <v>-2803.2780075270339</v>
      </c>
      <c r="M10" s="844"/>
      <c r="O10" s="913">
        <f>+('Exh. No. BGM-3 (1)'!AE61+'Exh. No. BGM-3 (1)'!AE54+'Exh. No. BGM-3 (1)'!AE53+'Exh. No. BGM-3 (1)'!AE52+'Exh. No. BGM-3 (1)'!AE51+'Exh. No. BGM-3 (1)'!AE50)*1000</f>
        <v>-8556795.0032858606</v>
      </c>
      <c r="P10" s="913"/>
      <c r="Q10" s="913">
        <f>+('[14]Exh. No. BGM-4 (1)'!$AE$52+'[14]Exh. No. BGM-4 (1)'!$AE$48+'[14]Exh. No. BGM-4 (1)'!$AE$47+'[14]Exh. No. BGM-4 (1)'!$AE$46+'[14]Exh. No. BGM-4 (1)'!$AE$45+'[14]Exh. No. BGM-4 (1)'!$AE$44)*1000</f>
        <v>-2803278.0075270338</v>
      </c>
    </row>
    <row r="11" spans="3:17" ht="15.75">
      <c r="C11" s="843"/>
      <c r="D11" s="888">
        <f t="shared" ca="1" si="2"/>
        <v>5</v>
      </c>
      <c r="E11" s="889"/>
      <c r="F11" s="905">
        <v>7.02</v>
      </c>
      <c r="G11" s="905"/>
      <c r="H11" s="902" t="s">
        <v>844</v>
      </c>
      <c r="I11" s="901"/>
      <c r="J11" s="903">
        <f t="shared" si="0"/>
        <v>0</v>
      </c>
      <c r="K11" s="904"/>
      <c r="L11" s="904">
        <f t="shared" si="1"/>
        <v>0</v>
      </c>
      <c r="M11" s="844"/>
      <c r="O11" s="913">
        <f>+'Exh. No. BGM-3 (1)'!AE62*1000</f>
        <v>0</v>
      </c>
      <c r="P11" s="913"/>
      <c r="Q11" s="913">
        <f>+'[14]Exh. No. BGM-4 (1)'!$AE$53*1000</f>
        <v>0</v>
      </c>
    </row>
    <row r="12" spans="3:17" ht="15.75">
      <c r="C12" s="843"/>
      <c r="D12" s="888">
        <f t="shared" ca="1" si="2"/>
        <v>6</v>
      </c>
      <c r="E12" s="889"/>
      <c r="F12" s="900">
        <v>3.18</v>
      </c>
      <c r="G12" s="900"/>
      <c r="H12" s="892" t="s">
        <v>821</v>
      </c>
      <c r="I12" s="889"/>
      <c r="J12" s="893">
        <f t="shared" si="0"/>
        <v>908.58678210074459</v>
      </c>
      <c r="K12" s="891"/>
      <c r="L12" s="891">
        <f t="shared" si="1"/>
        <v>0</v>
      </c>
      <c r="M12" s="844"/>
      <c r="O12" s="913">
        <f>+'Exh. No. BGM-3 (1)'!AE57*1000</f>
        <v>908586.78210074455</v>
      </c>
      <c r="P12" s="913"/>
      <c r="Q12" s="913"/>
    </row>
    <row r="13" spans="3:17" ht="15.75">
      <c r="C13" s="843"/>
      <c r="D13" s="888">
        <f t="shared" ca="1" si="2"/>
        <v>7</v>
      </c>
      <c r="E13" s="889"/>
      <c r="F13" s="905" t="s">
        <v>746</v>
      </c>
      <c r="G13" s="905"/>
      <c r="H13" s="902" t="s">
        <v>824</v>
      </c>
      <c r="I13" s="901"/>
      <c r="J13" s="903">
        <f t="shared" si="0"/>
        <v>-557.10451824057941</v>
      </c>
      <c r="K13" s="904"/>
      <c r="L13" s="904">
        <f t="shared" si="1"/>
        <v>0</v>
      </c>
      <c r="M13" s="844"/>
      <c r="O13" s="913">
        <f>+'Exh. No. BGM-3 (1)'!AE39*1000</f>
        <v>-557104.5182405794</v>
      </c>
      <c r="P13" s="913"/>
      <c r="Q13" s="913"/>
    </row>
    <row r="14" spans="3:17" ht="15.75">
      <c r="C14" s="843"/>
      <c r="D14" s="888">
        <f t="shared" ca="1" si="2"/>
        <v>8</v>
      </c>
      <c r="E14" s="889"/>
      <c r="F14" s="900">
        <v>3.19</v>
      </c>
      <c r="G14" s="900"/>
      <c r="H14" s="892" t="s">
        <v>847</v>
      </c>
      <c r="I14" s="889"/>
      <c r="J14" s="893">
        <f t="shared" si="0"/>
        <v>-1419.7016217765815</v>
      </c>
      <c r="K14" s="891"/>
      <c r="L14" s="891">
        <f t="shared" si="1"/>
        <v>0</v>
      </c>
      <c r="M14" s="844"/>
      <c r="O14" s="913">
        <f>+'Exh. No. BGM-3 (1)'!AE58*1000</f>
        <v>-1419701.6217765815</v>
      </c>
      <c r="P14" s="913"/>
      <c r="Q14" s="913"/>
    </row>
    <row r="15" spans="3:17" ht="15.75">
      <c r="C15" s="843"/>
      <c r="D15" s="888">
        <f t="shared" ca="1" si="2"/>
        <v>9</v>
      </c>
      <c r="E15" s="889"/>
      <c r="F15" s="905">
        <v>3.17</v>
      </c>
      <c r="G15" s="905"/>
      <c r="H15" s="902" t="s">
        <v>826</v>
      </c>
      <c r="I15" s="901"/>
      <c r="J15" s="903">
        <f t="shared" si="0"/>
        <v>-3784.4989235979629</v>
      </c>
      <c r="K15" s="904"/>
      <c r="L15" s="904">
        <f t="shared" si="1"/>
        <v>0</v>
      </c>
      <c r="M15" s="844"/>
      <c r="O15" s="913">
        <f>+'Exh. No. BGM-3 (1)'!AE56*1000</f>
        <v>-3784498.9235979631</v>
      </c>
      <c r="P15" s="913"/>
      <c r="Q15" s="913"/>
    </row>
    <row r="16" spans="3:17" ht="15.75">
      <c r="C16" s="843"/>
      <c r="D16" s="888">
        <f t="shared" ca="1" si="2"/>
        <v>10</v>
      </c>
      <c r="E16" s="889"/>
      <c r="F16" s="900">
        <v>3.07</v>
      </c>
      <c r="G16" s="900"/>
      <c r="H16" s="894" t="s">
        <v>827</v>
      </c>
      <c r="I16" s="889"/>
      <c r="J16" s="893">
        <f t="shared" si="0"/>
        <v>-1078.3747785630494</v>
      </c>
      <c r="K16" s="891"/>
      <c r="L16" s="891">
        <f t="shared" si="1"/>
        <v>-820.8873234029993</v>
      </c>
      <c r="M16" s="844"/>
      <c r="O16" s="913">
        <f>+'Exh. No. BGM-3 (1)'!AE46*1000</f>
        <v>-1078374.7785630494</v>
      </c>
      <c r="P16" s="913"/>
      <c r="Q16" s="913">
        <f>+'[14]Exh. No. BGM-4 (1)'!$AE$40*1000</f>
        <v>-820887.32340299932</v>
      </c>
    </row>
    <row r="17" spans="3:17" ht="15.75">
      <c r="C17" s="843"/>
      <c r="D17" s="888">
        <f t="shared" ca="1" si="2"/>
        <v>11</v>
      </c>
      <c r="E17" s="889"/>
      <c r="F17" s="905">
        <v>3.08</v>
      </c>
      <c r="G17" s="905"/>
      <c r="H17" s="902" t="s">
        <v>828</v>
      </c>
      <c r="I17" s="901"/>
      <c r="J17" s="903">
        <f t="shared" si="0"/>
        <v>-1027.8769038281782</v>
      </c>
      <c r="K17" s="904"/>
      <c r="L17" s="904">
        <f t="shared" si="1"/>
        <v>-356.40836149487137</v>
      </c>
      <c r="M17" s="844"/>
      <c r="O17" s="913">
        <f>+'Exh. No. BGM-3 (1)'!AE47*1000</f>
        <v>-1027876.9038281782</v>
      </c>
      <c r="P17" s="913"/>
      <c r="Q17" s="913">
        <f>+'[14]Exh. No. BGM-4 (1)'!$AE$41*1000</f>
        <v>-356408.36149487138</v>
      </c>
    </row>
    <row r="18" spans="3:17" ht="15.75">
      <c r="C18" s="843"/>
      <c r="D18" s="888">
        <f t="shared" ca="1" si="2"/>
        <v>12</v>
      </c>
      <c r="E18" s="889"/>
      <c r="F18" s="900">
        <v>3.17</v>
      </c>
      <c r="G18" s="900"/>
      <c r="H18" s="892" t="s">
        <v>825</v>
      </c>
      <c r="I18" s="889"/>
      <c r="J18" s="893">
        <f t="shared" si="0"/>
        <v>0</v>
      </c>
      <c r="K18" s="891"/>
      <c r="L18" s="891">
        <f t="shared" si="1"/>
        <v>0</v>
      </c>
      <c r="M18" s="844"/>
      <c r="O18" s="913"/>
      <c r="P18" s="913"/>
      <c r="Q18" s="913">
        <f>+'[14]Exh. No. BGM-4 (1)'!$AE$50*1000</f>
        <v>0</v>
      </c>
    </row>
    <row r="19" spans="3:17" ht="15.75">
      <c r="C19" s="843"/>
      <c r="D19" s="888">
        <f t="shared" ca="1" si="2"/>
        <v>13</v>
      </c>
      <c r="E19" s="889"/>
      <c r="F19" s="905">
        <v>3.04</v>
      </c>
      <c r="G19" s="905"/>
      <c r="H19" s="902" t="s">
        <v>863</v>
      </c>
      <c r="I19" s="901"/>
      <c r="J19" s="903">
        <f t="shared" ref="J19:J20" si="3">+O19/1000</f>
        <v>0</v>
      </c>
      <c r="K19" s="904"/>
      <c r="L19" s="904">
        <f t="shared" ref="L19:L20" si="4">+Q19/1000</f>
        <v>0</v>
      </c>
      <c r="M19" s="844"/>
      <c r="O19" s="913">
        <f>+'Exh. No. BGM-3 (1)'!AE43*1000</f>
        <v>0</v>
      </c>
      <c r="P19" s="913"/>
      <c r="Q19" s="913">
        <f>+'[14]Exh. No. BGM-4 (1)'!$AE$37*1000</f>
        <v>0</v>
      </c>
    </row>
    <row r="20" spans="3:17" ht="15.75">
      <c r="C20" s="843"/>
      <c r="D20" s="888">
        <f t="shared" ca="1" si="2"/>
        <v>14</v>
      </c>
      <c r="E20" s="889"/>
      <c r="F20" s="900">
        <v>7.03</v>
      </c>
      <c r="G20" s="900"/>
      <c r="H20" s="892" t="s">
        <v>848</v>
      </c>
      <c r="I20" s="889"/>
      <c r="J20" s="893">
        <f t="shared" si="3"/>
        <v>-56.216691778300898</v>
      </c>
      <c r="K20" s="891"/>
      <c r="L20" s="891">
        <f t="shared" si="4"/>
        <v>-16.370689232960448</v>
      </c>
      <c r="M20" s="844"/>
      <c r="O20" s="913">
        <f>+'Exh. No. BGM-3 (1)'!AE63*1000</f>
        <v>-56216.691778300898</v>
      </c>
      <c r="P20" s="913"/>
      <c r="Q20" s="913">
        <f>+'[14]Exh. No. BGM-4 (1)'!$AE$54*1000</f>
        <v>-16370.689232960447</v>
      </c>
    </row>
    <row r="21" spans="3:17" ht="15.75">
      <c r="C21" s="843"/>
      <c r="D21" s="888">
        <f ca="1">+MAX(OFFSET($D$2,0,0,ROW($D21)-ROW($D$2),1))+1</f>
        <v>15</v>
      </c>
      <c r="E21" s="889"/>
      <c r="F21" s="905">
        <v>3.16</v>
      </c>
      <c r="G21" s="905"/>
      <c r="H21" s="902" t="s">
        <v>862</v>
      </c>
      <c r="I21" s="901"/>
      <c r="J21" s="903">
        <f>+O21/1000</f>
        <v>-3618.9094370653474</v>
      </c>
      <c r="K21" s="904"/>
      <c r="L21" s="904">
        <f>+Q21/1000</f>
        <v>-1262.7727333311113</v>
      </c>
      <c r="M21" s="844"/>
      <c r="O21" s="913">
        <f>+'Exh. No. BGM-3 (1)'!AE55*1000</f>
        <v>-3618909.4370653476</v>
      </c>
      <c r="P21" s="913"/>
      <c r="Q21" s="913">
        <f>+'[14]Exh. No. BGM-4 (1)'!$AE$49*1000</f>
        <v>-1262772.7333311113</v>
      </c>
    </row>
    <row r="22" spans="3:17" ht="15.75">
      <c r="C22" s="843"/>
      <c r="D22" s="888">
        <f t="shared" ca="1" si="2"/>
        <v>16</v>
      </c>
      <c r="E22" s="889"/>
      <c r="F22" s="900">
        <v>7.04</v>
      </c>
      <c r="G22" s="900"/>
      <c r="H22" s="892" t="s">
        <v>829</v>
      </c>
      <c r="I22" s="889"/>
      <c r="J22" s="893">
        <f>+O22/1000</f>
        <v>0</v>
      </c>
      <c r="K22" s="891"/>
      <c r="L22" s="891">
        <f>+Q22/1000</f>
        <v>0</v>
      </c>
      <c r="M22" s="844"/>
      <c r="O22" s="913">
        <f>+'Exh. No. BGM-3 (1)'!AE64*1000</f>
        <v>0</v>
      </c>
      <c r="P22" s="913"/>
      <c r="Q22" s="913">
        <f>+'[14]Exh. No. BGM-4 (1)'!$AE$55*1000</f>
        <v>0</v>
      </c>
    </row>
    <row r="23" spans="3:17" ht="15.75">
      <c r="C23" s="843"/>
      <c r="D23" s="888">
        <f t="shared" ca="1" si="2"/>
        <v>17</v>
      </c>
      <c r="E23" s="889"/>
      <c r="F23" s="905" t="s">
        <v>779</v>
      </c>
      <c r="G23" s="905"/>
      <c r="H23" s="902" t="s">
        <v>830</v>
      </c>
      <c r="I23" s="901"/>
      <c r="J23" s="903">
        <f>+O23/1000</f>
        <v>0</v>
      </c>
      <c r="K23" s="904"/>
      <c r="L23" s="904">
        <f>+Q23/1000</f>
        <v>0</v>
      </c>
      <c r="M23" s="844"/>
      <c r="O23" s="913">
        <f>+'Exh. No. BGM-3 (1)'!AE65*1000</f>
        <v>0</v>
      </c>
      <c r="P23" s="913"/>
      <c r="Q23" s="913">
        <f>+'[14]Exh. No. BGM-4 (1)'!$AE$56*1000</f>
        <v>0</v>
      </c>
    </row>
    <row r="24" spans="3:17" ht="15.75">
      <c r="C24" s="843"/>
      <c r="D24" s="889"/>
      <c r="E24" s="889"/>
      <c r="F24" s="889"/>
      <c r="G24" s="889"/>
      <c r="H24" s="889"/>
      <c r="I24" s="889"/>
      <c r="J24" s="895"/>
      <c r="K24" s="891"/>
      <c r="L24" s="895"/>
      <c r="M24" s="844"/>
      <c r="O24" s="913"/>
      <c r="P24" s="913"/>
      <c r="Q24" s="913"/>
    </row>
    <row r="25" spans="3:17" ht="15.75">
      <c r="C25" s="843"/>
      <c r="D25" s="888">
        <f t="shared" ca="1" si="2"/>
        <v>18</v>
      </c>
      <c r="E25" s="889"/>
      <c r="F25" s="905"/>
      <c r="G25" s="905"/>
      <c r="H25" s="902" t="s">
        <v>822</v>
      </c>
      <c r="I25" s="901"/>
      <c r="J25" s="903">
        <f>+SUM(J9:J24)</f>
        <v>-29474.557596035113</v>
      </c>
      <c r="K25" s="904"/>
      <c r="L25" s="904">
        <f>+SUM(L9:L24)</f>
        <v>-7714.9009149889762</v>
      </c>
      <c r="M25" s="844"/>
      <c r="O25" s="913"/>
      <c r="P25" s="913"/>
      <c r="Q25" s="913"/>
    </row>
    <row r="26" spans="3:17" ht="15.75">
      <c r="C26" s="843"/>
      <c r="D26" s="889"/>
      <c r="E26" s="889"/>
      <c r="F26" s="889"/>
      <c r="G26" s="889"/>
      <c r="H26" s="889"/>
      <c r="I26" s="889"/>
      <c r="J26" s="891"/>
      <c r="K26" s="891"/>
      <c r="L26" s="891"/>
      <c r="M26" s="844"/>
      <c r="O26" s="913"/>
      <c r="P26" s="913"/>
      <c r="Q26" s="913"/>
    </row>
    <row r="27" spans="3:17" ht="15.75">
      <c r="C27" s="843"/>
      <c r="D27" s="888">
        <f t="shared" ca="1" si="2"/>
        <v>19</v>
      </c>
      <c r="E27" s="889"/>
      <c r="F27" s="907" t="s">
        <v>823</v>
      </c>
      <c r="G27" s="906"/>
      <c r="H27" s="907"/>
      <c r="I27" s="908"/>
      <c r="J27" s="909">
        <f>+J6+J25</f>
        <v>14708.900787364866</v>
      </c>
      <c r="K27" s="910"/>
      <c r="L27" s="910">
        <f>+L6+L25</f>
        <v>5075.0990850110238</v>
      </c>
      <c r="M27" s="844"/>
      <c r="O27" s="913">
        <f>+J27*1000</f>
        <v>14708900.787364867</v>
      </c>
      <c r="P27" s="913"/>
      <c r="Q27" s="913">
        <f>+L27*1000</f>
        <v>5075099.085011024</v>
      </c>
    </row>
    <row r="28" spans="3:17" ht="15.75">
      <c r="C28" s="843"/>
      <c r="D28" s="888">
        <f t="shared" ca="1" si="2"/>
        <v>20</v>
      </c>
      <c r="E28" s="889"/>
      <c r="F28" s="889"/>
      <c r="G28" s="889"/>
      <c r="H28" s="896"/>
      <c r="I28" s="897"/>
      <c r="J28" s="898">
        <f>+J27/'RR SUMMARY'!E26</f>
        <v>2.7662765105383763E-2</v>
      </c>
      <c r="K28" s="897"/>
      <c r="L28" s="898">
        <f>+L27/'[14]RR SUMMARY'!$F$25</f>
        <v>4.8254771519411099E-2</v>
      </c>
      <c r="M28" s="844"/>
    </row>
    <row r="29" spans="3:17" ht="4.5" customHeight="1">
      <c r="C29" s="845"/>
      <c r="D29" s="846"/>
      <c r="E29" s="846"/>
      <c r="F29" s="846"/>
      <c r="G29" s="846"/>
      <c r="H29" s="846"/>
      <c r="I29" s="846"/>
      <c r="J29" s="846"/>
      <c r="K29" s="846"/>
      <c r="L29" s="846"/>
      <c r="M29" s="847"/>
    </row>
    <row r="31" spans="3:17">
      <c r="J31" s="885">
        <f>+J27-'Exh. No. BGM-3 (1)'!V70</f>
        <v>0.13477825502377527</v>
      </c>
      <c r="L31" s="886">
        <f>+L27-'[14]Exh. No. BGM-4 (1)'!$V$59</f>
        <v>0.66772815537387942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9AAE-FCC5-40D1-BB4F-4233F7435888}">
  <sheetPr codeName="Sheet6">
    <tabColor rgb="FF62F4CE"/>
  </sheetPr>
  <dimension ref="A1:AZ84"/>
  <sheetViews>
    <sheetView zoomScale="85" zoomScaleNormal="85" zoomScaleSheetLayoutView="100" workbookViewId="0"/>
  </sheetViews>
  <sheetFormatPr defaultRowHeight="12.75"/>
  <cols>
    <col min="1" max="1" width="1.42578125" style="800" customWidth="1"/>
    <col min="2" max="2" width="5.7109375" style="800" customWidth="1"/>
    <col min="3" max="3" width="1.42578125" style="800" customWidth="1"/>
    <col min="4" max="4" width="8" style="800" customWidth="1"/>
    <col min="5" max="5" width="1.42578125" style="800" customWidth="1"/>
    <col min="6" max="6" width="37.85546875" style="800" customWidth="1"/>
    <col min="7" max="8" width="1.42578125" style="801" customWidth="1"/>
    <col min="9" max="9" width="9.7109375" style="800" customWidth="1"/>
    <col min="10" max="10" width="1.42578125" style="800" customWidth="1"/>
    <col min="11" max="11" width="9.7109375" style="800" customWidth="1"/>
    <col min="12" max="12" width="1.42578125" style="800" customWidth="1"/>
    <col min="13" max="13" width="9.7109375" style="800" customWidth="1"/>
    <col min="14" max="14" width="1.42578125" style="800" customWidth="1"/>
    <col min="15" max="15" width="9.7109375" style="800" customWidth="1"/>
    <col min="16" max="16" width="1.42578125" style="801" customWidth="1"/>
    <col min="17" max="17" width="1.42578125" style="800" customWidth="1"/>
    <col min="18" max="18" width="9.7109375" style="800" customWidth="1"/>
    <col min="19" max="19" width="1.42578125" style="800" customWidth="1"/>
    <col min="20" max="20" width="9.7109375" style="800" customWidth="1"/>
    <col min="21" max="21" width="1.42578125" style="800" customWidth="1"/>
    <col min="22" max="22" width="9.7109375" style="800" customWidth="1"/>
    <col min="23" max="24" width="1.42578125" style="800" customWidth="1"/>
    <col min="25" max="25" width="10.42578125" style="801" customWidth="1"/>
    <col min="26" max="26" width="1.42578125" style="801" customWidth="1"/>
    <col min="27" max="27" width="10.42578125" style="801" customWidth="1"/>
    <col min="28" max="28" width="1.28515625" style="801" customWidth="1"/>
    <col min="29" max="29" width="10.42578125" style="801" customWidth="1"/>
    <col min="30" max="30" width="1.42578125" style="801" customWidth="1"/>
    <col min="31" max="31" width="10.42578125" style="801" customWidth="1"/>
    <col min="32" max="32" width="1.42578125" style="801" customWidth="1"/>
    <col min="33" max="33" width="15.7109375" style="801" customWidth="1"/>
    <col min="34" max="35" width="2.7109375" style="801" customWidth="1"/>
    <col min="36" max="36" width="21.140625" style="801" customWidth="1"/>
    <col min="37" max="39" width="11.85546875" style="800" customWidth="1"/>
    <col min="40" max="40" width="10.42578125" style="800" bestFit="1" customWidth="1"/>
    <col min="41" max="16384" width="9.140625" style="800"/>
  </cols>
  <sheetData>
    <row r="1" spans="1:51">
      <c r="A1" s="799" t="s">
        <v>836</v>
      </c>
      <c r="B1" s="799"/>
      <c r="C1" s="799"/>
      <c r="E1" s="799"/>
      <c r="F1" s="799"/>
      <c r="I1" s="801"/>
      <c r="J1" s="801"/>
      <c r="K1" s="801"/>
      <c r="L1" s="799"/>
      <c r="M1" s="799"/>
      <c r="N1" s="799"/>
      <c r="O1" s="799"/>
      <c r="Q1" s="799"/>
      <c r="R1" s="799"/>
      <c r="S1" s="799"/>
      <c r="T1" s="799"/>
      <c r="U1" s="799"/>
      <c r="V1" s="799"/>
      <c r="Z1" s="802"/>
      <c r="AI1" s="803"/>
      <c r="AK1" s="801"/>
      <c r="AL1" s="801"/>
      <c r="AM1" s="801"/>
      <c r="AN1" s="801"/>
      <c r="AO1" s="801"/>
    </row>
    <row r="2" spans="1:51">
      <c r="B2" s="799"/>
      <c r="C2" s="799"/>
      <c r="D2" s="799"/>
      <c r="E2" s="799"/>
      <c r="F2" s="799"/>
      <c r="H2" s="804"/>
      <c r="I2" s="805" t="s">
        <v>861</v>
      </c>
      <c r="J2" s="806"/>
      <c r="K2" s="806"/>
      <c r="L2" s="806"/>
      <c r="M2" s="806"/>
      <c r="N2" s="806"/>
      <c r="O2" s="806"/>
      <c r="Q2" s="799"/>
      <c r="R2" s="805" t="s">
        <v>796</v>
      </c>
      <c r="S2" s="807"/>
      <c r="T2" s="807"/>
      <c r="U2" s="807"/>
      <c r="V2" s="807"/>
      <c r="Y2" s="805" t="s">
        <v>797</v>
      </c>
      <c r="Z2" s="808"/>
      <c r="AA2" s="809"/>
      <c r="AB2" s="809"/>
      <c r="AC2" s="809"/>
      <c r="AD2" s="809"/>
      <c r="AE2" s="809"/>
      <c r="AF2" s="802"/>
      <c r="AG2" s="802"/>
      <c r="AI2" s="803"/>
      <c r="AJ2" s="810" t="s">
        <v>798</v>
      </c>
      <c r="AK2" s="810"/>
      <c r="AL2" s="810"/>
      <c r="AM2" s="810"/>
      <c r="AN2" s="801"/>
      <c r="AO2" s="801"/>
    </row>
    <row r="3" spans="1:51">
      <c r="B3" s="799"/>
      <c r="C3" s="799"/>
      <c r="D3" s="799"/>
      <c r="E3" s="799"/>
      <c r="F3" s="799"/>
      <c r="I3" s="802"/>
      <c r="J3" s="802"/>
      <c r="K3" s="802"/>
      <c r="L3" s="802"/>
      <c r="M3" s="802"/>
      <c r="N3" s="802"/>
      <c r="O3" s="802" t="s">
        <v>799</v>
      </c>
      <c r="R3" s="802"/>
      <c r="S3" s="802"/>
      <c r="T3" s="802"/>
      <c r="U3" s="802"/>
      <c r="V3" s="802" t="s">
        <v>799</v>
      </c>
      <c r="Y3" s="802" t="s">
        <v>800</v>
      </c>
      <c r="Z3" s="802"/>
      <c r="AA3" s="802"/>
      <c r="AB3" s="802"/>
      <c r="AC3" s="802"/>
      <c r="AD3" s="802"/>
      <c r="AE3" s="802" t="s">
        <v>799</v>
      </c>
      <c r="AF3" s="802"/>
      <c r="AG3" s="802"/>
      <c r="AI3" s="803"/>
      <c r="AJ3" s="800"/>
    </row>
    <row r="4" spans="1:51">
      <c r="B4" s="799"/>
      <c r="C4" s="799"/>
      <c r="D4" s="811" t="s">
        <v>801</v>
      </c>
      <c r="E4" s="799"/>
      <c r="F4" s="799"/>
      <c r="I4" s="802" t="s">
        <v>834</v>
      </c>
      <c r="J4" s="802"/>
      <c r="K4" s="802" t="s">
        <v>802</v>
      </c>
      <c r="L4" s="802"/>
      <c r="M4" s="802"/>
      <c r="N4" s="802"/>
      <c r="O4" s="802" t="s">
        <v>803</v>
      </c>
      <c r="R4" s="802" t="s">
        <v>802</v>
      </c>
      <c r="S4" s="802"/>
      <c r="T4" s="802"/>
      <c r="U4" s="802"/>
      <c r="V4" s="802" t="s">
        <v>803</v>
      </c>
      <c r="Y4" s="802" t="s">
        <v>802</v>
      </c>
      <c r="Z4" s="802"/>
      <c r="AA4" s="802" t="s">
        <v>802</v>
      </c>
      <c r="AB4" s="802"/>
      <c r="AC4" s="802"/>
      <c r="AD4" s="802"/>
      <c r="AE4" s="802" t="s">
        <v>803</v>
      </c>
      <c r="AF4" s="802"/>
      <c r="AG4" s="802"/>
      <c r="AI4" s="803"/>
      <c r="AJ4" s="800" t="s">
        <v>804</v>
      </c>
      <c r="AK4" s="812">
        <f>+'CF '!E24</f>
        <v>0.75529400000000002</v>
      </c>
    </row>
    <row r="5" spans="1:51">
      <c r="B5" s="807" t="s">
        <v>8</v>
      </c>
      <c r="C5" s="799"/>
      <c r="D5" s="813" t="s">
        <v>805</v>
      </c>
      <c r="E5" s="799"/>
      <c r="F5" s="807" t="s">
        <v>80</v>
      </c>
      <c r="I5" s="814" t="s">
        <v>835</v>
      </c>
      <c r="J5" s="858"/>
      <c r="K5" s="814" t="s">
        <v>806</v>
      </c>
      <c r="L5" s="802"/>
      <c r="M5" s="814" t="s">
        <v>24</v>
      </c>
      <c r="N5" s="802"/>
      <c r="O5" s="814" t="s">
        <v>807</v>
      </c>
      <c r="R5" s="814" t="s">
        <v>806</v>
      </c>
      <c r="S5" s="802"/>
      <c r="T5" s="814" t="s">
        <v>24</v>
      </c>
      <c r="U5" s="802"/>
      <c r="V5" s="814" t="s">
        <v>807</v>
      </c>
      <c r="Y5" s="814" t="s">
        <v>806</v>
      </c>
      <c r="Z5" s="802"/>
      <c r="AA5" s="814" t="s">
        <v>806</v>
      </c>
      <c r="AB5" s="802"/>
      <c r="AC5" s="814" t="s">
        <v>24</v>
      </c>
      <c r="AD5" s="802"/>
      <c r="AE5" s="814" t="s">
        <v>807</v>
      </c>
      <c r="AF5" s="802"/>
      <c r="AG5" s="814" t="s">
        <v>808</v>
      </c>
      <c r="AI5" s="803"/>
      <c r="AJ5" s="800" t="s">
        <v>809</v>
      </c>
      <c r="AK5" s="815">
        <v>0.21</v>
      </c>
    </row>
    <row r="6" spans="1:51">
      <c r="AG6" s="802"/>
      <c r="AI6" s="803"/>
      <c r="AJ6" s="800"/>
      <c r="AK6" s="821"/>
    </row>
    <row r="7" spans="1:51">
      <c r="B7" s="800">
        <v>1</v>
      </c>
      <c r="D7" s="459">
        <v>1</v>
      </c>
      <c r="E7" s="799"/>
      <c r="F7" s="799" t="s">
        <v>865</v>
      </c>
      <c r="I7" s="821">
        <f>+K7</f>
        <v>115023</v>
      </c>
      <c r="J7" s="816"/>
      <c r="K7" s="816">
        <f>+INDEX('ADJ DETAIL-INPUT'!$E$57:$AZ$57,1,MATCH($D7,'ADJ DETAIL-INPUT'!$E$10:$AZ$10,0))</f>
        <v>115023</v>
      </c>
      <c r="L7" s="816"/>
      <c r="M7" s="816">
        <f>+INDEX('ADJ DETAIL-INPUT'!$E$81:$AZ$81,1,MATCH($D7,'ADJ DETAIL-INPUT'!$E$10:$AZ$10,0))</f>
        <v>1710135</v>
      </c>
      <c r="N7" s="816"/>
      <c r="O7" s="816">
        <f>+($M7*$AM$12-$K7)/$AK$4</f>
        <v>6431.2221466078081</v>
      </c>
      <c r="Q7" s="799"/>
      <c r="R7" s="817">
        <f>+K7</f>
        <v>115023</v>
      </c>
      <c r="S7" s="816"/>
      <c r="T7" s="816">
        <f>+M7</f>
        <v>1710135</v>
      </c>
      <c r="U7" s="816"/>
      <c r="V7" s="816">
        <f>+($T7*$AM$12-$R7)/$AK$4</f>
        <v>6431.2221466078081</v>
      </c>
      <c r="AG7" s="802"/>
      <c r="AI7" s="803"/>
      <c r="AJ7" s="800"/>
      <c r="AN7" s="800" t="s">
        <v>841</v>
      </c>
      <c r="AV7" s="818"/>
      <c r="AW7" s="819"/>
      <c r="AX7" s="819"/>
      <c r="AY7" s="819"/>
    </row>
    <row r="8" spans="1:51">
      <c r="D8" s="820"/>
      <c r="I8" s="821"/>
      <c r="J8" s="821"/>
      <c r="K8" s="821"/>
      <c r="L8" s="821"/>
      <c r="M8" s="821"/>
      <c r="N8" s="821"/>
      <c r="O8" s="821"/>
      <c r="R8" s="821"/>
      <c r="S8" s="821"/>
      <c r="T8" s="821"/>
      <c r="U8" s="821"/>
      <c r="V8" s="821"/>
      <c r="AG8" s="802"/>
      <c r="AI8" s="803"/>
      <c r="AJ8" s="822" t="s">
        <v>810</v>
      </c>
      <c r="AK8" s="823" t="s">
        <v>122</v>
      </c>
      <c r="AL8" s="823"/>
      <c r="AM8" s="824" t="s">
        <v>123</v>
      </c>
      <c r="AV8" s="818"/>
      <c r="AW8" s="819"/>
      <c r="AX8" s="819"/>
      <c r="AY8" s="819"/>
    </row>
    <row r="9" spans="1:51">
      <c r="B9" s="804" t="s">
        <v>811</v>
      </c>
      <c r="D9" s="820"/>
      <c r="I9" s="821"/>
      <c r="J9" s="821"/>
      <c r="K9" s="821"/>
      <c r="L9" s="821"/>
      <c r="M9" s="821"/>
      <c r="N9" s="821"/>
      <c r="O9" s="821"/>
      <c r="R9" s="821"/>
      <c r="S9" s="821"/>
      <c r="T9" s="821"/>
      <c r="U9" s="821"/>
      <c r="V9" s="821"/>
      <c r="AG9" s="802"/>
      <c r="AI9" s="803"/>
      <c r="AJ9" s="825" t="s">
        <v>125</v>
      </c>
      <c r="AK9" s="826" t="s">
        <v>127</v>
      </c>
      <c r="AL9" s="826" t="s">
        <v>128</v>
      </c>
      <c r="AM9" s="827" t="s">
        <v>128</v>
      </c>
      <c r="AW9" s="819"/>
      <c r="AX9" s="819"/>
    </row>
    <row r="10" spans="1:51">
      <c r="B10" s="800">
        <f t="shared" ref="B10:B65" ca="1" si="0">+MAX(OFFSET($B$7,0,0,ROW($B10)-ROW($B$7),1))+1</f>
        <v>2</v>
      </c>
      <c r="D10" s="820">
        <v>1.01</v>
      </c>
      <c r="F10" s="800" t="str" cm="1">
        <f t="array" ref="F10">+TRIM(INDEX('ADJ DETAIL-INPUT'!$E$7:$AZ$7&amp;" "&amp;'ADJ DETAIL-INPUT'!$E$8:$AZ$8&amp;" "&amp;'ADJ DETAIL-INPUT'!$E$9:$AZ$9,1,MATCH($D10,'ADJ DETAIL-INPUT'!$E$10:$AZ$10,0)))</f>
        <v>Deferred FIT Rate Base</v>
      </c>
      <c r="I10" s="821">
        <v>0</v>
      </c>
      <c r="J10" s="821"/>
      <c r="K10" s="821">
        <f t="shared" ref="K10:K26" si="1">+I10+$M10*$AK$5*$AM$10</f>
        <v>0.241815</v>
      </c>
      <c r="L10" s="821"/>
      <c r="M10" s="821">
        <v>47</v>
      </c>
      <c r="N10" s="821"/>
      <c r="O10" s="821">
        <f t="shared" ref="O10:O32" si="2">+($M10*$AM$12-$K10)/$AK$4</f>
        <v>4.0419823274115769</v>
      </c>
      <c r="R10" s="821">
        <f>+I10+AA10+$T10*$AK$5*$AM$10</f>
        <v>0.241815</v>
      </c>
      <c r="S10" s="821"/>
      <c r="T10" s="821">
        <f t="shared" ref="T10:T32" si="3">+M10+AC10</f>
        <v>47</v>
      </c>
      <c r="U10" s="821"/>
      <c r="V10" s="821">
        <f t="shared" ref="V10:V32" si="4">+($T10*$AM$12-$R10)/$AK$4</f>
        <v>4.0419823274115769</v>
      </c>
      <c r="Y10" s="821">
        <f t="shared" ref="Y10:Y15" si="5">+AA10/(1-$AK$5)</f>
        <v>0</v>
      </c>
      <c r="Z10" s="821"/>
      <c r="AA10" s="850">
        <v>0</v>
      </c>
      <c r="AB10" s="821"/>
      <c r="AC10" s="850">
        <v>0</v>
      </c>
      <c r="AD10" s="828"/>
      <c r="AE10" s="821">
        <f t="shared" ref="AE10:AE32" si="6">+V10-O10</f>
        <v>0</v>
      </c>
      <c r="AG10" s="802" t="s">
        <v>812</v>
      </c>
      <c r="AI10" s="803"/>
      <c r="AJ10" s="829" t="s">
        <v>813</v>
      </c>
      <c r="AK10" s="830">
        <v>0.51500000000000001</v>
      </c>
      <c r="AL10" s="830">
        <v>4.7500000000000001E-2</v>
      </c>
      <c r="AM10" s="831">
        <f>ROUND(AK10*AL10,4)</f>
        <v>2.4500000000000001E-2</v>
      </c>
      <c r="AR10" s="819">
        <f>+AM10</f>
        <v>2.4500000000000001E-2</v>
      </c>
      <c r="AT10" s="821"/>
      <c r="AU10" s="821"/>
      <c r="AV10" s="821"/>
      <c r="AW10" s="821"/>
      <c r="AX10" s="821"/>
      <c r="AY10" s="821"/>
    </row>
    <row r="11" spans="1:51">
      <c r="B11" s="800">
        <f t="shared" ca="1" si="0"/>
        <v>3</v>
      </c>
      <c r="D11" s="820">
        <v>1.02</v>
      </c>
      <c r="F11" s="800" t="str" cm="1">
        <f t="array" ref="F11">+TRIM(INDEX('ADJ DETAIL-INPUT'!$E$7:$AZ$7&amp;" "&amp;'ADJ DETAIL-INPUT'!$E$8:$AZ$8&amp;" "&amp;'ADJ DETAIL-INPUT'!$E$9:$AZ$9,1,MATCH($D11,'ADJ DETAIL-INPUT'!$E$10:$AZ$10,0)))</f>
        <v>Deferred Debits and Credits</v>
      </c>
      <c r="I11" s="821">
        <v>-45.030000000000008</v>
      </c>
      <c r="J11" s="821"/>
      <c r="K11" s="821">
        <f t="shared" si="1"/>
        <v>-45.024855000000009</v>
      </c>
      <c r="L11" s="821"/>
      <c r="M11" s="821">
        <v>1</v>
      </c>
      <c r="N11" s="821"/>
      <c r="O11" s="821">
        <f t="shared" si="2"/>
        <v>59.705167788966953</v>
      </c>
      <c r="R11" s="821">
        <f t="shared" ref="R11:R32" si="7">+I11+AA11+$T11*$AK$5*$AM$10</f>
        <v>-45.024855000000009</v>
      </c>
      <c r="S11" s="821"/>
      <c r="T11" s="821">
        <f t="shared" si="3"/>
        <v>1</v>
      </c>
      <c r="U11" s="821"/>
      <c r="V11" s="821">
        <f t="shared" si="4"/>
        <v>59.705167788966953</v>
      </c>
      <c r="Y11" s="821">
        <f t="shared" si="5"/>
        <v>0</v>
      </c>
      <c r="Z11" s="821"/>
      <c r="AA11" s="850">
        <v>0</v>
      </c>
      <c r="AB11" s="821"/>
      <c r="AC11" s="850">
        <v>0</v>
      </c>
      <c r="AD11" s="828"/>
      <c r="AE11" s="821">
        <f t="shared" si="6"/>
        <v>0</v>
      </c>
      <c r="AG11" s="802" t="s">
        <v>812</v>
      </c>
      <c r="AI11" s="803"/>
      <c r="AJ11" s="829" t="s">
        <v>11</v>
      </c>
      <c r="AK11" s="832">
        <v>0.48499999999999999</v>
      </c>
      <c r="AL11" s="830">
        <v>9.4E-2</v>
      </c>
      <c r="AM11" s="833">
        <f>ROUND(AK11*AL11,4)</f>
        <v>4.5600000000000002E-2</v>
      </c>
      <c r="AR11" s="800">
        <f>+AM11*(1+AK5/(1-AK5))</f>
        <v>5.7721518987341777E-2</v>
      </c>
      <c r="AT11" s="821"/>
      <c r="AU11" s="821"/>
      <c r="AV11" s="821"/>
      <c r="AW11" s="821"/>
      <c r="AX11" s="821"/>
      <c r="AY11" s="821"/>
    </row>
    <row r="12" spans="1:51">
      <c r="B12" s="800">
        <f t="shared" ca="1" si="0"/>
        <v>4</v>
      </c>
      <c r="D12" s="820">
        <v>1.03</v>
      </c>
      <c r="F12" s="800" t="str" cm="1">
        <f t="array" ref="F12">+TRIM(INDEX('ADJ DETAIL-INPUT'!$E$7:$AZ$7&amp;" "&amp;'ADJ DETAIL-INPUT'!$E$8:$AZ$8&amp;" "&amp;'ADJ DETAIL-INPUT'!$E$9:$AZ$9,1,MATCH($D12,'ADJ DETAIL-INPUT'!$E$10:$AZ$10,0)))</f>
        <v>Working Capital</v>
      </c>
      <c r="I12" s="821">
        <v>0</v>
      </c>
      <c r="J12" s="821"/>
      <c r="K12" s="821">
        <f t="shared" si="1"/>
        <v>-19.304040000000001</v>
      </c>
      <c r="L12" s="821"/>
      <c r="M12" s="821">
        <v>-3752</v>
      </c>
      <c r="N12" s="821"/>
      <c r="O12" s="821">
        <f t="shared" si="2"/>
        <v>-322.67058920102636</v>
      </c>
      <c r="R12" s="821">
        <f t="shared" si="7"/>
        <v>-19.304040000000001</v>
      </c>
      <c r="S12" s="821"/>
      <c r="T12" s="821">
        <f t="shared" si="3"/>
        <v>-3752</v>
      </c>
      <c r="U12" s="821"/>
      <c r="V12" s="821">
        <f t="shared" si="4"/>
        <v>-322.67058920102636</v>
      </c>
      <c r="Y12" s="821">
        <f t="shared" si="5"/>
        <v>0</v>
      </c>
      <c r="Z12" s="821"/>
      <c r="AA12" s="850">
        <v>0</v>
      </c>
      <c r="AB12" s="821"/>
      <c r="AC12" s="850">
        <v>0</v>
      </c>
      <c r="AD12" s="828"/>
      <c r="AE12" s="821">
        <f t="shared" si="6"/>
        <v>0</v>
      </c>
      <c r="AG12" s="802" t="s">
        <v>812</v>
      </c>
      <c r="AI12" s="803"/>
      <c r="AJ12" s="825" t="s">
        <v>135</v>
      </c>
      <c r="AK12" s="832">
        <v>1</v>
      </c>
      <c r="AL12" s="826"/>
      <c r="AM12" s="833">
        <f>+SUM(AM10:AM11)</f>
        <v>7.0099999999999996E-2</v>
      </c>
      <c r="AN12" s="821">
        <f>+(AM12-AM18)*$M$68/$AK$4*1000</f>
        <v>-1740103.6774736079</v>
      </c>
      <c r="AO12" s="800" t="s">
        <v>838</v>
      </c>
      <c r="AR12" s="819">
        <f>+SUM(AR10:AR11)</f>
        <v>8.2221518987341785E-2</v>
      </c>
      <c r="AT12" s="821"/>
      <c r="AU12" s="821"/>
      <c r="AV12" s="821"/>
      <c r="AW12" s="821"/>
      <c r="AX12" s="821"/>
      <c r="AY12" s="821"/>
    </row>
    <row r="13" spans="1:51">
      <c r="B13" s="800">
        <f t="shared" ca="1" si="0"/>
        <v>5</v>
      </c>
      <c r="D13" s="820">
        <v>1.04</v>
      </c>
      <c r="F13" s="800" t="str" cm="1">
        <f t="array" ref="F13">+TRIM(INDEX('ADJ DETAIL-INPUT'!$E$7:$AZ$7&amp;" "&amp;'ADJ DETAIL-INPUT'!$E$8:$AZ$8&amp;" "&amp;'ADJ DETAIL-INPUT'!$E$9:$AZ$9,1,MATCH($D13,'ADJ DETAIL-INPUT'!$E$10:$AZ$10,0)))</f>
        <v>Remove AMI Rate Base</v>
      </c>
      <c r="I13" s="821">
        <v>0</v>
      </c>
      <c r="J13" s="821"/>
      <c r="K13" s="821">
        <f t="shared" si="1"/>
        <v>-248.44175999999999</v>
      </c>
      <c r="L13" s="821"/>
      <c r="M13" s="821">
        <v>-48288</v>
      </c>
      <c r="N13" s="821"/>
      <c r="O13" s="821">
        <f t="shared" si="2"/>
        <v>-4152.7498431074509</v>
      </c>
      <c r="R13" s="821">
        <f t="shared" si="7"/>
        <v>-248.44175999999999</v>
      </c>
      <c r="S13" s="821"/>
      <c r="T13" s="821">
        <f t="shared" si="3"/>
        <v>-48288</v>
      </c>
      <c r="U13" s="821"/>
      <c r="V13" s="821">
        <f t="shared" si="4"/>
        <v>-4152.7498431074509</v>
      </c>
      <c r="Y13" s="821">
        <f t="shared" si="5"/>
        <v>0</v>
      </c>
      <c r="Z13" s="821"/>
      <c r="AA13" s="850">
        <v>0</v>
      </c>
      <c r="AB13" s="821"/>
      <c r="AC13" s="850">
        <v>0</v>
      </c>
      <c r="AD13" s="828"/>
      <c r="AE13" s="821">
        <f t="shared" si="6"/>
        <v>0</v>
      </c>
      <c r="AG13" s="802" t="s">
        <v>812</v>
      </c>
      <c r="AI13" s="803"/>
      <c r="AT13" s="821"/>
      <c r="AU13" s="821"/>
      <c r="AV13" s="821"/>
      <c r="AW13" s="821"/>
      <c r="AX13" s="821"/>
      <c r="AY13" s="821"/>
    </row>
    <row r="14" spans="1:51">
      <c r="B14" s="800">
        <f t="shared" ca="1" si="0"/>
        <v>6</v>
      </c>
      <c r="D14" s="820">
        <v>2.0099999999999998</v>
      </c>
      <c r="F14" s="800" t="str" cm="1">
        <f t="array" ref="F14">+TRIM(INDEX('ADJ DETAIL-INPUT'!$E$7:$AZ$7&amp;" "&amp;'ADJ DETAIL-INPUT'!$E$8:$AZ$8&amp;" "&amp;'ADJ DETAIL-INPUT'!$E$9:$AZ$9,1,MATCH($D14,'ADJ DETAIL-INPUT'!$E$10:$AZ$10,0)))</f>
        <v>Eliminate B &amp; O Taxes</v>
      </c>
      <c r="I14" s="821">
        <v>-63.2</v>
      </c>
      <c r="J14" s="821"/>
      <c r="K14" s="821">
        <f t="shared" si="1"/>
        <v>-63.2</v>
      </c>
      <c r="L14" s="821"/>
      <c r="M14" s="821">
        <v>0</v>
      </c>
      <c r="N14" s="821"/>
      <c r="O14" s="821">
        <f t="shared" si="2"/>
        <v>83.676025494708028</v>
      </c>
      <c r="R14" s="821">
        <f t="shared" si="7"/>
        <v>-63.2</v>
      </c>
      <c r="S14" s="821"/>
      <c r="T14" s="821">
        <f t="shared" si="3"/>
        <v>0</v>
      </c>
      <c r="U14" s="821"/>
      <c r="V14" s="821">
        <f t="shared" si="4"/>
        <v>83.676025494708028</v>
      </c>
      <c r="Y14" s="821">
        <f t="shared" si="5"/>
        <v>0</v>
      </c>
      <c r="Z14" s="821"/>
      <c r="AA14" s="850">
        <v>0</v>
      </c>
      <c r="AB14" s="821"/>
      <c r="AC14" s="850">
        <v>0</v>
      </c>
      <c r="AD14" s="828"/>
      <c r="AE14" s="821">
        <f t="shared" si="6"/>
        <v>0</v>
      </c>
      <c r="AG14" s="802" t="s">
        <v>812</v>
      </c>
      <c r="AI14" s="803"/>
      <c r="AJ14" s="822" t="s">
        <v>810</v>
      </c>
      <c r="AK14" s="823" t="s">
        <v>122</v>
      </c>
      <c r="AL14" s="823"/>
      <c r="AM14" s="824" t="s">
        <v>123</v>
      </c>
      <c r="AT14" s="821"/>
      <c r="AU14" s="821"/>
      <c r="AV14" s="821"/>
      <c r="AW14" s="821"/>
      <c r="AX14" s="821"/>
      <c r="AY14" s="821"/>
    </row>
    <row r="15" spans="1:51">
      <c r="B15" s="800">
        <f t="shared" ca="1" si="0"/>
        <v>7</v>
      </c>
      <c r="D15" s="820">
        <v>2.0199999999999996</v>
      </c>
      <c r="F15" s="800" t="str" cm="1">
        <f t="array" ref="F15">+TRIM(INDEX('ADJ DETAIL-INPUT'!$E$7:$AZ$7&amp;" "&amp;'ADJ DETAIL-INPUT'!$E$8:$AZ$8&amp;" "&amp;'ADJ DETAIL-INPUT'!$E$9:$AZ$9,1,MATCH($D15,'ADJ DETAIL-INPUT'!$E$10:$AZ$10,0)))</f>
        <v>Restate Property Tax</v>
      </c>
      <c r="I15" s="821">
        <v>-790.79</v>
      </c>
      <c r="J15" s="821"/>
      <c r="K15" s="821">
        <f t="shared" si="1"/>
        <v>-790.79</v>
      </c>
      <c r="L15" s="821"/>
      <c r="M15" s="821">
        <v>0</v>
      </c>
      <c r="N15" s="821"/>
      <c r="O15" s="821">
        <f t="shared" si="2"/>
        <v>1046.9962690025341</v>
      </c>
      <c r="R15" s="821">
        <f t="shared" si="7"/>
        <v>-790.79</v>
      </c>
      <c r="S15" s="821"/>
      <c r="T15" s="821">
        <f t="shared" si="3"/>
        <v>0</v>
      </c>
      <c r="U15" s="821"/>
      <c r="V15" s="821">
        <f t="shared" si="4"/>
        <v>1046.9962690025341</v>
      </c>
      <c r="Y15" s="821">
        <f t="shared" si="5"/>
        <v>0</v>
      </c>
      <c r="Z15" s="821"/>
      <c r="AA15" s="850">
        <v>0</v>
      </c>
      <c r="AB15" s="821"/>
      <c r="AC15" s="850">
        <v>0</v>
      </c>
      <c r="AD15" s="828"/>
      <c r="AE15" s="821">
        <f t="shared" si="6"/>
        <v>0</v>
      </c>
      <c r="AG15" s="802" t="s">
        <v>812</v>
      </c>
      <c r="AI15" s="803"/>
      <c r="AJ15" s="825" t="s">
        <v>125</v>
      </c>
      <c r="AK15" s="826" t="s">
        <v>127</v>
      </c>
      <c r="AL15" s="826" t="s">
        <v>128</v>
      </c>
      <c r="AM15" s="827" t="s">
        <v>128</v>
      </c>
      <c r="AT15" s="821"/>
      <c r="AU15" s="821"/>
      <c r="AV15" s="821"/>
      <c r="AW15" s="821"/>
      <c r="AX15" s="821"/>
      <c r="AY15" s="821"/>
    </row>
    <row r="16" spans="1:51">
      <c r="B16" s="800">
        <f t="shared" ca="1" si="0"/>
        <v>8</v>
      </c>
      <c r="D16" s="820">
        <v>2.0299999999999994</v>
      </c>
      <c r="F16" s="800" t="str" cm="1">
        <f t="array" ref="F16">+TRIM(INDEX('ADJ DETAIL-INPUT'!$E$7:$AZ$7&amp;" "&amp;'ADJ DETAIL-INPUT'!$E$8:$AZ$8&amp;" "&amp;'ADJ DETAIL-INPUT'!$E$9:$AZ$9,1,MATCH($D16,'ADJ DETAIL-INPUT'!$E$10:$AZ$10,0)))</f>
        <v>Uncollect. Expense</v>
      </c>
      <c r="I16" s="821">
        <v>-1135.23</v>
      </c>
      <c r="J16" s="821"/>
      <c r="K16" s="821">
        <f t="shared" si="1"/>
        <v>-1135.23</v>
      </c>
      <c r="L16" s="821"/>
      <c r="M16" s="821">
        <v>0</v>
      </c>
      <c r="N16" s="821"/>
      <c r="O16" s="821">
        <f t="shared" si="2"/>
        <v>1503.0306079486927</v>
      </c>
      <c r="R16" s="821">
        <f t="shared" si="7"/>
        <v>-1135.23</v>
      </c>
      <c r="S16" s="821"/>
      <c r="T16" s="821">
        <f t="shared" si="3"/>
        <v>0</v>
      </c>
      <c r="U16" s="821"/>
      <c r="V16" s="821">
        <f t="shared" si="4"/>
        <v>1503.0306079486927</v>
      </c>
      <c r="Y16" s="821">
        <f t="shared" ref="Y16:Y32" si="8">+AA16/(1-$AK$5)</f>
        <v>0</v>
      </c>
      <c r="Z16" s="821"/>
      <c r="AA16" s="850">
        <v>0</v>
      </c>
      <c r="AB16" s="821"/>
      <c r="AC16" s="850">
        <v>0</v>
      </c>
      <c r="AD16" s="828"/>
      <c r="AE16" s="821">
        <f t="shared" si="6"/>
        <v>0</v>
      </c>
      <c r="AG16" s="802" t="s">
        <v>812</v>
      </c>
      <c r="AI16" s="803"/>
      <c r="AJ16" s="829" t="s">
        <v>813</v>
      </c>
      <c r="AK16" s="830">
        <v>0.5</v>
      </c>
      <c r="AL16" s="830">
        <v>4.7500000000000001E-2</v>
      </c>
      <c r="AM16" s="831">
        <f>ROUND(AK16*AL16,4)</f>
        <v>2.3800000000000002E-2</v>
      </c>
      <c r="AT16" s="821"/>
      <c r="AU16" s="821"/>
      <c r="AV16" s="821"/>
      <c r="AW16" s="821"/>
      <c r="AX16" s="821"/>
      <c r="AY16" s="821"/>
    </row>
    <row r="17" spans="2:51">
      <c r="B17" s="800">
        <f t="shared" ca="1" si="0"/>
        <v>9</v>
      </c>
      <c r="D17" s="820">
        <v>2.0399999999999991</v>
      </c>
      <c r="F17" s="800" t="str" cm="1">
        <f t="array" ref="F17">+TRIM(INDEX('ADJ DETAIL-INPUT'!$E$7:$AZ$7&amp;" "&amp;'ADJ DETAIL-INPUT'!$E$8:$AZ$8&amp;" "&amp;'ADJ DETAIL-INPUT'!$E$9:$AZ$9,1,MATCH($D17,'ADJ DETAIL-INPUT'!$E$10:$AZ$10,0)))</f>
        <v>Regulatory Expense</v>
      </c>
      <c r="I17" s="821">
        <v>293.88</v>
      </c>
      <c r="J17" s="821"/>
      <c r="K17" s="821">
        <f t="shared" si="1"/>
        <v>293.88</v>
      </c>
      <c r="L17" s="821"/>
      <c r="M17" s="821">
        <v>0</v>
      </c>
      <c r="N17" s="821"/>
      <c r="O17" s="821">
        <f t="shared" si="2"/>
        <v>-389.09351855039228</v>
      </c>
      <c r="R17" s="821">
        <f t="shared" si="7"/>
        <v>293.88</v>
      </c>
      <c r="S17" s="821"/>
      <c r="T17" s="821">
        <f t="shared" si="3"/>
        <v>0</v>
      </c>
      <c r="U17" s="821"/>
      <c r="V17" s="821">
        <f t="shared" si="4"/>
        <v>-389.09351855039228</v>
      </c>
      <c r="Y17" s="821">
        <f t="shared" si="8"/>
        <v>0</v>
      </c>
      <c r="Z17" s="821"/>
      <c r="AA17" s="850">
        <v>0</v>
      </c>
      <c r="AB17" s="821"/>
      <c r="AC17" s="850">
        <v>0</v>
      </c>
      <c r="AD17" s="828"/>
      <c r="AE17" s="821">
        <f t="shared" si="6"/>
        <v>0</v>
      </c>
      <c r="AG17" s="802" t="s">
        <v>812</v>
      </c>
      <c r="AI17" s="803"/>
      <c r="AJ17" s="829" t="s">
        <v>11</v>
      </c>
      <c r="AK17" s="832">
        <v>0.5</v>
      </c>
      <c r="AL17" s="830">
        <v>9.4E-2</v>
      </c>
      <c r="AM17" s="833">
        <f>ROUND(AK17*AL17,4)</f>
        <v>4.7E-2</v>
      </c>
      <c r="AP17" s="821"/>
      <c r="AQ17" s="821"/>
      <c r="AT17" s="821"/>
      <c r="AU17" s="821"/>
      <c r="AV17" s="821"/>
      <c r="AW17" s="821"/>
      <c r="AX17" s="821"/>
      <c r="AY17" s="821"/>
    </row>
    <row r="18" spans="2:51">
      <c r="B18" s="800">
        <f t="shared" ca="1" si="0"/>
        <v>10</v>
      </c>
      <c r="D18" s="820">
        <v>2.0499999999999989</v>
      </c>
      <c r="F18" s="800" t="str" cm="1">
        <f t="array" ref="F18">+TRIM(INDEX('ADJ DETAIL-INPUT'!$E$7:$AZ$7&amp;" "&amp;'ADJ DETAIL-INPUT'!$E$8:$AZ$8&amp;" "&amp;'ADJ DETAIL-INPUT'!$E$9:$AZ$9,1,MATCH($D18,'ADJ DETAIL-INPUT'!$E$10:$AZ$10,0)))</f>
        <v>Injuries and Damages</v>
      </c>
      <c r="I18" s="821">
        <v>-40.29</v>
      </c>
      <c r="J18" s="821"/>
      <c r="K18" s="821">
        <f t="shared" si="1"/>
        <v>-40.29</v>
      </c>
      <c r="L18" s="821"/>
      <c r="M18" s="821">
        <v>0</v>
      </c>
      <c r="N18" s="821"/>
      <c r="O18" s="821">
        <f t="shared" si="2"/>
        <v>53.343466252876361</v>
      </c>
      <c r="R18" s="821">
        <f t="shared" si="7"/>
        <v>-40.29</v>
      </c>
      <c r="S18" s="821"/>
      <c r="T18" s="821">
        <f t="shared" si="3"/>
        <v>0</v>
      </c>
      <c r="U18" s="821"/>
      <c r="V18" s="821">
        <f t="shared" si="4"/>
        <v>53.343466252876361</v>
      </c>
      <c r="Y18" s="821">
        <f t="shared" si="8"/>
        <v>0</v>
      </c>
      <c r="Z18" s="821"/>
      <c r="AA18" s="850">
        <v>0</v>
      </c>
      <c r="AB18" s="821"/>
      <c r="AC18" s="850">
        <v>0</v>
      </c>
      <c r="AD18" s="828"/>
      <c r="AE18" s="821">
        <f t="shared" si="6"/>
        <v>0</v>
      </c>
      <c r="AG18" s="802" t="s">
        <v>812</v>
      </c>
      <c r="AI18" s="803"/>
      <c r="AJ18" s="825" t="s">
        <v>135</v>
      </c>
      <c r="AK18" s="832">
        <v>1</v>
      </c>
      <c r="AL18" s="826"/>
      <c r="AM18" s="833">
        <f>+SUM(AM16:AM17)</f>
        <v>7.0800000000000002E-2</v>
      </c>
      <c r="AN18" s="821">
        <f>+(AM18-AM24)*$M$68/$AK$4*1000</f>
        <v>-2485862.3963908483</v>
      </c>
      <c r="AO18" s="800" t="s">
        <v>819</v>
      </c>
      <c r="AP18" s="821"/>
      <c r="AQ18" s="821"/>
      <c r="AT18" s="821"/>
      <c r="AU18" s="821"/>
      <c r="AV18" s="821"/>
      <c r="AW18" s="821"/>
      <c r="AX18" s="821"/>
      <c r="AY18" s="821"/>
    </row>
    <row r="19" spans="2:51" ht="13.5">
      <c r="B19" s="800">
        <f t="shared" ca="1" si="0"/>
        <v>11</v>
      </c>
      <c r="D19" s="820">
        <v>2.0599999999999987</v>
      </c>
      <c r="F19" s="800" t="str" cm="1">
        <f t="array" ref="F19">+TRIM(INDEX('ADJ DETAIL-INPUT'!$E$7:$AZ$7&amp;" "&amp;'ADJ DETAIL-INPUT'!$E$8:$AZ$8&amp;" "&amp;'ADJ DETAIL-INPUT'!$E$9:$AZ$9,1,MATCH($D19,'ADJ DETAIL-INPUT'!$E$10:$AZ$10,0)))</f>
        <v>FIT/DFIT/ ITC Expense</v>
      </c>
      <c r="I19" s="821">
        <v>3</v>
      </c>
      <c r="J19" s="821"/>
      <c r="K19" s="821">
        <f t="shared" si="1"/>
        <v>3</v>
      </c>
      <c r="L19" s="821"/>
      <c r="M19" s="821">
        <v>0</v>
      </c>
      <c r="N19" s="821"/>
      <c r="O19" s="821">
        <f t="shared" si="2"/>
        <v>-3.9719632355082921</v>
      </c>
      <c r="R19" s="821">
        <f t="shared" si="7"/>
        <v>3</v>
      </c>
      <c r="S19" s="821"/>
      <c r="T19" s="821">
        <f t="shared" si="3"/>
        <v>0</v>
      </c>
      <c r="U19" s="821"/>
      <c r="V19" s="821">
        <f t="shared" si="4"/>
        <v>-3.9719632355082921</v>
      </c>
      <c r="Y19" s="821">
        <f t="shared" si="8"/>
        <v>0</v>
      </c>
      <c r="Z19" s="821"/>
      <c r="AA19" s="850">
        <v>0</v>
      </c>
      <c r="AB19" s="821"/>
      <c r="AC19" s="850">
        <v>0</v>
      </c>
      <c r="AD19" s="828"/>
      <c r="AE19" s="821">
        <f t="shared" si="6"/>
        <v>0</v>
      </c>
      <c r="AG19" s="802" t="s">
        <v>812</v>
      </c>
      <c r="AI19" s="803"/>
      <c r="AJ19" s="835"/>
      <c r="AL19" s="834"/>
      <c r="AM19" s="821"/>
      <c r="AP19" s="821"/>
      <c r="AQ19" s="821"/>
      <c r="AT19" s="821"/>
      <c r="AU19" s="821"/>
      <c r="AV19" s="821"/>
      <c r="AW19" s="821"/>
      <c r="AX19" s="821"/>
      <c r="AY19" s="821"/>
    </row>
    <row r="20" spans="2:51">
      <c r="B20" s="800">
        <f t="shared" ca="1" si="0"/>
        <v>12</v>
      </c>
      <c r="D20" s="820">
        <v>2.0699999999999985</v>
      </c>
      <c r="F20" s="800" t="str" cm="1">
        <f t="array" ref="F20">+TRIM(INDEX('ADJ DETAIL-INPUT'!$E$7:$AZ$7&amp;" "&amp;'ADJ DETAIL-INPUT'!$E$8:$AZ$8&amp;" "&amp;'ADJ DETAIL-INPUT'!$E$9:$AZ$9,1,MATCH($D20,'ADJ DETAIL-INPUT'!$E$10:$AZ$10,0)))</f>
        <v>Office Space Charges to Non-Utility</v>
      </c>
      <c r="I20" s="821">
        <v>41.08</v>
      </c>
      <c r="J20" s="821"/>
      <c r="K20" s="821">
        <f t="shared" si="1"/>
        <v>41.08</v>
      </c>
      <c r="L20" s="821"/>
      <c r="M20" s="821">
        <v>0</v>
      </c>
      <c r="N20" s="821"/>
      <c r="O20" s="821">
        <f t="shared" si="2"/>
        <v>-54.389416571560211</v>
      </c>
      <c r="R20" s="821">
        <f t="shared" si="7"/>
        <v>41.08</v>
      </c>
      <c r="S20" s="821"/>
      <c r="T20" s="821">
        <f t="shared" si="3"/>
        <v>0</v>
      </c>
      <c r="U20" s="821"/>
      <c r="V20" s="821">
        <f t="shared" si="4"/>
        <v>-54.389416571560211</v>
      </c>
      <c r="Y20" s="821">
        <f t="shared" si="8"/>
        <v>0</v>
      </c>
      <c r="Z20" s="821"/>
      <c r="AA20" s="850">
        <v>0</v>
      </c>
      <c r="AB20" s="821"/>
      <c r="AC20" s="850">
        <v>0</v>
      </c>
      <c r="AD20" s="828"/>
      <c r="AE20" s="821">
        <f t="shared" si="6"/>
        <v>0</v>
      </c>
      <c r="AG20" s="802" t="s">
        <v>812</v>
      </c>
      <c r="AI20" s="803"/>
      <c r="AJ20" s="822" t="s">
        <v>810</v>
      </c>
      <c r="AK20" s="823" t="s">
        <v>122</v>
      </c>
      <c r="AL20" s="823"/>
      <c r="AM20" s="824" t="s">
        <v>123</v>
      </c>
      <c r="AP20" s="821"/>
      <c r="AQ20" s="821"/>
      <c r="AT20" s="821"/>
      <c r="AU20" s="821"/>
      <c r="AV20" s="821"/>
      <c r="AW20" s="821"/>
      <c r="AX20" s="821"/>
      <c r="AY20" s="821"/>
    </row>
    <row r="21" spans="2:51">
      <c r="B21" s="800">
        <f t="shared" ca="1" si="0"/>
        <v>13</v>
      </c>
      <c r="D21" s="820">
        <v>2.0799999999999983</v>
      </c>
      <c r="F21" s="800" t="str" cm="1">
        <f t="array" ref="F21">+TRIM(INDEX('ADJ DETAIL-INPUT'!$E$7:$AZ$7&amp;" "&amp;'ADJ DETAIL-INPUT'!$E$8:$AZ$8&amp;" "&amp;'ADJ DETAIL-INPUT'!$E$9:$AZ$9,1,MATCH($D21,'ADJ DETAIL-INPUT'!$E$10:$AZ$10,0)))</f>
        <v>Restate Excise Taxes</v>
      </c>
      <c r="I21" s="821">
        <v>-26.86</v>
      </c>
      <c r="J21" s="821"/>
      <c r="K21" s="821">
        <f t="shared" si="1"/>
        <v>-26.86</v>
      </c>
      <c r="L21" s="821"/>
      <c r="M21" s="821">
        <v>0</v>
      </c>
      <c r="N21" s="821"/>
      <c r="O21" s="821">
        <f t="shared" si="2"/>
        <v>35.562310835250905</v>
      </c>
      <c r="R21" s="821">
        <f t="shared" si="7"/>
        <v>-26.86</v>
      </c>
      <c r="S21" s="821"/>
      <c r="T21" s="821">
        <f t="shared" si="3"/>
        <v>0</v>
      </c>
      <c r="U21" s="821"/>
      <c r="V21" s="821">
        <f t="shared" si="4"/>
        <v>35.562310835250905</v>
      </c>
      <c r="Y21" s="821">
        <f t="shared" si="8"/>
        <v>0</v>
      </c>
      <c r="Z21" s="821"/>
      <c r="AA21" s="850">
        <v>0</v>
      </c>
      <c r="AB21" s="821"/>
      <c r="AC21" s="850">
        <v>0</v>
      </c>
      <c r="AD21" s="828"/>
      <c r="AE21" s="821">
        <f t="shared" si="6"/>
        <v>0</v>
      </c>
      <c r="AG21" s="802" t="s">
        <v>812</v>
      </c>
      <c r="AI21" s="803"/>
      <c r="AJ21" s="825" t="s">
        <v>125</v>
      </c>
      <c r="AK21" s="826" t="s">
        <v>127</v>
      </c>
      <c r="AL21" s="826" t="s">
        <v>128</v>
      </c>
      <c r="AM21" s="827" t="s">
        <v>128</v>
      </c>
      <c r="AP21" s="821"/>
      <c r="AQ21" s="821"/>
      <c r="AT21" s="821"/>
      <c r="AU21" s="821"/>
      <c r="AV21" s="821"/>
      <c r="AW21" s="821"/>
      <c r="AX21" s="821"/>
      <c r="AY21" s="821"/>
    </row>
    <row r="22" spans="2:51">
      <c r="B22" s="800">
        <f t="shared" ca="1" si="0"/>
        <v>14</v>
      </c>
      <c r="D22" s="820">
        <v>2.0899999999999981</v>
      </c>
      <c r="F22" s="800" t="str" cm="1">
        <f t="array" ref="F22">+TRIM(INDEX('ADJ DETAIL-INPUT'!$E$7:$AZ$7&amp;" "&amp;'ADJ DETAIL-INPUT'!$E$8:$AZ$8&amp;" "&amp;'ADJ DETAIL-INPUT'!$E$9:$AZ$9,1,MATCH($D22,'ADJ DETAIL-INPUT'!$E$10:$AZ$10,0)))</f>
        <v>Net Gains &amp; Losses</v>
      </c>
      <c r="I22" s="821">
        <v>45.82</v>
      </c>
      <c r="J22" s="821"/>
      <c r="K22" s="821">
        <f t="shared" si="1"/>
        <v>45.82</v>
      </c>
      <c r="L22" s="821"/>
      <c r="M22" s="821">
        <v>0</v>
      </c>
      <c r="N22" s="821"/>
      <c r="O22" s="821">
        <f t="shared" si="2"/>
        <v>-60.665118483663313</v>
      </c>
      <c r="R22" s="821">
        <f t="shared" si="7"/>
        <v>45.82</v>
      </c>
      <c r="S22" s="821"/>
      <c r="T22" s="821">
        <f t="shared" si="3"/>
        <v>0</v>
      </c>
      <c r="U22" s="821"/>
      <c r="V22" s="821">
        <f t="shared" si="4"/>
        <v>-60.665118483663313</v>
      </c>
      <c r="Y22" s="821">
        <f t="shared" si="8"/>
        <v>0</v>
      </c>
      <c r="Z22" s="821"/>
      <c r="AA22" s="850">
        <v>0</v>
      </c>
      <c r="AB22" s="821"/>
      <c r="AC22" s="850">
        <v>0</v>
      </c>
      <c r="AD22" s="828"/>
      <c r="AE22" s="821">
        <f t="shared" si="6"/>
        <v>0</v>
      </c>
      <c r="AG22" s="802" t="s">
        <v>812</v>
      </c>
      <c r="AI22" s="803"/>
      <c r="AJ22" s="829" t="s">
        <v>813</v>
      </c>
      <c r="AK22" s="830">
        <v>0.5</v>
      </c>
      <c r="AL22" s="830">
        <v>4.965E-2</v>
      </c>
      <c r="AM22" s="831">
        <f>ROUND(AK22*AL22,4)</f>
        <v>2.4799999999999999E-2</v>
      </c>
      <c r="AP22" s="821"/>
      <c r="AQ22" s="821"/>
      <c r="AT22" s="821"/>
      <c r="AU22" s="821"/>
      <c r="AV22" s="821"/>
      <c r="AW22" s="821"/>
      <c r="AX22" s="821"/>
      <c r="AY22" s="821"/>
    </row>
    <row r="23" spans="2:51">
      <c r="B23" s="800">
        <f t="shared" ca="1" si="0"/>
        <v>15</v>
      </c>
      <c r="D23" s="820">
        <v>2.0999999999999979</v>
      </c>
      <c r="F23" s="800" t="str" cm="1">
        <f t="array" ref="F23">+TRIM(INDEX('ADJ DETAIL-INPUT'!$E$7:$AZ$7&amp;" "&amp;'ADJ DETAIL-INPUT'!$E$8:$AZ$8&amp;" "&amp;'ADJ DETAIL-INPUT'!$E$9:$AZ$9,1,MATCH($D23,'ADJ DETAIL-INPUT'!$E$10:$AZ$10,0)))</f>
        <v>Weather Normalization</v>
      </c>
      <c r="I23" s="821">
        <v>-619.36</v>
      </c>
      <c r="J23" s="821"/>
      <c r="K23" s="821">
        <f t="shared" si="1"/>
        <v>-619.36</v>
      </c>
      <c r="L23" s="821"/>
      <c r="M23" s="821">
        <v>0</v>
      </c>
      <c r="N23" s="821"/>
      <c r="O23" s="821">
        <f t="shared" si="2"/>
        <v>820.02504984813856</v>
      </c>
      <c r="R23" s="821">
        <f t="shared" si="7"/>
        <v>-619.36</v>
      </c>
      <c r="S23" s="821"/>
      <c r="T23" s="821">
        <f t="shared" si="3"/>
        <v>0</v>
      </c>
      <c r="U23" s="821"/>
      <c r="V23" s="821">
        <f t="shared" si="4"/>
        <v>820.02504984813856</v>
      </c>
      <c r="Y23" s="821">
        <f t="shared" si="8"/>
        <v>0</v>
      </c>
      <c r="Z23" s="821"/>
      <c r="AA23" s="850">
        <v>0</v>
      </c>
      <c r="AB23" s="821"/>
      <c r="AC23" s="850">
        <v>0</v>
      </c>
      <c r="AD23" s="828"/>
      <c r="AE23" s="821">
        <f t="shared" si="6"/>
        <v>0</v>
      </c>
      <c r="AG23" s="802" t="s">
        <v>812</v>
      </c>
      <c r="AI23" s="803"/>
      <c r="AJ23" s="829" t="s">
        <v>11</v>
      </c>
      <c r="AK23" s="832">
        <f>1-AK22</f>
        <v>0.5</v>
      </c>
      <c r="AL23" s="830">
        <v>9.4E-2</v>
      </c>
      <c r="AM23" s="833">
        <f>ROUND(AK23*AL23,4)</f>
        <v>4.7E-2</v>
      </c>
      <c r="AP23" s="821"/>
      <c r="AQ23" s="821"/>
      <c r="AT23" s="821"/>
      <c r="AU23" s="821"/>
      <c r="AV23" s="821"/>
      <c r="AW23" s="821"/>
      <c r="AX23" s="821"/>
      <c r="AY23" s="821"/>
    </row>
    <row r="24" spans="2:51">
      <c r="B24" s="800">
        <f t="shared" ca="1" si="0"/>
        <v>16</v>
      </c>
      <c r="D24" s="820">
        <v>2.1099999999999977</v>
      </c>
      <c r="F24" s="800" t="str" cm="1">
        <f t="array" ref="F24">+TRIM(INDEX('ADJ DETAIL-INPUT'!$E$7:$AZ$7&amp;" "&amp;'ADJ DETAIL-INPUT'!$E$8:$AZ$8&amp;" "&amp;'ADJ DETAIL-INPUT'!$E$9:$AZ$9,1,MATCH($D24,'ADJ DETAIL-INPUT'!$E$10:$AZ$10,0)))</f>
        <v>Eliminate Adder Schedules</v>
      </c>
      <c r="I24" s="821">
        <v>-1103.6300000000001</v>
      </c>
      <c r="J24" s="821"/>
      <c r="K24" s="821">
        <f t="shared" si="1"/>
        <v>-1103.6300000000001</v>
      </c>
      <c r="L24" s="821"/>
      <c r="M24" s="821">
        <v>0</v>
      </c>
      <c r="N24" s="821"/>
      <c r="O24" s="821">
        <f t="shared" si="2"/>
        <v>1461.1925952013389</v>
      </c>
      <c r="R24" s="821">
        <f t="shared" si="7"/>
        <v>-1103.6300000000001</v>
      </c>
      <c r="S24" s="821"/>
      <c r="T24" s="821">
        <f t="shared" si="3"/>
        <v>0</v>
      </c>
      <c r="U24" s="821"/>
      <c r="V24" s="821">
        <f t="shared" si="4"/>
        <v>1461.1925952013389</v>
      </c>
      <c r="Y24" s="821">
        <f t="shared" si="8"/>
        <v>0</v>
      </c>
      <c r="Z24" s="821"/>
      <c r="AA24" s="850">
        <v>0</v>
      </c>
      <c r="AB24" s="821"/>
      <c r="AC24" s="850">
        <v>0</v>
      </c>
      <c r="AD24" s="828"/>
      <c r="AE24" s="821">
        <f t="shared" si="6"/>
        <v>0</v>
      </c>
      <c r="AG24" s="802" t="s">
        <v>812</v>
      </c>
      <c r="AI24" s="803"/>
      <c r="AJ24" s="825" t="s">
        <v>135</v>
      </c>
      <c r="AK24" s="832">
        <v>1</v>
      </c>
      <c r="AL24" s="826"/>
      <c r="AM24" s="833">
        <f>+SUM(AM22:AM23)</f>
        <v>7.1800000000000003E-2</v>
      </c>
      <c r="AN24" s="821">
        <f>+(AM24-AM30)*$M$68/$AK$4*1000</f>
        <v>-6214655.9909771206</v>
      </c>
      <c r="AO24" s="800" t="s">
        <v>839</v>
      </c>
      <c r="AP24" s="821"/>
      <c r="AQ24" s="821"/>
      <c r="AT24" s="821"/>
      <c r="AU24" s="821"/>
      <c r="AV24" s="821"/>
      <c r="AW24" s="821"/>
      <c r="AX24" s="821"/>
      <c r="AY24" s="821"/>
    </row>
    <row r="25" spans="2:51" ht="13.5">
      <c r="B25" s="800">
        <f t="shared" ca="1" si="0"/>
        <v>17</v>
      </c>
      <c r="D25" s="820">
        <v>2.1199999999999974</v>
      </c>
      <c r="F25" s="800" t="str" cm="1">
        <f t="array" ref="F25">+TRIM(INDEX('ADJ DETAIL-INPUT'!$E$7:$AZ$7&amp;" "&amp;'ADJ DETAIL-INPUT'!$E$8:$AZ$8&amp;" "&amp;'ADJ DETAIL-INPUT'!$E$9:$AZ$9,1,MATCH($D25,'ADJ DETAIL-INPUT'!$E$10:$AZ$10,0)))</f>
        <v>Misc. Restating Non-Util / Non- Recurring Expenses</v>
      </c>
      <c r="I25" s="821">
        <v>966.96</v>
      </c>
      <c r="J25" s="821"/>
      <c r="K25" s="821">
        <f t="shared" si="1"/>
        <v>966.96</v>
      </c>
      <c r="L25" s="821"/>
      <c r="M25" s="821">
        <v>0</v>
      </c>
      <c r="N25" s="821"/>
      <c r="O25" s="821">
        <f t="shared" si="2"/>
        <v>-1280.2431900690328</v>
      </c>
      <c r="R25" s="821">
        <f t="shared" si="7"/>
        <v>966.96</v>
      </c>
      <c r="S25" s="821"/>
      <c r="T25" s="821">
        <f t="shared" si="3"/>
        <v>0</v>
      </c>
      <c r="U25" s="821"/>
      <c r="V25" s="821">
        <f t="shared" si="4"/>
        <v>-1280.2431900690328</v>
      </c>
      <c r="Y25" s="821">
        <f t="shared" si="8"/>
        <v>0</v>
      </c>
      <c r="Z25" s="821"/>
      <c r="AA25" s="850">
        <v>0</v>
      </c>
      <c r="AB25" s="821"/>
      <c r="AC25" s="850">
        <v>0</v>
      </c>
      <c r="AD25" s="828"/>
      <c r="AE25" s="821">
        <f t="shared" si="6"/>
        <v>0</v>
      </c>
      <c r="AG25" s="802" t="s">
        <v>812</v>
      </c>
      <c r="AI25" s="803"/>
      <c r="AJ25" s="835"/>
      <c r="AL25" s="834"/>
      <c r="AM25" s="821"/>
      <c r="AP25" s="821"/>
      <c r="AQ25" s="821"/>
      <c r="AT25" s="821"/>
      <c r="AU25" s="821"/>
      <c r="AV25" s="821"/>
      <c r="AW25" s="821"/>
      <c r="AX25" s="821"/>
      <c r="AY25" s="821"/>
    </row>
    <row r="26" spans="2:51">
      <c r="B26" s="800">
        <f t="shared" ca="1" si="0"/>
        <v>18</v>
      </c>
      <c r="D26" s="820">
        <v>2.1299999999999972</v>
      </c>
      <c r="F26" s="800" t="str" cm="1">
        <f t="array" ref="F26">+TRIM(INDEX('ADJ DETAIL-INPUT'!$E$7:$AZ$7&amp;" "&amp;'ADJ DETAIL-INPUT'!$E$8:$AZ$8&amp;" "&amp;'ADJ DETAIL-INPUT'!$E$9:$AZ$9,1,MATCH($D26,'ADJ DETAIL-INPUT'!$E$10:$AZ$10,0)))</f>
        <v>Restating Incentives</v>
      </c>
      <c r="I26" s="821">
        <v>-594.87</v>
      </c>
      <c r="J26" s="821"/>
      <c r="K26" s="821">
        <f t="shared" si="1"/>
        <v>-594.87</v>
      </c>
      <c r="L26" s="821"/>
      <c r="M26" s="821">
        <v>0</v>
      </c>
      <c r="N26" s="821"/>
      <c r="O26" s="821">
        <f t="shared" si="2"/>
        <v>787.60058996893918</v>
      </c>
      <c r="R26" s="821">
        <f t="shared" si="7"/>
        <v>-594.87</v>
      </c>
      <c r="S26" s="821"/>
      <c r="T26" s="821">
        <f t="shared" si="3"/>
        <v>0</v>
      </c>
      <c r="U26" s="821"/>
      <c r="V26" s="821">
        <f t="shared" si="4"/>
        <v>787.60058996893918</v>
      </c>
      <c r="Y26" s="821">
        <f t="shared" si="8"/>
        <v>0</v>
      </c>
      <c r="Z26" s="821"/>
      <c r="AA26" s="850">
        <v>0</v>
      </c>
      <c r="AB26" s="821"/>
      <c r="AC26" s="850">
        <v>0</v>
      </c>
      <c r="AD26" s="828"/>
      <c r="AE26" s="821">
        <f t="shared" si="6"/>
        <v>0</v>
      </c>
      <c r="AG26" s="802" t="s">
        <v>812</v>
      </c>
      <c r="AI26" s="803"/>
      <c r="AJ26" s="822" t="s">
        <v>810</v>
      </c>
      <c r="AK26" s="823" t="s">
        <v>122</v>
      </c>
      <c r="AL26" s="823"/>
      <c r="AM26" s="824" t="s">
        <v>123</v>
      </c>
      <c r="AP26" s="821"/>
      <c r="AQ26" s="821"/>
      <c r="AT26" s="821"/>
      <c r="AU26" s="821"/>
      <c r="AV26" s="821"/>
      <c r="AW26" s="821"/>
      <c r="AX26" s="821"/>
      <c r="AY26" s="821"/>
    </row>
    <row r="27" spans="2:51">
      <c r="B27" s="800">
        <f t="shared" ca="1" si="0"/>
        <v>19</v>
      </c>
      <c r="D27" s="820">
        <v>2.139999999999997</v>
      </c>
      <c r="F27" s="800" t="str" cm="1">
        <f t="array" ref="F27">+TRIM(INDEX('ADJ DETAIL-INPUT'!$E$7:$AZ$7&amp;" "&amp;'ADJ DETAIL-INPUT'!$E$8:$AZ$8&amp;" "&amp;'ADJ DETAIL-INPUT'!$E$9:$AZ$9,1,MATCH($D27,'ADJ DETAIL-INPUT'!$E$10:$AZ$10,0)))</f>
        <v>Restate Debt Interest</v>
      </c>
      <c r="I27" s="821">
        <v>-934</v>
      </c>
      <c r="J27" s="821"/>
      <c r="K27" s="828">
        <v>-1042</v>
      </c>
      <c r="L27" s="821"/>
      <c r="M27" s="821">
        <v>0</v>
      </c>
      <c r="N27" s="821"/>
      <c r="O27" s="821">
        <f t="shared" si="2"/>
        <v>1379.5952304665468</v>
      </c>
      <c r="R27" s="828">
        <f>+'ADJ DETAIL-INPUT'!W57</f>
        <v>-1042</v>
      </c>
      <c r="S27" s="821"/>
      <c r="T27" s="821">
        <f t="shared" si="3"/>
        <v>0</v>
      </c>
      <c r="U27" s="821"/>
      <c r="V27" s="821">
        <f t="shared" si="4"/>
        <v>1379.5952304665468</v>
      </c>
      <c r="Y27" s="821">
        <f t="shared" ref="Y27" si="9">+AA27/(1-$AK$5)</f>
        <v>0</v>
      </c>
      <c r="Z27" s="821"/>
      <c r="AA27" s="850">
        <v>0</v>
      </c>
      <c r="AB27" s="821"/>
      <c r="AC27" s="850">
        <v>0</v>
      </c>
      <c r="AD27" s="828"/>
      <c r="AE27" s="821">
        <f t="shared" si="6"/>
        <v>0</v>
      </c>
      <c r="AG27" s="802" t="s">
        <v>812</v>
      </c>
      <c r="AI27" s="803"/>
      <c r="AJ27" s="825" t="s">
        <v>125</v>
      </c>
      <c r="AK27" s="826" t="s">
        <v>127</v>
      </c>
      <c r="AL27" s="826" t="s">
        <v>128</v>
      </c>
      <c r="AM27" s="827" t="s">
        <v>128</v>
      </c>
      <c r="AP27" s="821"/>
      <c r="AQ27" s="821"/>
      <c r="AT27" s="821"/>
      <c r="AU27" s="821"/>
      <c r="AV27" s="821"/>
      <c r="AW27" s="821"/>
      <c r="AX27" s="821"/>
      <c r="AY27" s="821"/>
    </row>
    <row r="28" spans="2:51">
      <c r="B28" s="800">
        <f t="shared" ca="1" si="0"/>
        <v>20</v>
      </c>
      <c r="D28" s="820">
        <v>2.1499999999999968</v>
      </c>
      <c r="F28" s="800" t="str" cm="1">
        <f t="array" ref="F28">+TRIM(INDEX('ADJ DETAIL-INPUT'!$E$7:$AZ$7&amp;" "&amp;'ADJ DETAIL-INPUT'!$E$8:$AZ$8&amp;" "&amp;'ADJ DETAIL-INPUT'!$E$9:$AZ$9,1,MATCH($D28,'ADJ DETAIL-INPUT'!$E$10:$AZ$10,0)))</f>
        <v>Eliminate WA Power Cost Defer</v>
      </c>
      <c r="I28" s="821">
        <v>1074</v>
      </c>
      <c r="J28" s="821"/>
      <c r="K28" s="821">
        <f t="shared" ref="K28:K31" si="10">+I28+$M28*$AK$5*$AM$10</f>
        <v>1074</v>
      </c>
      <c r="L28" s="821"/>
      <c r="M28" s="821">
        <v>0</v>
      </c>
      <c r="N28" s="821"/>
      <c r="O28" s="821">
        <f t="shared" si="2"/>
        <v>-1421.9628383119687</v>
      </c>
      <c r="R28" s="821">
        <f t="shared" si="7"/>
        <v>1074</v>
      </c>
      <c r="S28" s="821"/>
      <c r="T28" s="821">
        <f t="shared" si="3"/>
        <v>0</v>
      </c>
      <c r="U28" s="821"/>
      <c r="V28" s="821">
        <f t="shared" si="4"/>
        <v>-1421.9628383119687</v>
      </c>
      <c r="Y28" s="821">
        <f t="shared" si="8"/>
        <v>0</v>
      </c>
      <c r="Z28" s="821"/>
      <c r="AA28" s="850">
        <v>0</v>
      </c>
      <c r="AB28" s="821"/>
      <c r="AC28" s="850">
        <v>0</v>
      </c>
      <c r="AD28" s="828"/>
      <c r="AE28" s="821">
        <f t="shared" si="6"/>
        <v>0</v>
      </c>
      <c r="AG28" s="802" t="s">
        <v>812</v>
      </c>
      <c r="AI28" s="803"/>
      <c r="AJ28" s="829" t="s">
        <v>813</v>
      </c>
      <c r="AK28" s="830">
        <v>0.5</v>
      </c>
      <c r="AL28" s="830">
        <v>4.965E-2</v>
      </c>
      <c r="AM28" s="831">
        <f>ROUND(AK28*AL28,4)</f>
        <v>2.4799999999999999E-2</v>
      </c>
      <c r="AP28" s="821"/>
      <c r="AQ28" s="821"/>
      <c r="AT28" s="821"/>
      <c r="AU28" s="821"/>
      <c r="AV28" s="821"/>
      <c r="AW28" s="821"/>
      <c r="AX28" s="821"/>
      <c r="AY28" s="821"/>
    </row>
    <row r="29" spans="2:51">
      <c r="B29" s="800">
        <f t="shared" ca="1" si="0"/>
        <v>21</v>
      </c>
      <c r="D29" s="820">
        <v>2.1599999999999966</v>
      </c>
      <c r="F29" s="800" t="str" cm="1">
        <f t="array" ref="F29">+TRIM(INDEX('ADJ DETAIL-INPUT'!$E$7:$AZ$7&amp;" "&amp;'ADJ DETAIL-INPUT'!$E$8:$AZ$8&amp;" "&amp;'ADJ DETAIL-INPUT'!$E$9:$AZ$9,1,MATCH($D29,'ADJ DETAIL-INPUT'!$E$10:$AZ$10,0)))</f>
        <v>Nez Perce Settlement Adjustment</v>
      </c>
      <c r="I29" s="821">
        <v>3.95</v>
      </c>
      <c r="J29" s="821"/>
      <c r="K29" s="821">
        <f t="shared" si="10"/>
        <v>3.95</v>
      </c>
      <c r="L29" s="821"/>
      <c r="M29" s="821">
        <v>0</v>
      </c>
      <c r="N29" s="821"/>
      <c r="O29" s="821">
        <f t="shared" si="2"/>
        <v>-5.2297515934192518</v>
      </c>
      <c r="R29" s="821">
        <f t="shared" si="7"/>
        <v>3.95</v>
      </c>
      <c r="S29" s="821"/>
      <c r="T29" s="821">
        <f t="shared" si="3"/>
        <v>0</v>
      </c>
      <c r="U29" s="821"/>
      <c r="V29" s="821">
        <f t="shared" si="4"/>
        <v>-5.2297515934192518</v>
      </c>
      <c r="Y29" s="821">
        <f t="shared" si="8"/>
        <v>0</v>
      </c>
      <c r="Z29" s="821"/>
      <c r="AA29" s="850">
        <v>0</v>
      </c>
      <c r="AB29" s="821"/>
      <c r="AC29" s="850">
        <v>0</v>
      </c>
      <c r="AD29" s="828"/>
      <c r="AE29" s="821">
        <f t="shared" si="6"/>
        <v>0</v>
      </c>
      <c r="AG29" s="802" t="s">
        <v>812</v>
      </c>
      <c r="AI29" s="803"/>
      <c r="AJ29" s="829" t="s">
        <v>11</v>
      </c>
      <c r="AK29" s="832">
        <f>1-AK28</f>
        <v>0.5</v>
      </c>
      <c r="AL29" s="830">
        <v>9.9000000000000005E-2</v>
      </c>
      <c r="AM29" s="833">
        <f>ROUND(AK29*AL29,4)</f>
        <v>4.9500000000000002E-2</v>
      </c>
      <c r="AP29" s="821"/>
      <c r="AQ29" s="821"/>
      <c r="AT29" s="821"/>
      <c r="AU29" s="821"/>
      <c r="AV29" s="821"/>
      <c r="AW29" s="821"/>
      <c r="AX29" s="821"/>
      <c r="AY29" s="821"/>
    </row>
    <row r="30" spans="2:51">
      <c r="B30" s="800">
        <f t="shared" ca="1" si="0"/>
        <v>22</v>
      </c>
      <c r="D30" s="820">
        <v>2.1699999999999964</v>
      </c>
      <c r="F30" s="800" t="str" cm="1">
        <f t="array" ref="F30">+TRIM(INDEX('ADJ DETAIL-INPUT'!$E$7:$AZ$7&amp;" "&amp;'ADJ DETAIL-INPUT'!$E$8:$AZ$8&amp;" "&amp;'ADJ DETAIL-INPUT'!$E$9:$AZ$9,1,MATCH($D30,'ADJ DETAIL-INPUT'!$E$10:$AZ$10,0)))</f>
        <v>Normalize CS2/Colstrip Major Maint</v>
      </c>
      <c r="I30" s="821">
        <v>731.54</v>
      </c>
      <c r="J30" s="821"/>
      <c r="K30" s="821">
        <f t="shared" si="10"/>
        <v>731.54</v>
      </c>
      <c r="L30" s="821"/>
      <c r="M30" s="821">
        <v>0</v>
      </c>
      <c r="N30" s="821"/>
      <c r="O30" s="821">
        <f t="shared" si="2"/>
        <v>-968.54999510124526</v>
      </c>
      <c r="R30" s="821">
        <f t="shared" si="7"/>
        <v>731.54</v>
      </c>
      <c r="S30" s="821"/>
      <c r="T30" s="821">
        <f t="shared" si="3"/>
        <v>0</v>
      </c>
      <c r="U30" s="821"/>
      <c r="V30" s="821">
        <f t="shared" si="4"/>
        <v>-968.54999510124526</v>
      </c>
      <c r="Y30" s="821">
        <f t="shared" si="8"/>
        <v>0</v>
      </c>
      <c r="Z30" s="821"/>
      <c r="AA30" s="850">
        <v>0</v>
      </c>
      <c r="AB30" s="821"/>
      <c r="AC30" s="850">
        <v>0</v>
      </c>
      <c r="AD30" s="828"/>
      <c r="AE30" s="839">
        <f t="shared" si="6"/>
        <v>0</v>
      </c>
      <c r="AG30" s="802" t="s">
        <v>812</v>
      </c>
      <c r="AI30" s="803"/>
      <c r="AJ30" s="825" t="s">
        <v>135</v>
      </c>
      <c r="AK30" s="832">
        <v>1</v>
      </c>
      <c r="AL30" s="826"/>
      <c r="AM30" s="833">
        <f>+SUM(AM28:AM29)</f>
        <v>7.4300000000000005E-2</v>
      </c>
      <c r="AP30" s="821"/>
      <c r="AQ30" s="821"/>
      <c r="AT30" s="821"/>
      <c r="AU30" s="821"/>
      <c r="AV30" s="821"/>
      <c r="AW30" s="821"/>
      <c r="AX30" s="821"/>
      <c r="AY30" s="821"/>
    </row>
    <row r="31" spans="2:51">
      <c r="B31" s="800">
        <f t="shared" ca="1" si="0"/>
        <v>23</v>
      </c>
      <c r="D31" s="820">
        <v>2.1799999999999962</v>
      </c>
      <c r="F31" s="800" t="str" cm="1">
        <f t="array" ref="F31">+TRIM(INDEX('ADJ DETAIL-INPUT'!$E$7:$AZ$7&amp;" "&amp;'ADJ DETAIL-INPUT'!$E$8:$AZ$8&amp;" "&amp;'ADJ DETAIL-INPUT'!$E$9:$AZ$9,1,MATCH($D31,'ADJ DETAIL-INPUT'!$E$10:$AZ$10,0)))</f>
        <v>Authorized Power Supply</v>
      </c>
      <c r="I31" s="821">
        <v>-4633.3500000000004</v>
      </c>
      <c r="J31" s="821"/>
      <c r="K31" s="821">
        <f t="shared" si="10"/>
        <v>-4633.3500000000004</v>
      </c>
      <c r="L31" s="821"/>
      <c r="M31" s="821">
        <v>0</v>
      </c>
      <c r="N31" s="821"/>
      <c r="O31" s="821">
        <f t="shared" si="2"/>
        <v>6134.4986190807822</v>
      </c>
      <c r="R31" s="821">
        <f t="shared" si="7"/>
        <v>-4633.3500000000004</v>
      </c>
      <c r="S31" s="821"/>
      <c r="T31" s="821">
        <f t="shared" si="3"/>
        <v>0</v>
      </c>
      <c r="U31" s="821"/>
      <c r="V31" s="821">
        <f t="shared" si="4"/>
        <v>6134.4986190807822</v>
      </c>
      <c r="Y31" s="821">
        <f t="shared" si="8"/>
        <v>0</v>
      </c>
      <c r="Z31" s="821"/>
      <c r="AA31" s="850">
        <v>0</v>
      </c>
      <c r="AB31" s="821"/>
      <c r="AC31" s="850">
        <v>0</v>
      </c>
      <c r="AD31" s="828"/>
      <c r="AE31" s="821">
        <f t="shared" si="6"/>
        <v>0</v>
      </c>
      <c r="AG31" s="802" t="s">
        <v>812</v>
      </c>
      <c r="AI31" s="803"/>
      <c r="AP31" s="821"/>
      <c r="AQ31" s="821"/>
      <c r="AT31" s="821"/>
      <c r="AU31" s="821"/>
      <c r="AV31" s="821"/>
      <c r="AW31" s="821"/>
      <c r="AX31" s="821"/>
      <c r="AY31" s="821"/>
    </row>
    <row r="32" spans="2:51">
      <c r="B32" s="800">
        <f t="shared" ca="1" si="0"/>
        <v>24</v>
      </c>
      <c r="D32" s="820">
        <v>2.1899999999999959</v>
      </c>
      <c r="F32" s="800" t="str" cm="1">
        <f t="array" ref="F32">+TRIM(INDEX('ADJ DETAIL-INPUT'!$E$7:$AZ$7&amp;" "&amp;'ADJ DETAIL-INPUT'!$E$8:$AZ$8&amp;" "&amp;'ADJ DETAIL-INPUT'!$E$9:$AZ$9,1,MATCH($D32,'ADJ DETAIL-INPUT'!$E$10:$AZ$10,0)))</f>
        <v>Restate 2019 AMA Rate Base to EOP</v>
      </c>
      <c r="I32" s="821">
        <v>-1466.2400000000002</v>
      </c>
      <c r="J32" s="821"/>
      <c r="K32" s="821">
        <f>+I32+$M32*$AK$5*$AM$10</f>
        <v>-1357.9427458700875</v>
      </c>
      <c r="L32" s="821"/>
      <c r="M32" s="821">
        <v>21049.028985405777</v>
      </c>
      <c r="N32" s="821"/>
      <c r="O32" s="821">
        <f t="shared" si="2"/>
        <v>3751.4923695236985</v>
      </c>
      <c r="R32" s="821">
        <f t="shared" si="7"/>
        <v>-1357.9427458700875</v>
      </c>
      <c r="S32" s="821"/>
      <c r="T32" s="821">
        <f t="shared" si="3"/>
        <v>21049.028985405777</v>
      </c>
      <c r="U32" s="821"/>
      <c r="V32" s="821">
        <f t="shared" si="4"/>
        <v>3751.4923695236985</v>
      </c>
      <c r="Y32" s="821">
        <f t="shared" si="8"/>
        <v>0</v>
      </c>
      <c r="Z32" s="821"/>
      <c r="AA32" s="850">
        <v>0</v>
      </c>
      <c r="AB32" s="821"/>
      <c r="AC32" s="850">
        <v>0</v>
      </c>
      <c r="AD32" s="828"/>
      <c r="AE32" s="821">
        <f t="shared" si="6"/>
        <v>0</v>
      </c>
      <c r="AG32" s="802" t="s">
        <v>812</v>
      </c>
      <c r="AI32" s="803"/>
      <c r="AN32" s="821">
        <f>-SUM(AN8:AN31)+O72*1000</f>
        <v>156955.56484157592</v>
      </c>
      <c r="AO32" s="800" t="s">
        <v>262</v>
      </c>
      <c r="AP32" s="821"/>
      <c r="AQ32" s="821"/>
      <c r="AT32" s="821"/>
      <c r="AU32" s="821"/>
      <c r="AV32" s="821"/>
      <c r="AW32" s="821"/>
      <c r="AX32" s="821"/>
      <c r="AY32" s="821"/>
    </row>
    <row r="33" spans="2:51" ht="13.5">
      <c r="D33" s="820"/>
      <c r="I33" s="821"/>
      <c r="J33" s="821"/>
      <c r="K33" s="864"/>
      <c r="L33" s="821"/>
      <c r="M33" s="821"/>
      <c r="N33" s="821"/>
      <c r="O33" s="821"/>
      <c r="R33" s="821"/>
      <c r="S33" s="821"/>
      <c r="T33" s="821"/>
      <c r="U33" s="821"/>
      <c r="V33" s="821"/>
      <c r="Y33" s="821"/>
      <c r="Z33" s="821"/>
      <c r="AA33" s="821"/>
      <c r="AB33" s="821"/>
      <c r="AC33" s="821"/>
      <c r="AD33" s="828"/>
      <c r="AE33" s="821"/>
      <c r="AG33" s="802"/>
      <c r="AI33" s="803"/>
      <c r="AJ33" s="835"/>
      <c r="AL33" s="834"/>
      <c r="AM33" s="821"/>
    </row>
    <row r="34" spans="2:51">
      <c r="D34" s="820"/>
      <c r="I34" s="836"/>
      <c r="J34" s="859"/>
      <c r="K34" s="859"/>
      <c r="L34" s="816"/>
      <c r="M34" s="836"/>
      <c r="N34" s="816"/>
      <c r="O34" s="836"/>
      <c r="Q34" s="799"/>
      <c r="R34" s="836"/>
      <c r="S34" s="816"/>
      <c r="T34" s="836"/>
      <c r="U34" s="816"/>
      <c r="V34" s="836"/>
      <c r="Y34" s="836"/>
      <c r="Z34" s="821"/>
      <c r="AA34" s="836"/>
      <c r="AB34" s="821"/>
      <c r="AC34" s="836"/>
      <c r="AD34" s="828"/>
      <c r="AE34" s="836"/>
      <c r="AG34" s="802"/>
      <c r="AI34" s="803"/>
      <c r="AL34" s="834"/>
      <c r="AM34" s="819"/>
    </row>
    <row r="35" spans="2:51" ht="13.5">
      <c r="B35" s="800">
        <f t="shared" ca="1" si="0"/>
        <v>25</v>
      </c>
      <c r="D35" s="820"/>
      <c r="F35" s="799" t="s">
        <v>814</v>
      </c>
      <c r="I35" s="816">
        <f>+SUM(I$7:I$34)</f>
        <v>106730.38000000002</v>
      </c>
      <c r="J35" s="816"/>
      <c r="K35" s="816">
        <f>+SUM(K$7:K$34)</f>
        <v>106463.17841412994</v>
      </c>
      <c r="L35" s="816"/>
      <c r="M35" s="816">
        <f>+SUM(M$7:M$34)</f>
        <v>1679192.0289854058</v>
      </c>
      <c r="N35" s="816"/>
      <c r="O35" s="816">
        <f>+SUM(O$7:O$34)</f>
        <v>14892.456206122424</v>
      </c>
      <c r="Q35" s="799"/>
      <c r="R35" s="816">
        <f>+SUM(R$7:R$34)</f>
        <v>106463.17841412994</v>
      </c>
      <c r="S35" s="816"/>
      <c r="T35" s="816">
        <f>+SUM(T$7:T$34)</f>
        <v>1679192.0289854058</v>
      </c>
      <c r="U35" s="816"/>
      <c r="V35" s="816">
        <f>+SUM(V$7:V$34)</f>
        <v>14892.456206122424</v>
      </c>
      <c r="Y35" s="816">
        <f>+SUM(Y$7:Y$34)</f>
        <v>0</v>
      </c>
      <c r="Z35" s="821"/>
      <c r="AA35" s="816">
        <f>+SUM(AA$7:AA$34)</f>
        <v>0</v>
      </c>
      <c r="AB35" s="821"/>
      <c r="AC35" s="816">
        <f>+SUM(AC$7:AC$34)</f>
        <v>0</v>
      </c>
      <c r="AD35" s="828"/>
      <c r="AE35" s="816">
        <f>+SUM(AE$7:AE$34)</f>
        <v>0</v>
      </c>
      <c r="AG35" s="802"/>
      <c r="AI35" s="803"/>
      <c r="AJ35" s="835"/>
      <c r="AL35" s="834"/>
      <c r="AM35" s="821"/>
      <c r="AN35" s="821">
        <f>+SUM(AN12:AN32)</f>
        <v>-10283666.5</v>
      </c>
      <c r="AO35" s="800" t="s">
        <v>840</v>
      </c>
    </row>
    <row r="36" spans="2:51">
      <c r="D36" s="820"/>
      <c r="I36" s="821"/>
      <c r="J36" s="821"/>
      <c r="K36" s="821"/>
      <c r="L36" s="821"/>
      <c r="M36" s="821"/>
      <c r="N36" s="821"/>
      <c r="O36" s="821"/>
      <c r="R36" s="821"/>
      <c r="S36" s="821"/>
      <c r="T36" s="821"/>
      <c r="U36" s="821"/>
      <c r="V36" s="821"/>
      <c r="Y36" s="821"/>
      <c r="Z36" s="821"/>
      <c r="AA36" s="821"/>
      <c r="AB36" s="821"/>
      <c r="AC36" s="821"/>
      <c r="AD36" s="828"/>
      <c r="AE36" s="821"/>
      <c r="AG36" s="802"/>
      <c r="AI36" s="803"/>
      <c r="AL36" s="834"/>
      <c r="AM36" s="819"/>
    </row>
    <row r="37" spans="2:51" ht="13.5">
      <c r="B37" s="804" t="s">
        <v>815</v>
      </c>
      <c r="D37" s="820"/>
      <c r="I37" s="821"/>
      <c r="J37" s="821"/>
      <c r="K37" s="821"/>
      <c r="L37" s="821"/>
      <c r="M37" s="821"/>
      <c r="N37" s="821"/>
      <c r="O37" s="821"/>
      <c r="R37" s="821"/>
      <c r="S37" s="821"/>
      <c r="T37" s="821"/>
      <c r="U37" s="821"/>
      <c r="V37" s="821"/>
      <c r="Y37" s="821"/>
      <c r="Z37" s="821"/>
      <c r="AA37" s="821"/>
      <c r="AB37" s="821"/>
      <c r="AC37" s="821"/>
      <c r="AD37" s="828"/>
      <c r="AE37" s="821"/>
      <c r="AG37" s="802"/>
      <c r="AI37" s="803"/>
      <c r="AJ37" s="835"/>
      <c r="AL37" s="834"/>
      <c r="AM37" s="821"/>
    </row>
    <row r="38" spans="2:51">
      <c r="B38" s="800">
        <f ca="1">+MAX(OFFSET($B$7,0,0,ROW($B38)-ROW($B$7),1))+1</f>
        <v>26</v>
      </c>
      <c r="D38" s="820" t="s">
        <v>745</v>
      </c>
      <c r="F38" s="800" t="str" cm="1">
        <f t="array" ref="F38">+TRIM(INDEX('ADJ DETAIL-INPUT'!$E$7:$AZ$7&amp;" "&amp;'ADJ DETAIL-INPUT'!$E$8:$AZ$8&amp;" "&amp;'ADJ DETAIL-INPUT'!$E$9:$AZ$9,1,MATCH($D38,'ADJ DETAIL-INPUT'!$E$10:$AZ$10,0)))</f>
        <v>Pro Forma Power Supply</v>
      </c>
      <c r="I38" s="821">
        <v>11520.57</v>
      </c>
      <c r="J38" s="821"/>
      <c r="K38" s="821">
        <f>+I38+$M38*$AK$5*$AM$10</f>
        <v>11520.57</v>
      </c>
      <c r="L38" s="821"/>
      <c r="M38" s="821">
        <v>0</v>
      </c>
      <c r="N38" s="821"/>
      <c r="O38" s="821">
        <f t="shared" ref="O38:O65" si="11">+($M38*$AM$12-$K38)/$AK$4</f>
        <v>-15253.093497366588</v>
      </c>
      <c r="R38" s="821">
        <f t="shared" ref="R38:R60" si="12">+I38+AA38+$T38*$AK$5*$AM$10</f>
        <v>11520.57</v>
      </c>
      <c r="S38" s="821"/>
      <c r="T38" s="821">
        <f t="shared" ref="T38:T65" si="13">+M38+AC38</f>
        <v>0</v>
      </c>
      <c r="U38" s="821"/>
      <c r="V38" s="821">
        <f t="shared" ref="V38:V65" si="14">+($T38*$AM$12-$R38)/$AK$4</f>
        <v>-15253.093497366588</v>
      </c>
      <c r="Y38" s="821">
        <f t="shared" ref="Y38:Y60" si="15">+AA38/(1-$AK$5)</f>
        <v>0</v>
      </c>
      <c r="Z38" s="821"/>
      <c r="AA38" s="850">
        <v>0</v>
      </c>
      <c r="AB38" s="821"/>
      <c r="AC38" s="850">
        <v>0</v>
      </c>
      <c r="AD38" s="828"/>
      <c r="AE38" s="821">
        <f t="shared" ref="AE38:AE65" si="16">+V38-O38</f>
        <v>0</v>
      </c>
      <c r="AG38" s="802" t="s">
        <v>812</v>
      </c>
      <c r="AI38" s="803"/>
      <c r="AL38" s="834"/>
      <c r="AM38" s="819"/>
      <c r="AT38" s="821"/>
      <c r="AU38" s="821"/>
      <c r="AV38" s="821"/>
      <c r="AW38" s="821"/>
      <c r="AX38" s="821"/>
      <c r="AY38" s="821"/>
    </row>
    <row r="39" spans="2:51" ht="13.5">
      <c r="B39" s="800">
        <f t="shared" ca="1" si="0"/>
        <v>27</v>
      </c>
      <c r="D39" s="820" t="s">
        <v>746</v>
      </c>
      <c r="F39" s="800" t="str" cm="1">
        <f t="array" ref="F39">+TRIM(INDEX('ADJ DETAIL-INPUT'!$E$7:$AZ$7&amp;" "&amp;'ADJ DETAIL-INPUT'!$E$8:$AZ$8&amp;" "&amp;'ADJ DETAIL-INPUT'!$E$9:$AZ$9,1,MATCH($D39,'ADJ DETAIL-INPUT'!$E$10:$AZ$10,0)))</f>
        <v>Pro Forma Transmission Revenue/Expense</v>
      </c>
      <c r="I39" s="821">
        <v>872.95</v>
      </c>
      <c r="J39" s="821"/>
      <c r="K39" s="821">
        <f t="shared" ref="K39:K60" si="17">+I39+$M39*$AK$5*$AM$10</f>
        <v>872.95</v>
      </c>
      <c r="L39" s="821"/>
      <c r="M39" s="821">
        <v>0</v>
      </c>
      <c r="N39" s="821"/>
      <c r="O39" s="821">
        <f t="shared" si="11"/>
        <v>-1155.7751021456545</v>
      </c>
      <c r="R39" s="821">
        <f t="shared" si="12"/>
        <v>1293.7277000000001</v>
      </c>
      <c r="S39" s="821"/>
      <c r="T39" s="821">
        <f t="shared" si="13"/>
        <v>0</v>
      </c>
      <c r="U39" s="821"/>
      <c r="V39" s="821">
        <f t="shared" si="14"/>
        <v>-1712.8796203862339</v>
      </c>
      <c r="Y39" s="850">
        <v>532.63</v>
      </c>
      <c r="Z39" s="821"/>
      <c r="AA39" s="821">
        <f>+Y39*(1-$AK$5)</f>
        <v>420.77770000000004</v>
      </c>
      <c r="AB39" s="821"/>
      <c r="AC39" s="850">
        <v>0</v>
      </c>
      <c r="AD39" s="828"/>
      <c r="AE39" s="821">
        <f t="shared" si="16"/>
        <v>-557.10451824057941</v>
      </c>
      <c r="AG39" s="802" t="s">
        <v>857</v>
      </c>
      <c r="AI39" s="803"/>
      <c r="AJ39" s="835"/>
      <c r="AL39" s="834"/>
      <c r="AM39" s="821"/>
      <c r="AT39" s="821"/>
      <c r="AU39" s="821"/>
      <c r="AV39" s="821"/>
      <c r="AW39" s="821"/>
      <c r="AX39" s="821"/>
      <c r="AY39" s="821"/>
    </row>
    <row r="40" spans="2:51">
      <c r="B40" s="800">
        <f t="shared" ca="1" si="0"/>
        <v>28</v>
      </c>
      <c r="D40" s="820">
        <v>3.01</v>
      </c>
      <c r="F40" s="800" t="str" cm="1">
        <f t="array" ref="F40">+TRIM(INDEX('ADJ DETAIL-INPUT'!$E$7:$AZ$7&amp;" "&amp;'ADJ DETAIL-INPUT'!$E$8:$AZ$8&amp;" "&amp;'ADJ DETAIL-INPUT'!$E$9:$AZ$9,1,MATCH($D40,'ADJ DETAIL-INPUT'!$E$10:$AZ$10,0)))</f>
        <v>Pro Forma Revenue Normalization</v>
      </c>
      <c r="I40" s="821">
        <v>11740.19</v>
      </c>
      <c r="J40" s="821"/>
      <c r="K40" s="821">
        <f t="shared" si="17"/>
        <v>11740.19</v>
      </c>
      <c r="L40" s="821"/>
      <c r="M40" s="821">
        <v>0</v>
      </c>
      <c r="N40" s="821"/>
      <c r="O40" s="821">
        <f t="shared" si="11"/>
        <v>-15543.867685960699</v>
      </c>
      <c r="R40" s="821">
        <f t="shared" si="12"/>
        <v>11740.19</v>
      </c>
      <c r="S40" s="821"/>
      <c r="T40" s="821">
        <f t="shared" si="13"/>
        <v>0</v>
      </c>
      <c r="U40" s="821"/>
      <c r="V40" s="821">
        <f t="shared" si="14"/>
        <v>-15543.867685960699</v>
      </c>
      <c r="Y40" s="821">
        <f t="shared" si="15"/>
        <v>0</v>
      </c>
      <c r="Z40" s="821"/>
      <c r="AA40" s="850">
        <v>0</v>
      </c>
      <c r="AB40" s="821"/>
      <c r="AC40" s="850">
        <v>0</v>
      </c>
      <c r="AD40" s="828"/>
      <c r="AE40" s="821">
        <f t="shared" si="16"/>
        <v>0</v>
      </c>
      <c r="AG40" s="802" t="s">
        <v>812</v>
      </c>
      <c r="AI40" s="803"/>
      <c r="AL40" s="834"/>
      <c r="AM40" s="819"/>
      <c r="AT40" s="821"/>
      <c r="AU40" s="821"/>
      <c r="AV40" s="821"/>
      <c r="AW40" s="821"/>
      <c r="AX40" s="821"/>
      <c r="AY40" s="821"/>
    </row>
    <row r="41" spans="2:51">
      <c r="B41" s="800">
        <f t="shared" ca="1" si="0"/>
        <v>29</v>
      </c>
      <c r="D41" s="820">
        <v>3.0199999999999996</v>
      </c>
      <c r="F41" s="800" t="str" cm="1">
        <f t="array" ref="F41">+TRIM(INDEX('ADJ DETAIL-INPUT'!$E$7:$AZ$7&amp;" "&amp;'ADJ DETAIL-INPUT'!$E$8:$AZ$8&amp;" "&amp;'ADJ DETAIL-INPUT'!$E$9:$AZ$9,1,MATCH($D41,'ADJ DETAIL-INPUT'!$E$10:$AZ$10,0)))</f>
        <v>Pro Forma Def. Debits, Credits &amp; Regulatory Amorts</v>
      </c>
      <c r="I41" s="821">
        <v>1909.4299999999998</v>
      </c>
      <c r="J41" s="821"/>
      <c r="K41" s="821">
        <f t="shared" si="17"/>
        <v>1905.4889299999998</v>
      </c>
      <c r="L41" s="821"/>
      <c r="M41" s="821">
        <v>-766</v>
      </c>
      <c r="N41" s="821"/>
      <c r="O41" s="821">
        <f t="shared" si="11"/>
        <v>-2593.9376322332755</v>
      </c>
      <c r="R41" s="821">
        <f t="shared" si="12"/>
        <v>1905.4889299999998</v>
      </c>
      <c r="S41" s="821"/>
      <c r="T41" s="821">
        <f t="shared" si="13"/>
        <v>-766</v>
      </c>
      <c r="U41" s="821"/>
      <c r="V41" s="821">
        <f t="shared" si="14"/>
        <v>-2593.9376322332755</v>
      </c>
      <c r="Y41" s="821">
        <f t="shared" si="15"/>
        <v>0</v>
      </c>
      <c r="Z41" s="821"/>
      <c r="AA41" s="850">
        <v>0</v>
      </c>
      <c r="AB41" s="821"/>
      <c r="AC41" s="850">
        <v>0</v>
      </c>
      <c r="AD41" s="828"/>
      <c r="AE41" s="821">
        <f t="shared" si="16"/>
        <v>0</v>
      </c>
      <c r="AG41" s="802" t="s">
        <v>812</v>
      </c>
      <c r="AI41" s="803"/>
      <c r="AL41" s="834"/>
      <c r="AM41" s="819"/>
      <c r="AT41" s="821"/>
      <c r="AU41" s="821"/>
      <c r="AV41" s="821"/>
      <c r="AW41" s="821"/>
      <c r="AX41" s="821"/>
      <c r="AY41" s="821"/>
    </row>
    <row r="42" spans="2:51">
      <c r="B42" s="800">
        <f t="shared" ca="1" si="0"/>
        <v>30</v>
      </c>
      <c r="D42" s="820">
        <v>3.0299999999999994</v>
      </c>
      <c r="F42" s="800" t="str" cm="1">
        <f t="array" ref="F42">+TRIM(INDEX('ADJ DETAIL-INPUT'!$E$7:$AZ$7&amp;" "&amp;'ADJ DETAIL-INPUT'!$E$8:$AZ$8&amp;" "&amp;'ADJ DETAIL-INPUT'!$E$9:$AZ$9,1,MATCH($D42,'ADJ DETAIL-INPUT'!$E$10:$AZ$10,0)))</f>
        <v>Pro Forma ARAM DFIT</v>
      </c>
      <c r="I42" s="821">
        <v>500</v>
      </c>
      <c r="J42" s="821"/>
      <c r="K42" s="821">
        <f t="shared" si="17"/>
        <v>500</v>
      </c>
      <c r="L42" s="821"/>
      <c r="M42" s="821">
        <v>0</v>
      </c>
      <c r="N42" s="821"/>
      <c r="O42" s="821">
        <f t="shared" si="11"/>
        <v>-661.99387258471529</v>
      </c>
      <c r="R42" s="821">
        <f t="shared" si="12"/>
        <v>500</v>
      </c>
      <c r="S42" s="821"/>
      <c r="T42" s="821">
        <f t="shared" si="13"/>
        <v>0</v>
      </c>
      <c r="U42" s="821"/>
      <c r="V42" s="821">
        <f t="shared" si="14"/>
        <v>-661.99387258471529</v>
      </c>
      <c r="Y42" s="821">
        <f t="shared" si="15"/>
        <v>0</v>
      </c>
      <c r="Z42" s="821"/>
      <c r="AA42" s="850">
        <v>0</v>
      </c>
      <c r="AB42" s="821"/>
      <c r="AC42" s="850">
        <v>0</v>
      </c>
      <c r="AD42" s="828"/>
      <c r="AE42" s="821">
        <f t="shared" si="16"/>
        <v>0</v>
      </c>
      <c r="AG42" s="802" t="s">
        <v>812</v>
      </c>
      <c r="AI42" s="803"/>
      <c r="AJ42" s="801">
        <v>-532630</v>
      </c>
      <c r="AL42" s="834"/>
      <c r="AM42" s="819"/>
      <c r="AT42" s="821"/>
      <c r="AU42" s="821"/>
      <c r="AV42" s="821"/>
      <c r="AW42" s="821"/>
      <c r="AX42" s="821"/>
      <c r="AY42" s="821"/>
    </row>
    <row r="43" spans="2:51">
      <c r="B43" s="800">
        <f t="shared" ca="1" si="0"/>
        <v>31</v>
      </c>
      <c r="D43" s="820">
        <v>3.0399999999999991</v>
      </c>
      <c r="F43" s="800" t="str" cm="1">
        <f t="array" ref="F43">+TRIM(INDEX('ADJ DETAIL-INPUT'!$E$7:$AZ$7&amp;" "&amp;'ADJ DETAIL-INPUT'!$E$8:$AZ$8&amp;" "&amp;'ADJ DETAIL-INPUT'!$E$9:$AZ$9,1,MATCH($D43,'ADJ DETAIL-INPUT'!$E$10:$AZ$10,0)))</f>
        <v>Pro Forma Labor Non-Exec</v>
      </c>
      <c r="I43" s="821">
        <v>-2580.9300000000003</v>
      </c>
      <c r="J43" s="821"/>
      <c r="K43" s="821">
        <f t="shared" si="17"/>
        <v>-2580.9300000000003</v>
      </c>
      <c r="L43" s="821"/>
      <c r="M43" s="821">
        <v>0</v>
      </c>
      <c r="N43" s="821"/>
      <c r="O43" s="821">
        <f t="shared" si="11"/>
        <v>3417.1196911401389</v>
      </c>
      <c r="R43" s="821">
        <f t="shared" si="12"/>
        <v>-2580.9300000000003</v>
      </c>
      <c r="S43" s="821"/>
      <c r="T43" s="821">
        <f t="shared" si="13"/>
        <v>0</v>
      </c>
      <c r="U43" s="821"/>
      <c r="V43" s="821">
        <f t="shared" si="14"/>
        <v>3417.1196911401389</v>
      </c>
      <c r="Y43" s="821">
        <f t="shared" ref="Y43:Y44" si="18">+AA43/(1-$AK$5)</f>
        <v>0</v>
      </c>
      <c r="Z43" s="821"/>
      <c r="AA43" s="850">
        <v>0</v>
      </c>
      <c r="AB43" s="821"/>
      <c r="AC43" s="850">
        <v>0</v>
      </c>
      <c r="AD43" s="828"/>
      <c r="AE43" s="821">
        <f t="shared" si="16"/>
        <v>0</v>
      </c>
      <c r="AG43" s="915" t="s">
        <v>866</v>
      </c>
      <c r="AI43" s="803"/>
      <c r="AL43" s="834"/>
      <c r="AM43" s="819"/>
      <c r="AT43" s="821"/>
      <c r="AU43" s="821"/>
      <c r="AV43" s="821"/>
      <c r="AW43" s="821"/>
      <c r="AX43" s="821"/>
      <c r="AY43" s="821"/>
    </row>
    <row r="44" spans="2:51">
      <c r="B44" s="800">
        <f t="shared" ca="1" si="0"/>
        <v>32</v>
      </c>
      <c r="D44" s="820">
        <v>3.0499999999999989</v>
      </c>
      <c r="F44" s="800" t="str" cm="1">
        <f t="array" ref="F44">+TRIM(INDEX('ADJ DETAIL-INPUT'!$E$7:$AZ$7&amp;" "&amp;'ADJ DETAIL-INPUT'!$E$8:$AZ$8&amp;" "&amp;'ADJ DETAIL-INPUT'!$E$9:$AZ$9,1,MATCH($D44,'ADJ DETAIL-INPUT'!$E$10:$AZ$10,0)))</f>
        <v>Pro Forma Labor Exec</v>
      </c>
      <c r="I44" s="821">
        <v>251.22</v>
      </c>
      <c r="J44" s="821"/>
      <c r="K44" s="821">
        <f t="shared" si="17"/>
        <v>251.22</v>
      </c>
      <c r="L44" s="821"/>
      <c r="M44" s="821">
        <v>0</v>
      </c>
      <c r="N44" s="821"/>
      <c r="O44" s="821">
        <f t="shared" si="11"/>
        <v>-332.61220134146436</v>
      </c>
      <c r="R44" s="821">
        <f t="shared" si="12"/>
        <v>251.22</v>
      </c>
      <c r="S44" s="821"/>
      <c r="T44" s="821">
        <f t="shared" si="13"/>
        <v>0</v>
      </c>
      <c r="U44" s="821"/>
      <c r="V44" s="821">
        <f t="shared" si="14"/>
        <v>-332.61220134146436</v>
      </c>
      <c r="Y44" s="821">
        <f t="shared" si="18"/>
        <v>0</v>
      </c>
      <c r="Z44" s="821"/>
      <c r="AA44" s="850">
        <v>0</v>
      </c>
      <c r="AB44" s="821"/>
      <c r="AC44" s="850">
        <v>0</v>
      </c>
      <c r="AD44" s="828"/>
      <c r="AE44" s="821">
        <f t="shared" si="16"/>
        <v>0</v>
      </c>
      <c r="AG44" s="802" t="s">
        <v>812</v>
      </c>
      <c r="AI44" s="803"/>
      <c r="AL44" s="834"/>
      <c r="AM44" s="819"/>
      <c r="AT44" s="821"/>
      <c r="AU44" s="821"/>
      <c r="AV44" s="821"/>
      <c r="AW44" s="821"/>
      <c r="AX44" s="821"/>
      <c r="AY44" s="821"/>
    </row>
    <row r="45" spans="2:51">
      <c r="B45" s="800">
        <f t="shared" ca="1" si="0"/>
        <v>33</v>
      </c>
      <c r="D45" s="820">
        <v>3.0599999999999987</v>
      </c>
      <c r="F45" s="800" t="str" cm="1">
        <f t="array" ref="F45">+TRIM(INDEX('ADJ DETAIL-INPUT'!$E$7:$AZ$7&amp;" "&amp;'ADJ DETAIL-INPUT'!$E$8:$AZ$8&amp;" "&amp;'ADJ DETAIL-INPUT'!$E$9:$AZ$9,1,MATCH($D45,'ADJ DETAIL-INPUT'!$E$10:$AZ$10,0)))</f>
        <v>Pro Forma Employee Benefits</v>
      </c>
      <c r="I45" s="821">
        <v>-884.8</v>
      </c>
      <c r="J45" s="821"/>
      <c r="K45" s="821">
        <f t="shared" si="17"/>
        <v>-884.8</v>
      </c>
      <c r="L45" s="821"/>
      <c r="M45" s="821">
        <v>0</v>
      </c>
      <c r="N45" s="821"/>
      <c r="O45" s="821">
        <f t="shared" si="11"/>
        <v>1171.4643569259122</v>
      </c>
      <c r="R45" s="821">
        <f t="shared" si="12"/>
        <v>-884.8</v>
      </c>
      <c r="S45" s="821"/>
      <c r="T45" s="821">
        <f t="shared" si="13"/>
        <v>0</v>
      </c>
      <c r="U45" s="821"/>
      <c r="V45" s="821">
        <f t="shared" si="14"/>
        <v>1171.4643569259122</v>
      </c>
      <c r="Y45" s="821">
        <f t="shared" si="15"/>
        <v>0</v>
      </c>
      <c r="Z45" s="821"/>
      <c r="AA45" s="850">
        <v>0</v>
      </c>
      <c r="AB45" s="821"/>
      <c r="AC45" s="850">
        <v>0</v>
      </c>
      <c r="AD45" s="828"/>
      <c r="AE45" s="821">
        <f t="shared" si="16"/>
        <v>0</v>
      </c>
      <c r="AG45" s="802" t="s">
        <v>812</v>
      </c>
      <c r="AI45" s="803"/>
      <c r="AL45" s="834"/>
      <c r="AM45" s="819"/>
      <c r="AT45" s="821"/>
      <c r="AU45" s="821"/>
      <c r="AV45" s="821"/>
      <c r="AW45" s="821"/>
      <c r="AX45" s="821"/>
      <c r="AY45" s="821"/>
    </row>
    <row r="46" spans="2:51">
      <c r="B46" s="800">
        <f t="shared" ca="1" si="0"/>
        <v>34</v>
      </c>
      <c r="D46" s="820">
        <v>3.0699999999999985</v>
      </c>
      <c r="F46" s="800" t="str" cm="1">
        <f t="array" ref="F46">+TRIM(INDEX('ADJ DETAIL-INPUT'!$E$7:$AZ$7&amp;" "&amp;'ADJ DETAIL-INPUT'!$E$8:$AZ$8&amp;" "&amp;'ADJ DETAIL-INPUT'!$E$9:$AZ$9,1,MATCH($D46,'ADJ DETAIL-INPUT'!$E$10:$AZ$10,0)))</f>
        <v>Pro Forma Insurance Expense</v>
      </c>
      <c r="I46" s="821">
        <v>-2795.81</v>
      </c>
      <c r="J46" s="821"/>
      <c r="K46" s="821">
        <f t="shared" si="17"/>
        <v>-2795.81</v>
      </c>
      <c r="L46" s="821"/>
      <c r="M46" s="821">
        <v>0</v>
      </c>
      <c r="N46" s="821"/>
      <c r="O46" s="821">
        <f t="shared" si="11"/>
        <v>3701.6181778221458</v>
      </c>
      <c r="R46" s="821">
        <f t="shared" si="12"/>
        <v>-1981.32</v>
      </c>
      <c r="S46" s="821"/>
      <c r="T46" s="821">
        <f t="shared" si="13"/>
        <v>0</v>
      </c>
      <c r="U46" s="821"/>
      <c r="V46" s="821">
        <f t="shared" si="14"/>
        <v>2623.2433992590963</v>
      </c>
      <c r="Y46" s="850">
        <v>1031</v>
      </c>
      <c r="Z46" s="821"/>
      <c r="AA46" s="821">
        <f>+Y46*(1-$AK$5)</f>
        <v>814.49</v>
      </c>
      <c r="AB46" s="821"/>
      <c r="AC46" s="850">
        <v>0</v>
      </c>
      <c r="AD46" s="828"/>
      <c r="AE46" s="821">
        <f t="shared" si="16"/>
        <v>-1078.3747785630494</v>
      </c>
      <c r="AG46" s="802" t="s">
        <v>857</v>
      </c>
      <c r="AI46" s="803"/>
      <c r="AL46" s="834"/>
      <c r="AM46" s="819"/>
      <c r="AT46" s="821"/>
      <c r="AU46" s="821"/>
      <c r="AV46" s="821"/>
      <c r="AW46" s="821"/>
      <c r="AX46" s="821"/>
      <c r="AY46" s="821"/>
    </row>
    <row r="47" spans="2:51" ht="13.5">
      <c r="B47" s="800">
        <f t="shared" ca="1" si="0"/>
        <v>35</v>
      </c>
      <c r="D47" s="820">
        <v>3.0799999999999983</v>
      </c>
      <c r="F47" s="800" t="str" cm="1">
        <f t="array" ref="F47">+TRIM(INDEX('ADJ DETAIL-INPUT'!$E$7:$AZ$7&amp;" "&amp;'ADJ DETAIL-INPUT'!$E$8:$AZ$8&amp;" "&amp;'ADJ DETAIL-INPUT'!$E$9:$AZ$9,1,MATCH($D47,'ADJ DETAIL-INPUT'!$E$10:$AZ$10,0)))</f>
        <v>Pro Forma IS/IT Expense</v>
      </c>
      <c r="I47" s="821">
        <v>-1590.27</v>
      </c>
      <c r="J47" s="821"/>
      <c r="K47" s="821">
        <f t="shared" si="17"/>
        <v>-1590.27</v>
      </c>
      <c r="L47" s="821"/>
      <c r="M47" s="821">
        <v>0</v>
      </c>
      <c r="N47" s="821"/>
      <c r="O47" s="821">
        <f t="shared" si="11"/>
        <v>2105.4979915105905</v>
      </c>
      <c r="R47" s="821">
        <f t="shared" si="12"/>
        <v>-813.92074179999986</v>
      </c>
      <c r="S47" s="821"/>
      <c r="T47" s="821">
        <f t="shared" si="13"/>
        <v>0</v>
      </c>
      <c r="U47" s="821"/>
      <c r="V47" s="821">
        <f t="shared" si="14"/>
        <v>1077.6210876824123</v>
      </c>
      <c r="Y47" s="850">
        <f>-'[15]ISIT-1 (Adj. 3.07) 2020'!$W$15/1000</f>
        <v>982.72058000000004</v>
      </c>
      <c r="Z47" s="821"/>
      <c r="AA47" s="821">
        <f>+Y47*(1-$AK$5)</f>
        <v>776.34925820000012</v>
      </c>
      <c r="AB47" s="821"/>
      <c r="AC47" s="850">
        <v>0</v>
      </c>
      <c r="AD47" s="828"/>
      <c r="AE47" s="821">
        <f t="shared" si="16"/>
        <v>-1027.8769038281782</v>
      </c>
      <c r="AG47" s="802" t="s">
        <v>857</v>
      </c>
      <c r="AI47" s="803"/>
      <c r="AJ47" s="835"/>
      <c r="AL47" s="834"/>
      <c r="AM47" s="821"/>
      <c r="AT47" s="821"/>
      <c r="AU47" s="821"/>
      <c r="AV47" s="821"/>
      <c r="AW47" s="821"/>
      <c r="AX47" s="821"/>
      <c r="AY47" s="821"/>
    </row>
    <row r="48" spans="2:51">
      <c r="B48" s="800">
        <f t="shared" ca="1" si="0"/>
        <v>36</v>
      </c>
      <c r="C48" s="799"/>
      <c r="D48" s="820">
        <v>3.0899999999999981</v>
      </c>
      <c r="E48" s="799"/>
      <c r="F48" s="800" t="str" cm="1">
        <f t="array" ref="F48">+TRIM(INDEX('ADJ DETAIL-INPUT'!$E$7:$AZ$7&amp;" "&amp;'ADJ DETAIL-INPUT'!$E$8:$AZ$8&amp;" "&amp;'ADJ DETAIL-INPUT'!$E$9:$AZ$9,1,MATCH($D48,'ADJ DETAIL-INPUT'!$E$10:$AZ$10,0)))</f>
        <v>Pro Forma Property Tax</v>
      </c>
      <c r="I48" s="821">
        <v>-1349.32</v>
      </c>
      <c r="J48" s="821"/>
      <c r="K48" s="821">
        <f t="shared" si="17"/>
        <v>-1349.32</v>
      </c>
      <c r="L48" s="821"/>
      <c r="M48" s="821">
        <v>0</v>
      </c>
      <c r="N48" s="821"/>
      <c r="O48" s="821">
        <f t="shared" si="11"/>
        <v>1786.4831443120161</v>
      </c>
      <c r="R48" s="821">
        <f t="shared" si="12"/>
        <v>-1349.32</v>
      </c>
      <c r="S48" s="821"/>
      <c r="T48" s="821">
        <f t="shared" si="13"/>
        <v>0</v>
      </c>
      <c r="U48" s="821"/>
      <c r="V48" s="821">
        <f t="shared" si="14"/>
        <v>1786.4831443120161</v>
      </c>
      <c r="Y48" s="821">
        <f t="shared" si="15"/>
        <v>0</v>
      </c>
      <c r="Z48" s="821"/>
      <c r="AA48" s="850">
        <v>0</v>
      </c>
      <c r="AB48" s="821"/>
      <c r="AC48" s="850">
        <v>0</v>
      </c>
      <c r="AD48" s="828"/>
      <c r="AE48" s="821">
        <f t="shared" si="16"/>
        <v>0</v>
      </c>
      <c r="AG48" s="802" t="s">
        <v>812</v>
      </c>
      <c r="AI48" s="803"/>
      <c r="AL48" s="834"/>
      <c r="AM48" s="819"/>
      <c r="AT48" s="821"/>
      <c r="AU48" s="821"/>
      <c r="AV48" s="821"/>
      <c r="AW48" s="821"/>
      <c r="AX48" s="821"/>
      <c r="AY48" s="821"/>
    </row>
    <row r="49" spans="2:52">
      <c r="B49" s="800">
        <f t="shared" ca="1" si="0"/>
        <v>37</v>
      </c>
      <c r="C49" s="799"/>
      <c r="D49" s="820">
        <v>3.0999999999999979</v>
      </c>
      <c r="E49" s="799"/>
      <c r="F49" s="800" t="str" cm="1">
        <f t="array" ref="F49">+TRIM(INDEX('ADJ DETAIL-INPUT'!$E$7:$AZ$7&amp;" "&amp;'ADJ DETAIL-INPUT'!$E$8:$AZ$8&amp;" "&amp;'ADJ DETAIL-INPUT'!$E$9:$AZ$9,1,MATCH($D49,'ADJ DETAIL-INPUT'!$E$10:$AZ$10,0)))</f>
        <v>Pro Forma Fee Free Amortization</v>
      </c>
      <c r="I49" s="821">
        <v>-1052.28</v>
      </c>
      <c r="J49" s="821"/>
      <c r="K49" s="821">
        <f t="shared" si="17"/>
        <v>-1052.28</v>
      </c>
      <c r="L49" s="821"/>
      <c r="M49" s="821">
        <v>0</v>
      </c>
      <c r="N49" s="821"/>
      <c r="O49" s="821">
        <f t="shared" si="11"/>
        <v>1393.2058244868886</v>
      </c>
      <c r="R49" s="821">
        <f t="shared" si="12"/>
        <v>-1052.28</v>
      </c>
      <c r="S49" s="821"/>
      <c r="T49" s="821">
        <f t="shared" si="13"/>
        <v>0</v>
      </c>
      <c r="U49" s="821"/>
      <c r="V49" s="821">
        <f t="shared" si="14"/>
        <v>1393.2058244868886</v>
      </c>
      <c r="Y49" s="821">
        <f t="shared" si="15"/>
        <v>0</v>
      </c>
      <c r="Z49" s="821"/>
      <c r="AA49" s="850">
        <v>0</v>
      </c>
      <c r="AB49" s="821"/>
      <c r="AC49" s="850">
        <v>0</v>
      </c>
      <c r="AD49" s="828"/>
      <c r="AE49" s="821">
        <f t="shared" si="16"/>
        <v>0</v>
      </c>
      <c r="AG49" s="802" t="s">
        <v>812</v>
      </c>
      <c r="AI49" s="803"/>
      <c r="AL49" s="834"/>
      <c r="AM49" s="819"/>
      <c r="AT49" s="821"/>
      <c r="AU49" s="821"/>
      <c r="AV49" s="821"/>
      <c r="AW49" s="821"/>
      <c r="AX49" s="821"/>
      <c r="AY49" s="821"/>
    </row>
    <row r="50" spans="2:52">
      <c r="B50" s="800">
        <f t="shared" ca="1" si="0"/>
        <v>38</v>
      </c>
      <c r="C50" s="799"/>
      <c r="D50" s="820">
        <v>3.1099999999999977</v>
      </c>
      <c r="E50" s="799"/>
      <c r="F50" s="800" t="str" cm="1">
        <f t="array" ref="F50">+TRIM(INDEX('ADJ DETAIL-INPUT'!$E$7:$AZ$7&amp;" "&amp;'ADJ DETAIL-INPUT'!$E$8:$AZ$8&amp;" "&amp;'ADJ DETAIL-INPUT'!$E$9:$AZ$9,1,MATCH($D50,'ADJ DETAIL-INPUT'!$E$10:$AZ$10,0)))</f>
        <v>Pro Forma 2020 Customer At Center</v>
      </c>
      <c r="I50" s="821">
        <v>-1452.02</v>
      </c>
      <c r="J50" s="821"/>
      <c r="K50" s="821">
        <f t="shared" si="17"/>
        <v>-1404.0888353928096</v>
      </c>
      <c r="L50" s="821"/>
      <c r="M50" s="821">
        <v>9316.0669790457214</v>
      </c>
      <c r="N50" s="821"/>
      <c r="O50" s="821">
        <f t="shared" si="11"/>
        <v>2723.6349429810307</v>
      </c>
      <c r="R50" s="821">
        <f t="shared" si="12"/>
        <v>0</v>
      </c>
      <c r="S50" s="821"/>
      <c r="T50" s="821">
        <f t="shared" si="13"/>
        <v>0</v>
      </c>
      <c r="U50" s="821"/>
      <c r="V50" s="821">
        <f t="shared" si="14"/>
        <v>0</v>
      </c>
      <c r="Y50" s="821">
        <f t="shared" ref="Y50" si="19">+AA50/(1-$AK$5)</f>
        <v>1838</v>
      </c>
      <c r="Z50" s="821"/>
      <c r="AA50" s="850">
        <f>-I50</f>
        <v>1452.02</v>
      </c>
      <c r="AB50" s="821"/>
      <c r="AC50" s="850">
        <f>-M50</f>
        <v>-9316.0669790457214</v>
      </c>
      <c r="AD50" s="828"/>
      <c r="AE50" s="821">
        <f t="shared" si="16"/>
        <v>-2723.6349429810307</v>
      </c>
      <c r="AG50" s="802" t="s">
        <v>812</v>
      </c>
      <c r="AI50" s="803"/>
      <c r="AL50" s="834"/>
      <c r="AM50" s="819"/>
      <c r="AT50" s="821"/>
      <c r="AU50" s="821"/>
      <c r="AV50" s="821"/>
      <c r="AW50" s="821"/>
      <c r="AX50" s="821"/>
      <c r="AY50" s="821"/>
    </row>
    <row r="51" spans="2:52">
      <c r="B51" s="800">
        <f t="shared" ca="1" si="0"/>
        <v>39</v>
      </c>
      <c r="C51" s="799"/>
      <c r="D51" s="820">
        <v>3.1199999999999974</v>
      </c>
      <c r="E51" s="799"/>
      <c r="F51" s="800" t="str" cm="1">
        <f t="array" ref="F51">+TRIM(INDEX('ADJ DETAIL-INPUT'!$E$7:$AZ$7&amp;" "&amp;'ADJ DETAIL-INPUT'!$E$8:$AZ$8&amp;" "&amp;'ADJ DETAIL-INPUT'!$E$9:$AZ$9,1,MATCH($D51,'ADJ DETAIL-INPUT'!$E$10:$AZ$10,0)))</f>
        <v>Pro Forma 2020 Large &amp; Distinct</v>
      </c>
      <c r="I51" s="821">
        <v>-359.25873491446612</v>
      </c>
      <c r="J51" s="821"/>
      <c r="K51" s="821">
        <f t="shared" si="17"/>
        <v>-239.34152258729267</v>
      </c>
      <c r="L51" s="821"/>
      <c r="M51" s="821">
        <v>23307.524261841289</v>
      </c>
      <c r="N51" s="821"/>
      <c r="O51" s="821">
        <f t="shared" si="11"/>
        <v>2480.0924849692528</v>
      </c>
      <c r="R51" s="821">
        <f t="shared" si="12"/>
        <v>0</v>
      </c>
      <c r="S51" s="821"/>
      <c r="T51" s="821">
        <f t="shared" si="13"/>
        <v>0</v>
      </c>
      <c r="U51" s="821"/>
      <c r="V51" s="821">
        <f t="shared" si="14"/>
        <v>0</v>
      </c>
      <c r="Y51" s="821">
        <f t="shared" si="15"/>
        <v>454.75789229679253</v>
      </c>
      <c r="Z51" s="821"/>
      <c r="AA51" s="850">
        <f>-I51</f>
        <v>359.25873491446612</v>
      </c>
      <c r="AB51" s="821"/>
      <c r="AC51" s="850">
        <f>-M51</f>
        <v>-23307.524261841289</v>
      </c>
      <c r="AD51" s="828"/>
      <c r="AE51" s="821">
        <f t="shared" si="16"/>
        <v>-2480.0924849692528</v>
      </c>
      <c r="AG51" s="802" t="s">
        <v>812</v>
      </c>
      <c r="AI51" s="803"/>
      <c r="AL51" s="834"/>
      <c r="AM51" s="819"/>
      <c r="AT51" s="821"/>
      <c r="AU51" s="821"/>
      <c r="AV51" s="821"/>
      <c r="AW51" s="821"/>
      <c r="AX51" s="821"/>
      <c r="AY51" s="821"/>
    </row>
    <row r="52" spans="2:52">
      <c r="B52" s="800">
        <f t="shared" ca="1" si="0"/>
        <v>40</v>
      </c>
      <c r="C52" s="799"/>
      <c r="D52" s="820">
        <v>3.1299999999999972</v>
      </c>
      <c r="E52" s="799"/>
      <c r="F52" s="800" t="str" cm="1">
        <f t="array" ref="F52">+TRIM(INDEX('ADJ DETAIL-INPUT'!$E$7:$AZ$7&amp;" "&amp;'ADJ DETAIL-INPUT'!$E$8:$AZ$8&amp;" "&amp;'ADJ DETAIL-INPUT'!$E$9:$AZ$9,1,MATCH($D52,'ADJ DETAIL-INPUT'!$E$10:$AZ$10,0)))</f>
        <v>Pro Forma 2020 Programmatic</v>
      </c>
      <c r="I52" s="821">
        <v>-1017.52</v>
      </c>
      <c r="J52" s="821"/>
      <c r="K52" s="821">
        <f t="shared" si="17"/>
        <v>-752.35865469721739</v>
      </c>
      <c r="L52" s="821"/>
      <c r="M52" s="821">
        <v>51537.676443689525</v>
      </c>
      <c r="N52" s="821"/>
      <c r="O52" s="821">
        <f t="shared" si="11"/>
        <v>5779.4048058105227</v>
      </c>
      <c r="R52" s="821">
        <f t="shared" si="12"/>
        <v>0</v>
      </c>
      <c r="S52" s="821"/>
      <c r="T52" s="821">
        <f t="shared" si="13"/>
        <v>0</v>
      </c>
      <c r="U52" s="821"/>
      <c r="V52" s="821">
        <f t="shared" si="14"/>
        <v>0</v>
      </c>
      <c r="Y52" s="821">
        <f t="shared" si="15"/>
        <v>1288</v>
      </c>
      <c r="Z52" s="821"/>
      <c r="AA52" s="850">
        <f t="shared" ref="AA52:AA54" si="20">-I52</f>
        <v>1017.52</v>
      </c>
      <c r="AB52" s="821"/>
      <c r="AC52" s="850">
        <f t="shared" ref="AC52:AC54" si="21">-M52</f>
        <v>-51537.676443689525</v>
      </c>
      <c r="AD52" s="828"/>
      <c r="AE52" s="821">
        <f t="shared" si="16"/>
        <v>-5779.4048058105227</v>
      </c>
      <c r="AG52" s="802" t="s">
        <v>812</v>
      </c>
      <c r="AI52" s="803"/>
      <c r="AL52" s="834"/>
      <c r="AM52" s="819"/>
      <c r="AT52" s="821"/>
      <c r="AU52" s="821"/>
      <c r="AV52" s="821"/>
      <c r="AW52" s="821"/>
      <c r="AX52" s="821"/>
      <c r="AY52" s="821"/>
    </row>
    <row r="53" spans="2:52">
      <c r="B53" s="800">
        <f t="shared" ca="1" si="0"/>
        <v>41</v>
      </c>
      <c r="C53" s="799"/>
      <c r="D53" s="820">
        <v>3.139999999999997</v>
      </c>
      <c r="E53" s="799"/>
      <c r="F53" s="800" t="str" cm="1">
        <f t="array" ref="F53">+TRIM(INDEX('ADJ DETAIL-INPUT'!$E$7:$AZ$7&amp;" "&amp;'ADJ DETAIL-INPUT'!$E$8:$AZ$8&amp;" "&amp;'ADJ DETAIL-INPUT'!$E$9:$AZ$9,1,MATCH($D53,'ADJ DETAIL-INPUT'!$E$10:$AZ$10,0)))</f>
        <v>Pro Forma 2020 Mandatory &amp; Compliance</v>
      </c>
      <c r="I53" s="821">
        <v>-560.52921160186474</v>
      </c>
      <c r="J53" s="821"/>
      <c r="K53" s="821">
        <f t="shared" si="17"/>
        <v>-377.45004780621855</v>
      </c>
      <c r="L53" s="821"/>
      <c r="M53" s="821">
        <v>35583.899668735903</v>
      </c>
      <c r="N53" s="821"/>
      <c r="O53" s="821">
        <f t="shared" si="11"/>
        <v>3802.3357984898666</v>
      </c>
      <c r="R53" s="821">
        <f t="shared" si="12"/>
        <v>0</v>
      </c>
      <c r="S53" s="821"/>
      <c r="T53" s="821">
        <f t="shared" si="13"/>
        <v>0</v>
      </c>
      <c r="U53" s="821"/>
      <c r="V53" s="821">
        <f t="shared" si="14"/>
        <v>0</v>
      </c>
      <c r="Y53" s="821">
        <f t="shared" si="15"/>
        <v>709.53064759729716</v>
      </c>
      <c r="Z53" s="821"/>
      <c r="AA53" s="850">
        <f t="shared" si="20"/>
        <v>560.52921160186474</v>
      </c>
      <c r="AB53" s="821"/>
      <c r="AC53" s="850">
        <f t="shared" si="21"/>
        <v>-35583.899668735903</v>
      </c>
      <c r="AD53" s="828"/>
      <c r="AE53" s="821">
        <f t="shared" si="16"/>
        <v>-3802.3357984898666</v>
      </c>
      <c r="AG53" s="802" t="s">
        <v>812</v>
      </c>
      <c r="AI53" s="803"/>
      <c r="AL53" s="834"/>
      <c r="AM53" s="819"/>
      <c r="AT53" s="821"/>
      <c r="AU53" s="821"/>
      <c r="AV53" s="821"/>
      <c r="AW53" s="821"/>
      <c r="AX53" s="821"/>
      <c r="AY53" s="821"/>
    </row>
    <row r="54" spans="2:52">
      <c r="B54" s="800">
        <f t="shared" ca="1" si="0"/>
        <v>42</v>
      </c>
      <c r="C54" s="799"/>
      <c r="D54" s="820">
        <v>3.1499999999999968</v>
      </c>
      <c r="E54" s="799"/>
      <c r="F54" s="800" t="str" cm="1">
        <f t="array" ref="F54">+TRIM(INDEX('ADJ DETAIL-INPUT'!$E$7:$AZ$7&amp;" "&amp;'ADJ DETAIL-INPUT'!$E$8:$AZ$8&amp;" "&amp;'ADJ DETAIL-INPUT'!$E$9:$AZ$9,1,MATCH($D54,'ADJ DETAIL-INPUT'!$E$10:$AZ$10,0)))</f>
        <v>Pro Forma 2020 Short Lived</v>
      </c>
      <c r="I54" s="821">
        <v>-1552.7450000000001</v>
      </c>
      <c r="J54" s="821"/>
      <c r="K54" s="821">
        <f t="shared" si="17"/>
        <v>-1496.7377829057198</v>
      </c>
      <c r="L54" s="821"/>
      <c r="M54" s="821">
        <v>10885.756480909702</v>
      </c>
      <c r="N54" s="821"/>
      <c r="O54" s="821">
        <f t="shared" si="11"/>
        <v>2991.98631555062</v>
      </c>
      <c r="R54" s="821">
        <f t="shared" si="12"/>
        <v>0</v>
      </c>
      <c r="S54" s="821"/>
      <c r="T54" s="821">
        <f t="shared" si="13"/>
        <v>0</v>
      </c>
      <c r="U54" s="821"/>
      <c r="V54" s="821">
        <f t="shared" si="14"/>
        <v>0</v>
      </c>
      <c r="Y54" s="821">
        <f t="shared" si="15"/>
        <v>1965.5</v>
      </c>
      <c r="Z54" s="821"/>
      <c r="AA54" s="850">
        <f t="shared" si="20"/>
        <v>1552.7450000000001</v>
      </c>
      <c r="AB54" s="821"/>
      <c r="AC54" s="850">
        <f t="shared" si="21"/>
        <v>-10885.756480909702</v>
      </c>
      <c r="AD54" s="828"/>
      <c r="AE54" s="821">
        <f t="shared" si="16"/>
        <v>-2991.98631555062</v>
      </c>
      <c r="AG54" s="802" t="s">
        <v>812</v>
      </c>
      <c r="AI54" s="803"/>
      <c r="AL54" s="834"/>
      <c r="AM54" s="819"/>
      <c r="AT54" s="821"/>
      <c r="AU54" s="821"/>
      <c r="AV54" s="821"/>
      <c r="AW54" s="821"/>
      <c r="AX54" s="821"/>
      <c r="AY54" s="821"/>
    </row>
    <row r="55" spans="2:52">
      <c r="B55" s="800">
        <f t="shared" ca="1" si="0"/>
        <v>43</v>
      </c>
      <c r="C55" s="799"/>
      <c r="D55" s="820">
        <v>3.1599999999999966</v>
      </c>
      <c r="E55" s="799"/>
      <c r="F55" s="800" t="str" cm="1">
        <f t="array" ref="F55">+TRIM(INDEX('ADJ DETAIL-INPUT'!$E$7:$AZ$7&amp;" "&amp;'ADJ DETAIL-INPUT'!$E$8:$AZ$8&amp;" "&amp;'ADJ DETAIL-INPUT'!$E$9:$AZ$9,1,MATCH($D55,'ADJ DETAIL-INPUT'!$E$10:$AZ$10,0)))</f>
        <v>Pro Forma AMI Capital</v>
      </c>
      <c r="I55" s="821">
        <v>-7632.9800000000005</v>
      </c>
      <c r="J55" s="821"/>
      <c r="K55" s="821">
        <f t="shared" si="17"/>
        <v>-7158.8013650000003</v>
      </c>
      <c r="L55" s="821"/>
      <c r="M55" s="821">
        <v>92163</v>
      </c>
      <c r="N55" s="821"/>
      <c r="O55" s="821">
        <f t="shared" si="11"/>
        <v>18031.955324681512</v>
      </c>
      <c r="R55" s="821">
        <f t="shared" si="12"/>
        <v>-12409.741409920163</v>
      </c>
      <c r="S55" s="821"/>
      <c r="T55" s="821">
        <f t="shared" si="13"/>
        <v>-21735.439789999989</v>
      </c>
      <c r="U55" s="821"/>
      <c r="V55" s="821">
        <f t="shared" si="14"/>
        <v>14413.045887616165</v>
      </c>
      <c r="Y55" s="850">
        <f>-[16]Adjustment!$E$48/1000</f>
        <v>-5904.977939494448</v>
      </c>
      <c r="Z55" s="821"/>
      <c r="AA55" s="821">
        <f>+Y55*(1-$AK$5)</f>
        <v>-4664.9325722006142</v>
      </c>
      <c r="AB55" s="821"/>
      <c r="AC55" s="850">
        <f>+([16]Adjustment!$E$26-[16]Adjustment!$B$26)/1000</f>
        <v>-113898.43978999999</v>
      </c>
      <c r="AD55" s="828"/>
      <c r="AE55" s="821">
        <f t="shared" si="16"/>
        <v>-3618.9094370653474</v>
      </c>
      <c r="AG55" s="802" t="s">
        <v>857</v>
      </c>
      <c r="AI55" s="803"/>
      <c r="AL55" s="834"/>
      <c r="AM55" s="819"/>
      <c r="AT55" s="821"/>
      <c r="AU55" s="821"/>
      <c r="AV55" s="821"/>
      <c r="AW55" s="821"/>
      <c r="AX55" s="821"/>
      <c r="AY55" s="821"/>
    </row>
    <row r="56" spans="2:52">
      <c r="B56" s="800">
        <f t="shared" ca="1" si="0"/>
        <v>44</v>
      </c>
      <c r="C56" s="799"/>
      <c r="D56" s="820">
        <v>3.1699999999999964</v>
      </c>
      <c r="E56" s="799"/>
      <c r="F56" s="800" t="str" cm="1">
        <f t="array" ref="F56">+TRIM(INDEX('ADJ DETAIL-INPUT'!$E$7:$AZ$7&amp;" "&amp;'ADJ DETAIL-INPUT'!$E$8:$AZ$8&amp;" "&amp;'ADJ DETAIL-INPUT'!$E$9:$AZ$9,1,MATCH($D56,'ADJ DETAIL-INPUT'!$E$10:$AZ$10,0)))</f>
        <v>Pro Forma WildFire Plan</v>
      </c>
      <c r="I56" s="821">
        <v>-3427.02</v>
      </c>
      <c r="J56" s="821"/>
      <c r="K56" s="821">
        <f t="shared" si="17"/>
        <v>-3359.4867300000001</v>
      </c>
      <c r="L56" s="821"/>
      <c r="M56" s="821">
        <v>13126</v>
      </c>
      <c r="N56" s="821"/>
      <c r="O56" s="821">
        <f t="shared" si="11"/>
        <v>5666.1635469102093</v>
      </c>
      <c r="R56" s="821">
        <f t="shared" si="12"/>
        <v>-1421.2099999999998</v>
      </c>
      <c r="S56" s="821"/>
      <c r="T56" s="821">
        <f t="shared" si="13"/>
        <v>0</v>
      </c>
      <c r="U56" s="821"/>
      <c r="V56" s="821">
        <f t="shared" si="14"/>
        <v>1881.6646233122462</v>
      </c>
      <c r="Y56" s="850">
        <f>4338-1799</f>
        <v>2539</v>
      </c>
      <c r="Z56" s="821"/>
      <c r="AA56" s="821">
        <f>+Y56*(1-$AK$5)</f>
        <v>2005.8100000000002</v>
      </c>
      <c r="AB56" s="821"/>
      <c r="AC56" s="850">
        <f t="shared" ref="AC56" si="22">-M56</f>
        <v>-13126</v>
      </c>
      <c r="AD56" s="828"/>
      <c r="AE56" s="821">
        <f t="shared" si="16"/>
        <v>-3784.4989235979629</v>
      </c>
      <c r="AG56" s="917" t="s">
        <v>2</v>
      </c>
      <c r="AI56" s="803"/>
      <c r="AL56" s="834"/>
      <c r="AM56" s="819"/>
      <c r="AT56" s="821"/>
      <c r="AU56" s="821"/>
      <c r="AV56" s="821"/>
      <c r="AW56" s="821"/>
      <c r="AX56" s="821"/>
      <c r="AY56" s="821"/>
    </row>
    <row r="57" spans="2:52">
      <c r="B57" s="800">
        <f t="shared" ca="1" si="0"/>
        <v>45</v>
      </c>
      <c r="C57" s="799"/>
      <c r="D57" s="820">
        <v>3.1799999999999962</v>
      </c>
      <c r="E57" s="799"/>
      <c r="F57" s="800" t="str" cm="1">
        <f t="array" ref="F57">+TRIM(INDEX('ADJ DETAIL-INPUT'!$E$7:$AZ$7&amp;" "&amp;'ADJ DETAIL-INPUT'!$E$8:$AZ$8&amp;" "&amp;'ADJ DETAIL-INPUT'!$E$9:$AZ$9,1,MATCH($D57,'ADJ DETAIL-INPUT'!$E$10:$AZ$10,0)))</f>
        <v>Pro Forma EIM Expenditures</v>
      </c>
      <c r="I57" s="821">
        <v>-2208.84</v>
      </c>
      <c r="J57" s="821"/>
      <c r="K57" s="821">
        <f t="shared" si="17"/>
        <v>-2160.6930900000002</v>
      </c>
      <c r="L57" s="821"/>
      <c r="M57" s="821">
        <v>9358</v>
      </c>
      <c r="N57" s="821"/>
      <c r="O57" s="821">
        <f t="shared" si="11"/>
        <v>3729.261572314887</v>
      </c>
      <c r="R57" s="821">
        <f t="shared" si="12"/>
        <v>-2621.2913349999999</v>
      </c>
      <c r="S57" s="821"/>
      <c r="T57" s="821">
        <f t="shared" si="13"/>
        <v>12577</v>
      </c>
      <c r="U57" s="821"/>
      <c r="V57" s="821">
        <f t="shared" si="14"/>
        <v>4637.8483544156315</v>
      </c>
      <c r="Y57" s="850">
        <f>-3400+'[17]ADJ DETAIL-INPUT'!$AW$47</f>
        <v>-604</v>
      </c>
      <c r="Z57" s="821"/>
      <c r="AA57" s="821">
        <f>+Y57*(1-$AK$5)</f>
        <v>-477.16</v>
      </c>
      <c r="AB57" s="821"/>
      <c r="AC57" s="850">
        <f>12577-M57</f>
        <v>3219</v>
      </c>
      <c r="AD57" s="828"/>
      <c r="AE57" s="821">
        <f t="shared" si="16"/>
        <v>908.58678210074459</v>
      </c>
      <c r="AG57" s="802" t="s">
        <v>812</v>
      </c>
      <c r="AI57" s="803"/>
      <c r="AK57" s="821">
        <f>3400-'[17]ADJ DETAIL-INPUT'!$AW$47</f>
        <v>604</v>
      </c>
      <c r="AL57" s="834"/>
      <c r="AM57" s="819"/>
      <c r="AT57" s="821"/>
      <c r="AU57" s="821"/>
      <c r="AV57" s="821"/>
      <c r="AW57" s="821"/>
      <c r="AX57" s="821"/>
      <c r="AY57" s="821"/>
      <c r="AZ57" s="821">
        <f>+AV57-AX57</f>
        <v>0</v>
      </c>
    </row>
    <row r="58" spans="2:52">
      <c r="B58" s="800">
        <f t="shared" ca="1" si="0"/>
        <v>46</v>
      </c>
      <c r="C58" s="799"/>
      <c r="D58" s="820">
        <v>3.1899999999999959</v>
      </c>
      <c r="E58" s="799"/>
      <c r="F58" s="800" t="str" cm="1">
        <f t="array" ref="F58">+TRIM(INDEX('ADJ DETAIL-INPUT'!$E$7:$AZ$7&amp;" "&amp;'ADJ DETAIL-INPUT'!$E$8:$AZ$8&amp;" "&amp;'ADJ DETAIL-INPUT'!$E$9:$AZ$9,1,MATCH($D58,'ADJ DETAIL-INPUT'!$E$10:$AZ$10,0)))</f>
        <v>Pro Forma Colstrip Cap &amp; Amortization</v>
      </c>
      <c r="I58" s="821">
        <v>185.98999999999998</v>
      </c>
      <c r="J58" s="821"/>
      <c r="K58" s="821">
        <f t="shared" si="17"/>
        <v>105.70227499999999</v>
      </c>
      <c r="L58" s="821"/>
      <c r="M58" s="821">
        <v>-15605</v>
      </c>
      <c r="N58" s="821"/>
      <c r="O58" s="821">
        <f t="shared" si="11"/>
        <v>-1588.2726130486938</v>
      </c>
      <c r="R58" s="821">
        <f t="shared" si="12"/>
        <v>1972.9232177562967</v>
      </c>
      <c r="S58" s="821"/>
      <c r="T58" s="821">
        <f t="shared" si="13"/>
        <v>-4265.0738082999305</v>
      </c>
      <c r="U58" s="821"/>
      <c r="V58" s="821">
        <f t="shared" si="14"/>
        <v>-3007.9742348252753</v>
      </c>
      <c r="Y58" s="850">
        <f>-'[18]Total ADJ - include PF'!$J$12/1000</f>
        <v>2289.7177499999998</v>
      </c>
      <c r="Z58" s="821"/>
      <c r="AA58" s="821">
        <f>+Y58*(1-$AK$5)</f>
        <v>1808.8770224999998</v>
      </c>
      <c r="AB58" s="821"/>
      <c r="AC58" s="850">
        <f>'[18]Total ADJ - include PF'!$J$8/1000</f>
        <v>11339.926191700069</v>
      </c>
      <c r="AD58" s="828"/>
      <c r="AE58" s="821">
        <f t="shared" si="16"/>
        <v>-1419.7016217765815</v>
      </c>
      <c r="AG58" s="802" t="s">
        <v>857</v>
      </c>
      <c r="AI58" s="803"/>
      <c r="AL58" s="834"/>
      <c r="AM58" s="819"/>
      <c r="AT58" s="821"/>
      <c r="AU58" s="821"/>
      <c r="AV58" s="821"/>
      <c r="AW58" s="821"/>
      <c r="AX58" s="821"/>
      <c r="AY58" s="821"/>
    </row>
    <row r="59" spans="2:52">
      <c r="B59" s="800">
        <f t="shared" ca="1" si="0"/>
        <v>47</v>
      </c>
      <c r="C59" s="799"/>
      <c r="D59" s="820">
        <v>3.1999999999999957</v>
      </c>
      <c r="E59" s="799"/>
      <c r="F59" s="800" t="str" cm="1">
        <f t="array" ref="F59">+TRIM(INDEX('ADJ DETAIL-INPUT'!$E$7:$AZ$7&amp;" "&amp;'ADJ DETAIL-INPUT'!$E$8:$AZ$8&amp;" "&amp;'ADJ DETAIL-INPUT'!$E$9:$AZ$9,1,MATCH($D59,'ADJ DETAIL-INPUT'!$E$10:$AZ$10,0)))</f>
        <v>PF Normalize CS2/Colstrip Major Maint</v>
      </c>
      <c r="I59" s="821">
        <v>12.64</v>
      </c>
      <c r="J59" s="821"/>
      <c r="K59" s="821">
        <f t="shared" si="17"/>
        <v>12.64</v>
      </c>
      <c r="L59" s="821"/>
      <c r="M59" s="821">
        <v>0</v>
      </c>
      <c r="N59" s="821"/>
      <c r="O59" s="821">
        <f t="shared" si="11"/>
        <v>-16.735205098941606</v>
      </c>
      <c r="R59" s="821">
        <f t="shared" si="12"/>
        <v>12.64</v>
      </c>
      <c r="S59" s="821"/>
      <c r="T59" s="821">
        <f t="shared" si="13"/>
        <v>0</v>
      </c>
      <c r="U59" s="821"/>
      <c r="V59" s="821">
        <f t="shared" si="14"/>
        <v>-16.735205098941606</v>
      </c>
      <c r="Y59" s="821">
        <f t="shared" si="15"/>
        <v>0</v>
      </c>
      <c r="Z59" s="821"/>
      <c r="AA59" s="850">
        <v>0</v>
      </c>
      <c r="AB59" s="821"/>
      <c r="AC59" s="850">
        <v>0</v>
      </c>
      <c r="AD59" s="828"/>
      <c r="AE59" s="821">
        <f t="shared" si="16"/>
        <v>0</v>
      </c>
      <c r="AG59" s="802" t="s">
        <v>812</v>
      </c>
      <c r="AI59" s="803"/>
      <c r="AL59" s="834"/>
      <c r="AM59" s="819"/>
      <c r="AT59" s="821"/>
      <c r="AU59" s="821"/>
      <c r="AV59" s="821"/>
      <c r="AW59" s="821"/>
      <c r="AX59" s="821"/>
      <c r="AY59" s="821"/>
    </row>
    <row r="60" spans="2:52">
      <c r="B60" s="800">
        <f t="shared" ca="1" si="0"/>
        <v>48</v>
      </c>
      <c r="C60" s="799"/>
      <c r="D60" s="820">
        <v>3.2099999999999955</v>
      </c>
      <c r="E60" s="799"/>
      <c r="F60" s="800" t="str" cm="1">
        <f t="array" ref="F60">+TRIM(INDEX('ADJ DETAIL-INPUT'!$E$7:$AZ$7&amp;" "&amp;'ADJ DETAIL-INPUT'!$E$8:$AZ$8&amp;" "&amp;'ADJ DETAIL-INPUT'!$E$9:$AZ$9,1,MATCH($D60,'ADJ DETAIL-INPUT'!$E$10:$AZ$10,0)))</f>
        <v>Restate 2019 ADFIT</v>
      </c>
      <c r="I60" s="821">
        <v>0</v>
      </c>
      <c r="J60" s="821"/>
      <c r="K60" s="821">
        <f t="shared" si="17"/>
        <v>-157.13858999999999</v>
      </c>
      <c r="L60" s="821"/>
      <c r="M60" s="821">
        <v>-30542</v>
      </c>
      <c r="N60" s="821"/>
      <c r="O60" s="821">
        <f t="shared" si="11"/>
        <v>-2626.6005158256257</v>
      </c>
      <c r="R60" s="821">
        <f t="shared" si="12"/>
        <v>-157.13858999999999</v>
      </c>
      <c r="S60" s="821"/>
      <c r="T60" s="821">
        <f t="shared" si="13"/>
        <v>-30542</v>
      </c>
      <c r="U60" s="821"/>
      <c r="V60" s="821">
        <f t="shared" si="14"/>
        <v>-2626.6005158256257</v>
      </c>
      <c r="Y60" s="821">
        <f t="shared" si="15"/>
        <v>0</v>
      </c>
      <c r="Z60" s="821"/>
      <c r="AA60" s="850">
        <v>0</v>
      </c>
      <c r="AB60" s="821"/>
      <c r="AC60" s="850">
        <v>0</v>
      </c>
      <c r="AD60" s="828"/>
      <c r="AE60" s="821">
        <f t="shared" si="16"/>
        <v>0</v>
      </c>
      <c r="AG60" s="802" t="s">
        <v>812</v>
      </c>
      <c r="AI60" s="803"/>
      <c r="AL60" s="834"/>
      <c r="AM60" s="819"/>
      <c r="AT60" s="821"/>
      <c r="AU60" s="821"/>
      <c r="AV60" s="821"/>
      <c r="AW60" s="821"/>
      <c r="AX60" s="821"/>
      <c r="AY60" s="821"/>
    </row>
    <row r="61" spans="2:52">
      <c r="B61" s="800">
        <f t="shared" ca="1" si="0"/>
        <v>49</v>
      </c>
      <c r="C61" s="799"/>
      <c r="D61" s="820">
        <v>7.01</v>
      </c>
      <c r="E61" s="799"/>
      <c r="F61" s="800" t="s">
        <v>833</v>
      </c>
      <c r="I61" s="821">
        <v>0</v>
      </c>
      <c r="J61" s="821"/>
      <c r="K61" s="821">
        <f>+I61-$M61*$AK$5*$AM$10</f>
        <v>0</v>
      </c>
      <c r="L61" s="821"/>
      <c r="M61" s="821">
        <v>0</v>
      </c>
      <c r="N61" s="821"/>
      <c r="O61" s="821">
        <f t="shared" si="11"/>
        <v>0</v>
      </c>
      <c r="R61" s="821">
        <f t="shared" ref="R61" si="23">+I61+AA61+$T61*$AK$5*$AM$10</f>
        <v>-6071.8183053463026</v>
      </c>
      <c r="S61" s="821"/>
      <c r="T61" s="821">
        <f t="shared" si="13"/>
        <v>12731.674373896383</v>
      </c>
      <c r="U61" s="821"/>
      <c r="V61" s="821">
        <f t="shared" si="14"/>
        <v>9220.6593445154322</v>
      </c>
      <c r="Y61" s="850">
        <f>-[19]Electric!$H$44/1000</f>
        <v>-7768.7629999999999</v>
      </c>
      <c r="Z61" s="821"/>
      <c r="AA61" s="821">
        <f>+Y61*(1-$AK$5)</f>
        <v>-6137.3227699999998</v>
      </c>
      <c r="AB61" s="821"/>
      <c r="AC61" s="850">
        <f>+[19]Electric!$H$34/1000</f>
        <v>12731.674373896383</v>
      </c>
      <c r="AD61" s="828"/>
      <c r="AE61" s="821">
        <f t="shared" si="16"/>
        <v>9220.6593445154322</v>
      </c>
      <c r="AG61" s="802" t="s">
        <v>169</v>
      </c>
      <c r="AI61" s="803"/>
      <c r="AL61" s="834"/>
      <c r="AM61" s="819"/>
    </row>
    <row r="62" spans="2:52">
      <c r="B62" s="800">
        <f t="shared" ca="1" si="0"/>
        <v>50</v>
      </c>
      <c r="C62" s="799"/>
      <c r="D62" s="820">
        <v>7.02</v>
      </c>
      <c r="E62" s="799"/>
      <c r="F62" s="800" t="s">
        <v>846</v>
      </c>
      <c r="I62" s="821">
        <v>0</v>
      </c>
      <c r="J62" s="821"/>
      <c r="K62" s="821">
        <f>+I62-$M62*$AK$5*$AM$10</f>
        <v>0</v>
      </c>
      <c r="L62" s="821"/>
      <c r="M62" s="821">
        <v>0</v>
      </c>
      <c r="N62" s="821"/>
      <c r="O62" s="821">
        <f t="shared" si="11"/>
        <v>0</v>
      </c>
      <c r="Q62" s="799"/>
      <c r="R62" s="821">
        <f t="shared" ref="R62" si="24">+I62+AA62+$T62*$AK$5*$AM$10</f>
        <v>0</v>
      </c>
      <c r="S62" s="821"/>
      <c r="T62" s="821">
        <f t="shared" si="13"/>
        <v>0</v>
      </c>
      <c r="U62" s="821"/>
      <c r="V62" s="821">
        <f t="shared" si="14"/>
        <v>0</v>
      </c>
      <c r="Y62" s="850">
        <v>0</v>
      </c>
      <c r="Z62" s="821"/>
      <c r="AA62" s="821">
        <f>+Y62*(1-$AK$5)</f>
        <v>0</v>
      </c>
      <c r="AB62" s="816"/>
      <c r="AC62" s="850">
        <v>0</v>
      </c>
      <c r="AD62" s="828"/>
      <c r="AE62" s="821">
        <f t="shared" si="16"/>
        <v>0</v>
      </c>
      <c r="AG62" s="915" t="s">
        <v>866</v>
      </c>
      <c r="AI62" s="803"/>
      <c r="AL62" s="834"/>
      <c r="AM62" s="819"/>
    </row>
    <row r="63" spans="2:52">
      <c r="B63" s="800">
        <f t="shared" ca="1" si="0"/>
        <v>51</v>
      </c>
      <c r="C63" s="799"/>
      <c r="D63" s="820">
        <v>7.03</v>
      </c>
      <c r="E63" s="799"/>
      <c r="F63" s="800" t="s">
        <v>831</v>
      </c>
      <c r="I63" s="821">
        <v>0</v>
      </c>
      <c r="J63" s="821"/>
      <c r="K63" s="821">
        <f>+I63-$M63*$AK$5*$AM$10</f>
        <v>0</v>
      </c>
      <c r="L63" s="821"/>
      <c r="M63" s="821">
        <v>0</v>
      </c>
      <c r="N63" s="821"/>
      <c r="O63" s="821">
        <f t="shared" si="11"/>
        <v>0</v>
      </c>
      <c r="Q63" s="799"/>
      <c r="R63" s="821">
        <f t="shared" ref="R63" si="25">+I63+AA63+$T63*$AK$5*$AM$10</f>
        <v>42.460129999999999</v>
      </c>
      <c r="S63" s="821"/>
      <c r="T63" s="821">
        <f t="shared" si="13"/>
        <v>0</v>
      </c>
      <c r="U63" s="821"/>
      <c r="V63" s="821">
        <f t="shared" si="14"/>
        <v>-56.216691778300898</v>
      </c>
      <c r="Y63" s="850">
        <v>53.747</v>
      </c>
      <c r="Z63" s="821"/>
      <c r="AA63" s="821">
        <f>+Y63*(1-$AK$5)</f>
        <v>42.460129999999999</v>
      </c>
      <c r="AB63" s="816"/>
      <c r="AC63" s="850">
        <v>0</v>
      </c>
      <c r="AD63" s="828"/>
      <c r="AE63" s="821">
        <f t="shared" si="16"/>
        <v>-56.216691778300898</v>
      </c>
      <c r="AG63" s="802" t="s">
        <v>169</v>
      </c>
      <c r="AI63" s="803"/>
      <c r="AL63" s="834"/>
      <c r="AM63" s="819"/>
    </row>
    <row r="64" spans="2:52">
      <c r="B64" s="800">
        <f t="shared" ca="1" si="0"/>
        <v>52</v>
      </c>
      <c r="C64" s="799"/>
      <c r="D64" s="820">
        <v>7.04</v>
      </c>
      <c r="E64" s="799"/>
      <c r="F64" s="800" t="s">
        <v>854</v>
      </c>
      <c r="I64" s="821">
        <v>0</v>
      </c>
      <c r="J64" s="821"/>
      <c r="K64" s="821">
        <f>+I64-$M64*$AK$5*$AM$10</f>
        <v>0</v>
      </c>
      <c r="L64" s="821"/>
      <c r="M64" s="821">
        <v>0</v>
      </c>
      <c r="N64" s="821"/>
      <c r="O64" s="821">
        <f t="shared" si="11"/>
        <v>0</v>
      </c>
      <c r="Q64" s="799"/>
      <c r="R64" s="821">
        <f t="shared" ref="R64:R65" si="26">+I64+AA64+$T64*$AK$5*$AM$10</f>
        <v>0</v>
      </c>
      <c r="S64" s="821"/>
      <c r="T64" s="821">
        <f t="shared" si="13"/>
        <v>0</v>
      </c>
      <c r="U64" s="821"/>
      <c r="V64" s="821">
        <f t="shared" si="14"/>
        <v>0</v>
      </c>
      <c r="Y64" s="850">
        <v>0</v>
      </c>
      <c r="Z64" s="821"/>
      <c r="AA64" s="821">
        <f>+Y64*(1-$AK$5)</f>
        <v>0</v>
      </c>
      <c r="AB64" s="816"/>
      <c r="AC64" s="850">
        <v>0</v>
      </c>
      <c r="AD64" s="828"/>
      <c r="AE64" s="821">
        <f t="shared" si="16"/>
        <v>0</v>
      </c>
      <c r="AG64" s="917" t="s">
        <v>867</v>
      </c>
      <c r="AI64" s="803"/>
      <c r="AL64" s="834"/>
      <c r="AM64" s="819"/>
    </row>
    <row r="65" spans="1:51">
      <c r="B65" s="800">
        <f t="shared" ca="1" si="0"/>
        <v>53</v>
      </c>
      <c r="C65" s="799"/>
      <c r="D65" s="877" t="s">
        <v>779</v>
      </c>
      <c r="E65" s="799"/>
      <c r="F65" s="800" t="s">
        <v>855</v>
      </c>
      <c r="I65" s="821">
        <v>0</v>
      </c>
      <c r="J65" s="821"/>
      <c r="K65" s="821">
        <f>+I65-$M65*$AK$5*$AM$10</f>
        <v>0</v>
      </c>
      <c r="L65" s="821"/>
      <c r="M65" s="821">
        <v>0</v>
      </c>
      <c r="N65" s="821"/>
      <c r="O65" s="821">
        <f t="shared" si="11"/>
        <v>0</v>
      </c>
      <c r="Q65" s="799"/>
      <c r="R65" s="821">
        <f t="shared" si="26"/>
        <v>0</v>
      </c>
      <c r="S65" s="821"/>
      <c r="T65" s="821">
        <f t="shared" si="13"/>
        <v>0</v>
      </c>
      <c r="U65" s="821"/>
      <c r="V65" s="821">
        <f t="shared" si="14"/>
        <v>0</v>
      </c>
      <c r="Y65" s="850">
        <v>0</v>
      </c>
      <c r="Z65" s="821"/>
      <c r="AA65" s="821">
        <f>+Y65*(1-$AK$5)</f>
        <v>0</v>
      </c>
      <c r="AB65" s="816"/>
      <c r="AC65" s="850">
        <v>0</v>
      </c>
      <c r="AD65" s="828"/>
      <c r="AE65" s="821">
        <f t="shared" si="16"/>
        <v>0</v>
      </c>
      <c r="AG65" s="917" t="s">
        <v>867</v>
      </c>
      <c r="AI65" s="803"/>
      <c r="AL65" s="834"/>
      <c r="AM65" s="819"/>
    </row>
    <row r="66" spans="1:51">
      <c r="C66" s="799"/>
      <c r="D66" s="820"/>
      <c r="E66" s="799"/>
      <c r="I66" s="816"/>
      <c r="J66" s="816"/>
      <c r="K66" s="863"/>
      <c r="L66" s="816"/>
      <c r="M66" s="816"/>
      <c r="N66" s="816"/>
      <c r="O66" s="816"/>
      <c r="Q66" s="799"/>
      <c r="R66" s="816"/>
      <c r="S66" s="816"/>
      <c r="T66" s="816"/>
      <c r="U66" s="816"/>
      <c r="V66" s="816"/>
      <c r="Y66" s="816"/>
      <c r="Z66" s="800"/>
      <c r="AA66" s="816"/>
      <c r="AB66" s="816"/>
      <c r="AC66" s="816"/>
      <c r="AD66" s="816"/>
      <c r="AE66" s="821"/>
      <c r="AG66" s="802"/>
      <c r="AI66" s="803"/>
      <c r="AL66" s="834"/>
      <c r="AM66" s="819"/>
    </row>
    <row r="67" spans="1:51" ht="13.5">
      <c r="C67" s="799"/>
      <c r="D67" s="820"/>
      <c r="E67" s="799"/>
      <c r="I67" s="836"/>
      <c r="J67" s="859"/>
      <c r="K67" s="859"/>
      <c r="L67" s="816"/>
      <c r="M67" s="836"/>
      <c r="N67" s="816"/>
      <c r="O67" s="836"/>
      <c r="Q67" s="799"/>
      <c r="R67" s="836"/>
      <c r="S67" s="816"/>
      <c r="T67" s="836"/>
      <c r="U67" s="816"/>
      <c r="V67" s="836"/>
      <c r="Y67" s="836"/>
      <c r="Z67" s="800"/>
      <c r="AA67" s="836"/>
      <c r="AB67" s="816"/>
      <c r="AC67" s="836"/>
      <c r="AD67" s="816"/>
      <c r="AE67" s="837"/>
      <c r="AG67" s="802"/>
      <c r="AI67" s="803"/>
      <c r="AJ67" s="835"/>
      <c r="AL67" s="834"/>
      <c r="AM67" s="821"/>
    </row>
    <row r="68" spans="1:51" ht="13.5" thickBot="1">
      <c r="B68" s="800">
        <f ca="1">+MAX(OFFSET($B$7,0,0,ROW($B68)-ROW($B$7),1))+1</f>
        <v>54</v>
      </c>
      <c r="D68" s="820"/>
      <c r="F68" s="799" t="s">
        <v>816</v>
      </c>
      <c r="I68" s="838">
        <f>+SUM(I35:I67)</f>
        <v>105259.04705348369</v>
      </c>
      <c r="J68" s="859"/>
      <c r="K68" s="838">
        <f>+SUM(K35:K67)</f>
        <v>106012.43300074067</v>
      </c>
      <c r="L68" s="821"/>
      <c r="M68" s="838">
        <f>+SUM(M35:M67)</f>
        <v>1877556.9528196279</v>
      </c>
      <c r="N68" s="821"/>
      <c r="O68" s="838">
        <f>+SUM(O35:O67)</f>
        <v>33899.791858422359</v>
      </c>
      <c r="R68" s="838">
        <f>+SUM(R35:R67)</f>
        <v>104358.62800981979</v>
      </c>
      <c r="S68" s="821"/>
      <c r="T68" s="838">
        <f>+SUM(T35:T67)</f>
        <v>1647192.1897610023</v>
      </c>
      <c r="U68" s="821"/>
      <c r="V68" s="838">
        <f>+SUM(V35:V67)</f>
        <v>14708.900762387244</v>
      </c>
      <c r="Y68" s="838">
        <f>+SUM(Y35:Y67)</f>
        <v>-593.13706960035722</v>
      </c>
      <c r="Z68" s="828"/>
      <c r="AA68" s="838">
        <f>+SUM(AA35:AA67)</f>
        <v>-468.57828498428302</v>
      </c>
      <c r="AB68" s="821"/>
      <c r="AC68" s="838">
        <f>+SUM(AC35:AC67)</f>
        <v>-230364.76305862566</v>
      </c>
      <c r="AD68" s="821"/>
      <c r="AE68" s="838">
        <f>+SUM(AE35:AE67)</f>
        <v>-19190.891096035113</v>
      </c>
      <c r="AG68" s="802"/>
      <c r="AI68" s="803"/>
    </row>
    <row r="69" spans="1:51" ht="13.5" thickTop="1">
      <c r="D69" s="820"/>
      <c r="AI69" s="803"/>
    </row>
    <row r="70" spans="1:51" ht="13.5" thickBot="1">
      <c r="B70" s="800">
        <f t="shared" ref="B70:B72" ca="1" si="27">+MAX(OFFSET($B$7,0,0,ROW($B70)-ROW($B$7),1))+1</f>
        <v>55</v>
      </c>
      <c r="D70" s="820"/>
      <c r="M70" s="834" t="s">
        <v>817</v>
      </c>
      <c r="O70" s="851">
        <v>44183.458383399979</v>
      </c>
      <c r="T70" s="834"/>
      <c r="V70" s="851">
        <f>+'RR SUMMARY'!E24</f>
        <v>14708.766009109842</v>
      </c>
    </row>
    <row r="71" spans="1:51" ht="13.5" thickTop="1">
      <c r="D71" s="820"/>
      <c r="V71" s="821"/>
      <c r="AE71" s="828"/>
    </row>
    <row r="72" spans="1:51" ht="13.5" thickBot="1">
      <c r="B72" s="800">
        <f t="shared" ca="1" si="27"/>
        <v>56</v>
      </c>
      <c r="D72" s="820"/>
      <c r="M72" s="834" t="s">
        <v>818</v>
      </c>
      <c r="O72" s="838">
        <f>+ROUND(O68-O70,4)</f>
        <v>-10283.666499999999</v>
      </c>
      <c r="T72" s="834"/>
      <c r="V72" s="838">
        <f>+V68-V70</f>
        <v>0.13475327740161447</v>
      </c>
    </row>
    <row r="73" spans="1:51" ht="13.5" thickTop="1"/>
    <row r="74" spans="1:51" s="801" customFormat="1">
      <c r="A74" s="800"/>
      <c r="B74" s="799"/>
      <c r="C74" s="800"/>
      <c r="D74" s="800"/>
      <c r="E74" s="800"/>
      <c r="F74" s="800"/>
      <c r="I74" s="800"/>
      <c r="J74" s="800"/>
      <c r="K74" s="800"/>
      <c r="L74" s="800"/>
      <c r="M74" s="800"/>
      <c r="N74" s="800"/>
      <c r="O74" s="800"/>
      <c r="Q74" s="800"/>
      <c r="R74" s="800"/>
      <c r="S74" s="800"/>
      <c r="T74" s="800"/>
      <c r="U74" s="800"/>
      <c r="V74" s="821"/>
      <c r="W74" s="800"/>
      <c r="X74" s="800"/>
      <c r="AE74" s="828"/>
      <c r="AK74" s="800"/>
      <c r="AL74" s="800"/>
      <c r="AM74" s="800"/>
      <c r="AN74" s="800"/>
      <c r="AO74" s="800"/>
      <c r="AP74" s="800"/>
      <c r="AQ74" s="800"/>
      <c r="AR74" s="800"/>
      <c r="AS74" s="800"/>
      <c r="AT74" s="800"/>
      <c r="AU74" s="800"/>
      <c r="AV74" s="800"/>
      <c r="AW74" s="800"/>
      <c r="AX74" s="800"/>
      <c r="AY74" s="800"/>
    </row>
    <row r="75" spans="1:51" s="801" customFormat="1">
      <c r="A75" s="800"/>
      <c r="B75" s="800"/>
      <c r="C75" s="800"/>
      <c r="D75" s="800"/>
      <c r="E75" s="800"/>
      <c r="F75" s="800"/>
      <c r="I75" s="800"/>
      <c r="J75" s="800"/>
      <c r="K75" s="800"/>
      <c r="L75" s="800"/>
      <c r="M75" s="800"/>
      <c r="N75" s="800"/>
      <c r="O75" s="821"/>
      <c r="Q75" s="800"/>
      <c r="R75" s="800"/>
      <c r="S75" s="800"/>
      <c r="T75" s="800"/>
      <c r="U75" s="800"/>
      <c r="V75" s="821"/>
      <c r="W75" s="800"/>
      <c r="X75" s="800"/>
      <c r="AE75" s="828"/>
      <c r="AK75" s="800"/>
      <c r="AL75" s="800"/>
      <c r="AM75" s="800"/>
      <c r="AN75" s="800"/>
      <c r="AO75" s="800"/>
      <c r="AP75" s="800"/>
      <c r="AQ75" s="800"/>
      <c r="AR75" s="800"/>
      <c r="AS75" s="800"/>
      <c r="AT75" s="800"/>
      <c r="AU75" s="800"/>
      <c r="AV75" s="800"/>
      <c r="AW75" s="800"/>
      <c r="AX75" s="800"/>
      <c r="AY75" s="800"/>
    </row>
    <row r="77" spans="1:51" s="801" customFormat="1">
      <c r="A77" s="800"/>
      <c r="B77" s="800"/>
      <c r="C77" s="800"/>
      <c r="D77" s="800"/>
      <c r="E77" s="800"/>
      <c r="F77" s="800"/>
      <c r="I77" s="800"/>
      <c r="J77" s="800"/>
      <c r="K77" s="800"/>
      <c r="L77" s="800"/>
      <c r="M77" s="800"/>
      <c r="N77" s="800"/>
      <c r="O77" s="821"/>
      <c r="Q77" s="800"/>
      <c r="R77" s="800"/>
      <c r="S77" s="800"/>
      <c r="T77" s="800"/>
      <c r="U77" s="800"/>
      <c r="V77" s="821"/>
      <c r="W77" s="800"/>
      <c r="X77" s="800"/>
      <c r="AK77" s="800"/>
      <c r="AL77" s="800"/>
      <c r="AM77" s="800"/>
      <c r="AN77" s="800"/>
      <c r="AO77" s="800"/>
      <c r="AP77" s="800"/>
      <c r="AQ77" s="800"/>
      <c r="AR77" s="800"/>
      <c r="AS77" s="800"/>
      <c r="AT77" s="800"/>
      <c r="AU77" s="800"/>
      <c r="AV77" s="800"/>
      <c r="AW77" s="800"/>
      <c r="AX77" s="800"/>
      <c r="AY77" s="800"/>
    </row>
    <row r="78" spans="1:51" s="801" customFormat="1">
      <c r="A78" s="800"/>
      <c r="B78" s="800"/>
      <c r="C78" s="800"/>
      <c r="D78" s="800"/>
      <c r="E78" s="800"/>
      <c r="F78" s="800"/>
      <c r="I78" s="800"/>
      <c r="J78" s="800"/>
      <c r="K78" s="800"/>
      <c r="L78" s="800"/>
      <c r="M78" s="800"/>
      <c r="N78" s="800"/>
      <c r="O78" s="839"/>
      <c r="Q78" s="800"/>
      <c r="R78" s="800"/>
      <c r="S78" s="800"/>
      <c r="T78" s="800"/>
      <c r="U78" s="800"/>
      <c r="V78" s="800"/>
      <c r="W78" s="800"/>
      <c r="X78" s="800"/>
      <c r="AK78" s="800"/>
      <c r="AL78" s="800"/>
      <c r="AM78" s="800"/>
      <c r="AN78" s="800"/>
      <c r="AO78" s="800"/>
      <c r="AP78" s="800"/>
      <c r="AQ78" s="800"/>
      <c r="AR78" s="800"/>
      <c r="AS78" s="800"/>
      <c r="AT78" s="800"/>
      <c r="AU78" s="800"/>
      <c r="AV78" s="800"/>
      <c r="AW78" s="800"/>
      <c r="AX78" s="800"/>
      <c r="AY78" s="800"/>
    </row>
    <row r="82" spans="1:51" s="801" customFormat="1">
      <c r="A82" s="800"/>
      <c r="B82" s="800"/>
      <c r="C82" s="800"/>
      <c r="D82" s="800"/>
      <c r="E82" s="800"/>
      <c r="F82" s="800"/>
      <c r="I82" s="800"/>
      <c r="J82" s="800"/>
      <c r="K82" s="800"/>
      <c r="L82" s="800"/>
      <c r="M82" s="800"/>
      <c r="N82" s="800"/>
      <c r="O82" s="821"/>
      <c r="Q82" s="800"/>
      <c r="R82" s="800"/>
      <c r="S82" s="800"/>
      <c r="T82" s="800"/>
      <c r="U82" s="800"/>
      <c r="V82" s="800"/>
      <c r="W82" s="800"/>
      <c r="X82" s="800"/>
      <c r="AK82" s="800"/>
      <c r="AL82" s="800"/>
      <c r="AM82" s="800"/>
      <c r="AN82" s="800"/>
      <c r="AO82" s="800"/>
      <c r="AP82" s="800"/>
      <c r="AQ82" s="800"/>
      <c r="AR82" s="800"/>
      <c r="AS82" s="800"/>
      <c r="AT82" s="800"/>
      <c r="AU82" s="800"/>
      <c r="AV82" s="800"/>
      <c r="AW82" s="800"/>
      <c r="AX82" s="800"/>
      <c r="AY82" s="800"/>
    </row>
    <row r="83" spans="1:51" s="801" customFormat="1">
      <c r="A83" s="800"/>
      <c r="B83" s="800"/>
      <c r="C83" s="800"/>
      <c r="D83" s="800"/>
      <c r="E83" s="800"/>
      <c r="F83" s="800"/>
      <c r="I83" s="800"/>
      <c r="J83" s="800"/>
      <c r="K83" s="800"/>
      <c r="L83" s="800"/>
      <c r="M83" s="800"/>
      <c r="N83" s="800"/>
      <c r="O83" s="821"/>
      <c r="Q83" s="800"/>
      <c r="R83" s="800"/>
      <c r="S83" s="800"/>
      <c r="T83" s="800"/>
      <c r="U83" s="800"/>
      <c r="V83" s="800"/>
      <c r="W83" s="800"/>
      <c r="X83" s="800"/>
      <c r="AK83" s="800"/>
      <c r="AL83" s="800"/>
      <c r="AM83" s="800"/>
      <c r="AN83" s="800"/>
      <c r="AO83" s="800"/>
      <c r="AP83" s="800"/>
      <c r="AQ83" s="800"/>
      <c r="AR83" s="800"/>
      <c r="AS83" s="800"/>
      <c r="AT83" s="800"/>
      <c r="AU83" s="800"/>
      <c r="AV83" s="800"/>
      <c r="AW83" s="800"/>
      <c r="AX83" s="800"/>
      <c r="AY83" s="800"/>
    </row>
    <row r="84" spans="1:51" s="801" customFormat="1">
      <c r="A84" s="800"/>
      <c r="B84" s="800"/>
      <c r="C84" s="800"/>
      <c r="D84" s="800"/>
      <c r="E84" s="800"/>
      <c r="F84" s="800"/>
      <c r="I84" s="800"/>
      <c r="J84" s="800"/>
      <c r="K84" s="800"/>
      <c r="L84" s="800"/>
      <c r="M84" s="800"/>
      <c r="N84" s="800"/>
      <c r="O84" s="821"/>
      <c r="Q84" s="800"/>
      <c r="R84" s="800"/>
      <c r="S84" s="800"/>
      <c r="T84" s="800"/>
      <c r="U84" s="800"/>
      <c r="V84" s="800"/>
      <c r="W84" s="800"/>
      <c r="X84" s="800"/>
      <c r="AK84" s="800"/>
      <c r="AL84" s="800"/>
      <c r="AM84" s="800"/>
      <c r="AN84" s="800"/>
      <c r="AO84" s="800"/>
      <c r="AP84" s="800"/>
      <c r="AQ84" s="800"/>
      <c r="AR84" s="800"/>
      <c r="AS84" s="800"/>
      <c r="AT84" s="800"/>
      <c r="AU84" s="800"/>
      <c r="AV84" s="800"/>
      <c r="AW84" s="800"/>
      <c r="AX84" s="800"/>
      <c r="AY84" s="800"/>
    </row>
  </sheetData>
  <pageMargins left="0.25" right="0.25" top="1.5" bottom="0.75" header="0.8" footer="0.3"/>
  <pageSetup scale="68" orientation="portrait" r:id="rId1"/>
  <colBreaks count="1" manualBreakCount="1">
    <brk id="22"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62F4CE"/>
  </sheetPr>
  <dimension ref="A1:Y91"/>
  <sheetViews>
    <sheetView zoomScale="85" zoomScaleNormal="85" zoomScaleSheetLayoutView="115" workbookViewId="0"/>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5" t="str">
        <f>'ADJ DETAIL-INPUT'!A2</f>
        <v>AVISTA UTILITIES  -  AWEC ADJUSTED</v>
      </c>
      <c r="D1" s="3"/>
      <c r="E1" s="922"/>
      <c r="F1" s="922"/>
    </row>
    <row r="2" spans="1:22" ht="15">
      <c r="A2" s="575" t="str">
        <f>'ADJ DETAIL-INPUT'!A3</f>
        <v xml:space="preserve">WASHINGTON ELECTRIC RESULTS </v>
      </c>
      <c r="D2" s="3"/>
    </row>
    <row r="3" spans="1:22" ht="15" customHeight="1">
      <c r="A3" s="518" t="str">
        <f>'ADJ DETAIL-INPUT'!A4</f>
        <v>TWELVE MONTHS ENDED DECEMBER 31, 2019</v>
      </c>
      <c r="D3" s="3"/>
    </row>
    <row r="4" spans="1:22" ht="15">
      <c r="A4" s="575" t="str">
        <f>'ADJ DETAIL-INPUT'!A5</f>
        <v xml:space="preserve">(000'S OF DOLLARS)  </v>
      </c>
      <c r="D4" s="3"/>
      <c r="E4" s="918" t="s">
        <v>763</v>
      </c>
      <c r="F4" s="919"/>
      <c r="G4" s="919"/>
      <c r="H4" s="919"/>
      <c r="I4" s="920"/>
    </row>
    <row r="5" spans="1:22">
      <c r="A5" s="1"/>
      <c r="B5" s="5"/>
      <c r="C5" s="5"/>
      <c r="D5" s="4"/>
      <c r="E5" s="243" t="s">
        <v>167</v>
      </c>
      <c r="F5" s="244"/>
      <c r="G5" s="245"/>
      <c r="H5" s="243" t="s">
        <v>790</v>
      </c>
      <c r="I5" s="245"/>
      <c r="V5" s="545"/>
    </row>
    <row r="6" spans="1:22">
      <c r="A6" s="6"/>
      <c r="B6" s="7"/>
      <c r="C6" s="8"/>
      <c r="D6" s="9"/>
      <c r="E6" s="246" t="s">
        <v>168</v>
      </c>
      <c r="F6" s="246"/>
      <c r="G6" s="505" t="s">
        <v>764</v>
      </c>
      <c r="H6" s="247" t="s">
        <v>169</v>
      </c>
      <c r="I6" s="505" t="s">
        <v>764</v>
      </c>
    </row>
    <row r="7" spans="1:22">
      <c r="A7" s="10" t="s">
        <v>8</v>
      </c>
      <c r="B7" s="11"/>
      <c r="C7" s="12"/>
      <c r="D7" s="13"/>
      <c r="E7" s="248" t="s">
        <v>9</v>
      </c>
      <c r="F7" s="248" t="s">
        <v>135</v>
      </c>
      <c r="G7" s="248" t="s">
        <v>652</v>
      </c>
      <c r="H7" s="249" t="s">
        <v>170</v>
      </c>
      <c r="I7" s="248" t="s">
        <v>169</v>
      </c>
    </row>
    <row r="8" spans="1:22">
      <c r="A8" s="14" t="s">
        <v>21</v>
      </c>
      <c r="B8" s="15"/>
      <c r="C8" s="16"/>
      <c r="D8" s="17" t="s">
        <v>22</v>
      </c>
      <c r="E8" s="250" t="s">
        <v>23</v>
      </c>
      <c r="F8" s="250" t="s">
        <v>145</v>
      </c>
      <c r="G8" s="250" t="s">
        <v>653</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-16055</v>
      </c>
      <c r="G14" s="423">
        <f>'ADJ DETAIL-INPUT'!BG14</f>
        <v>530494</v>
      </c>
      <c r="H14" s="240">
        <f>'CF '!J9</f>
        <v>14708.766009109842</v>
      </c>
      <c r="I14" s="21">
        <f>G14+H14</f>
        <v>545202.76600910979</v>
      </c>
    </row>
    <row r="15" spans="1:22">
      <c r="A15" s="20">
        <v>2</v>
      </c>
      <c r="B15" s="22" t="s">
        <v>42</v>
      </c>
      <c r="C15" s="22"/>
      <c r="D15" s="22"/>
      <c r="E15" s="234">
        <f>'ADJ DETAIL-INPUT'!E15</f>
        <v>1228</v>
      </c>
      <c r="F15" s="234">
        <f>G15-E15</f>
        <v>0</v>
      </c>
      <c r="G15" s="435">
        <f>'ADJ DETAIL-INPUT'!BG15</f>
        <v>1228</v>
      </c>
      <c r="H15" s="234"/>
      <c r="I15" s="234">
        <f>G15+H15</f>
        <v>1228</v>
      </c>
    </row>
    <row r="16" spans="1:22">
      <c r="A16" s="20">
        <v>3</v>
      </c>
      <c r="B16" s="22" t="s">
        <v>43</v>
      </c>
      <c r="C16" s="22"/>
      <c r="D16" s="22"/>
      <c r="E16" s="236">
        <f>'ADJ DETAIL-INPUT'!E16</f>
        <v>53430</v>
      </c>
      <c r="F16" s="236">
        <f>G16-E16</f>
        <v>39</v>
      </c>
      <c r="G16" s="444">
        <f>'ADJ DETAIL-INPUT'!BG16</f>
        <v>53469</v>
      </c>
      <c r="H16" s="236"/>
      <c r="I16" s="236">
        <f>G16+H16</f>
        <v>53469</v>
      </c>
    </row>
    <row r="17" spans="1:12">
      <c r="A17" s="20">
        <v>4</v>
      </c>
      <c r="B17" s="22"/>
      <c r="C17" s="22" t="s">
        <v>44</v>
      </c>
      <c r="D17" s="22"/>
      <c r="E17" s="234">
        <f>SUM(E14:E16)</f>
        <v>601207</v>
      </c>
      <c r="F17" s="234">
        <f>SUM(F14:F16)</f>
        <v>-16016</v>
      </c>
      <c r="G17" s="435">
        <f>SUM(G14:G16)</f>
        <v>585191</v>
      </c>
      <c r="H17" s="234">
        <f>SUM(H14:H16)</f>
        <v>14708.766009109842</v>
      </c>
      <c r="I17" s="234">
        <f>SUM(I14:I16)</f>
        <v>599899.76600910979</v>
      </c>
    </row>
    <row r="18" spans="1:12">
      <c r="A18" s="20">
        <v>5</v>
      </c>
      <c r="B18" s="22" t="s">
        <v>45</v>
      </c>
      <c r="C18" s="22"/>
      <c r="D18" s="22"/>
      <c r="E18" s="236">
        <f>'ADJ DETAIL-INPUT'!E18</f>
        <v>60250</v>
      </c>
      <c r="F18" s="236">
        <f>G18-E18</f>
        <v>-42836.369999999995</v>
      </c>
      <c r="G18" s="444">
        <f>'ADJ DETAIL-INPUT'!BG18</f>
        <v>17413.63</v>
      </c>
      <c r="H18" s="236"/>
      <c r="I18" s="236">
        <f>G18+H18</f>
        <v>17413.63</v>
      </c>
    </row>
    <row r="19" spans="1:12">
      <c r="A19" s="20">
        <v>6</v>
      </c>
      <c r="B19" s="22"/>
      <c r="C19" s="22" t="s">
        <v>46</v>
      </c>
      <c r="D19" s="22"/>
      <c r="E19" s="234">
        <f>SUM(E17:E18)</f>
        <v>661457</v>
      </c>
      <c r="F19" s="234">
        <f>SUM(F17:F18)</f>
        <v>-58852.369999999995</v>
      </c>
      <c r="G19" s="435">
        <f>SUM(G17:G18)</f>
        <v>602604.63</v>
      </c>
      <c r="H19" s="234">
        <f>SUM(H17:H18)</f>
        <v>14708.766009109842</v>
      </c>
      <c r="I19" s="234">
        <f>SUM(I17:I18)</f>
        <v>617313.3960091098</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-24060</v>
      </c>
      <c r="G23" s="559">
        <f>'ADJ DETAIL-INPUT'!BG23</f>
        <v>146493</v>
      </c>
      <c r="H23" s="234"/>
      <c r="I23" s="234">
        <f>G23+H23</f>
        <v>146493</v>
      </c>
    </row>
    <row r="24" spans="1:12">
      <c r="A24" s="20">
        <v>8</v>
      </c>
      <c r="B24" s="22"/>
      <c r="C24" s="22" t="s">
        <v>50</v>
      </c>
      <c r="D24" s="22"/>
      <c r="E24" s="234">
        <f>'ADJ DETAIL-INPUT'!E24</f>
        <v>89083</v>
      </c>
      <c r="F24" s="234">
        <f>G24-E24</f>
        <v>-18300</v>
      </c>
      <c r="G24" s="559">
        <f>'ADJ DETAIL-INPUT'!BG24</f>
        <v>70783</v>
      </c>
      <c r="H24" s="234"/>
      <c r="I24" s="234">
        <f>G24+H24</f>
        <v>70783</v>
      </c>
    </row>
    <row r="25" spans="1:12">
      <c r="A25" s="20">
        <v>9</v>
      </c>
      <c r="B25" s="22"/>
      <c r="C25" s="22" t="s">
        <v>547</v>
      </c>
      <c r="D25" s="22"/>
      <c r="E25" s="234">
        <f>'ADJ DETAIL-INPUT'!E25</f>
        <v>32447</v>
      </c>
      <c r="F25" s="234">
        <f>G25-E25</f>
        <v>8998.807249999998</v>
      </c>
      <c r="G25" s="559">
        <f>'ADJ DETAIL-INPUT'!BG25</f>
        <v>41445.807249999998</v>
      </c>
      <c r="H25" s="234"/>
      <c r="I25" s="234">
        <f>G25+H25</f>
        <v>41445.807249999998</v>
      </c>
      <c r="L25" s="234"/>
    </row>
    <row r="26" spans="1:12">
      <c r="A26" s="20">
        <v>10</v>
      </c>
      <c r="B26" s="22"/>
      <c r="C26" s="22" t="s">
        <v>692</v>
      </c>
      <c r="D26" s="22"/>
      <c r="E26" s="234">
        <f>'ADJ DETAIL-INPUT'!E26</f>
        <v>-712</v>
      </c>
      <c r="F26" s="234">
        <f>G26-E26</f>
        <v>-1070.8197999999988</v>
      </c>
      <c r="G26" s="559">
        <f>'ADJ DETAIL-INPUT'!BG26</f>
        <v>-1782.8197999999988</v>
      </c>
      <c r="H26" s="234"/>
      <c r="I26" s="234">
        <f>G26+H26</f>
        <v>-1782.8197999999988</v>
      </c>
    </row>
    <row r="27" spans="1:12">
      <c r="A27" s="20">
        <v>11</v>
      </c>
      <c r="B27" s="22"/>
      <c r="C27" s="22" t="s">
        <v>27</v>
      </c>
      <c r="D27" s="22"/>
      <c r="E27" s="236">
        <f>'ADJ DETAIL-INPUT'!E27</f>
        <v>16489</v>
      </c>
      <c r="F27" s="236">
        <f>G27-E27</f>
        <v>1507</v>
      </c>
      <c r="G27" s="560">
        <f>'ADJ DETAIL-INPUT'!BG27</f>
        <v>17996</v>
      </c>
      <c r="H27" s="236"/>
      <c r="I27" s="236">
        <f>G27+H27</f>
        <v>17996</v>
      </c>
    </row>
    <row r="28" spans="1:12">
      <c r="A28" s="20">
        <v>12</v>
      </c>
      <c r="B28" s="22"/>
      <c r="C28" s="22"/>
      <c r="D28" s="22" t="s">
        <v>51</v>
      </c>
      <c r="E28" s="234">
        <f>SUM(E23:E27)</f>
        <v>307860</v>
      </c>
      <c r="F28" s="234">
        <f>SUM(F23:F27)</f>
        <v>-32925.012549999999</v>
      </c>
      <c r="G28" s="435">
        <f>SUM(G23:G27)</f>
        <v>274934.98745000002</v>
      </c>
      <c r="H28" s="234">
        <f>SUM(H23:H27)</f>
        <v>0</v>
      </c>
      <c r="I28" s="234">
        <f>SUM(I23:I27)</f>
        <v>274934.98745000002</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2759</v>
      </c>
      <c r="G31" s="446">
        <f>'ADJ DETAIL-INPUT'!BG31</f>
        <v>29506</v>
      </c>
      <c r="H31" s="234"/>
      <c r="I31" s="234">
        <f>G31+H31</f>
        <v>29506</v>
      </c>
    </row>
    <row r="32" spans="1:12">
      <c r="A32" s="20">
        <v>14</v>
      </c>
      <c r="B32" s="22"/>
      <c r="C32" s="22" t="s">
        <v>547</v>
      </c>
      <c r="D32" s="22"/>
      <c r="E32" s="234">
        <f>'ADJ DETAIL-INPUT'!E32</f>
        <v>31132</v>
      </c>
      <c r="F32" s="234">
        <f>G32-E32</f>
        <v>2884.2036226647033</v>
      </c>
      <c r="G32" s="446">
        <f>'ADJ DETAIL-INPUT'!BG32</f>
        <v>34016.203622664703</v>
      </c>
      <c r="H32" s="234"/>
      <c r="I32" s="234">
        <f>G32+H32</f>
        <v>34016.203622664703</v>
      </c>
    </row>
    <row r="33" spans="1:9">
      <c r="A33" s="20">
        <v>15</v>
      </c>
      <c r="B33" s="22"/>
      <c r="C33" s="22" t="s">
        <v>27</v>
      </c>
      <c r="D33" s="22"/>
      <c r="E33" s="236">
        <f>'ADJ DETAIL-INPUT'!E34</f>
        <v>47422</v>
      </c>
      <c r="F33" s="236">
        <f>G33-E33</f>
        <v>-17461</v>
      </c>
      <c r="G33" s="444">
        <f>'ADJ DETAIL-INPUT'!BG34</f>
        <v>29961</v>
      </c>
      <c r="H33" s="444">
        <f>'CF '!J16</f>
        <v>568</v>
      </c>
      <c r="I33" s="236">
        <f>G33+H33</f>
        <v>30529</v>
      </c>
    </row>
    <row r="34" spans="1:9">
      <c r="A34" s="20">
        <v>16</v>
      </c>
      <c r="B34" s="22"/>
      <c r="C34" s="22"/>
      <c r="D34" s="22" t="s">
        <v>53</v>
      </c>
      <c r="E34" s="234">
        <f>SUM(E31:E33)</f>
        <v>105301</v>
      </c>
      <c r="F34" s="234">
        <f>SUM(F31:F33)</f>
        <v>-11817.796377335297</v>
      </c>
      <c r="G34" s="435">
        <f>SUM(G31:G33)</f>
        <v>93483.203622664703</v>
      </c>
      <c r="H34" s="435">
        <f>SUM(H31:H33)</f>
        <v>568</v>
      </c>
      <c r="I34" s="234">
        <f>SUM(I31:I33)</f>
        <v>94051.203622664703</v>
      </c>
    </row>
    <row r="35" spans="1:9" ht="6.75" customHeight="1">
      <c r="A35" s="20"/>
      <c r="B35" s="22"/>
      <c r="C35" s="22"/>
      <c r="D35" s="22"/>
      <c r="E35" s="234"/>
      <c r="F35" s="234"/>
      <c r="G35" s="435"/>
      <c r="H35" s="435"/>
      <c r="I35" s="234"/>
    </row>
    <row r="36" spans="1:9">
      <c r="A36" s="20">
        <v>17</v>
      </c>
      <c r="B36" s="22" t="s">
        <v>54</v>
      </c>
      <c r="C36" s="22"/>
      <c r="D36" s="22"/>
      <c r="E36" s="234">
        <f>'ADJ DETAIL-INPUT'!E37</f>
        <v>9916</v>
      </c>
      <c r="F36" s="234">
        <f>G36-E36</f>
        <v>2028</v>
      </c>
      <c r="G36" s="446">
        <f>'ADJ DETAIL-INPUT'!BG37</f>
        <v>11944</v>
      </c>
      <c r="H36" s="435">
        <f>'CF '!J12</f>
        <v>49</v>
      </c>
      <c r="I36" s="234">
        <f>G36+H36</f>
        <v>11993</v>
      </c>
    </row>
    <row r="37" spans="1:9">
      <c r="A37" s="20">
        <v>18</v>
      </c>
      <c r="B37" s="22" t="s">
        <v>55</v>
      </c>
      <c r="C37" s="22"/>
      <c r="D37" s="22"/>
      <c r="E37" s="234">
        <f>'ADJ DETAIL-INPUT'!E38</f>
        <v>28425</v>
      </c>
      <c r="F37" s="234">
        <f>G37-E37</f>
        <v>-26791</v>
      </c>
      <c r="G37" s="446">
        <f>'ADJ DETAIL-INPUT'!BG38</f>
        <v>1634</v>
      </c>
      <c r="H37" s="435"/>
      <c r="I37" s="234">
        <f>G37+H37</f>
        <v>1634</v>
      </c>
    </row>
    <row r="38" spans="1:9">
      <c r="A38" s="20">
        <v>19</v>
      </c>
      <c r="B38" s="22" t="s">
        <v>56</v>
      </c>
      <c r="C38" s="22"/>
      <c r="D38" s="22"/>
      <c r="E38" s="234">
        <f>'ADJ DETAIL-INPUT'!E39</f>
        <v>0</v>
      </c>
      <c r="F38" s="234">
        <f>G38-E38</f>
        <v>0</v>
      </c>
      <c r="G38" s="446">
        <f>'ADJ DETAIL-INPUT'!BG39</f>
        <v>0</v>
      </c>
      <c r="H38" s="435"/>
      <c r="I38" s="234">
        <f>G38+H38</f>
        <v>0</v>
      </c>
    </row>
    <row r="39" spans="1:9" ht="6.75" customHeight="1">
      <c r="A39" s="22"/>
      <c r="B39" s="22"/>
      <c r="C39" s="22"/>
      <c r="D39" s="22"/>
      <c r="E39" s="234"/>
      <c r="F39" s="234"/>
      <c r="G39" s="435"/>
      <c r="H39" s="435"/>
      <c r="I39" s="234"/>
    </row>
    <row r="40" spans="1:9">
      <c r="A40" s="20"/>
      <c r="B40" s="22" t="s">
        <v>57</v>
      </c>
      <c r="C40" s="22"/>
      <c r="D40" s="22"/>
      <c r="E40" s="234"/>
      <c r="F40" s="234"/>
      <c r="G40" s="435"/>
      <c r="H40" s="435"/>
      <c r="I40" s="234"/>
    </row>
    <row r="41" spans="1:9">
      <c r="A41" s="20">
        <v>20</v>
      </c>
      <c r="B41" s="22"/>
      <c r="C41" s="22" t="s">
        <v>49</v>
      </c>
      <c r="D41" s="22"/>
      <c r="E41" s="234">
        <f>'ADJ DETAIL-INPUT'!E42</f>
        <v>55880</v>
      </c>
      <c r="F41" s="234">
        <f>G41-E41</f>
        <v>736.28925999999774</v>
      </c>
      <c r="G41" s="446">
        <f>'ADJ DETAIL-INPUT'!BG42</f>
        <v>56616.289259999998</v>
      </c>
      <c r="H41" s="435">
        <f>'CF '!J14</f>
        <v>29</v>
      </c>
      <c r="I41" s="234">
        <f>G41+H41</f>
        <v>56645.289259999998</v>
      </c>
    </row>
    <row r="42" spans="1:9">
      <c r="A42" s="20">
        <v>21</v>
      </c>
      <c r="B42" s="22"/>
      <c r="C42" s="22" t="s">
        <v>547</v>
      </c>
      <c r="D42" s="22"/>
      <c r="E42" s="234">
        <f>'ADJ DETAIL-INPUT'!E43</f>
        <v>35595</v>
      </c>
      <c r="F42" s="234">
        <f>G42-E42</f>
        <v>2670.9913773352964</v>
      </c>
      <c r="G42" s="446">
        <f>'ADJ DETAIL-INPUT'!BG43</f>
        <v>38265.991377335296</v>
      </c>
      <c r="H42" s="435"/>
      <c r="I42" s="234">
        <f>G42+H42</f>
        <v>38265.991377335296</v>
      </c>
    </row>
    <row r="43" spans="1:9">
      <c r="A43" s="422">
        <v>22</v>
      </c>
      <c r="B43" s="424"/>
      <c r="C43" s="424" t="s">
        <v>692</v>
      </c>
      <c r="D43" s="424"/>
      <c r="E43" s="435">
        <f>'ADJ DETAIL-INPUT'!E44</f>
        <v>-9018</v>
      </c>
      <c r="F43" s="435">
        <f>G43-E43</f>
        <v>20407.977939494449</v>
      </c>
      <c r="G43" s="446">
        <f>'ADJ DETAIL-INPUT'!BG44</f>
        <v>11389.977939494449</v>
      </c>
      <c r="H43" s="435"/>
      <c r="I43" s="435">
        <f>G43+H43</f>
        <v>11389.977939494449</v>
      </c>
    </row>
    <row r="44" spans="1:9">
      <c r="A44" s="239">
        <v>23</v>
      </c>
      <c r="B44" s="22"/>
      <c r="C44" s="22" t="s">
        <v>27</v>
      </c>
      <c r="D44" s="22"/>
      <c r="E44" s="236">
        <f>'ADJ DETAIL-INPUT'!E45</f>
        <v>0</v>
      </c>
      <c r="F44" s="236">
        <f>G44-E44</f>
        <v>0</v>
      </c>
      <c r="G44" s="444">
        <f>'ADJ DETAIL-INPUT'!BG45</f>
        <v>0</v>
      </c>
      <c r="H44" s="444"/>
      <c r="I44" s="236">
        <f>G44+H44</f>
        <v>0</v>
      </c>
    </row>
    <row r="45" spans="1:9">
      <c r="A45" s="20">
        <v>24</v>
      </c>
      <c r="B45" s="22"/>
      <c r="C45" s="22"/>
      <c r="D45" s="22" t="s">
        <v>58</v>
      </c>
      <c r="E45" s="236">
        <f>SUM(E41:E44)</f>
        <v>82457</v>
      </c>
      <c r="F45" s="236">
        <f>SUM(F41:F44)</f>
        <v>23815.258576829743</v>
      </c>
      <c r="G45" s="444">
        <f>SUM(G41:G44)</f>
        <v>106272.25857682974</v>
      </c>
      <c r="H45" s="444">
        <f>SUM(H41:H44)</f>
        <v>29</v>
      </c>
      <c r="I45" s="236">
        <f>SUM(I41:I44)</f>
        <v>106301.25857682974</v>
      </c>
    </row>
    <row r="46" spans="1:9">
      <c r="A46" s="20">
        <v>25</v>
      </c>
      <c r="B46" s="22" t="s">
        <v>59</v>
      </c>
      <c r="C46" s="22"/>
      <c r="D46" s="22"/>
      <c r="E46" s="236">
        <f>E28+E34+E36+E37+E38+E45</f>
        <v>533959</v>
      </c>
      <c r="F46" s="236">
        <f>F28+F34+F36+F37+F38+F45</f>
        <v>-45690.550350505553</v>
      </c>
      <c r="G46" s="444">
        <f>G28+G34+G36+G37+G38+G45</f>
        <v>488268.44964949443</v>
      </c>
      <c r="H46" s="444">
        <f>H28+H34+H36+H37+H38+H45</f>
        <v>646</v>
      </c>
      <c r="I46" s="236">
        <f>I28+I34+I36+I37+I38+I45</f>
        <v>488914.44964949443</v>
      </c>
    </row>
    <row r="47" spans="1:9" ht="7.5" customHeight="1">
      <c r="A47" s="20"/>
      <c r="B47" s="22"/>
      <c r="C47" s="22"/>
      <c r="D47" s="22"/>
      <c r="E47" s="234"/>
      <c r="F47" s="234"/>
      <c r="G47" s="435"/>
      <c r="H47" s="435"/>
      <c r="I47" s="234"/>
    </row>
    <row r="48" spans="1:9">
      <c r="A48" s="20">
        <v>26</v>
      </c>
      <c r="B48" s="22" t="s">
        <v>60</v>
      </c>
      <c r="C48" s="22"/>
      <c r="D48" s="22"/>
      <c r="E48" s="234">
        <f>E19-E46</f>
        <v>127498</v>
      </c>
      <c r="F48" s="234">
        <f>F19-F46</f>
        <v>-13161.819649494442</v>
      </c>
      <c r="G48" s="435">
        <f>G19-G46</f>
        <v>114336.18035050557</v>
      </c>
      <c r="H48" s="435">
        <f>H19-H46</f>
        <v>14062.766009109842</v>
      </c>
      <c r="I48" s="234">
        <f>I19-I46</f>
        <v>128398.94635961537</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-1658.3721263938369</v>
      </c>
      <c r="G51" s="446">
        <f>'ADJ DETAIL-INPUT'!BG52</f>
        <v>3304.6278736061631</v>
      </c>
      <c r="H51" s="435">
        <f>'CF '!J22</f>
        <v>2953</v>
      </c>
      <c r="I51" s="234">
        <f>G51+H51</f>
        <v>6257.6278736061631</v>
      </c>
      <c r="M51" s="146"/>
      <c r="N51" s="146"/>
      <c r="Y51" s="146"/>
    </row>
    <row r="52" spans="1:25">
      <c r="A52" s="422">
        <v>28</v>
      </c>
      <c r="B52" s="2" t="s">
        <v>262</v>
      </c>
      <c r="E52" s="234">
        <f>'ADJ DETAIL-INPUT'!E53</f>
        <v>0</v>
      </c>
      <c r="F52" s="234">
        <f>G52-E52</f>
        <v>323.84219098400467</v>
      </c>
      <c r="G52" s="446">
        <f>'ADJ DETAIL-INPUT'!BG53</f>
        <v>323.84219098400467</v>
      </c>
      <c r="H52" s="435">
        <v>-94</v>
      </c>
      <c r="I52" s="234">
        <f>G52+H52</f>
        <v>229.84219098400467</v>
      </c>
    </row>
    <row r="53" spans="1:25">
      <c r="A53" s="422">
        <v>29</v>
      </c>
      <c r="B53" s="22" t="s">
        <v>63</v>
      </c>
      <c r="C53" s="22"/>
      <c r="D53" s="22"/>
      <c r="E53" s="234">
        <f>'ADJ DETAIL-INPUT'!E54</f>
        <v>7830</v>
      </c>
      <c r="F53" s="234">
        <f>G53-E53</f>
        <v>-1163</v>
      </c>
      <c r="G53" s="446">
        <f>'ADJ DETAIL-INPUT'!BG54</f>
        <v>6667</v>
      </c>
      <c r="H53" s="234"/>
      <c r="I53" s="234">
        <f>G53+H53</f>
        <v>6667</v>
      </c>
      <c r="N53" s="146"/>
    </row>
    <row r="54" spans="1:25">
      <c r="A54" s="20">
        <v>30</v>
      </c>
      <c r="B54" s="22" t="s">
        <v>64</v>
      </c>
      <c r="C54" s="22"/>
      <c r="D54" s="22"/>
      <c r="E54" s="236">
        <f>'ADJ DETAIL-INPUT'!E55</f>
        <v>-318</v>
      </c>
      <c r="F54" s="236">
        <f>G54-E54</f>
        <v>0</v>
      </c>
      <c r="G54" s="444">
        <f>'ADJ DETAIL-INPUT'!BG55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-10664.289714084611</v>
      </c>
      <c r="G56" s="456">
        <f>G48-SUM(G51:G54)</f>
        <v>104358.71028591541</v>
      </c>
      <c r="H56" s="557">
        <f>H48-SUM(H51:H54)</f>
        <v>11203.766009109842</v>
      </c>
      <c r="I56" s="456">
        <f>I48-SUM(I51:I54)-0.44</f>
        <v>115562.0362950252</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0">G60-E60</f>
        <v>-30151.607099201268</v>
      </c>
      <c r="G60" s="556">
        <f>'ADJ DETAIL-INPUT'!BG61</f>
        <v>180883.39290079873</v>
      </c>
      <c r="H60" s="21"/>
      <c r="I60" s="21">
        <f>G60+H60</f>
        <v>180883.39290079873</v>
      </c>
    </row>
    <row r="61" spans="1:25">
      <c r="A61" s="422">
        <v>33</v>
      </c>
      <c r="B61" s="22"/>
      <c r="C61" s="22" t="s">
        <v>69</v>
      </c>
      <c r="D61" s="22"/>
      <c r="E61" s="234">
        <f>'ADJ DETAIL-INPUT'!E62</f>
        <v>930160</v>
      </c>
      <c r="F61" s="234">
        <f t="shared" si="0"/>
        <v>21135.434999999939</v>
      </c>
      <c r="G61" s="446">
        <f>'ADJ DETAIL-INPUT'!BG62</f>
        <v>951295.43499999994</v>
      </c>
      <c r="H61" s="234"/>
      <c r="I61" s="234">
        <f>G61+H61</f>
        <v>951295.43499999994</v>
      </c>
      <c r="M61" s="147"/>
    </row>
    <row r="62" spans="1:25">
      <c r="A62" s="422">
        <v>34</v>
      </c>
      <c r="B62" s="22"/>
      <c r="C62" s="22" t="s">
        <v>70</v>
      </c>
      <c r="D62" s="22"/>
      <c r="E62" s="234">
        <f>'ADJ DETAIL-INPUT'!E63</f>
        <v>509897</v>
      </c>
      <c r="F62" s="234">
        <f t="shared" si="0"/>
        <v>30856.635000000009</v>
      </c>
      <c r="G62" s="446">
        <f>'ADJ DETAIL-INPUT'!BG63</f>
        <v>540753.63500000001</v>
      </c>
      <c r="H62" s="234"/>
      <c r="I62" s="234">
        <f>G62+H62</f>
        <v>540753.63500000001</v>
      </c>
    </row>
    <row r="63" spans="1:25">
      <c r="A63" s="422">
        <v>35</v>
      </c>
      <c r="B63" s="22"/>
      <c r="C63" s="22" t="s">
        <v>52</v>
      </c>
      <c r="D63" s="22"/>
      <c r="E63" s="234">
        <f>'ADJ DETAIL-INPUT'!E64</f>
        <v>1194477</v>
      </c>
      <c r="F63" s="234">
        <f t="shared" si="0"/>
        <v>-4558.4695343980566</v>
      </c>
      <c r="G63" s="446">
        <f>'ADJ DETAIL-INPUT'!BG64</f>
        <v>1189918.5304656019</v>
      </c>
      <c r="H63" s="234"/>
      <c r="I63" s="234">
        <f>G63+H63</f>
        <v>1189918.5304656019</v>
      </c>
    </row>
    <row r="64" spans="1:25">
      <c r="A64" s="422">
        <v>36</v>
      </c>
      <c r="B64" s="22"/>
      <c r="C64" s="22" t="s">
        <v>71</v>
      </c>
      <c r="D64" s="22"/>
      <c r="E64" s="236">
        <f>'ADJ DETAIL-INPUT'!E65</f>
        <v>279556</v>
      </c>
      <c r="F64" s="236">
        <f t="shared" si="0"/>
        <v>-3352.6569800891448</v>
      </c>
      <c r="G64" s="444">
        <f>'ADJ DETAIL-INPUT'!BG65</f>
        <v>276203.34301991086</v>
      </c>
      <c r="H64" s="236"/>
      <c r="I64" s="236">
        <f>G64+H64</f>
        <v>276203.34301991086</v>
      </c>
    </row>
    <row r="65" spans="1:9">
      <c r="A65" s="20">
        <v>37</v>
      </c>
      <c r="B65" s="22"/>
      <c r="C65" s="22"/>
      <c r="D65" s="22" t="s">
        <v>72</v>
      </c>
      <c r="E65" s="234">
        <f>SUM(E60:E64)</f>
        <v>3125125</v>
      </c>
      <c r="F65" s="234">
        <f>SUM(F60:F64)</f>
        <v>13929.336386311479</v>
      </c>
      <c r="G65" s="435">
        <f>SUM(G60:G64)</f>
        <v>3139054.3363863118</v>
      </c>
      <c r="H65" s="234">
        <f>SUM(H60:H64)</f>
        <v>0</v>
      </c>
      <c r="I65" s="234">
        <f>SUM(I60:I64)</f>
        <v>3139054.3363863118</v>
      </c>
    </row>
    <row r="66" spans="1:9">
      <c r="A66" s="23"/>
      <c r="B66" s="22" t="s">
        <v>218</v>
      </c>
      <c r="C66" s="22"/>
      <c r="D66" s="22"/>
      <c r="E66" s="234"/>
      <c r="F66" s="234"/>
      <c r="G66" s="435"/>
      <c r="H66" s="234"/>
      <c r="I66" s="234"/>
    </row>
    <row r="67" spans="1:9">
      <c r="A67" s="23">
        <v>38</v>
      </c>
      <c r="B67" s="22"/>
      <c r="C67" s="21" t="s">
        <v>213</v>
      </c>
      <c r="D67" s="22"/>
      <c r="E67" s="234">
        <f>'ADJ DETAIL-INPUT'!E68</f>
        <v>-57078</v>
      </c>
      <c r="F67" s="234">
        <f t="shared" si="0"/>
        <v>-6190.277258932103</v>
      </c>
      <c r="G67" s="446">
        <f>'ADJ DETAIL-INPUT'!BG68</f>
        <v>-63268.277258932103</v>
      </c>
      <c r="H67" s="238"/>
      <c r="I67" s="238">
        <f>G67+H67</f>
        <v>-63268.277258932103</v>
      </c>
    </row>
    <row r="68" spans="1:9">
      <c r="A68" s="23">
        <v>39</v>
      </c>
      <c r="B68" s="22"/>
      <c r="C68" s="22" t="s">
        <v>214</v>
      </c>
      <c r="D68" s="22"/>
      <c r="E68" s="234">
        <f>'ADJ DETAIL-INPUT'!E69</f>
        <v>-382437</v>
      </c>
      <c r="F68" s="234">
        <f t="shared" si="0"/>
        <v>-21476.722000000009</v>
      </c>
      <c r="G68" s="446">
        <f>'ADJ DETAIL-INPUT'!BG69</f>
        <v>-403913.72200000001</v>
      </c>
      <c r="H68" s="234"/>
      <c r="I68" s="238">
        <f>G68+H68</f>
        <v>-403913.72200000001</v>
      </c>
    </row>
    <row r="69" spans="1:9">
      <c r="A69" s="23">
        <v>40</v>
      </c>
      <c r="B69" s="22"/>
      <c r="C69" s="22" t="s">
        <v>215</v>
      </c>
      <c r="D69" s="22"/>
      <c r="E69" s="234">
        <f>'ADJ DETAIL-INPUT'!E70</f>
        <v>-147016</v>
      </c>
      <c r="F69" s="234">
        <f t="shared" si="0"/>
        <v>-6922.1469999999972</v>
      </c>
      <c r="G69" s="446">
        <f>'ADJ DETAIL-INPUT'!BG70</f>
        <v>-153938.147</v>
      </c>
      <c r="H69" s="234"/>
      <c r="I69" s="238">
        <f>G69+H69</f>
        <v>-153938.147</v>
      </c>
    </row>
    <row r="70" spans="1:9">
      <c r="A70" s="23">
        <v>41</v>
      </c>
      <c r="B70" s="22"/>
      <c r="C70" s="22" t="s">
        <v>199</v>
      </c>
      <c r="D70" s="22"/>
      <c r="E70" s="234">
        <f>'ADJ DETAIL-INPUT'!E71</f>
        <v>-358989</v>
      </c>
      <c r="F70" s="234">
        <f>G70-E70</f>
        <v>-2913.3606144054211</v>
      </c>
      <c r="G70" s="446">
        <f>'ADJ DETAIL-INPUT'!BG71</f>
        <v>-361902.36061440542</v>
      </c>
      <c r="H70" s="234"/>
      <c r="I70" s="238">
        <f>G70+H70</f>
        <v>-361902.36061440542</v>
      </c>
    </row>
    <row r="71" spans="1:9">
      <c r="A71" s="23">
        <v>42</v>
      </c>
      <c r="B71" s="22"/>
      <c r="C71" s="22" t="s">
        <v>216</v>
      </c>
      <c r="D71" s="22"/>
      <c r="E71" s="234">
        <f>'ADJ DETAIL-INPUT'!E72</f>
        <v>-92865</v>
      </c>
      <c r="F71" s="236">
        <f>G71-E71</f>
        <v>-52.637133818381699</v>
      </c>
      <c r="G71" s="446">
        <f>'ADJ DETAIL-INPUT'!BG72</f>
        <v>-92917.637133818382</v>
      </c>
      <c r="H71" s="236"/>
      <c r="I71" s="238">
        <f>G71+H71</f>
        <v>-92917.637133818382</v>
      </c>
    </row>
    <row r="72" spans="1:9">
      <c r="A72" s="23">
        <v>43</v>
      </c>
      <c r="B72" s="22" t="s">
        <v>266</v>
      </c>
      <c r="C72" s="22"/>
      <c r="D72" s="22"/>
      <c r="E72" s="263">
        <f>SUM(E67:E71)</f>
        <v>-1038385</v>
      </c>
      <c r="F72" s="263">
        <f>SUM(F67:F71)</f>
        <v>-37555.144007155912</v>
      </c>
      <c r="G72" s="263">
        <f>SUM(G67:G71)</f>
        <v>-1075940.1440071559</v>
      </c>
      <c r="H72" s="263">
        <f>SUM(H67:H71)</f>
        <v>0</v>
      </c>
      <c r="I72" s="263">
        <f>SUM(I67:I71)</f>
        <v>-1075940.1440071559</v>
      </c>
    </row>
    <row r="73" spans="1:9">
      <c r="A73" s="23">
        <v>44</v>
      </c>
      <c r="B73" s="22" t="s">
        <v>552</v>
      </c>
      <c r="C73" s="22"/>
      <c r="D73" s="21"/>
      <c r="E73" s="238">
        <f>E65+E72</f>
        <v>2086740</v>
      </c>
      <c r="F73" s="238">
        <f>F65+F72</f>
        <v>-23625.807620844433</v>
      </c>
      <c r="G73" s="446">
        <f>G65+G72</f>
        <v>2063114.1923791559</v>
      </c>
      <c r="H73" s="238">
        <f>H65+H72</f>
        <v>0</v>
      </c>
      <c r="I73" s="238">
        <f>I65+I72</f>
        <v>2063114.1923791559</v>
      </c>
    </row>
    <row r="74" spans="1:9" ht="5.25" customHeight="1">
      <c r="A74" s="23"/>
      <c r="B74" s="22"/>
      <c r="C74" s="22"/>
      <c r="E74" s="334"/>
      <c r="F74" s="334"/>
      <c r="G74" s="334"/>
      <c r="H74" s="334"/>
      <c r="I74" s="334"/>
    </row>
    <row r="75" spans="1:9">
      <c r="A75" s="24">
        <v>45</v>
      </c>
      <c r="B75" s="22" t="s">
        <v>219</v>
      </c>
      <c r="C75" s="22"/>
      <c r="D75" s="22"/>
      <c r="E75" s="236">
        <f>'ADJ DETAIL-INPUT'!E76</f>
        <v>-418971</v>
      </c>
      <c r="F75" s="236">
        <f>G75-E75</f>
        <v>-30352.168292770279</v>
      </c>
      <c r="G75" s="444">
        <f>'ADJ DETAIL-INPUT'!BG76</f>
        <v>-449323.16829277028</v>
      </c>
      <c r="H75" s="294"/>
      <c r="I75" s="236">
        <f>G75+H75</f>
        <v>-449323.16829277028</v>
      </c>
    </row>
    <row r="76" spans="1:9">
      <c r="A76" s="24">
        <v>46</v>
      </c>
      <c r="B76" s="22"/>
      <c r="C76" s="22" t="s">
        <v>551</v>
      </c>
      <c r="D76" s="22"/>
      <c r="E76" s="238">
        <f>SUM(E73:E75)</f>
        <v>1667769</v>
      </c>
      <c r="F76" s="238">
        <f>SUM(F73:F75)</f>
        <v>-53977.975913614711</v>
      </c>
      <c r="G76" s="446">
        <f>SUM(G73:G75)</f>
        <v>1613791.0240863855</v>
      </c>
      <c r="H76" s="238">
        <f>SUM(H73:H75)</f>
        <v>0</v>
      </c>
      <c r="I76" s="446">
        <f>G76+H76</f>
        <v>1613791.0240863855</v>
      </c>
    </row>
    <row r="77" spans="1:9">
      <c r="A77" s="23">
        <v>47</v>
      </c>
      <c r="B77" s="22" t="s">
        <v>268</v>
      </c>
      <c r="C77" s="22"/>
      <c r="E77" s="234">
        <f>'ADJ DETAIL-INPUT'!E78</f>
        <v>-2096</v>
      </c>
      <c r="F77" s="234">
        <f>G77-E77</f>
        <v>-5213.1127130142186</v>
      </c>
      <c r="G77" s="446">
        <f>'ADJ DETAIL-INPUT'!BG78</f>
        <v>-7309.1127130142186</v>
      </c>
      <c r="I77" s="238">
        <f>G77+H77</f>
        <v>-7309.1127130142186</v>
      </c>
    </row>
    <row r="78" spans="1:9">
      <c r="A78" s="23">
        <v>48</v>
      </c>
      <c r="B78" s="22" t="s">
        <v>255</v>
      </c>
      <c r="C78" s="22"/>
      <c r="E78" s="236">
        <f>'ADJ DETAIL-INPUT'!E79</f>
        <v>44462</v>
      </c>
      <c r="F78" s="236">
        <f>G78-E78</f>
        <v>-3752</v>
      </c>
      <c r="G78" s="444">
        <f>'ADJ DETAIL-INPUT'!BG79</f>
        <v>40710</v>
      </c>
      <c r="H78" s="294"/>
      <c r="I78" s="236">
        <f>G78+H78</f>
        <v>40710</v>
      </c>
    </row>
    <row r="79" spans="1:9" ht="2.25" customHeight="1">
      <c r="A79" s="24">
        <v>49</v>
      </c>
      <c r="B79" s="22"/>
      <c r="C79" s="22"/>
      <c r="D79" s="22"/>
    </row>
    <row r="80" spans="1:9" ht="13.5" thickBot="1">
      <c r="A80" s="20">
        <v>50</v>
      </c>
      <c r="B80" s="21" t="s">
        <v>220</v>
      </c>
      <c r="C80" s="21"/>
      <c r="D80" s="21"/>
      <c r="E80" s="337">
        <f>SUM(E76:E78)</f>
        <v>1710135</v>
      </c>
      <c r="F80" s="337">
        <f>SUM(F76:F78)</f>
        <v>-62943.088626628931</v>
      </c>
      <c r="G80" s="337">
        <f>SUM(G76:G78)</f>
        <v>1647191.9113733713</v>
      </c>
      <c r="H80" s="337">
        <f>SUM(H76:H78)</f>
        <v>0</v>
      </c>
      <c r="I80" s="337">
        <f>SUM(I76:I78)</f>
        <v>1647191.9113733713</v>
      </c>
    </row>
    <row r="81" spans="1:9" ht="13.5" thickTop="1">
      <c r="A81" s="20">
        <v>51</v>
      </c>
      <c r="B81" s="2" t="s">
        <v>623</v>
      </c>
      <c r="E81" s="261">
        <f>ROUND(E56/E80,4)</f>
        <v>6.7299999999999999E-2</v>
      </c>
      <c r="G81" s="261">
        <f>ROUND(G56/G80,4)</f>
        <v>6.3399999999999998E-2</v>
      </c>
      <c r="I81" s="261">
        <f>ROUND(I56/I80,4)</f>
        <v>7.0199999999999999E-2</v>
      </c>
    </row>
    <row r="82" spans="1:9" ht="6.75" customHeight="1">
      <c r="A82" s="921"/>
      <c r="B82" s="921"/>
      <c r="C82" s="921"/>
      <c r="D82" s="921"/>
      <c r="E82" s="921"/>
      <c r="F82" s="921"/>
      <c r="G82" s="921"/>
      <c r="H82" s="921"/>
      <c r="I82" s="921"/>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62F4CE"/>
    <pageSetUpPr fitToPage="1"/>
  </sheetPr>
  <dimension ref="A1:AV47"/>
  <sheetViews>
    <sheetView zoomScaleNormal="100" zoomScaleSheetLayoutView="115" workbookViewId="0">
      <selection sqref="A1:F1"/>
    </sheetView>
  </sheetViews>
  <sheetFormatPr defaultColWidth="9.140625" defaultRowHeight="14.25" customHeight="1"/>
  <cols>
    <col min="1" max="1" width="5.140625" style="642" bestFit="1" customWidth="1"/>
    <col min="2" max="2" width="1.5703125" style="642" customWidth="1"/>
    <col min="3" max="3" width="46.42578125" style="642" customWidth="1"/>
    <col min="4" max="4" width="3" style="642" customWidth="1"/>
    <col min="5" max="5" width="20.140625" style="642" customWidth="1"/>
    <col min="6" max="6" width="4.5703125" style="642" hidden="1" customWidth="1"/>
    <col min="7" max="7" width="5.42578125" style="642" customWidth="1"/>
    <col min="8" max="8" width="6.85546875" style="577" customWidth="1"/>
    <col min="9" max="9" width="14.140625" style="577" customWidth="1"/>
    <col min="10" max="10" width="12.85546875" style="577" customWidth="1"/>
    <col min="11" max="11" width="15.140625" style="611" customWidth="1"/>
    <col min="12" max="12" width="14.140625" style="577" customWidth="1"/>
    <col min="13" max="13" width="14.5703125" style="577" customWidth="1"/>
    <col min="14" max="14" width="8.5703125" style="577" hidden="1" customWidth="1"/>
    <col min="15" max="15" width="14.5703125" style="577" hidden="1" customWidth="1"/>
    <col min="16" max="16" width="9.140625" style="577" hidden="1" customWidth="1"/>
    <col min="17" max="17" width="10.42578125" style="577" hidden="1" customWidth="1"/>
    <col min="18" max="19" width="9.5703125" style="577" hidden="1" customWidth="1"/>
    <col min="20" max="20" width="11.42578125" style="577" hidden="1" customWidth="1"/>
    <col min="21" max="21" width="10.42578125" style="577" hidden="1" customWidth="1"/>
    <col min="22" max="22" width="9.140625" style="577" hidden="1" customWidth="1"/>
    <col min="23" max="23" width="17" style="577" hidden="1" customWidth="1"/>
    <col min="24" max="24" width="18" style="577" customWidth="1"/>
    <col min="25" max="25" width="17" style="577" customWidth="1"/>
    <col min="26" max="26" width="15.85546875" style="577" customWidth="1"/>
    <col min="27" max="31" width="9.140625" style="577"/>
    <col min="32" max="32" width="11.42578125" style="577" customWidth="1"/>
    <col min="33" max="16384" width="9.140625" style="577"/>
  </cols>
  <sheetData>
    <row r="1" spans="1:48" ht="19.5" customHeight="1">
      <c r="A1" s="933" t="s">
        <v>858</v>
      </c>
      <c r="B1" s="933"/>
      <c r="C1" s="933"/>
      <c r="D1" s="933"/>
      <c r="E1" s="933"/>
      <c r="F1" s="933"/>
      <c r="G1" s="576"/>
      <c r="H1" s="924" t="s">
        <v>858</v>
      </c>
      <c r="I1" s="925"/>
      <c r="J1" s="925"/>
      <c r="K1" s="925"/>
      <c r="L1" s="926"/>
      <c r="M1" s="578"/>
    </row>
    <row r="2" spans="1:48" ht="14.25" customHeight="1">
      <c r="A2" s="933" t="s">
        <v>682</v>
      </c>
      <c r="B2" s="933"/>
      <c r="C2" s="933"/>
      <c r="D2" s="933"/>
      <c r="E2" s="933"/>
      <c r="F2" s="933"/>
      <c r="G2" s="578"/>
      <c r="H2" s="927" t="s">
        <v>620</v>
      </c>
      <c r="I2" s="928"/>
      <c r="J2" s="928"/>
      <c r="K2" s="928"/>
      <c r="L2" s="929"/>
      <c r="M2" s="579"/>
    </row>
    <row r="3" spans="1:48" ht="14.25" customHeight="1">
      <c r="A3" s="933" t="s">
        <v>240</v>
      </c>
      <c r="B3" s="933"/>
      <c r="C3" s="933"/>
      <c r="D3" s="933"/>
      <c r="E3" s="933"/>
      <c r="F3" s="933"/>
      <c r="G3" s="578"/>
      <c r="H3" s="927" t="s">
        <v>240</v>
      </c>
      <c r="I3" s="928"/>
      <c r="J3" s="928"/>
      <c r="K3" s="928"/>
      <c r="L3" s="929"/>
      <c r="M3" s="579"/>
      <c r="AM3" s="580"/>
    </row>
    <row r="4" spans="1:48" ht="14.25" customHeight="1">
      <c r="A4" s="933" t="str">
        <f>'ADJ DETAIL-INPUT'!A4</f>
        <v>TWELVE MONTHS ENDED DECEMBER 31, 2019</v>
      </c>
      <c r="B4" s="933"/>
      <c r="C4" s="933"/>
      <c r="D4" s="933"/>
      <c r="E4" s="933"/>
      <c r="F4" s="933"/>
      <c r="G4" s="578"/>
      <c r="H4" s="930"/>
      <c r="I4" s="931"/>
      <c r="J4" s="931"/>
      <c r="K4" s="931"/>
      <c r="L4" s="932"/>
      <c r="M4" s="581"/>
    </row>
    <row r="5" spans="1:48" ht="14.25" customHeight="1" thickBot="1">
      <c r="A5" s="579"/>
      <c r="B5" s="579"/>
      <c r="C5" s="579"/>
      <c r="D5" s="579"/>
      <c r="E5" s="579"/>
      <c r="F5" s="579"/>
      <c r="G5" s="578"/>
      <c r="H5" s="571"/>
      <c r="I5" s="572"/>
      <c r="J5" s="572"/>
      <c r="K5" s="572"/>
      <c r="L5" s="573"/>
      <c r="M5" s="581"/>
    </row>
    <row r="6" spans="1:48" ht="14.25" customHeight="1">
      <c r="A6" s="578"/>
      <c r="B6" s="578"/>
      <c r="C6" s="578"/>
      <c r="D6" s="578"/>
      <c r="E6" s="582" t="s">
        <v>676</v>
      </c>
      <c r="F6" s="578"/>
      <c r="G6" s="583"/>
      <c r="H6" s="483" t="s">
        <v>709</v>
      </c>
      <c r="I6" s="484"/>
      <c r="J6" s="484"/>
      <c r="K6" s="484"/>
      <c r="L6" s="485"/>
      <c r="M6" s="572"/>
      <c r="R6" s="580" t="s">
        <v>618</v>
      </c>
      <c r="W6" s="584"/>
      <c r="X6" s="584"/>
      <c r="Y6" s="584"/>
      <c r="AP6" s="580"/>
    </row>
    <row r="7" spans="1:48" ht="14.25" customHeight="1">
      <c r="A7" s="579"/>
      <c r="B7" s="579"/>
      <c r="C7" s="923"/>
      <c r="D7" s="923"/>
      <c r="E7" s="582" t="s">
        <v>671</v>
      </c>
      <c r="F7" s="579"/>
      <c r="G7" s="682"/>
      <c r="H7" s="486"/>
      <c r="I7" s="487"/>
      <c r="J7" s="569"/>
      <c r="K7" s="488"/>
      <c r="L7" s="570"/>
      <c r="M7" s="572"/>
      <c r="R7" s="580"/>
      <c r="W7" s="584"/>
      <c r="X7" s="584"/>
      <c r="Y7" s="584"/>
      <c r="AP7" s="580"/>
    </row>
    <row r="8" spans="1:48" ht="14.25" customHeight="1">
      <c r="A8" s="579"/>
      <c r="B8" s="579"/>
      <c r="C8" s="579"/>
      <c r="D8" s="579"/>
      <c r="E8" s="585">
        <v>44470</v>
      </c>
      <c r="F8" s="586"/>
      <c r="G8" s="587"/>
      <c r="H8" s="486"/>
      <c r="I8" s="489"/>
      <c r="J8" s="569" t="s">
        <v>122</v>
      </c>
      <c r="K8" s="569"/>
      <c r="L8" s="570" t="s">
        <v>123</v>
      </c>
      <c r="M8" s="572"/>
      <c r="R8" s="580"/>
      <c r="W8" s="584"/>
      <c r="X8" s="584"/>
      <c r="Y8" s="584"/>
      <c r="AP8" s="580"/>
    </row>
    <row r="9" spans="1:48" ht="18" customHeight="1">
      <c r="A9" s="579" t="s">
        <v>120</v>
      </c>
      <c r="B9" s="579"/>
      <c r="C9" s="579"/>
      <c r="D9" s="579"/>
      <c r="E9" s="582" t="s">
        <v>121</v>
      </c>
      <c r="F9" s="579" t="s">
        <v>121</v>
      </c>
      <c r="G9" s="682"/>
      <c r="H9" s="486"/>
      <c r="I9" s="490" t="s">
        <v>125</v>
      </c>
      <c r="J9" s="490" t="s">
        <v>127</v>
      </c>
      <c r="K9" s="490" t="s">
        <v>128</v>
      </c>
      <c r="L9" s="491" t="s">
        <v>128</v>
      </c>
      <c r="M9" s="588"/>
      <c r="W9" s="584"/>
      <c r="X9" s="590"/>
      <c r="Y9" s="590"/>
      <c r="Z9" s="590"/>
      <c r="AA9" s="590"/>
      <c r="AB9" s="590"/>
      <c r="AV9" s="580"/>
    </row>
    <row r="10" spans="1:48" ht="14.25" customHeight="1">
      <c r="A10" s="586" t="s">
        <v>21</v>
      </c>
      <c r="B10" s="579"/>
      <c r="C10" s="586" t="s">
        <v>80</v>
      </c>
      <c r="D10" s="581"/>
      <c r="E10" s="589" t="s">
        <v>124</v>
      </c>
      <c r="F10" s="586" t="s">
        <v>124</v>
      </c>
      <c r="G10" s="682"/>
      <c r="H10" s="486"/>
      <c r="I10" s="487"/>
      <c r="J10" s="487"/>
      <c r="K10" s="488"/>
      <c r="L10" s="492"/>
      <c r="M10" s="588"/>
      <c r="X10" s="590"/>
      <c r="Y10" s="590"/>
      <c r="Z10" s="590"/>
      <c r="AA10" s="590"/>
      <c r="AB10" s="590"/>
    </row>
    <row r="11" spans="1:48" ht="14.25" customHeight="1">
      <c r="A11" s="577"/>
      <c r="B11" s="577"/>
      <c r="C11" s="577"/>
      <c r="D11" s="577"/>
      <c r="E11" s="577"/>
      <c r="F11" s="577"/>
      <c r="G11" s="590"/>
      <c r="H11" s="486"/>
      <c r="I11" s="489" t="s">
        <v>18</v>
      </c>
      <c r="J11" s="493">
        <f>+'Exh. No. BGM-3 (1)'!AK10</f>
        <v>0.51500000000000001</v>
      </c>
      <c r="K11" s="742">
        <f>+'Exh. No. BGM-3 (1)'!AL10</f>
        <v>4.7500000000000001E-2</v>
      </c>
      <c r="L11" s="495">
        <f>ROUND(J11*K11,4)</f>
        <v>2.4500000000000001E-2</v>
      </c>
      <c r="M11" s="591" t="s">
        <v>227</v>
      </c>
      <c r="O11" s="592" t="s">
        <v>234</v>
      </c>
      <c r="P11" s="593"/>
      <c r="Q11" s="594" t="s">
        <v>142</v>
      </c>
      <c r="R11" s="595"/>
      <c r="S11" s="579" t="s">
        <v>141</v>
      </c>
      <c r="X11" s="860"/>
      <c r="Y11" s="860"/>
      <c r="Z11" s="861"/>
      <c r="AA11" s="590"/>
      <c r="AB11" s="590"/>
    </row>
    <row r="12" spans="1:48" ht="14.25" customHeight="1">
      <c r="A12" s="596">
        <v>1</v>
      </c>
      <c r="B12" s="577"/>
      <c r="C12" s="577" t="s">
        <v>180</v>
      </c>
      <c r="D12" s="577"/>
      <c r="E12" s="597">
        <f>'ADJ DETAIL-INPUT'!BG81</f>
        <v>1647191.9113733713</v>
      </c>
      <c r="F12" s="597" t="e">
        <f>'ADJ DETAIL-INPUT'!#REF!</f>
        <v>#REF!</v>
      </c>
      <c r="G12" s="598"/>
      <c r="H12" s="486"/>
      <c r="I12" s="489"/>
      <c r="J12" s="493"/>
      <c r="K12" s="494"/>
      <c r="L12" s="495"/>
      <c r="M12" s="600">
        <f>SUM(L11:L12)</f>
        <v>2.4500000000000001E-2</v>
      </c>
      <c r="O12" s="601" t="s">
        <v>235</v>
      </c>
      <c r="P12" s="581"/>
      <c r="Q12" s="579" t="s">
        <v>122</v>
      </c>
      <c r="R12" s="579" t="s">
        <v>141</v>
      </c>
      <c r="S12" s="579" t="s">
        <v>123</v>
      </c>
      <c r="X12" s="860"/>
      <c r="Y12" s="860"/>
      <c r="Z12" s="861"/>
      <c r="AA12" s="590"/>
      <c r="AB12" s="590"/>
    </row>
    <row r="13" spans="1:48" ht="14.25" customHeight="1">
      <c r="A13" s="596"/>
      <c r="B13" s="577"/>
      <c r="C13" s="577"/>
      <c r="D13" s="577"/>
      <c r="E13" s="599"/>
      <c r="F13" s="599"/>
      <c r="G13" s="602"/>
      <c r="H13" s="486"/>
      <c r="I13" s="489" t="s">
        <v>11</v>
      </c>
      <c r="J13" s="493">
        <f>+'Exh. No. BGM-3 (1)'!AK11</f>
        <v>0.48499999999999999</v>
      </c>
      <c r="K13" s="742">
        <f>+'Exh. No. BGM-3 (1)'!AL11</f>
        <v>9.4E-2</v>
      </c>
      <c r="L13" s="495">
        <f>ROUND(J13*K13,4)</f>
        <v>4.5600000000000002E-2</v>
      </c>
      <c r="O13" s="586" t="s">
        <v>125</v>
      </c>
      <c r="P13" s="581"/>
      <c r="Q13" s="586" t="s">
        <v>127</v>
      </c>
      <c r="R13" s="586" t="s">
        <v>128</v>
      </c>
      <c r="S13" s="586" t="s">
        <v>128</v>
      </c>
      <c r="X13" s="860"/>
      <c r="Y13" s="862"/>
      <c r="Z13" s="861"/>
      <c r="AA13" s="590"/>
      <c r="AB13" s="590"/>
    </row>
    <row r="14" spans="1:48" ht="14.25" customHeight="1">
      <c r="A14" s="596">
        <v>2</v>
      </c>
      <c r="B14" s="577"/>
      <c r="C14" s="577" t="s">
        <v>130</v>
      </c>
      <c r="D14" s="577"/>
      <c r="E14" s="603">
        <f>$L$15</f>
        <v>7.0099999999999996E-2</v>
      </c>
      <c r="F14" s="604"/>
      <c r="G14" s="605"/>
      <c r="H14" s="486"/>
      <c r="I14" s="489"/>
      <c r="J14" s="496"/>
      <c r="K14" s="497"/>
      <c r="L14" s="495"/>
      <c r="O14" s="595"/>
      <c r="P14" s="593"/>
      <c r="Q14" s="595"/>
      <c r="R14" s="595"/>
      <c r="S14" s="595"/>
      <c r="X14" s="590"/>
      <c r="Y14" s="590"/>
      <c r="Z14" s="590"/>
      <c r="AA14" s="590"/>
      <c r="AB14" s="590"/>
    </row>
    <row r="15" spans="1:48" ht="14.25" customHeight="1" thickBot="1">
      <c r="A15" s="596"/>
      <c r="B15" s="577"/>
      <c r="C15" s="577"/>
      <c r="D15" s="577"/>
      <c r="E15" s="604"/>
      <c r="F15" s="604"/>
      <c r="G15" s="604"/>
      <c r="H15" s="486"/>
      <c r="I15" s="489" t="s">
        <v>135</v>
      </c>
      <c r="J15" s="498">
        <f>SUM(J11:J13)</f>
        <v>1</v>
      </c>
      <c r="K15" s="497"/>
      <c r="L15" s="499">
        <f>SUM(L11:L13)</f>
        <v>7.0099999999999996E-2</v>
      </c>
      <c r="M15" s="590"/>
      <c r="O15" s="577" t="s">
        <v>129</v>
      </c>
      <c r="P15" s="602"/>
      <c r="Q15" s="606">
        <v>0.4415</v>
      </c>
      <c r="R15" s="606">
        <v>7.7499999999999999E-2</v>
      </c>
      <c r="S15" s="606">
        <f>ROUND(Q15*R15,4)</f>
        <v>3.4200000000000001E-2</v>
      </c>
    </row>
    <row r="16" spans="1:48" ht="14.25" customHeight="1" thickTop="1" thickBot="1">
      <c r="A16" s="596">
        <v>3</v>
      </c>
      <c r="B16" s="577"/>
      <c r="C16" s="577" t="s">
        <v>131</v>
      </c>
      <c r="D16" s="577"/>
      <c r="E16" s="607">
        <f>ROUND(E12*E14,4)</f>
        <v>115468.15300000001</v>
      </c>
      <c r="F16" s="607" t="e">
        <f>ROUND(F12*F14,4)</f>
        <v>#REF!</v>
      </c>
      <c r="G16" s="608"/>
      <c r="H16" s="500"/>
      <c r="I16" s="501"/>
      <c r="J16" s="502"/>
      <c r="K16" s="503"/>
      <c r="L16" s="504"/>
      <c r="M16" s="588"/>
      <c r="P16" s="609"/>
      <c r="Q16" s="606"/>
      <c r="R16" s="606"/>
      <c r="S16" s="606"/>
    </row>
    <row r="17" spans="1:27" ht="14.25" customHeight="1">
      <c r="A17" s="596"/>
      <c r="B17" s="577"/>
      <c r="C17" s="577"/>
      <c r="D17" s="577"/>
      <c r="E17" s="599"/>
      <c r="F17" s="599"/>
      <c r="G17" s="602"/>
      <c r="H17" s="610"/>
      <c r="M17" s="588"/>
      <c r="O17" s="612" t="s">
        <v>132</v>
      </c>
      <c r="P17" s="613"/>
      <c r="Q17" s="614">
        <v>3.39E-2</v>
      </c>
      <c r="R17" s="614">
        <v>7.0800000000000002E-2</v>
      </c>
      <c r="S17" s="614">
        <f>ROUND(Q17*R17,4)</f>
        <v>2.3999999999999998E-3</v>
      </c>
    </row>
    <row r="18" spans="1:27" ht="14.25" customHeight="1">
      <c r="A18" s="596">
        <v>4</v>
      </c>
      <c r="B18" s="577"/>
      <c r="C18" s="577" t="s">
        <v>133</v>
      </c>
      <c r="D18" s="577"/>
      <c r="E18" s="615">
        <f>'ADJ DETAIL-INPUT'!BG57</f>
        <v>104358.7102859154</v>
      </c>
      <c r="F18" s="616" t="e">
        <f>'ADJ DETAIL-INPUT'!#REF!</f>
        <v>#REF!</v>
      </c>
      <c r="G18" s="617"/>
      <c r="J18" s="618"/>
      <c r="K18" s="618"/>
      <c r="M18" s="588"/>
      <c r="N18" s="618"/>
      <c r="P18" s="609"/>
      <c r="Q18" s="606"/>
      <c r="R18" s="606"/>
      <c r="S18" s="606"/>
      <c r="T18" s="619" t="s">
        <v>227</v>
      </c>
      <c r="U18" s="619" t="s">
        <v>228</v>
      </c>
      <c r="AA18" s="620"/>
    </row>
    <row r="19" spans="1:27" ht="14.25" customHeight="1">
      <c r="A19" s="596"/>
      <c r="B19" s="577"/>
      <c r="C19" s="577"/>
      <c r="D19" s="577"/>
      <c r="E19" s="577"/>
      <c r="F19" s="577"/>
      <c r="G19" s="584"/>
      <c r="M19" s="588"/>
      <c r="N19" s="621"/>
      <c r="P19" s="609"/>
      <c r="Q19" s="606"/>
      <c r="R19" s="606"/>
      <c r="S19" s="606"/>
      <c r="T19" s="622"/>
      <c r="U19" s="622"/>
    </row>
    <row r="20" spans="1:27" ht="14.25" customHeight="1">
      <c r="A20" s="596">
        <v>5</v>
      </c>
      <c r="B20" s="577"/>
      <c r="C20" s="577" t="s">
        <v>134</v>
      </c>
      <c r="D20" s="577"/>
      <c r="E20" s="599">
        <f>E16-E18</f>
        <v>11109.442714084609</v>
      </c>
      <c r="F20" s="599" t="e">
        <f>F16-F18</f>
        <v>#REF!</v>
      </c>
      <c r="G20" s="602"/>
      <c r="I20" s="584"/>
      <c r="J20" s="701"/>
      <c r="K20" s="704"/>
      <c r="L20" s="584"/>
      <c r="M20" s="584"/>
      <c r="N20" s="584"/>
      <c r="O20" s="584"/>
      <c r="P20" s="609"/>
      <c r="Q20" s="605"/>
      <c r="R20" s="605"/>
      <c r="S20" s="605"/>
      <c r="T20" s="584"/>
      <c r="U20" s="685"/>
      <c r="V20" s="584"/>
      <c r="W20" s="584"/>
      <c r="X20" s="584"/>
    </row>
    <row r="21" spans="1:27" ht="14.25" customHeight="1">
      <c r="A21" s="596"/>
      <c r="B21" s="577"/>
      <c r="C21" s="577"/>
      <c r="D21" s="577"/>
      <c r="E21" s="577"/>
      <c r="F21" s="577"/>
      <c r="G21" s="590"/>
      <c r="H21" s="590"/>
      <c r="I21" s="702"/>
      <c r="J21" s="701"/>
      <c r="K21" s="704"/>
      <c r="L21" s="584"/>
      <c r="M21" s="584"/>
      <c r="N21" s="584"/>
      <c r="O21" s="584"/>
      <c r="P21" s="609"/>
      <c r="Q21" s="605"/>
      <c r="R21" s="605"/>
      <c r="S21" s="605"/>
      <c r="T21" s="584"/>
      <c r="U21" s="584"/>
      <c r="V21" s="584"/>
      <c r="W21" s="584"/>
      <c r="X21" s="584"/>
      <c r="Y21" s="584"/>
      <c r="Z21" s="584"/>
    </row>
    <row r="22" spans="1:27" ht="14.25" customHeight="1">
      <c r="A22" s="596">
        <v>6</v>
      </c>
      <c r="B22" s="577"/>
      <c r="C22" s="577" t="s">
        <v>136</v>
      </c>
      <c r="D22" s="577"/>
      <c r="E22" s="624">
        <f>'CF '!E24</f>
        <v>0.75529400000000002</v>
      </c>
      <c r="F22" s="624">
        <f>'CF '!F24</f>
        <v>0</v>
      </c>
      <c r="G22" s="625"/>
      <c r="H22" s="590"/>
      <c r="I22" s="878"/>
      <c r="J22" s="879"/>
      <c r="K22" s="879"/>
      <c r="L22" s="880"/>
      <c r="M22" s="590"/>
      <c r="N22" s="590"/>
      <c r="O22" s="590"/>
      <c r="P22" s="632"/>
      <c r="Q22" s="524"/>
      <c r="R22" s="524"/>
      <c r="S22" s="524"/>
      <c r="T22" s="590"/>
      <c r="U22" s="590"/>
      <c r="V22" s="590"/>
      <c r="W22" s="590"/>
      <c r="X22" s="590"/>
      <c r="Y22" s="590"/>
      <c r="Z22" s="584"/>
    </row>
    <row r="23" spans="1:27" ht="13.5" customHeight="1" thickBot="1">
      <c r="A23" s="596"/>
      <c r="B23" s="577"/>
      <c r="C23" s="577"/>
      <c r="D23" s="577"/>
      <c r="E23" s="627"/>
      <c r="F23" s="627">
        <v>2017</v>
      </c>
      <c r="G23" s="628"/>
      <c r="H23" s="590"/>
      <c r="I23" s="878"/>
      <c r="J23" s="879"/>
      <c r="K23" s="879"/>
      <c r="L23" s="852"/>
      <c r="M23" s="590"/>
      <c r="N23" s="590"/>
      <c r="O23" s="590"/>
      <c r="P23" s="632"/>
      <c r="Q23" s="524"/>
      <c r="R23" s="524"/>
      <c r="S23" s="524"/>
      <c r="T23" s="590"/>
      <c r="U23" s="590"/>
      <c r="V23" s="590"/>
      <c r="W23" s="590"/>
      <c r="X23" s="590"/>
      <c r="Y23" s="590"/>
      <c r="Z23" s="584"/>
    </row>
    <row r="24" spans="1:27" ht="14.25" customHeight="1" thickBot="1">
      <c r="A24" s="596">
        <v>7</v>
      </c>
      <c r="B24" s="577"/>
      <c r="C24" s="577" t="s">
        <v>650</v>
      </c>
      <c r="D24" s="577"/>
      <c r="E24" s="629">
        <f>E20/E22</f>
        <v>14708.766009109842</v>
      </c>
      <c r="F24" s="630" t="e">
        <f>ROUND(F20/F22,0)</f>
        <v>#REF!</v>
      </c>
      <c r="G24" s="631"/>
      <c r="H24" s="590"/>
      <c r="I24" s="608"/>
      <c r="J24" s="631"/>
      <c r="K24" s="879"/>
      <c r="L24" s="631"/>
      <c r="M24" s="881"/>
      <c r="N24" s="590"/>
      <c r="O24" s="590"/>
      <c r="P24" s="632"/>
      <c r="Q24" s="635"/>
      <c r="R24" s="635"/>
      <c r="S24" s="524"/>
      <c r="T24" s="590"/>
      <c r="U24" s="590"/>
      <c r="V24" s="590"/>
      <c r="W24" s="590"/>
      <c r="X24" s="631"/>
      <c r="Y24" s="882"/>
      <c r="Z24" s="584"/>
    </row>
    <row r="25" spans="1:27" ht="14.25" customHeight="1">
      <c r="A25" s="596"/>
      <c r="B25" s="595"/>
      <c r="C25" s="577"/>
      <c r="D25" s="577"/>
      <c r="E25" s="599"/>
      <c r="F25" s="577"/>
      <c r="G25" s="632"/>
      <c r="H25" s="633"/>
      <c r="I25" s="608"/>
      <c r="J25" s="608"/>
      <c r="K25" s="634"/>
      <c r="L25" s="608"/>
      <c r="M25" s="634"/>
      <c r="N25" s="590"/>
      <c r="O25" s="590"/>
      <c r="P25" s="632"/>
      <c r="Q25" s="635"/>
      <c r="R25" s="635"/>
      <c r="S25" s="524"/>
      <c r="T25" s="590"/>
      <c r="U25" s="590"/>
      <c r="V25" s="590"/>
      <c r="W25" s="590"/>
      <c r="X25" s="608"/>
      <c r="Y25" s="590"/>
      <c r="Z25" s="584"/>
      <c r="AA25" s="620"/>
    </row>
    <row r="26" spans="1:27" ht="14.25" customHeight="1">
      <c r="A26" s="596">
        <v>8</v>
      </c>
      <c r="B26" s="595"/>
      <c r="C26" s="577" t="s">
        <v>651</v>
      </c>
      <c r="D26" s="577"/>
      <c r="E26" s="602">
        <f>'ADJ DETAIL-INPUT'!BG14+'ADJ DETAIL-INPUT'!BG15</f>
        <v>531722</v>
      </c>
      <c r="F26" s="602" t="e">
        <f>'ADJ DETAIL-INPUT'!#REF!+'ADJ DETAIL-INPUT'!#REF!</f>
        <v>#REF!</v>
      </c>
      <c r="G26" s="636"/>
      <c r="H26" s="590"/>
      <c r="I26" s="608"/>
      <c r="J26" s="608"/>
      <c r="K26" s="608"/>
      <c r="L26" s="608"/>
      <c r="M26" s="634"/>
      <c r="N26" s="590"/>
      <c r="O26" s="590"/>
      <c r="P26" s="632"/>
      <c r="Q26" s="635"/>
      <c r="R26" s="635"/>
      <c r="S26" s="524"/>
      <c r="T26" s="590"/>
      <c r="U26" s="590"/>
      <c r="V26" s="590"/>
      <c r="W26" s="590"/>
      <c r="X26" s="524"/>
      <c r="Y26" s="590"/>
      <c r="Z26" s="584"/>
    </row>
    <row r="27" spans="1:27" ht="14.25" customHeight="1">
      <c r="A27" s="596"/>
      <c r="B27" s="595"/>
      <c r="C27" s="577"/>
      <c r="D27" s="577"/>
      <c r="E27" s="577"/>
      <c r="F27" s="577"/>
      <c r="G27" s="637"/>
      <c r="H27" s="638"/>
      <c r="I27" s="852"/>
      <c r="J27" s="883"/>
      <c r="K27" s="884"/>
      <c r="L27" s="855"/>
      <c r="M27" s="856"/>
      <c r="N27" s="590"/>
      <c r="O27" s="590"/>
      <c r="P27" s="632"/>
      <c r="Q27" s="635"/>
      <c r="R27" s="635"/>
      <c r="S27" s="524"/>
      <c r="T27" s="590"/>
      <c r="U27" s="590"/>
      <c r="V27" s="590"/>
      <c r="W27" s="590"/>
      <c r="X27" s="590"/>
      <c r="Y27" s="590"/>
      <c r="Z27" s="584"/>
    </row>
    <row r="28" spans="1:27" ht="14.25" customHeight="1" thickBot="1">
      <c r="A28" s="596">
        <v>9</v>
      </c>
      <c r="B28" s="595"/>
      <c r="C28" s="577" t="s">
        <v>137</v>
      </c>
      <c r="D28" s="577"/>
      <c r="E28" s="639">
        <f>ROUND(E24/E26,4)</f>
        <v>2.7699999999999999E-2</v>
      </c>
      <c r="F28" s="639" t="e">
        <f>ROUND(F24/F26,4)</f>
        <v>#REF!</v>
      </c>
      <c r="G28" s="640"/>
      <c r="H28" s="588"/>
      <c r="I28" s="588"/>
      <c r="J28" s="853"/>
      <c r="K28" s="608"/>
      <c r="L28" s="852"/>
      <c r="M28" s="641"/>
      <c r="N28" s="590"/>
      <c r="O28" s="590"/>
      <c r="P28" s="608"/>
      <c r="Q28" s="524"/>
      <c r="R28" s="635"/>
      <c r="S28" s="524"/>
      <c r="T28" s="590"/>
      <c r="U28" s="590"/>
      <c r="V28" s="590"/>
      <c r="W28" s="590"/>
      <c r="X28" s="590"/>
      <c r="Y28" s="590"/>
      <c r="Z28" s="584"/>
    </row>
    <row r="29" spans="1:27" ht="14.25" customHeight="1" thickTop="1">
      <c r="E29" s="643"/>
      <c r="F29" s="643"/>
      <c r="G29" s="644"/>
      <c r="H29" s="588"/>
      <c r="I29" s="590"/>
      <c r="J29" s="854"/>
      <c r="K29" s="852"/>
      <c r="L29" s="645"/>
      <c r="M29" s="852"/>
      <c r="N29" s="590"/>
      <c r="O29" s="590"/>
      <c r="P29" s="590"/>
      <c r="Q29" s="590"/>
      <c r="R29" s="590"/>
      <c r="S29" s="590"/>
      <c r="T29" s="590"/>
      <c r="U29" s="590"/>
      <c r="V29" s="590"/>
      <c r="W29" s="590"/>
      <c r="X29" s="590"/>
      <c r="Y29" s="590"/>
      <c r="Z29" s="584"/>
    </row>
    <row r="30" spans="1:27" ht="14.25" customHeight="1">
      <c r="A30" s="596">
        <v>10</v>
      </c>
      <c r="B30" s="595"/>
      <c r="C30" s="577" t="s">
        <v>708</v>
      </c>
      <c r="D30" s="577"/>
      <c r="E30" s="608">
        <v>530123</v>
      </c>
      <c r="F30" s="602">
        <v>505346</v>
      </c>
      <c r="G30" s="608"/>
      <c r="H30" s="588"/>
      <c r="I30" s="645" t="s">
        <v>795</v>
      </c>
      <c r="J30" s="588"/>
      <c r="K30" s="641"/>
      <c r="L30" s="588"/>
      <c r="M30" s="641"/>
      <c r="N30" s="590"/>
      <c r="O30" s="590"/>
      <c r="P30" s="590"/>
      <c r="Q30" s="590"/>
      <c r="R30" s="590"/>
      <c r="S30" s="590"/>
      <c r="T30" s="590"/>
      <c r="U30" s="590"/>
      <c r="V30" s="590"/>
      <c r="W30" s="584"/>
      <c r="X30" s="584"/>
      <c r="Y30" s="584"/>
      <c r="Z30" s="584"/>
    </row>
    <row r="31" spans="1:27" ht="14.25" customHeight="1">
      <c r="A31" s="596"/>
      <c r="B31" s="595"/>
      <c r="C31" s="577"/>
      <c r="D31" s="577"/>
      <c r="E31" s="646"/>
      <c r="F31" s="577"/>
      <c r="G31" s="524"/>
      <c r="H31" s="588"/>
      <c r="I31" s="588"/>
      <c r="J31" s="647"/>
      <c r="K31" s="634"/>
      <c r="L31" s="647"/>
      <c r="M31" s="634"/>
      <c r="N31" s="590"/>
      <c r="O31" s="590"/>
      <c r="P31" s="590"/>
      <c r="Q31" s="590"/>
      <c r="R31" s="590"/>
      <c r="S31" s="590"/>
      <c r="T31" s="590"/>
      <c r="U31" s="590"/>
      <c r="V31" s="590"/>
      <c r="W31" s="584"/>
      <c r="X31" s="584"/>
      <c r="Y31" s="584"/>
      <c r="Z31" s="584"/>
    </row>
    <row r="32" spans="1:27" ht="14.25" customHeight="1" thickBot="1">
      <c r="A32" s="596">
        <v>11</v>
      </c>
      <c r="B32" s="595"/>
      <c r="C32" s="577" t="s">
        <v>137</v>
      </c>
      <c r="D32" s="577"/>
      <c r="E32" s="648">
        <f>ROUND(E24/E30,4)</f>
        <v>2.7699999999999999E-2</v>
      </c>
      <c r="F32" s="639" t="e">
        <f>ROUND(F24/F30,4)</f>
        <v>#REF!</v>
      </c>
      <c r="G32" s="640"/>
      <c r="H32" s="588"/>
      <c r="I32" s="590"/>
      <c r="J32" s="584"/>
      <c r="K32" s="623"/>
      <c r="L32" s="584"/>
      <c r="M32" s="584"/>
      <c r="N32" s="590"/>
      <c r="O32" s="590"/>
      <c r="P32" s="590"/>
      <c r="Q32" s="590"/>
      <c r="R32" s="590"/>
      <c r="S32" s="590"/>
      <c r="T32" s="590"/>
      <c r="U32" s="590"/>
      <c r="V32" s="590"/>
      <c r="W32" s="584"/>
      <c r="X32" s="584"/>
      <c r="Y32" s="584"/>
      <c r="Z32" s="584"/>
    </row>
    <row r="33" spans="1:26" ht="14.25" customHeight="1" thickTop="1">
      <c r="A33" s="643"/>
      <c r="B33" s="643"/>
      <c r="C33" s="643"/>
      <c r="D33" s="643"/>
      <c r="E33" s="649"/>
      <c r="F33" s="643"/>
      <c r="G33" s="643"/>
      <c r="H33" s="588"/>
      <c r="I33" s="590"/>
      <c r="J33" s="524"/>
      <c r="K33" s="623"/>
      <c r="L33" s="524"/>
      <c r="M33" s="590"/>
      <c r="N33" s="590"/>
      <c r="O33" s="590"/>
      <c r="P33" s="590"/>
      <c r="Q33" s="590"/>
      <c r="R33" s="590"/>
      <c r="S33" s="590"/>
      <c r="T33" s="590"/>
      <c r="U33" s="590"/>
      <c r="V33" s="590"/>
      <c r="W33" s="584"/>
      <c r="X33" s="584"/>
      <c r="Y33" s="584"/>
      <c r="Z33" s="584"/>
    </row>
    <row r="34" spans="1:26" ht="14.25" customHeight="1">
      <c r="H34" s="590"/>
      <c r="I34" s="590"/>
      <c r="J34" s="590"/>
      <c r="K34" s="626"/>
      <c r="L34" s="590"/>
      <c r="M34" s="590"/>
      <c r="N34" s="650"/>
      <c r="O34" s="590"/>
      <c r="P34" s="590"/>
      <c r="Q34" s="590"/>
      <c r="R34" s="590"/>
      <c r="S34" s="590"/>
      <c r="T34" s="590"/>
      <c r="U34" s="590"/>
      <c r="V34" s="590"/>
    </row>
    <row r="35" spans="1:26" ht="14.25" customHeight="1">
      <c r="H35" s="590"/>
      <c r="I35" s="590"/>
      <c r="J35" s="590"/>
      <c r="K35" s="626"/>
      <c r="L35" s="590"/>
      <c r="M35" s="590"/>
      <c r="N35" s="650"/>
      <c r="O35" s="590"/>
      <c r="P35" s="590"/>
      <c r="Q35" s="590"/>
      <c r="R35" s="590"/>
      <c r="S35" s="590"/>
      <c r="T35" s="590"/>
      <c r="U35" s="590"/>
      <c r="V35" s="590"/>
    </row>
    <row r="36" spans="1:26" ht="14.25" customHeight="1">
      <c r="H36" s="590"/>
      <c r="I36" s="590"/>
      <c r="J36" s="590"/>
      <c r="K36" s="626"/>
      <c r="L36" s="590"/>
      <c r="M36" s="590"/>
      <c r="N36" s="650"/>
      <c r="O36" s="590"/>
      <c r="P36" s="590"/>
      <c r="Q36" s="590"/>
      <c r="R36" s="590"/>
      <c r="S36" s="590"/>
      <c r="T36" s="590"/>
      <c r="U36" s="590"/>
      <c r="V36" s="590"/>
    </row>
    <row r="37" spans="1:26" ht="14.25" customHeight="1">
      <c r="H37" s="590"/>
      <c r="I37" s="590"/>
      <c r="J37" s="590"/>
      <c r="K37" s="626"/>
      <c r="L37" s="590"/>
      <c r="M37" s="590"/>
      <c r="N37" s="650"/>
      <c r="O37" s="590"/>
      <c r="P37" s="590"/>
      <c r="Q37" s="590"/>
      <c r="R37" s="590"/>
      <c r="S37" s="590"/>
      <c r="T37" s="590"/>
      <c r="U37" s="590"/>
      <c r="V37" s="590"/>
    </row>
    <row r="38" spans="1:26" ht="14.25" customHeight="1">
      <c r="H38" s="590"/>
      <c r="I38" s="590"/>
      <c r="J38" s="590"/>
      <c r="K38" s="626"/>
      <c r="L38" s="590"/>
      <c r="M38" s="590"/>
      <c r="N38" s="650"/>
      <c r="O38" s="590"/>
      <c r="P38" s="590"/>
      <c r="Q38" s="590"/>
      <c r="R38" s="590"/>
      <c r="S38" s="590"/>
      <c r="T38" s="590"/>
      <c r="U38" s="590"/>
      <c r="V38" s="590"/>
    </row>
    <row r="39" spans="1:26" ht="14.25" customHeight="1">
      <c r="H39" s="590"/>
      <c r="I39" s="590"/>
      <c r="J39" s="590"/>
      <c r="K39" s="626"/>
      <c r="L39" s="590"/>
      <c r="M39" s="590"/>
      <c r="N39" s="650"/>
      <c r="O39" s="590"/>
      <c r="P39" s="590"/>
      <c r="Q39" s="590"/>
      <c r="R39" s="590"/>
      <c r="S39" s="590"/>
      <c r="T39" s="590"/>
      <c r="U39" s="590"/>
      <c r="V39" s="590"/>
    </row>
    <row r="40" spans="1:26" ht="14.25" customHeight="1">
      <c r="H40" s="590"/>
      <c r="I40" s="590"/>
      <c r="J40" s="590"/>
      <c r="K40" s="626"/>
      <c r="L40" s="590"/>
      <c r="M40" s="590"/>
      <c r="N40" s="650"/>
      <c r="O40" s="590"/>
      <c r="P40" s="590"/>
      <c r="Q40" s="590"/>
      <c r="R40" s="590"/>
      <c r="S40" s="590"/>
      <c r="T40" s="590"/>
      <c r="U40" s="590"/>
      <c r="V40" s="590"/>
    </row>
    <row r="41" spans="1:26" ht="14.25" customHeight="1">
      <c r="H41" s="590"/>
      <c r="I41" s="590"/>
      <c r="J41" s="590"/>
      <c r="K41" s="626"/>
      <c r="L41" s="590"/>
      <c r="M41" s="590"/>
      <c r="N41" s="650"/>
      <c r="O41" s="590"/>
      <c r="P41" s="590"/>
      <c r="Q41" s="590"/>
      <c r="R41" s="590"/>
      <c r="S41" s="590"/>
      <c r="T41" s="590"/>
      <c r="U41" s="590"/>
      <c r="V41" s="590"/>
    </row>
    <row r="42" spans="1:26" ht="14.25" customHeight="1">
      <c r="H42" s="590"/>
      <c r="I42" s="590"/>
      <c r="J42" s="590"/>
      <c r="K42" s="626"/>
      <c r="L42" s="590"/>
      <c r="M42" s="590"/>
      <c r="N42" s="590"/>
      <c r="O42" s="590"/>
      <c r="P42" s="590"/>
      <c r="Q42" s="590"/>
      <c r="R42" s="590"/>
      <c r="S42" s="590"/>
      <c r="T42" s="590"/>
      <c r="U42" s="590"/>
      <c r="V42" s="590"/>
    </row>
    <row r="43" spans="1:26" ht="14.25" customHeight="1">
      <c r="H43" s="590"/>
      <c r="I43" s="590"/>
      <c r="J43" s="590"/>
      <c r="K43" s="626"/>
      <c r="L43" s="590"/>
      <c r="M43" s="590"/>
      <c r="N43" s="590"/>
      <c r="O43" s="590"/>
      <c r="P43" s="590"/>
      <c r="Q43" s="590"/>
      <c r="R43" s="590"/>
      <c r="S43" s="590"/>
      <c r="T43" s="590"/>
      <c r="U43" s="590"/>
      <c r="V43" s="590"/>
    </row>
    <row r="44" spans="1:26" ht="14.25" customHeight="1">
      <c r="M44" s="590"/>
      <c r="N44" s="590"/>
      <c r="O44" s="590"/>
      <c r="P44" s="590"/>
      <c r="Q44" s="590"/>
      <c r="R44" s="590"/>
      <c r="S44" s="590"/>
      <c r="T44" s="590"/>
      <c r="U44" s="590"/>
      <c r="V44" s="590"/>
    </row>
    <row r="45" spans="1:26" ht="14.25" customHeight="1">
      <c r="M45" s="590"/>
      <c r="N45" s="590"/>
      <c r="O45" s="590"/>
      <c r="P45" s="590"/>
      <c r="Q45" s="590"/>
      <c r="R45" s="590"/>
      <c r="S45" s="590"/>
      <c r="T45" s="590"/>
      <c r="U45" s="590"/>
      <c r="V45" s="590"/>
    </row>
    <row r="46" spans="1:26" ht="14.25" customHeight="1">
      <c r="E46" s="651"/>
    </row>
    <row r="47" spans="1:26" ht="14.25" customHeight="1">
      <c r="E47" s="651"/>
    </row>
  </sheetData>
  <mergeCells count="9">
    <mergeCell ref="C7:D7"/>
    <mergeCell ref="H1:L1"/>
    <mergeCell ref="H2:L2"/>
    <mergeCell ref="H3:L3"/>
    <mergeCell ref="H4:L4"/>
    <mergeCell ref="A2:F2"/>
    <mergeCell ref="A1:F1"/>
    <mergeCell ref="A3:F3"/>
    <mergeCell ref="A4:F4"/>
  </mergeCells>
  <phoneticPr fontId="0" type="noConversion"/>
  <pageMargins left="1.25" right="0.51" top="1.25" bottom="0.5" header="0.5" footer="0.5"/>
  <pageSetup firstPageNumber="4" orientation="portrait" r:id="rId1"/>
  <headerFooter scaleWithDoc="0" alignWithMargins="0"/>
  <colBreaks count="1" manualBreakCount="1">
    <brk id="5"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62F4CE"/>
    <pageSetUpPr fitToPage="1"/>
  </sheetPr>
  <dimension ref="A1:BI51"/>
  <sheetViews>
    <sheetView zoomScaleNormal="100" zoomScaleSheetLayoutView="130" workbookViewId="0"/>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858</v>
      </c>
      <c r="B1" s="98"/>
      <c r="C1" s="98"/>
      <c r="D1" s="98"/>
      <c r="E1" s="111"/>
      <c r="G1" s="99"/>
    </row>
    <row r="2" spans="1:52" ht="13.5" customHeight="1">
      <c r="A2" s="935" t="s">
        <v>179</v>
      </c>
      <c r="B2" s="935"/>
      <c r="C2" s="935"/>
      <c r="D2" s="935"/>
      <c r="E2" s="935"/>
      <c r="G2" s="99"/>
    </row>
    <row r="3" spans="1:52">
      <c r="A3" s="934" t="s">
        <v>240</v>
      </c>
      <c r="B3" s="934"/>
      <c r="C3" s="934"/>
      <c r="D3" s="934"/>
      <c r="E3" s="934"/>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934" t="str">
        <f>'RR SUMMARY'!A4:F4</f>
        <v>TWELVE MONTHS ENDED DECEMBER 31, 2019</v>
      </c>
      <c r="B4" s="934"/>
      <c r="C4" s="934"/>
      <c r="D4" s="934"/>
      <c r="E4" s="934"/>
      <c r="G4" s="99"/>
      <c r="J4" s="536"/>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6"/>
      <c r="E5" s="512"/>
      <c r="G5" s="99"/>
      <c r="J5" s="533" t="s">
        <v>181</v>
      </c>
      <c r="K5" s="532"/>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6" t="s">
        <v>120</v>
      </c>
      <c r="B6" s="546"/>
      <c r="C6" s="546"/>
      <c r="D6" s="546"/>
      <c r="E6" s="112"/>
      <c r="G6" s="100"/>
      <c r="J6" s="534" t="s">
        <v>171</v>
      </c>
      <c r="K6" s="532"/>
      <c r="L6" s="532"/>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621</v>
      </c>
    </row>
    <row r="7" spans="1:52" s="26" customFormat="1" ht="13.5">
      <c r="A7" s="101" t="s">
        <v>21</v>
      </c>
      <c r="B7" s="546"/>
      <c r="C7" s="101" t="s">
        <v>80</v>
      </c>
      <c r="D7" s="538"/>
      <c r="E7" s="113" t="s">
        <v>172</v>
      </c>
      <c r="G7" s="100"/>
      <c r="K7" s="532"/>
      <c r="L7" s="532"/>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7">
        <v>1</v>
      </c>
      <c r="C9" s="102" t="s">
        <v>32</v>
      </c>
      <c r="E9" s="114">
        <v>1</v>
      </c>
      <c r="J9" s="103">
        <f>'RR SUMMARY'!E24</f>
        <v>14708.766009109842</v>
      </c>
      <c r="K9" s="165"/>
      <c r="L9" s="27"/>
    </row>
    <row r="10" spans="1:52">
      <c r="A10" s="547"/>
      <c r="E10" s="114"/>
      <c r="J10" s="99"/>
      <c r="K10" s="105"/>
      <c r="L10" s="27"/>
    </row>
    <row r="11" spans="1:52">
      <c r="A11" s="547"/>
      <c r="C11" s="97" t="s">
        <v>173</v>
      </c>
      <c r="D11" s="386"/>
      <c r="E11" s="548"/>
      <c r="F11" s="96"/>
      <c r="J11" s="99"/>
      <c r="K11" s="105"/>
      <c r="L11" s="27"/>
    </row>
    <row r="12" spans="1:52">
      <c r="A12" s="547">
        <v>2</v>
      </c>
      <c r="C12" s="386" t="s">
        <v>174</v>
      </c>
      <c r="D12" s="528"/>
      <c r="E12" s="549">
        <v>3.3262885794710221E-3</v>
      </c>
      <c r="F12" s="526"/>
      <c r="J12" s="99">
        <f>ROUND($J$9*E12,0)</f>
        <v>49</v>
      </c>
      <c r="K12" s="105"/>
      <c r="L12" s="27"/>
    </row>
    <row r="13" spans="1:52">
      <c r="A13" s="547"/>
      <c r="C13" s="386"/>
      <c r="D13" s="386"/>
      <c r="E13" s="549"/>
      <c r="J13" s="99"/>
      <c r="K13" s="105"/>
      <c r="L13" s="27"/>
    </row>
    <row r="14" spans="1:52">
      <c r="A14" s="547">
        <v>3</v>
      </c>
      <c r="C14" s="386" t="s">
        <v>175</v>
      </c>
      <c r="D14" s="386"/>
      <c r="E14" s="549">
        <v>2E-3</v>
      </c>
      <c r="J14" s="99">
        <f>ROUND($J$9*E14,0)</f>
        <v>29</v>
      </c>
      <c r="K14" s="105"/>
      <c r="L14" s="27"/>
    </row>
    <row r="15" spans="1:52">
      <c r="A15" s="547"/>
      <c r="C15" s="386"/>
      <c r="D15" s="386"/>
      <c r="E15" s="549"/>
      <c r="J15" s="99"/>
      <c r="K15" s="105"/>
      <c r="L15" s="27"/>
      <c r="AP15" s="201"/>
    </row>
    <row r="16" spans="1:52">
      <c r="A16" s="547">
        <v>4</v>
      </c>
      <c r="C16" s="386" t="s">
        <v>176</v>
      </c>
      <c r="D16" s="528"/>
      <c r="E16" s="549">
        <v>3.8605159538162764E-2</v>
      </c>
      <c r="F16" s="527"/>
      <c r="J16" s="99">
        <f>ROUND($J$9*E16,0)</f>
        <v>568</v>
      </c>
      <c r="K16" s="105"/>
      <c r="L16" s="27"/>
    </row>
    <row r="17" spans="1:61">
      <c r="A17" s="547"/>
      <c r="C17" s="386"/>
      <c r="D17" s="386"/>
      <c r="E17" s="550"/>
      <c r="J17" s="99"/>
      <c r="K17" s="105"/>
      <c r="L17" s="27"/>
    </row>
    <row r="18" spans="1:61">
      <c r="A18" s="547">
        <v>6</v>
      </c>
      <c r="C18" s="386" t="s">
        <v>177</v>
      </c>
      <c r="D18" s="386"/>
      <c r="E18" s="116">
        <f>SUM(E12:E16)</f>
        <v>4.393144811763379E-2</v>
      </c>
      <c r="J18" s="104">
        <f>SUM(J12:J16)</f>
        <v>646</v>
      </c>
      <c r="K18" s="105"/>
      <c r="L18" s="27"/>
    </row>
    <row r="19" spans="1:61">
      <c r="C19" s="386"/>
      <c r="D19" s="386"/>
      <c r="E19" s="115"/>
      <c r="J19" s="99"/>
      <c r="K19" s="105"/>
      <c r="L19" s="529"/>
    </row>
    <row r="20" spans="1:61">
      <c r="A20" s="547">
        <v>7</v>
      </c>
      <c r="C20" s="386" t="s">
        <v>178</v>
      </c>
      <c r="D20" s="386"/>
      <c r="E20" s="115">
        <f>E9-E18</f>
        <v>0.95606855188236617</v>
      </c>
      <c r="J20" s="105">
        <f>J9-J18</f>
        <v>14062.766009109842</v>
      </c>
      <c r="K20" s="105"/>
      <c r="L20" s="27"/>
      <c r="AP20" s="201"/>
    </row>
    <row r="21" spans="1:61">
      <c r="C21" s="386"/>
      <c r="D21" s="386"/>
      <c r="E21" s="115"/>
      <c r="J21" s="105"/>
      <c r="K21" s="105"/>
      <c r="L21" s="27"/>
      <c r="BC21" s="25">
        <v>109</v>
      </c>
      <c r="BI21" s="25">
        <v>-2</v>
      </c>
    </row>
    <row r="22" spans="1:61">
      <c r="A22" s="516">
        <v>8</v>
      </c>
      <c r="B22" s="146"/>
      <c r="C22" s="550" t="s">
        <v>681</v>
      </c>
      <c r="D22" s="551"/>
      <c r="E22" s="552">
        <v>0.20077439589529689</v>
      </c>
      <c r="G22" s="99"/>
      <c r="J22" s="106">
        <f>ROUND(J20*0.21,0)</f>
        <v>2953</v>
      </c>
      <c r="K22" s="105"/>
      <c r="L22" s="27"/>
    </row>
    <row r="23" spans="1:61">
      <c r="A23" s="146"/>
      <c r="B23" s="146"/>
      <c r="C23" s="550"/>
      <c r="D23" s="550"/>
      <c r="E23" s="549"/>
      <c r="G23" s="99"/>
      <c r="K23" s="27"/>
      <c r="L23" s="115"/>
    </row>
    <row r="24" spans="1:61" ht="13.5" thickBot="1">
      <c r="A24" s="516">
        <v>9</v>
      </c>
      <c r="B24" s="146"/>
      <c r="C24" s="553" t="s">
        <v>179</v>
      </c>
      <c r="D24" s="550"/>
      <c r="E24" s="554">
        <f>ROUND(E20-E22,6)</f>
        <v>0.75529400000000002</v>
      </c>
      <c r="J24" s="132">
        <f>J20-J22</f>
        <v>11109.766009109842</v>
      </c>
      <c r="K24" s="105"/>
      <c r="L24" s="27"/>
    </row>
    <row r="25" spans="1:61" ht="13.5" thickTop="1">
      <c r="K25" s="27"/>
      <c r="L25" s="27"/>
      <c r="BG25" s="25">
        <v>622</v>
      </c>
    </row>
    <row r="26" spans="1:61">
      <c r="J26" s="139">
        <f>J24/E24</f>
        <v>14709.194047761324</v>
      </c>
      <c r="K26" s="535"/>
      <c r="L26" s="27"/>
    </row>
    <row r="28" spans="1:61">
      <c r="J28" s="139">
        <f>J26-'RR SUMMARY'!E24</f>
        <v>0.42803865148198383</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62F4CE"/>
  </sheetPr>
  <dimension ref="A1:BM98"/>
  <sheetViews>
    <sheetView zoomScaleNormal="100" zoomScaleSheetLayoutView="100" workbookViewId="0">
      <pane xSplit="4" ySplit="12" topLeftCell="E13" activePane="bottomRight" state="frozen"/>
      <selection pane="topRight"/>
      <selection pane="bottomLeft"/>
      <selection pane="bottomRight" activeCell="E13" sqref="E13"/>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05"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21"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21"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7" width="12.140625" style="435" customWidth="1"/>
    <col min="58" max="58" width="9" style="436" hidden="1" customWidth="1"/>
    <col min="59" max="59" width="16.140625" style="437" customWidth="1"/>
    <col min="60" max="16384" width="10.5703125" style="409"/>
  </cols>
  <sheetData>
    <row r="1" spans="1:59" ht="12.75" customHeight="1">
      <c r="D1" s="922"/>
      <c r="E1" s="922"/>
      <c r="F1" s="436"/>
      <c r="G1" s="436"/>
      <c r="H1" s="436"/>
      <c r="I1" s="436"/>
      <c r="J1" s="436"/>
      <c r="K1" s="436"/>
      <c r="L1" s="436"/>
      <c r="M1" s="436"/>
      <c r="N1" s="436"/>
      <c r="O1" s="436"/>
      <c r="P1" s="436"/>
      <c r="Q1" s="436"/>
      <c r="R1" s="436"/>
      <c r="AI1" s="757"/>
      <c r="AK1" s="705"/>
      <c r="AZ1" s="474"/>
    </row>
    <row r="2" spans="1:59" ht="18" customHeight="1">
      <c r="A2" s="574" t="s">
        <v>856</v>
      </c>
      <c r="D2" s="410"/>
      <c r="E2" s="563" t="s">
        <v>675</v>
      </c>
      <c r="F2" s="652" t="s">
        <v>791</v>
      </c>
      <c r="G2" s="434"/>
      <c r="H2" s="434"/>
      <c r="I2" s="434"/>
      <c r="J2" s="434"/>
      <c r="K2" s="438"/>
      <c r="L2" s="434"/>
      <c r="M2" s="434"/>
      <c r="N2" s="434"/>
      <c r="O2" s="434"/>
      <c r="P2" s="434"/>
      <c r="Q2" s="434"/>
      <c r="R2" s="434"/>
      <c r="S2" s="436"/>
      <c r="V2" s="706"/>
      <c r="W2" s="670"/>
      <c r="X2" s="436"/>
      <c r="Y2" s="436"/>
      <c r="Z2" s="661"/>
      <c r="AA2" s="673"/>
      <c r="AB2" s="736"/>
      <c r="AD2" s="434" t="s">
        <v>272</v>
      </c>
      <c r="AE2" s="434"/>
      <c r="AF2" s="434"/>
      <c r="AG2" s="703"/>
      <c r="AH2" s="703"/>
      <c r="AI2" s="758"/>
      <c r="AJ2" s="705"/>
      <c r="AK2" s="705"/>
      <c r="AL2" s="681"/>
      <c r="AM2" s="436"/>
      <c r="AN2" s="436"/>
      <c r="AO2" s="681"/>
      <c r="AP2" s="760"/>
      <c r="AQ2" s="436"/>
      <c r="AR2" s="436"/>
      <c r="AS2" s="436"/>
      <c r="AT2" s="436"/>
      <c r="AV2" s="770"/>
      <c r="AW2" s="769"/>
      <c r="AX2" s="753"/>
      <c r="AY2" s="661"/>
      <c r="AZ2" s="775"/>
      <c r="BA2" s="436"/>
      <c r="BB2" s="436"/>
      <c r="BC2" s="436"/>
      <c r="BD2" s="436"/>
      <c r="BE2" s="436"/>
      <c r="BF2" s="681"/>
      <c r="BG2" s="434"/>
    </row>
    <row r="3" spans="1:59" ht="14.25" customHeight="1">
      <c r="A3" s="574" t="s">
        <v>677</v>
      </c>
      <c r="D3" s="410"/>
      <c r="E3" s="564"/>
      <c r="G3" s="437"/>
      <c r="H3" s="673"/>
      <c r="I3" s="434"/>
      <c r="J3" s="434"/>
      <c r="K3" s="434"/>
      <c r="L3" s="434"/>
      <c r="M3" s="434"/>
      <c r="N3" s="434"/>
      <c r="O3" s="670"/>
      <c r="P3" s="434"/>
      <c r="Q3" s="674"/>
      <c r="R3" s="674"/>
      <c r="S3" s="436"/>
      <c r="T3" s="673"/>
      <c r="U3" s="673"/>
      <c r="V3" s="707"/>
      <c r="W3" s="670"/>
      <c r="X3" s="436"/>
      <c r="Y3" s="436"/>
      <c r="Z3" s="510"/>
      <c r="AA3" s="678"/>
      <c r="AB3" s="737"/>
      <c r="AG3" s="703"/>
      <c r="AH3" s="703"/>
      <c r="AI3" s="758"/>
      <c r="AJ3" s="707"/>
      <c r="AK3" s="707"/>
      <c r="AL3" s="674"/>
      <c r="AM3" s="510"/>
      <c r="AN3" s="510"/>
      <c r="AO3" s="761"/>
      <c r="AP3" s="760"/>
      <c r="AQ3" s="510"/>
      <c r="AR3" s="510"/>
      <c r="AS3" s="510"/>
      <c r="AT3" s="510"/>
      <c r="AU3" s="767"/>
      <c r="AV3" s="770"/>
      <c r="AW3" s="769"/>
      <c r="AX3" s="510"/>
      <c r="AY3" s="510"/>
      <c r="AZ3" s="438" t="s">
        <v>777</v>
      </c>
      <c r="BA3" s="759"/>
      <c r="BB3" s="759"/>
      <c r="BC3" s="759"/>
      <c r="BD3" s="759"/>
      <c r="BE3" s="759"/>
      <c r="BF3" s="674"/>
      <c r="BG3" s="510"/>
    </row>
    <row r="4" spans="1:59" ht="17.25" customHeight="1">
      <c r="A4" s="574" t="s">
        <v>735</v>
      </c>
      <c r="D4" s="410"/>
      <c r="E4" s="565"/>
      <c r="G4" s="436"/>
      <c r="H4" s="673"/>
      <c r="I4" s="436"/>
      <c r="J4" s="436"/>
      <c r="K4" s="474"/>
      <c r="L4" s="474"/>
      <c r="M4" s="436"/>
      <c r="N4" s="436"/>
      <c r="O4" s="670"/>
      <c r="P4" s="436"/>
      <c r="Q4" s="667"/>
      <c r="R4" s="667"/>
      <c r="S4" s="438"/>
      <c r="T4" s="673"/>
      <c r="U4" s="673"/>
      <c r="V4" s="733"/>
      <c r="X4" s="438"/>
      <c r="Y4" s="438"/>
      <c r="Z4" s="662"/>
      <c r="AA4" s="678"/>
      <c r="AB4" s="737"/>
      <c r="AD4" s="515"/>
      <c r="AE4" s="515"/>
      <c r="AF4" s="515"/>
      <c r="AG4" s="703"/>
      <c r="AH4" s="703"/>
      <c r="AI4" s="758"/>
      <c r="AJ4" s="731"/>
      <c r="AK4" s="731"/>
      <c r="AL4" s="674"/>
      <c r="AM4" s="703"/>
      <c r="AN4" s="474"/>
      <c r="AO4" s="761"/>
      <c r="AP4" s="760"/>
      <c r="AQ4" s="760"/>
      <c r="AR4" s="760"/>
      <c r="AS4" s="760"/>
      <c r="AT4" s="760"/>
      <c r="AU4" s="767"/>
      <c r="AV4" s="771"/>
      <c r="AW4" s="667"/>
      <c r="AX4" s="667"/>
      <c r="AY4" s="667"/>
      <c r="AZ4" s="390" t="s">
        <v>778</v>
      </c>
      <c r="BA4" s="759"/>
      <c r="BB4" s="759"/>
      <c r="BC4" s="759"/>
      <c r="BD4" s="759"/>
      <c r="BE4" s="759"/>
      <c r="BF4" s="674"/>
      <c r="BG4" s="434"/>
    </row>
    <row r="5" spans="1:59" ht="12.75" customHeight="1">
      <c r="A5" s="574" t="s">
        <v>185</v>
      </c>
      <c r="D5" s="410"/>
      <c r="E5" s="440"/>
      <c r="F5" s="653"/>
      <c r="G5" s="510"/>
      <c r="H5" s="673"/>
      <c r="I5" s="474"/>
      <c r="J5" s="474"/>
      <c r="K5" s="474"/>
      <c r="L5" s="474"/>
      <c r="M5" s="474"/>
      <c r="N5" s="474"/>
      <c r="O5" s="670"/>
      <c r="P5" s="474"/>
      <c r="Q5" s="667"/>
      <c r="R5" s="667"/>
      <c r="S5" s="474"/>
      <c r="T5" s="673"/>
      <c r="U5" s="671"/>
      <c r="V5" s="730"/>
      <c r="W5" s="755"/>
      <c r="X5" s="474"/>
      <c r="Y5" s="474"/>
      <c r="Z5" s="474"/>
      <c r="AA5" s="678"/>
      <c r="AB5" s="755"/>
      <c r="AC5" s="474"/>
      <c r="AD5" s="671"/>
      <c r="AE5" s="671"/>
      <c r="AF5" s="669"/>
      <c r="AG5" s="671"/>
      <c r="AH5" s="674"/>
      <c r="AI5" s="914" t="s">
        <v>866</v>
      </c>
      <c r="AJ5" s="731"/>
      <c r="AK5" s="743"/>
      <c r="AL5" s="866" t="s">
        <v>857</v>
      </c>
      <c r="AM5" s="866" t="s">
        <v>857</v>
      </c>
      <c r="AN5" s="474"/>
      <c r="AO5" s="671"/>
      <c r="AP5" s="866" t="s">
        <v>857</v>
      </c>
      <c r="AQ5" s="866" t="s">
        <v>857</v>
      </c>
      <c r="AR5" s="866" t="s">
        <v>857</v>
      </c>
      <c r="AS5" s="866" t="s">
        <v>857</v>
      </c>
      <c r="AT5" s="866" t="s">
        <v>857</v>
      </c>
      <c r="AU5" s="866" t="s">
        <v>857</v>
      </c>
      <c r="AV5" s="866" t="s">
        <v>857</v>
      </c>
      <c r="AW5" s="916" t="s">
        <v>868</v>
      </c>
      <c r="AX5" s="866" t="s">
        <v>857</v>
      </c>
      <c r="AY5" s="474"/>
      <c r="AZ5" s="438" t="s">
        <v>774</v>
      </c>
      <c r="BA5" s="866" t="s">
        <v>169</v>
      </c>
      <c r="BB5" s="914" t="s">
        <v>866</v>
      </c>
      <c r="BC5" s="866" t="s">
        <v>169</v>
      </c>
      <c r="BD5" s="916" t="s">
        <v>867</v>
      </c>
      <c r="BE5" s="916" t="s">
        <v>867</v>
      </c>
      <c r="BF5" s="674"/>
      <c r="BG5" s="434"/>
    </row>
    <row r="6" spans="1:59" s="412" customFormat="1" ht="5.25" customHeight="1">
      <c r="A6" s="506"/>
      <c r="D6" s="411"/>
      <c r="F6" s="439"/>
      <c r="G6" s="436"/>
      <c r="H6" s="474"/>
      <c r="I6" s="474"/>
      <c r="J6" s="669"/>
      <c r="K6" s="474"/>
      <c r="L6" s="474"/>
      <c r="M6" s="669"/>
      <c r="N6" s="669"/>
      <c r="O6" s="669"/>
      <c r="P6" s="669"/>
      <c r="Q6" s="668"/>
      <c r="R6" s="668"/>
      <c r="S6" s="671"/>
      <c r="T6" s="671"/>
      <c r="U6" s="669"/>
      <c r="V6" s="732"/>
      <c r="W6" s="684"/>
      <c r="X6" s="671"/>
      <c r="Y6" s="669"/>
      <c r="Z6" s="663"/>
      <c r="AA6" s="679"/>
      <c r="AB6" s="738"/>
      <c r="AC6" s="390"/>
      <c r="AD6" s="677"/>
      <c r="AE6" s="677"/>
      <c r="AF6" s="677"/>
      <c r="AG6" s="677"/>
      <c r="AH6" s="677"/>
      <c r="AI6" s="732"/>
      <c r="AJ6" s="732"/>
      <c r="AK6" s="732"/>
      <c r="AL6" s="668"/>
      <c r="AM6" s="751"/>
      <c r="AN6" s="474"/>
      <c r="AO6" s="668"/>
      <c r="AP6" s="762"/>
      <c r="AQ6" s="751"/>
      <c r="AR6" s="751"/>
      <c r="AS6" s="751"/>
      <c r="AT6" s="751"/>
      <c r="AU6" s="751"/>
      <c r="AV6" s="751"/>
      <c r="AW6" s="668"/>
      <c r="AX6" s="668"/>
      <c r="AY6" s="668"/>
      <c r="AZ6" s="474"/>
      <c r="BA6" s="751"/>
      <c r="BB6" s="751"/>
      <c r="BC6" s="751"/>
      <c r="BD6" s="751"/>
      <c r="BE6" s="751"/>
      <c r="BF6" s="668"/>
      <c r="BG6" s="520"/>
    </row>
    <row r="7" spans="1:59" s="412" customFormat="1" ht="12" customHeight="1">
      <c r="A7" s="413"/>
      <c r="B7" s="414"/>
      <c r="C7" s="415"/>
      <c r="D7" s="415"/>
      <c r="E7" s="566"/>
      <c r="F7" s="654" t="s">
        <v>1</v>
      </c>
      <c r="G7" s="658" t="s">
        <v>1</v>
      </c>
      <c r="H7" s="658" t="s">
        <v>256</v>
      </c>
      <c r="I7" s="658" t="s">
        <v>685</v>
      </c>
      <c r="J7" s="658" t="s">
        <v>3</v>
      </c>
      <c r="K7" s="658" t="s">
        <v>5</v>
      </c>
      <c r="L7" s="658" t="s">
        <v>15</v>
      </c>
      <c r="M7" s="658" t="s">
        <v>16</v>
      </c>
      <c r="N7" s="658" t="s">
        <v>4</v>
      </c>
      <c r="O7" s="658" t="s">
        <v>591</v>
      </c>
      <c r="P7" s="658" t="s">
        <v>6</v>
      </c>
      <c r="Q7" s="658" t="s">
        <v>5</v>
      </c>
      <c r="R7" s="658" t="s">
        <v>223</v>
      </c>
      <c r="S7" s="672" t="s">
        <v>624</v>
      </c>
      <c r="T7" s="672" t="s">
        <v>3</v>
      </c>
      <c r="U7" s="672" t="s">
        <v>646</v>
      </c>
      <c r="V7" s="734" t="s">
        <v>674</v>
      </c>
      <c r="W7" s="235" t="s">
        <v>5</v>
      </c>
      <c r="X7" s="235" t="s">
        <v>3</v>
      </c>
      <c r="Y7" s="235" t="s">
        <v>119</v>
      </c>
      <c r="Z7" s="664" t="s">
        <v>647</v>
      </c>
      <c r="AA7" s="664" t="s">
        <v>655</v>
      </c>
      <c r="AB7" s="739" t="s">
        <v>736</v>
      </c>
      <c r="AC7" s="235" t="s">
        <v>20</v>
      </c>
      <c r="AD7" s="695" t="s">
        <v>7</v>
      </c>
      <c r="AE7" s="695" t="s">
        <v>7</v>
      </c>
      <c r="AF7" s="695" t="s">
        <v>7</v>
      </c>
      <c r="AG7" s="235" t="s">
        <v>230</v>
      </c>
      <c r="AH7" s="235" t="s">
        <v>230</v>
      </c>
      <c r="AI7" s="722" t="s">
        <v>230</v>
      </c>
      <c r="AJ7" s="722" t="s">
        <v>230</v>
      </c>
      <c r="AK7" s="722" t="s">
        <v>230</v>
      </c>
      <c r="AL7" s="695" t="s">
        <v>7</v>
      </c>
      <c r="AM7" s="235" t="s">
        <v>230</v>
      </c>
      <c r="AN7" s="235" t="s">
        <v>230</v>
      </c>
      <c r="AO7" s="695" t="s">
        <v>7</v>
      </c>
      <c r="AP7" s="658" t="s">
        <v>230</v>
      </c>
      <c r="AQ7" s="658" t="s">
        <v>230</v>
      </c>
      <c r="AR7" s="658" t="s">
        <v>230</v>
      </c>
      <c r="AS7" s="658" t="s">
        <v>230</v>
      </c>
      <c r="AT7" s="658" t="s">
        <v>230</v>
      </c>
      <c r="AU7" s="235" t="s">
        <v>7</v>
      </c>
      <c r="AV7" s="235" t="s">
        <v>7</v>
      </c>
      <c r="AW7" s="695" t="s">
        <v>7</v>
      </c>
      <c r="AX7" s="695" t="s">
        <v>7</v>
      </c>
      <c r="AY7" s="695" t="s">
        <v>669</v>
      </c>
      <c r="AZ7" s="235" t="s">
        <v>5</v>
      </c>
      <c r="BA7" s="869" t="s">
        <v>843</v>
      </c>
      <c r="BB7" s="869" t="s">
        <v>230</v>
      </c>
      <c r="BC7" s="869" t="s">
        <v>849</v>
      </c>
      <c r="BD7" s="873" t="s">
        <v>851</v>
      </c>
      <c r="BE7" s="873" t="s">
        <v>793</v>
      </c>
      <c r="BF7" s="869" t="s">
        <v>7</v>
      </c>
      <c r="BG7" s="521" t="s">
        <v>776</v>
      </c>
    </row>
    <row r="8" spans="1:59" s="412" customFormat="1">
      <c r="A8" s="416" t="s">
        <v>8</v>
      </c>
      <c r="B8" s="417"/>
      <c r="C8" s="418"/>
      <c r="D8" s="418"/>
      <c r="E8" s="440" t="s">
        <v>260</v>
      </c>
      <c r="F8" s="655" t="s">
        <v>10</v>
      </c>
      <c r="G8" s="659" t="s">
        <v>258</v>
      </c>
      <c r="H8" s="659" t="s">
        <v>122</v>
      </c>
      <c r="I8" s="659" t="s">
        <v>686</v>
      </c>
      <c r="J8" s="659" t="s">
        <v>13</v>
      </c>
      <c r="K8" s="659" t="s">
        <v>14</v>
      </c>
      <c r="L8" s="659" t="s">
        <v>29</v>
      </c>
      <c r="M8" s="659" t="s">
        <v>29</v>
      </c>
      <c r="N8" s="659" t="s">
        <v>17</v>
      </c>
      <c r="O8" s="659" t="s">
        <v>667</v>
      </c>
      <c r="P8" s="659" t="s">
        <v>19</v>
      </c>
      <c r="Q8" s="659" t="s">
        <v>224</v>
      </c>
      <c r="R8" s="659" t="s">
        <v>710</v>
      </c>
      <c r="S8" s="440" t="s">
        <v>182</v>
      </c>
      <c r="T8" s="675" t="s">
        <v>626</v>
      </c>
      <c r="U8" s="675" t="s">
        <v>672</v>
      </c>
      <c r="V8" s="723" t="s">
        <v>668</v>
      </c>
      <c r="W8" s="440" t="s">
        <v>18</v>
      </c>
      <c r="X8" s="440" t="s">
        <v>117</v>
      </c>
      <c r="Y8" s="440" t="s">
        <v>2</v>
      </c>
      <c r="Z8" s="440" t="s">
        <v>648</v>
      </c>
      <c r="AA8" s="680" t="s">
        <v>12</v>
      </c>
      <c r="AB8" s="740" t="s">
        <v>679</v>
      </c>
      <c r="AC8" s="440" t="s">
        <v>33</v>
      </c>
      <c r="AD8" s="696" t="s">
        <v>738</v>
      </c>
      <c r="AE8" s="696" t="s">
        <v>70</v>
      </c>
      <c r="AF8" s="696" t="s">
        <v>628</v>
      </c>
      <c r="AG8" s="440" t="s">
        <v>666</v>
      </c>
      <c r="AH8" s="440" t="s">
        <v>751</v>
      </c>
      <c r="AI8" s="723" t="s">
        <v>221</v>
      </c>
      <c r="AJ8" s="723" t="s">
        <v>221</v>
      </c>
      <c r="AK8" s="723" t="s">
        <v>238</v>
      </c>
      <c r="AL8" s="696" t="s">
        <v>691</v>
      </c>
      <c r="AM8" s="440" t="s">
        <v>656</v>
      </c>
      <c r="AN8" s="440" t="s">
        <v>14</v>
      </c>
      <c r="AO8" s="696" t="s">
        <v>687</v>
      </c>
      <c r="AP8" s="659" t="s">
        <v>753</v>
      </c>
      <c r="AQ8" s="659" t="s">
        <v>766</v>
      </c>
      <c r="AR8" s="766" t="s">
        <v>756</v>
      </c>
      <c r="AS8" s="766" t="s">
        <v>768</v>
      </c>
      <c r="AT8" s="766" t="s">
        <v>756</v>
      </c>
      <c r="AU8" s="440" t="s">
        <v>739</v>
      </c>
      <c r="AV8" s="440" t="s">
        <v>740</v>
      </c>
      <c r="AW8" s="696" t="s">
        <v>743</v>
      </c>
      <c r="AX8" s="696" t="s">
        <v>765</v>
      </c>
      <c r="AY8" s="696" t="s">
        <v>648</v>
      </c>
      <c r="AZ8" s="776" t="s">
        <v>775</v>
      </c>
      <c r="BA8" s="870" t="s">
        <v>122</v>
      </c>
      <c r="BB8" s="870" t="s">
        <v>845</v>
      </c>
      <c r="BC8" s="870" t="s">
        <v>128</v>
      </c>
      <c r="BD8" s="874" t="s">
        <v>852</v>
      </c>
      <c r="BE8" s="874" t="s">
        <v>794</v>
      </c>
      <c r="BF8" s="870" t="s">
        <v>742</v>
      </c>
      <c r="BG8" s="519" t="s">
        <v>230</v>
      </c>
    </row>
    <row r="9" spans="1:59" s="412" customFormat="1">
      <c r="A9" s="419" t="s">
        <v>21</v>
      </c>
      <c r="B9" s="420"/>
      <c r="C9" s="421"/>
      <c r="D9" s="421" t="s">
        <v>22</v>
      </c>
      <c r="E9" s="441" t="s">
        <v>261</v>
      </c>
      <c r="F9" s="656" t="s">
        <v>24</v>
      </c>
      <c r="G9" s="660" t="s">
        <v>259</v>
      </c>
      <c r="H9" s="660" t="s">
        <v>76</v>
      </c>
      <c r="I9" s="660" t="s">
        <v>24</v>
      </c>
      <c r="J9" s="660" t="s">
        <v>27</v>
      </c>
      <c r="K9" s="660" t="s">
        <v>28</v>
      </c>
      <c r="L9" s="660" t="s">
        <v>76</v>
      </c>
      <c r="M9" s="660" t="s">
        <v>76</v>
      </c>
      <c r="N9" s="660" t="s">
        <v>30</v>
      </c>
      <c r="O9" s="660" t="s">
        <v>29</v>
      </c>
      <c r="P9" s="660" t="s">
        <v>645</v>
      </c>
      <c r="Q9" s="660" t="s">
        <v>27</v>
      </c>
      <c r="R9" s="660" t="s">
        <v>257</v>
      </c>
      <c r="S9" s="441" t="s">
        <v>76</v>
      </c>
      <c r="T9" s="676" t="s">
        <v>627</v>
      </c>
      <c r="U9" s="676" t="s">
        <v>673</v>
      </c>
      <c r="V9" s="724"/>
      <c r="W9" s="441" t="s">
        <v>31</v>
      </c>
      <c r="X9" s="441" t="s">
        <v>118</v>
      </c>
      <c r="Y9" s="441" t="s">
        <v>25</v>
      </c>
      <c r="Z9" s="441" t="s">
        <v>654</v>
      </c>
      <c r="AA9" s="441" t="s">
        <v>26</v>
      </c>
      <c r="AB9" s="741" t="s">
        <v>680</v>
      </c>
      <c r="AC9" s="441" t="s">
        <v>76</v>
      </c>
      <c r="AD9" s="697" t="s">
        <v>26</v>
      </c>
      <c r="AE9" s="697" t="s">
        <v>747</v>
      </c>
      <c r="AF9" s="697" t="s">
        <v>182</v>
      </c>
      <c r="AG9" s="441" t="s">
        <v>665</v>
      </c>
      <c r="AH9" s="441" t="s">
        <v>550</v>
      </c>
      <c r="AI9" s="724" t="s">
        <v>237</v>
      </c>
      <c r="AJ9" s="724" t="s">
        <v>222</v>
      </c>
      <c r="AK9" s="724" t="s">
        <v>239</v>
      </c>
      <c r="AL9" s="697" t="s">
        <v>29</v>
      </c>
      <c r="AM9" s="441" t="s">
        <v>29</v>
      </c>
      <c r="AN9" s="441" t="s">
        <v>28</v>
      </c>
      <c r="AO9" s="697" t="s">
        <v>688</v>
      </c>
      <c r="AP9" s="660" t="s">
        <v>754</v>
      </c>
      <c r="AQ9" s="660" t="s">
        <v>767</v>
      </c>
      <c r="AR9" s="660" t="s">
        <v>755</v>
      </c>
      <c r="AS9" s="660" t="s">
        <v>769</v>
      </c>
      <c r="AT9" s="660" t="s">
        <v>762</v>
      </c>
      <c r="AU9" s="441" t="s">
        <v>122</v>
      </c>
      <c r="AV9" s="697" t="s">
        <v>781</v>
      </c>
      <c r="AW9" s="697" t="s">
        <v>782</v>
      </c>
      <c r="AX9" s="697" t="s">
        <v>688</v>
      </c>
      <c r="AY9" s="697" t="s">
        <v>654</v>
      </c>
      <c r="AZ9" s="441" t="s">
        <v>772</v>
      </c>
      <c r="BA9" s="871"/>
      <c r="BB9" s="871"/>
      <c r="BC9" s="871" t="s">
        <v>850</v>
      </c>
      <c r="BD9" s="875" t="s">
        <v>853</v>
      </c>
      <c r="BE9" s="875"/>
      <c r="BF9" s="871"/>
      <c r="BG9" s="466" t="s">
        <v>135</v>
      </c>
    </row>
    <row r="10" spans="1:59" s="458" customFormat="1">
      <c r="B10" s="461" t="s">
        <v>562</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AB10" si="1">S10+0.01</f>
        <v>2.1099999999999977</v>
      </c>
      <c r="U10" s="460">
        <f t="shared" si="1"/>
        <v>2.1199999999999974</v>
      </c>
      <c r="V10" s="708">
        <f t="shared" si="1"/>
        <v>2.1299999999999972</v>
      </c>
      <c r="W10" s="460">
        <f t="shared" si="1"/>
        <v>2.139999999999997</v>
      </c>
      <c r="X10" s="460">
        <f t="shared" si="1"/>
        <v>2.1499999999999968</v>
      </c>
      <c r="Y10" s="460">
        <f t="shared" si="1"/>
        <v>2.1599999999999966</v>
      </c>
      <c r="Z10" s="460">
        <f t="shared" si="1"/>
        <v>2.1699999999999964</v>
      </c>
      <c r="AA10" s="460">
        <f t="shared" si="1"/>
        <v>2.1799999999999962</v>
      </c>
      <c r="AB10" s="708">
        <f t="shared" si="1"/>
        <v>2.1899999999999959</v>
      </c>
      <c r="AC10" s="460" t="s">
        <v>590</v>
      </c>
      <c r="AD10" s="460" t="s">
        <v>745</v>
      </c>
      <c r="AE10" s="460" t="s">
        <v>746</v>
      </c>
      <c r="AF10" s="460">
        <v>3.01</v>
      </c>
      <c r="AG10" s="460">
        <f t="shared" ref="AG10:AZ10" si="2">AF10+0.01</f>
        <v>3.0199999999999996</v>
      </c>
      <c r="AH10" s="460">
        <f t="shared" si="2"/>
        <v>3.0299999999999994</v>
      </c>
      <c r="AI10" s="708">
        <f t="shared" si="2"/>
        <v>3.0399999999999991</v>
      </c>
      <c r="AJ10" s="708">
        <f t="shared" si="2"/>
        <v>3.0499999999999989</v>
      </c>
      <c r="AK10" s="708">
        <f t="shared" si="2"/>
        <v>3.0599999999999987</v>
      </c>
      <c r="AL10" s="460">
        <f t="shared" si="2"/>
        <v>3.0699999999999985</v>
      </c>
      <c r="AM10" s="460">
        <f t="shared" si="2"/>
        <v>3.0799999999999983</v>
      </c>
      <c r="AN10" s="460">
        <f t="shared" si="2"/>
        <v>3.0899999999999981</v>
      </c>
      <c r="AO10" s="460">
        <f t="shared" si="2"/>
        <v>3.0999999999999979</v>
      </c>
      <c r="AP10" s="460">
        <f t="shared" si="2"/>
        <v>3.1099999999999977</v>
      </c>
      <c r="AQ10" s="460">
        <f t="shared" si="2"/>
        <v>3.1199999999999974</v>
      </c>
      <c r="AR10" s="460">
        <f t="shared" si="2"/>
        <v>3.1299999999999972</v>
      </c>
      <c r="AS10" s="460">
        <f t="shared" si="2"/>
        <v>3.139999999999997</v>
      </c>
      <c r="AT10" s="460">
        <f t="shared" si="2"/>
        <v>3.1499999999999968</v>
      </c>
      <c r="AU10" s="460">
        <f t="shared" si="2"/>
        <v>3.1599999999999966</v>
      </c>
      <c r="AV10" s="460">
        <f t="shared" si="2"/>
        <v>3.1699999999999964</v>
      </c>
      <c r="AW10" s="460">
        <f t="shared" si="2"/>
        <v>3.1799999999999962</v>
      </c>
      <c r="AX10" s="460">
        <f t="shared" si="2"/>
        <v>3.1899999999999959</v>
      </c>
      <c r="AY10" s="460">
        <f t="shared" si="2"/>
        <v>3.1999999999999957</v>
      </c>
      <c r="AZ10" s="460">
        <f t="shared" si="2"/>
        <v>3.2099999999999955</v>
      </c>
      <c r="BA10" s="872">
        <v>7.01</v>
      </c>
      <c r="BB10" s="872">
        <v>7.02</v>
      </c>
      <c r="BC10" s="872">
        <v>7.03</v>
      </c>
      <c r="BD10" s="876">
        <v>7.04</v>
      </c>
      <c r="BE10" s="876" t="s">
        <v>779</v>
      </c>
      <c r="BF10" s="872">
        <f>BA10+0.01</f>
        <v>7.02</v>
      </c>
      <c r="BG10" s="467" t="s">
        <v>670</v>
      </c>
    </row>
    <row r="11" spans="1:59" s="458" customFormat="1">
      <c r="B11" s="461" t="s">
        <v>563</v>
      </c>
      <c r="E11" s="459" t="s">
        <v>564</v>
      </c>
      <c r="F11" s="459" t="s">
        <v>565</v>
      </c>
      <c r="G11" s="459" t="s">
        <v>566</v>
      </c>
      <c r="H11" s="460" t="s">
        <v>567</v>
      </c>
      <c r="I11" s="460" t="s">
        <v>683</v>
      </c>
      <c r="J11" s="460" t="s">
        <v>568</v>
      </c>
      <c r="K11" s="460" t="s">
        <v>596</v>
      </c>
      <c r="L11" s="460" t="s">
        <v>569</v>
      </c>
      <c r="M11" s="460" t="s">
        <v>570</v>
      </c>
      <c r="N11" s="460" t="s">
        <v>571</v>
      </c>
      <c r="O11" s="460" t="s">
        <v>572</v>
      </c>
      <c r="P11" s="460" t="s">
        <v>594</v>
      </c>
      <c r="Q11" s="460" t="s">
        <v>575</v>
      </c>
      <c r="R11" s="460" t="s">
        <v>576</v>
      </c>
      <c r="S11" s="460" t="s">
        <v>625</v>
      </c>
      <c r="T11" s="460" t="s">
        <v>630</v>
      </c>
      <c r="U11" s="460" t="s">
        <v>577</v>
      </c>
      <c r="V11" s="709" t="s">
        <v>578</v>
      </c>
      <c r="W11" s="460" t="s">
        <v>579</v>
      </c>
      <c r="X11" s="460" t="s">
        <v>573</v>
      </c>
      <c r="Y11" s="460" t="s">
        <v>574</v>
      </c>
      <c r="Z11" s="665" t="s">
        <v>638</v>
      </c>
      <c r="AA11" s="460" t="s">
        <v>657</v>
      </c>
      <c r="AB11" s="709" t="s">
        <v>737</v>
      </c>
      <c r="AC11" s="460"/>
      <c r="AD11" s="460" t="s">
        <v>748</v>
      </c>
      <c r="AE11" s="460" t="s">
        <v>749</v>
      </c>
      <c r="AF11" s="460" t="s">
        <v>629</v>
      </c>
      <c r="AG11" s="460" t="s">
        <v>643</v>
      </c>
      <c r="AH11" s="460" t="s">
        <v>752</v>
      </c>
      <c r="AI11" s="708" t="s">
        <v>580</v>
      </c>
      <c r="AJ11" s="708" t="s">
        <v>581</v>
      </c>
      <c r="AK11" s="708" t="s">
        <v>582</v>
      </c>
      <c r="AL11" s="665" t="s">
        <v>713</v>
      </c>
      <c r="AM11" s="460" t="s">
        <v>689</v>
      </c>
      <c r="AN11" s="460" t="s">
        <v>595</v>
      </c>
      <c r="AO11" s="665" t="s">
        <v>712</v>
      </c>
      <c r="AP11" s="665" t="s">
        <v>757</v>
      </c>
      <c r="AQ11" s="460" t="s">
        <v>758</v>
      </c>
      <c r="AR11" s="460" t="s">
        <v>759</v>
      </c>
      <c r="AS11" s="460" t="s">
        <v>760</v>
      </c>
      <c r="AT11" s="460" t="s">
        <v>761</v>
      </c>
      <c r="AU11" s="460" t="s">
        <v>683</v>
      </c>
      <c r="AV11" s="460" t="s">
        <v>741</v>
      </c>
      <c r="AW11" s="665" t="s">
        <v>744</v>
      </c>
      <c r="AX11" s="665" t="s">
        <v>690</v>
      </c>
      <c r="AY11" s="665" t="s">
        <v>638</v>
      </c>
      <c r="AZ11" s="665" t="s">
        <v>773</v>
      </c>
      <c r="BA11" s="460"/>
      <c r="BB11" s="460"/>
      <c r="BC11" s="460"/>
      <c r="BD11" s="460"/>
      <c r="BE11" s="460"/>
      <c r="BF11" s="665"/>
      <c r="BG11" s="467"/>
    </row>
    <row r="12" spans="1:59" s="458" customFormat="1" ht="5.25" customHeight="1">
      <c r="B12" s="461"/>
      <c r="E12" s="459"/>
      <c r="F12" s="459"/>
      <c r="G12" s="459"/>
      <c r="H12" s="460"/>
      <c r="I12" s="459"/>
      <c r="J12" s="459"/>
      <c r="K12" s="460"/>
      <c r="L12" s="459"/>
      <c r="M12" s="459"/>
      <c r="N12" s="459"/>
      <c r="O12" s="459"/>
      <c r="P12" s="459"/>
      <c r="Q12" s="459"/>
      <c r="R12" s="459"/>
      <c r="S12" s="459"/>
      <c r="T12" s="460"/>
      <c r="U12" s="460"/>
      <c r="V12" s="709"/>
      <c r="W12" s="459"/>
      <c r="X12" s="459"/>
      <c r="Y12" s="459"/>
      <c r="Z12" s="665"/>
      <c r="AA12" s="460"/>
      <c r="AB12" s="709"/>
      <c r="AC12" s="460"/>
      <c r="AD12" s="460"/>
      <c r="AE12" s="460"/>
      <c r="AF12" s="460"/>
      <c r="AG12" s="460"/>
      <c r="AH12" s="460"/>
      <c r="AI12" s="725"/>
      <c r="AJ12" s="725"/>
      <c r="AK12" s="725"/>
      <c r="AL12" s="665"/>
      <c r="AM12" s="459"/>
      <c r="AN12" s="460"/>
      <c r="AO12" s="665"/>
      <c r="AP12" s="665"/>
      <c r="AQ12" s="459"/>
      <c r="AR12" s="459"/>
      <c r="AS12" s="459"/>
      <c r="AT12" s="459"/>
      <c r="AU12" s="459"/>
      <c r="AV12" s="459"/>
      <c r="AW12" s="665"/>
      <c r="AX12" s="665"/>
      <c r="AY12" s="665"/>
      <c r="AZ12" s="665"/>
      <c r="BA12" s="459"/>
      <c r="BB12" s="459"/>
      <c r="BC12" s="459"/>
      <c r="BD12" s="459"/>
      <c r="BE12" s="459"/>
      <c r="BF12" s="665"/>
      <c r="BG12" s="467"/>
    </row>
    <row r="13" spans="1:59">
      <c r="B13" s="409" t="s">
        <v>186</v>
      </c>
      <c r="H13" s="436"/>
      <c r="V13" s="710"/>
      <c r="W13" s="442"/>
      <c r="Z13" s="442"/>
      <c r="AA13" s="442"/>
      <c r="AB13" s="710"/>
      <c r="AG13" s="436"/>
      <c r="AH13" s="436"/>
      <c r="AL13" s="442"/>
      <c r="AO13" s="442"/>
      <c r="AP13" s="442"/>
      <c r="AW13" s="442"/>
      <c r="AX13" s="442"/>
      <c r="AY13" s="442"/>
      <c r="AZ13" s="442"/>
      <c r="BF13" s="442"/>
      <c r="BG13" s="468"/>
    </row>
    <row r="14" spans="1:59" s="423" customFormat="1">
      <c r="A14" s="422">
        <v>1</v>
      </c>
      <c r="B14" s="423" t="s">
        <v>187</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11">
        <v>0</v>
      </c>
      <c r="W14" s="457">
        <v>0</v>
      </c>
      <c r="X14" s="457">
        <v>1740</v>
      </c>
      <c r="Y14" s="457">
        <v>0</v>
      </c>
      <c r="Z14" s="457">
        <v>0</v>
      </c>
      <c r="AA14" s="457">
        <v>0</v>
      </c>
      <c r="AB14" s="711">
        <v>0</v>
      </c>
      <c r="AC14" s="293">
        <f>SUM(E14:AB14)</f>
        <v>503855</v>
      </c>
      <c r="AD14" s="457">
        <v>0</v>
      </c>
      <c r="AE14" s="457">
        <v>0</v>
      </c>
      <c r="AF14" s="457">
        <v>26639</v>
      </c>
      <c r="AG14" s="457">
        <v>0</v>
      </c>
      <c r="AH14" s="457">
        <v>0</v>
      </c>
      <c r="AI14" s="711">
        <v>0</v>
      </c>
      <c r="AJ14" s="711">
        <v>0</v>
      </c>
      <c r="AK14" s="711">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57">
        <v>0</v>
      </c>
      <c r="BD14" s="457">
        <v>0</v>
      </c>
      <c r="BE14" s="457">
        <v>0</v>
      </c>
      <c r="BF14" s="457">
        <v>0</v>
      </c>
      <c r="BG14" s="469">
        <f t="shared" ref="BG14:BG19" si="3">SUM(AC14:BF14)</f>
        <v>530494</v>
      </c>
    </row>
    <row r="15" spans="1:59" s="424" customFormat="1">
      <c r="A15" s="422">
        <v>2</v>
      </c>
      <c r="B15" s="424" t="s">
        <v>188</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10">
        <v>0</v>
      </c>
      <c r="W15" s="436">
        <v>0</v>
      </c>
      <c r="X15" s="435" t="s">
        <v>592</v>
      </c>
      <c r="Y15" s="435">
        <v>0</v>
      </c>
      <c r="Z15" s="442">
        <v>0</v>
      </c>
      <c r="AA15" s="436">
        <v>0</v>
      </c>
      <c r="AB15" s="710">
        <v>0</v>
      </c>
      <c r="AC15" s="434">
        <f>SUM(E15:AB15)</f>
        <v>1228</v>
      </c>
      <c r="AD15" s="436">
        <v>0</v>
      </c>
      <c r="AE15" s="436">
        <v>0</v>
      </c>
      <c r="AF15" s="436">
        <v>0</v>
      </c>
      <c r="AG15" s="435">
        <v>0</v>
      </c>
      <c r="AH15" s="435">
        <v>0</v>
      </c>
      <c r="AI15" s="721">
        <v>0</v>
      </c>
      <c r="AJ15" s="721">
        <v>0</v>
      </c>
      <c r="AK15" s="721">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35">
        <v>0</v>
      </c>
      <c r="BC15" s="435">
        <v>0</v>
      </c>
      <c r="BD15" s="435">
        <v>0</v>
      </c>
      <c r="BE15" s="435">
        <v>0</v>
      </c>
      <c r="BF15" s="442">
        <v>0</v>
      </c>
      <c r="BG15" s="468">
        <f t="shared" si="3"/>
        <v>1228</v>
      </c>
    </row>
    <row r="16" spans="1:59" s="424" customFormat="1">
      <c r="A16" s="422">
        <v>3</v>
      </c>
      <c r="B16" s="424" t="s">
        <v>189</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12">
        <v>0</v>
      </c>
      <c r="W16" s="443">
        <v>0</v>
      </c>
      <c r="X16" s="444">
        <v>0</v>
      </c>
      <c r="Y16" s="444">
        <v>0</v>
      </c>
      <c r="Z16" s="443">
        <v>0</v>
      </c>
      <c r="AA16" s="443">
        <v>-17144</v>
      </c>
      <c r="AB16" s="712">
        <v>0</v>
      </c>
      <c r="AC16" s="237">
        <f>SUM(E16:AB16)</f>
        <v>36286</v>
      </c>
      <c r="AD16" s="443">
        <v>17183</v>
      </c>
      <c r="AE16" s="443">
        <v>0</v>
      </c>
      <c r="AF16" s="443">
        <v>0</v>
      </c>
      <c r="AG16" s="444">
        <v>0</v>
      </c>
      <c r="AH16" s="444">
        <v>0</v>
      </c>
      <c r="AI16" s="716">
        <v>0</v>
      </c>
      <c r="AJ16" s="716">
        <v>0</v>
      </c>
      <c r="AK16" s="716">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4">
        <v>0</v>
      </c>
      <c r="BC16" s="444">
        <v>0</v>
      </c>
      <c r="BD16" s="444">
        <v>0</v>
      </c>
      <c r="BE16" s="444">
        <v>0</v>
      </c>
      <c r="BF16" s="443">
        <v>0</v>
      </c>
      <c r="BG16" s="470">
        <f t="shared" si="3"/>
        <v>53469</v>
      </c>
    </row>
    <row r="17" spans="1:59" s="424" customFormat="1">
      <c r="A17" s="422">
        <v>4</v>
      </c>
      <c r="B17" s="424" t="s">
        <v>190</v>
      </c>
      <c r="E17" s="427">
        <f t="shared" ref="E17:AJ17" si="4">SUM(E14:E16)</f>
        <v>601207</v>
      </c>
      <c r="F17" s="435">
        <f t="shared" si="4"/>
        <v>0</v>
      </c>
      <c r="G17" s="435">
        <f t="shared" si="4"/>
        <v>0</v>
      </c>
      <c r="H17" s="435">
        <f t="shared" si="4"/>
        <v>0</v>
      </c>
      <c r="I17" s="435">
        <f>SUM(I14:I16)</f>
        <v>0</v>
      </c>
      <c r="J17" s="435">
        <f t="shared" si="4"/>
        <v>-18871</v>
      </c>
      <c r="K17" s="436">
        <f>SUM(K14:K16)</f>
        <v>0</v>
      </c>
      <c r="L17" s="435">
        <f t="shared" si="4"/>
        <v>0</v>
      </c>
      <c r="M17" s="435">
        <f t="shared" si="4"/>
        <v>0</v>
      </c>
      <c r="N17" s="435">
        <f t="shared" si="4"/>
        <v>0</v>
      </c>
      <c r="O17" s="435">
        <f t="shared" si="4"/>
        <v>0</v>
      </c>
      <c r="P17" s="435">
        <f t="shared" si="4"/>
        <v>0</v>
      </c>
      <c r="Q17" s="435">
        <f t="shared" si="4"/>
        <v>0</v>
      </c>
      <c r="R17" s="435">
        <f t="shared" si="4"/>
        <v>0</v>
      </c>
      <c r="S17" s="435">
        <f t="shared" si="4"/>
        <v>-3836</v>
      </c>
      <c r="T17" s="436">
        <f t="shared" ref="T17:AB17" si="5">SUM(T14:T16)</f>
        <v>-21727</v>
      </c>
      <c r="U17" s="436">
        <f t="shared" si="5"/>
        <v>0</v>
      </c>
      <c r="V17" s="710">
        <f t="shared" si="5"/>
        <v>0</v>
      </c>
      <c r="W17" s="436">
        <f t="shared" si="5"/>
        <v>0</v>
      </c>
      <c r="X17" s="435">
        <f t="shared" si="5"/>
        <v>1740</v>
      </c>
      <c r="Y17" s="435">
        <f t="shared" si="5"/>
        <v>0</v>
      </c>
      <c r="Z17" s="442">
        <f t="shared" si="5"/>
        <v>0</v>
      </c>
      <c r="AA17" s="436">
        <f t="shared" si="5"/>
        <v>-17144</v>
      </c>
      <c r="AB17" s="710">
        <f t="shared" si="5"/>
        <v>0</v>
      </c>
      <c r="AC17" s="434">
        <f t="shared" si="4"/>
        <v>541369</v>
      </c>
      <c r="AD17" s="436">
        <f t="shared" si="4"/>
        <v>17183</v>
      </c>
      <c r="AE17" s="436">
        <f>SUM(AE14:AE16)</f>
        <v>0</v>
      </c>
      <c r="AF17" s="436">
        <f>SUM(AF14:AF16)</f>
        <v>26639</v>
      </c>
      <c r="AG17" s="435">
        <f>SUM(AG14:AG16)</f>
        <v>0</v>
      </c>
      <c r="AH17" s="435">
        <f>SUM(AH14:AH16)</f>
        <v>0</v>
      </c>
      <c r="AI17" s="721">
        <f>SUM(AI14:AI16)</f>
        <v>0</v>
      </c>
      <c r="AJ17" s="721">
        <f t="shared" si="4"/>
        <v>0</v>
      </c>
      <c r="AK17" s="721">
        <f t="shared" ref="AK17:AP17" si="6">SUM(AK14:AK16)</f>
        <v>0</v>
      </c>
      <c r="AL17" s="442">
        <f t="shared" si="6"/>
        <v>0</v>
      </c>
      <c r="AM17" s="435">
        <f t="shared" si="6"/>
        <v>0</v>
      </c>
      <c r="AN17" s="435">
        <f t="shared" si="6"/>
        <v>0</v>
      </c>
      <c r="AO17" s="442">
        <f t="shared" si="6"/>
        <v>0</v>
      </c>
      <c r="AP17" s="442">
        <f t="shared" si="6"/>
        <v>0</v>
      </c>
      <c r="AQ17" s="435">
        <f t="shared" ref="AQ17:AV17" si="7">SUM(AQ14:AQ16)</f>
        <v>0</v>
      </c>
      <c r="AR17" s="435">
        <f t="shared" si="7"/>
        <v>0</v>
      </c>
      <c r="AS17" s="435">
        <f t="shared" si="7"/>
        <v>0</v>
      </c>
      <c r="AT17" s="435">
        <f t="shared" si="7"/>
        <v>0</v>
      </c>
      <c r="AU17" s="435">
        <f t="shared" si="7"/>
        <v>0</v>
      </c>
      <c r="AV17" s="435">
        <f t="shared" si="7"/>
        <v>0</v>
      </c>
      <c r="AW17" s="442">
        <f t="shared" ref="AW17:BF17" si="8">SUM(AW14:AW16)</f>
        <v>0</v>
      </c>
      <c r="AX17" s="442">
        <f t="shared" si="8"/>
        <v>0</v>
      </c>
      <c r="AY17" s="442">
        <f t="shared" si="8"/>
        <v>0</v>
      </c>
      <c r="AZ17" s="442">
        <f t="shared" si="8"/>
        <v>0</v>
      </c>
      <c r="BA17" s="435">
        <f t="shared" si="8"/>
        <v>0</v>
      </c>
      <c r="BB17" s="435">
        <f t="shared" ref="BB17" si="9">SUM(BB14:BB16)</f>
        <v>0</v>
      </c>
      <c r="BC17" s="435">
        <f t="shared" ref="BC17:BD17" si="10">SUM(BC14:BC16)</f>
        <v>0</v>
      </c>
      <c r="BD17" s="435">
        <f t="shared" si="10"/>
        <v>0</v>
      </c>
      <c r="BE17" s="435">
        <f t="shared" ref="BE17" si="11">SUM(BE14:BE16)</f>
        <v>0</v>
      </c>
      <c r="BF17" s="442">
        <f t="shared" si="8"/>
        <v>0</v>
      </c>
      <c r="BG17" s="468">
        <f t="shared" si="3"/>
        <v>585191</v>
      </c>
    </row>
    <row r="18" spans="1:59" s="424" customFormat="1">
      <c r="A18" s="422">
        <v>5</v>
      </c>
      <c r="B18" s="424" t="s">
        <v>191</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12">
        <v>0</v>
      </c>
      <c r="W18" s="443">
        <v>0</v>
      </c>
      <c r="X18" s="444">
        <v>0</v>
      </c>
      <c r="Y18" s="444">
        <v>0</v>
      </c>
      <c r="Z18" s="443">
        <v>0</v>
      </c>
      <c r="AA18" s="443">
        <v>-39208</v>
      </c>
      <c r="AB18" s="712">
        <v>0</v>
      </c>
      <c r="AC18" s="237">
        <f>SUM(E18:AB18)</f>
        <v>23698</v>
      </c>
      <c r="AD18" s="443">
        <v>3133</v>
      </c>
      <c r="AE18" s="443">
        <f>658+532.63</f>
        <v>1190.6300000000001</v>
      </c>
      <c r="AF18" s="443">
        <f>-10789+181</f>
        <v>-10608</v>
      </c>
      <c r="AG18" s="444">
        <v>0</v>
      </c>
      <c r="AH18" s="444">
        <v>0</v>
      </c>
      <c r="AI18" s="716">
        <v>0</v>
      </c>
      <c r="AJ18" s="716">
        <v>0</v>
      </c>
      <c r="AK18" s="716">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4">
        <v>0</v>
      </c>
      <c r="BC18" s="444">
        <v>0</v>
      </c>
      <c r="BD18" s="444">
        <v>0</v>
      </c>
      <c r="BE18" s="444">
        <v>0</v>
      </c>
      <c r="BF18" s="443">
        <v>0</v>
      </c>
      <c r="BG18" s="470">
        <f t="shared" si="3"/>
        <v>17413.63</v>
      </c>
    </row>
    <row r="19" spans="1:59" s="424" customFormat="1">
      <c r="A19" s="422">
        <v>6</v>
      </c>
      <c r="B19" s="424" t="s">
        <v>192</v>
      </c>
      <c r="E19" s="427">
        <f t="shared" ref="E19:AL19" si="12">SUM(E17:E18)</f>
        <v>661457</v>
      </c>
      <c r="F19" s="435">
        <f t="shared" si="12"/>
        <v>0</v>
      </c>
      <c r="G19" s="435">
        <f t="shared" si="12"/>
        <v>0</v>
      </c>
      <c r="H19" s="435">
        <f t="shared" si="12"/>
        <v>0</v>
      </c>
      <c r="I19" s="435">
        <f>SUM(I17:I18)</f>
        <v>0</v>
      </c>
      <c r="J19" s="435">
        <f t="shared" si="12"/>
        <v>-18885</v>
      </c>
      <c r="K19" s="436">
        <f>SUM(K17:K18)</f>
        <v>0</v>
      </c>
      <c r="L19" s="435">
        <f t="shared" si="12"/>
        <v>0</v>
      </c>
      <c r="M19" s="435">
        <f t="shared" si="12"/>
        <v>0</v>
      </c>
      <c r="N19" s="435">
        <f t="shared" si="12"/>
        <v>0</v>
      </c>
      <c r="O19" s="435">
        <f t="shared" si="12"/>
        <v>0</v>
      </c>
      <c r="P19" s="435">
        <f t="shared" si="12"/>
        <v>0</v>
      </c>
      <c r="Q19" s="435">
        <f t="shared" si="12"/>
        <v>0</v>
      </c>
      <c r="R19" s="435">
        <f t="shared" si="12"/>
        <v>0</v>
      </c>
      <c r="S19" s="435">
        <f t="shared" si="12"/>
        <v>-953</v>
      </c>
      <c r="T19" s="436">
        <f t="shared" ref="T19:AB19" si="13">SUM(T17:T18)</f>
        <v>-21940</v>
      </c>
      <c r="U19" s="436">
        <f t="shared" si="13"/>
        <v>0</v>
      </c>
      <c r="V19" s="710">
        <f t="shared" si="13"/>
        <v>0</v>
      </c>
      <c r="W19" s="436">
        <f t="shared" si="13"/>
        <v>0</v>
      </c>
      <c r="X19" s="435">
        <f t="shared" si="13"/>
        <v>1740</v>
      </c>
      <c r="Y19" s="435">
        <f t="shared" si="13"/>
        <v>0</v>
      </c>
      <c r="Z19" s="442">
        <f t="shared" si="13"/>
        <v>0</v>
      </c>
      <c r="AA19" s="436">
        <f t="shared" si="13"/>
        <v>-56352</v>
      </c>
      <c r="AB19" s="710">
        <f t="shared" si="13"/>
        <v>0</v>
      </c>
      <c r="AC19" s="434">
        <f t="shared" si="12"/>
        <v>565067</v>
      </c>
      <c r="AD19" s="436">
        <f t="shared" ref="AD19:AI19" si="14">SUM(AD17:AD18)</f>
        <v>20316</v>
      </c>
      <c r="AE19" s="436">
        <f t="shared" si="14"/>
        <v>1190.6300000000001</v>
      </c>
      <c r="AF19" s="436">
        <f t="shared" si="14"/>
        <v>16031</v>
      </c>
      <c r="AG19" s="436">
        <f t="shared" si="14"/>
        <v>0</v>
      </c>
      <c r="AH19" s="436">
        <f t="shared" si="14"/>
        <v>0</v>
      </c>
      <c r="AI19" s="721">
        <f t="shared" si="14"/>
        <v>0</v>
      </c>
      <c r="AJ19" s="721">
        <f t="shared" si="12"/>
        <v>0</v>
      </c>
      <c r="AK19" s="705">
        <f t="shared" si="12"/>
        <v>0</v>
      </c>
      <c r="AL19" s="442">
        <f t="shared" si="12"/>
        <v>0</v>
      </c>
      <c r="AM19" s="435">
        <f>SUM(AM17:AM18)</f>
        <v>0</v>
      </c>
      <c r="AN19" s="436">
        <f>SUM(AN17:AN18)</f>
        <v>0</v>
      </c>
      <c r="AO19" s="442">
        <f>SUM(AO17:AO18)</f>
        <v>0</v>
      </c>
      <c r="AP19" s="442">
        <f>SUM(AP17:AP18)</f>
        <v>0</v>
      </c>
      <c r="AQ19" s="435">
        <f t="shared" ref="AQ19:AV19" si="15">SUM(AQ17:AQ18)</f>
        <v>0</v>
      </c>
      <c r="AR19" s="435">
        <f t="shared" si="15"/>
        <v>0</v>
      </c>
      <c r="AS19" s="435">
        <f t="shared" si="15"/>
        <v>0</v>
      </c>
      <c r="AT19" s="435">
        <f t="shared" si="15"/>
        <v>0</v>
      </c>
      <c r="AU19" s="435">
        <f t="shared" si="15"/>
        <v>0</v>
      </c>
      <c r="AV19" s="435">
        <f t="shared" si="15"/>
        <v>0</v>
      </c>
      <c r="AW19" s="442">
        <f t="shared" ref="AW19:BF19" si="16">SUM(AW17:AW18)</f>
        <v>0</v>
      </c>
      <c r="AX19" s="442">
        <f t="shared" si="16"/>
        <v>0</v>
      </c>
      <c r="AY19" s="442">
        <f t="shared" si="16"/>
        <v>0</v>
      </c>
      <c r="AZ19" s="442">
        <f t="shared" si="16"/>
        <v>0</v>
      </c>
      <c r="BA19" s="435">
        <f t="shared" si="16"/>
        <v>0</v>
      </c>
      <c r="BB19" s="435">
        <f t="shared" ref="BB19" si="17">SUM(BB17:BB18)</f>
        <v>0</v>
      </c>
      <c r="BC19" s="435">
        <f t="shared" ref="BC19:BD19" si="18">SUM(BC17:BC18)</f>
        <v>0</v>
      </c>
      <c r="BD19" s="435">
        <f t="shared" si="18"/>
        <v>0</v>
      </c>
      <c r="BE19" s="435">
        <f t="shared" ref="BE19" si="19">SUM(BE17:BE18)</f>
        <v>0</v>
      </c>
      <c r="BF19" s="442">
        <f t="shared" si="16"/>
        <v>0</v>
      </c>
      <c r="BG19" s="468">
        <f t="shared" si="3"/>
        <v>602604.63</v>
      </c>
    </row>
    <row r="20" spans="1:59" s="424" customFormat="1" ht="8.25" customHeight="1">
      <c r="A20" s="422"/>
      <c r="E20" s="427"/>
      <c r="F20" s="435"/>
      <c r="G20" s="435"/>
      <c r="H20" s="435"/>
      <c r="I20" s="435"/>
      <c r="J20" s="435"/>
      <c r="K20" s="436"/>
      <c r="L20" s="435"/>
      <c r="M20" s="435"/>
      <c r="N20" s="435"/>
      <c r="O20" s="435"/>
      <c r="P20" s="435"/>
      <c r="Q20" s="435"/>
      <c r="R20" s="435"/>
      <c r="S20" s="435"/>
      <c r="T20" s="436"/>
      <c r="U20" s="436"/>
      <c r="V20" s="710"/>
      <c r="W20" s="436"/>
      <c r="X20" s="435"/>
      <c r="Y20" s="435"/>
      <c r="Z20" s="442"/>
      <c r="AA20" s="436"/>
      <c r="AB20" s="710"/>
      <c r="AC20" s="434"/>
      <c r="AD20" s="436"/>
      <c r="AE20" s="436"/>
      <c r="AF20" s="436"/>
      <c r="AG20" s="436"/>
      <c r="AH20" s="436"/>
      <c r="AI20" s="721"/>
      <c r="AJ20" s="721"/>
      <c r="AK20" s="705"/>
      <c r="AL20" s="442"/>
      <c r="AM20" s="435"/>
      <c r="AN20" s="436"/>
      <c r="AO20" s="442"/>
      <c r="AP20" s="442"/>
      <c r="AQ20" s="435"/>
      <c r="AR20" s="435"/>
      <c r="AS20" s="435"/>
      <c r="AT20" s="435"/>
      <c r="AU20" s="435"/>
      <c r="AV20" s="435"/>
      <c r="AW20" s="442"/>
      <c r="AX20" s="442"/>
      <c r="AY20" s="442"/>
      <c r="AZ20" s="442"/>
      <c r="BA20" s="435"/>
      <c r="BB20" s="435"/>
      <c r="BC20" s="435"/>
      <c r="BD20" s="435"/>
      <c r="BE20" s="435"/>
      <c r="BF20" s="442"/>
      <c r="BG20" s="468"/>
    </row>
    <row r="21" spans="1:59" s="424" customFormat="1">
      <c r="A21" s="422"/>
      <c r="B21" s="424" t="s">
        <v>193</v>
      </c>
      <c r="E21" s="427"/>
      <c r="F21" s="435"/>
      <c r="G21" s="435"/>
      <c r="H21" s="435"/>
      <c r="I21" s="435"/>
      <c r="J21" s="435"/>
      <c r="K21" s="436"/>
      <c r="L21" s="435"/>
      <c r="M21" s="435"/>
      <c r="N21" s="435"/>
      <c r="O21" s="435"/>
      <c r="P21" s="435"/>
      <c r="Q21" s="435"/>
      <c r="R21" s="435"/>
      <c r="S21" s="435"/>
      <c r="T21" s="436"/>
      <c r="U21" s="436"/>
      <c r="V21" s="710"/>
      <c r="W21" s="436"/>
      <c r="X21" s="435"/>
      <c r="Y21" s="435"/>
      <c r="Z21" s="442"/>
      <c r="AA21" s="436"/>
      <c r="AB21" s="710"/>
      <c r="AC21" s="434"/>
      <c r="AD21" s="436"/>
      <c r="AE21" s="436"/>
      <c r="AF21" s="436"/>
      <c r="AG21" s="436"/>
      <c r="AH21" s="436"/>
      <c r="AI21" s="721"/>
      <c r="AJ21" s="721"/>
      <c r="AK21" s="705"/>
      <c r="AL21" s="442"/>
      <c r="AM21" s="436"/>
      <c r="AN21" s="436"/>
      <c r="AO21" s="442"/>
      <c r="AP21" s="442"/>
      <c r="AQ21" s="436"/>
      <c r="AR21" s="436"/>
      <c r="AS21" s="436"/>
      <c r="AT21" s="436"/>
      <c r="AU21" s="436"/>
      <c r="AV21" s="436"/>
      <c r="AW21" s="442"/>
      <c r="AX21" s="442"/>
      <c r="AY21" s="442"/>
      <c r="AZ21" s="442"/>
      <c r="BA21" s="436"/>
      <c r="BB21" s="436"/>
      <c r="BC21" s="436"/>
      <c r="BD21" s="436"/>
      <c r="BE21" s="436"/>
      <c r="BF21" s="442"/>
      <c r="BG21" s="468"/>
    </row>
    <row r="22" spans="1:59" s="424" customFormat="1">
      <c r="A22" s="422"/>
      <c r="B22" s="424" t="s">
        <v>194</v>
      </c>
      <c r="E22" s="427"/>
      <c r="F22" s="435"/>
      <c r="G22" s="435"/>
      <c r="H22" s="435"/>
      <c r="I22" s="435"/>
      <c r="J22" s="435"/>
      <c r="K22" s="436"/>
      <c r="L22" s="435"/>
      <c r="M22" s="435"/>
      <c r="N22" s="435"/>
      <c r="O22" s="435"/>
      <c r="P22" s="435"/>
      <c r="Q22" s="435"/>
      <c r="R22" s="435"/>
      <c r="S22" s="435"/>
      <c r="T22" s="436"/>
      <c r="U22" s="436"/>
      <c r="V22" s="710"/>
      <c r="W22" s="436"/>
      <c r="X22" s="435"/>
      <c r="Y22" s="435"/>
      <c r="Z22" s="442"/>
      <c r="AA22" s="436"/>
      <c r="AB22" s="710"/>
      <c r="AC22" s="434"/>
      <c r="AD22" s="436"/>
      <c r="AE22" s="436"/>
      <c r="AF22" s="436"/>
      <c r="AG22" s="436"/>
      <c r="AH22" s="436"/>
      <c r="AI22" s="721"/>
      <c r="AJ22" s="721"/>
      <c r="AK22" s="705"/>
      <c r="AL22" s="442"/>
      <c r="AM22" s="436"/>
      <c r="AN22" s="436"/>
      <c r="AO22" s="442"/>
      <c r="AP22" s="442"/>
      <c r="AQ22" s="436"/>
      <c r="AR22" s="436"/>
      <c r="AS22" s="436"/>
      <c r="AT22" s="436"/>
      <c r="AU22" s="436"/>
      <c r="AV22" s="436"/>
      <c r="AW22" s="442"/>
      <c r="AX22" s="442"/>
      <c r="AY22" s="442"/>
      <c r="AZ22" s="442"/>
      <c r="BA22" s="436"/>
      <c r="BB22" s="436"/>
      <c r="BC22" s="436"/>
      <c r="BD22" s="436"/>
      <c r="BE22" s="436"/>
      <c r="BF22" s="442"/>
      <c r="BG22" s="468">
        <f t="shared" ref="BG22:BG28" si="20">SUM(AC22:BF22)</f>
        <v>0</v>
      </c>
    </row>
    <row r="23" spans="1:59" s="424" customFormat="1">
      <c r="A23" s="422">
        <v>7</v>
      </c>
      <c r="C23" s="424" t="s">
        <v>195</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10">
        <v>0</v>
      </c>
      <c r="W23" s="436">
        <v>0</v>
      </c>
      <c r="X23" s="435">
        <v>300</v>
      </c>
      <c r="Y23" s="435">
        <v>-5</v>
      </c>
      <c r="Z23" s="442">
        <v>-926</v>
      </c>
      <c r="AA23" s="436">
        <v>-35686</v>
      </c>
      <c r="AB23" s="710">
        <v>0</v>
      </c>
      <c r="AC23" s="434">
        <f>SUM(E23:AB23)</f>
        <v>134241</v>
      </c>
      <c r="AD23" s="436">
        <f>5733-AD24</f>
        <v>9232</v>
      </c>
      <c r="AE23" s="436">
        <f>-447</f>
        <v>-447</v>
      </c>
      <c r="AF23" s="436">
        <v>0</v>
      </c>
      <c r="AG23" s="436">
        <v>231</v>
      </c>
      <c r="AH23" s="436">
        <v>0</v>
      </c>
      <c r="AI23" s="705">
        <f>+'[17]ADJ DETAIL-INPUT'!AI23</f>
        <v>1169</v>
      </c>
      <c r="AJ23" s="705">
        <v>0</v>
      </c>
      <c r="AK23" s="705">
        <v>392</v>
      </c>
      <c r="AL23" s="442">
        <v>0</v>
      </c>
      <c r="AM23" s="436">
        <v>0</v>
      </c>
      <c r="AN23" s="436">
        <v>0</v>
      </c>
      <c r="AO23" s="442">
        <v>0</v>
      </c>
      <c r="AP23" s="442">
        <v>0</v>
      </c>
      <c r="AQ23" s="436">
        <v>0</v>
      </c>
      <c r="AR23" s="436">
        <v>0</v>
      </c>
      <c r="AS23" s="436">
        <v>0</v>
      </c>
      <c r="AT23" s="436">
        <v>0</v>
      </c>
      <c r="AU23" s="436">
        <v>0</v>
      </c>
      <c r="AV23" s="436">
        <v>0</v>
      </c>
      <c r="AW23" s="442">
        <v>1691</v>
      </c>
      <c r="AX23" s="442">
        <v>0</v>
      </c>
      <c r="AY23" s="442">
        <v>-16</v>
      </c>
      <c r="AZ23" s="442"/>
      <c r="BA23" s="436">
        <v>0</v>
      </c>
      <c r="BB23" s="436">
        <v>0</v>
      </c>
      <c r="BC23" s="436">
        <v>0</v>
      </c>
      <c r="BD23" s="436">
        <v>0</v>
      </c>
      <c r="BE23" s="436">
        <v>0</v>
      </c>
      <c r="BF23" s="442">
        <v>0</v>
      </c>
      <c r="BG23" s="468">
        <f t="shared" si="20"/>
        <v>146493</v>
      </c>
    </row>
    <row r="24" spans="1:59" s="424" customFormat="1">
      <c r="A24" s="422">
        <v>8</v>
      </c>
      <c r="C24" s="424" t="s">
        <v>196</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10">
        <v>0</v>
      </c>
      <c r="W24" s="436">
        <v>0</v>
      </c>
      <c r="X24" s="435">
        <v>0</v>
      </c>
      <c r="Y24" s="435">
        <v>0</v>
      </c>
      <c r="Z24" s="442">
        <v>0</v>
      </c>
      <c r="AA24" s="436">
        <v>-14801</v>
      </c>
      <c r="AB24" s="710">
        <v>0</v>
      </c>
      <c r="AC24" s="434">
        <f>SUM(E24:AB24)</f>
        <v>74282</v>
      </c>
      <c r="AD24" s="436">
        <v>-3499</v>
      </c>
      <c r="AE24" s="436">
        <v>0</v>
      </c>
      <c r="AF24" s="436">
        <v>0</v>
      </c>
      <c r="AG24" s="436">
        <v>0</v>
      </c>
      <c r="AH24" s="436">
        <v>0</v>
      </c>
      <c r="AI24" s="721">
        <v>0</v>
      </c>
      <c r="AJ24" s="721">
        <v>0</v>
      </c>
      <c r="AK24" s="705"/>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36">
        <v>0</v>
      </c>
      <c r="BC24" s="436">
        <v>0</v>
      </c>
      <c r="BD24" s="436">
        <v>0</v>
      </c>
      <c r="BE24" s="436">
        <v>0</v>
      </c>
      <c r="BF24" s="442">
        <v>0</v>
      </c>
      <c r="BG24" s="468">
        <f t="shared" si="20"/>
        <v>70783</v>
      </c>
    </row>
    <row r="25" spans="1:59" s="424" customFormat="1">
      <c r="A25" s="422">
        <v>9</v>
      </c>
      <c r="C25" s="424" t="s">
        <v>548</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10">
        <v>0</v>
      </c>
      <c r="W25" s="436">
        <v>0</v>
      </c>
      <c r="X25" s="435">
        <v>0</v>
      </c>
      <c r="Y25" s="435">
        <v>0</v>
      </c>
      <c r="Z25" s="442">
        <v>0</v>
      </c>
      <c r="AA25" s="436">
        <v>0</v>
      </c>
      <c r="AB25" s="710">
        <f>2762+805</f>
        <v>3567</v>
      </c>
      <c r="AC25" s="434">
        <f>SUM(E25:AB25)</f>
        <v>36014</v>
      </c>
      <c r="AD25" s="436">
        <v>0</v>
      </c>
      <c r="AE25" s="436">
        <v>0</v>
      </c>
      <c r="AF25" s="436">
        <v>0</v>
      </c>
      <c r="AG25" s="436">
        <v>0</v>
      </c>
      <c r="AH25" s="436">
        <v>0</v>
      </c>
      <c r="AI25" s="721">
        <v>0</v>
      </c>
      <c r="AJ25" s="721">
        <v>0</v>
      </c>
      <c r="AK25" s="705">
        <v>0</v>
      </c>
      <c r="AL25" s="442">
        <v>0</v>
      </c>
      <c r="AM25" s="436">
        <v>0</v>
      </c>
      <c r="AN25" s="436">
        <v>0</v>
      </c>
      <c r="AO25" s="442">
        <v>0</v>
      </c>
      <c r="AP25" s="442">
        <v>0</v>
      </c>
      <c r="AQ25" s="436">
        <v>0</v>
      </c>
      <c r="AR25" s="436">
        <v>0</v>
      </c>
      <c r="AS25" s="436">
        <v>0</v>
      </c>
      <c r="AT25" s="436">
        <v>0</v>
      </c>
      <c r="AU25" s="436">
        <v>0</v>
      </c>
      <c r="AV25" s="436">
        <v>0</v>
      </c>
      <c r="AW25" s="442">
        <v>1709</v>
      </c>
      <c r="AX25" s="442">
        <f>+'[18]Total ADJ - include PF'!$F$10/1000</f>
        <v>763.23924999999997</v>
      </c>
      <c r="AY25" s="442">
        <v>0</v>
      </c>
      <c r="AZ25" s="442">
        <v>0</v>
      </c>
      <c r="BA25" s="436">
        <f>+[19]Electric!$L$39</f>
        <v>2959.5680000000002</v>
      </c>
      <c r="BB25" s="436">
        <v>0</v>
      </c>
      <c r="BC25" s="436">
        <v>0</v>
      </c>
      <c r="BD25" s="436">
        <v>0</v>
      </c>
      <c r="BE25" s="436">
        <v>0</v>
      </c>
      <c r="BF25" s="442"/>
      <c r="BG25" s="468">
        <f t="shared" si="20"/>
        <v>41445.807249999998</v>
      </c>
    </row>
    <row r="26" spans="1:59" s="424" customFormat="1">
      <c r="A26" s="422">
        <v>10</v>
      </c>
      <c r="C26" s="427" t="s">
        <v>545</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10">
        <v>0</v>
      </c>
      <c r="W26" s="436">
        <v>0</v>
      </c>
      <c r="X26" s="436">
        <v>0</v>
      </c>
      <c r="Y26" s="436">
        <v>0</v>
      </c>
      <c r="Z26" s="442">
        <v>0</v>
      </c>
      <c r="AA26" s="436"/>
      <c r="AB26" s="710"/>
      <c r="AC26" s="434">
        <f>SUM(E26:AB26)</f>
        <v>2620</v>
      </c>
      <c r="AD26" s="436">
        <v>0</v>
      </c>
      <c r="AE26" s="436">
        <v>0</v>
      </c>
      <c r="AF26" s="436">
        <v>0</v>
      </c>
      <c r="AG26" s="436">
        <v>-1869</v>
      </c>
      <c r="AH26" s="436">
        <v>0</v>
      </c>
      <c r="AI26" s="705"/>
      <c r="AJ26" s="705"/>
      <c r="AK26" s="705"/>
      <c r="AL26" s="442">
        <v>0</v>
      </c>
      <c r="AM26" s="436">
        <v>0</v>
      </c>
      <c r="AN26" s="436">
        <v>0</v>
      </c>
      <c r="AO26" s="442">
        <v>0</v>
      </c>
      <c r="AP26" s="442"/>
      <c r="AQ26" s="436">
        <v>0</v>
      </c>
      <c r="AR26" s="436">
        <v>0</v>
      </c>
      <c r="AS26" s="436">
        <v>0</v>
      </c>
      <c r="AT26" s="436">
        <v>0</v>
      </c>
      <c r="AU26" s="436">
        <v>0</v>
      </c>
      <c r="AV26" s="436">
        <v>0</v>
      </c>
      <c r="AW26" s="442">
        <v>0</v>
      </c>
      <c r="AX26" s="442">
        <f>+'[18]Total ADJ - include PF'!$F$11/1000</f>
        <v>-2533.8197999999988</v>
      </c>
      <c r="AY26" s="442">
        <v>0</v>
      </c>
      <c r="AZ26" s="442">
        <v>0</v>
      </c>
      <c r="BA26" s="436">
        <v>0</v>
      </c>
      <c r="BB26" s="436">
        <v>0</v>
      </c>
      <c r="BC26" s="436">
        <v>0</v>
      </c>
      <c r="BD26" s="436">
        <v>0</v>
      </c>
      <c r="BE26" s="436">
        <v>0</v>
      </c>
      <c r="BF26" s="442">
        <v>0</v>
      </c>
      <c r="BG26" s="468">
        <f t="shared" si="20"/>
        <v>-1782.8197999999988</v>
      </c>
    </row>
    <row r="27" spans="1:59" s="424" customFormat="1">
      <c r="A27" s="422">
        <v>11</v>
      </c>
      <c r="C27" s="424" t="s">
        <v>197</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12">
        <v>0</v>
      </c>
      <c r="W27" s="443">
        <v>0</v>
      </c>
      <c r="X27" s="444">
        <v>0</v>
      </c>
      <c r="Y27" s="444">
        <v>0</v>
      </c>
      <c r="Z27" s="443">
        <v>0</v>
      </c>
      <c r="AA27" s="443">
        <v>0</v>
      </c>
      <c r="AB27" s="712">
        <v>0</v>
      </c>
      <c r="AC27" s="237">
        <f>SUM(E27:AB27)</f>
        <v>16840</v>
      </c>
      <c r="AD27" s="443">
        <v>0</v>
      </c>
      <c r="AE27" s="443">
        <v>0</v>
      </c>
      <c r="AF27" s="443">
        <v>0</v>
      </c>
      <c r="AG27" s="443">
        <v>0</v>
      </c>
      <c r="AH27" s="443">
        <v>0</v>
      </c>
      <c r="AI27" s="716">
        <v>0</v>
      </c>
      <c r="AJ27" s="716">
        <v>0</v>
      </c>
      <c r="AK27" s="712">
        <v>0</v>
      </c>
      <c r="AL27" s="443">
        <v>0</v>
      </c>
      <c r="AM27" s="443">
        <v>0</v>
      </c>
      <c r="AN27" s="443">
        <v>1156</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43">
        <v>0</v>
      </c>
      <c r="BD27" s="443">
        <v>0</v>
      </c>
      <c r="BE27" s="443">
        <v>0</v>
      </c>
      <c r="BF27" s="443">
        <v>0</v>
      </c>
      <c r="BG27" s="470">
        <f t="shared" si="20"/>
        <v>17996</v>
      </c>
    </row>
    <row r="28" spans="1:59" s="424" customFormat="1">
      <c r="A28" s="422">
        <v>12</v>
      </c>
      <c r="B28" s="424" t="s">
        <v>198</v>
      </c>
      <c r="E28" s="427">
        <f t="shared" ref="E28:AJ28" si="21">SUM(E23:E27)</f>
        <v>307860</v>
      </c>
      <c r="F28" s="435">
        <f t="shared" si="21"/>
        <v>0</v>
      </c>
      <c r="G28" s="435">
        <f t="shared" si="21"/>
        <v>5</v>
      </c>
      <c r="H28" s="435">
        <f t="shared" si="21"/>
        <v>0</v>
      </c>
      <c r="I28" s="435">
        <f>SUM(I23:I27)</f>
        <v>0</v>
      </c>
      <c r="J28" s="435">
        <f t="shared" si="21"/>
        <v>0</v>
      </c>
      <c r="K28" s="436">
        <f>SUM(K23:K27)</f>
        <v>351</v>
      </c>
      <c r="L28" s="435">
        <f t="shared" si="21"/>
        <v>0</v>
      </c>
      <c r="M28" s="435">
        <f t="shared" si="21"/>
        <v>0</v>
      </c>
      <c r="N28" s="435">
        <f t="shared" si="21"/>
        <v>0</v>
      </c>
      <c r="O28" s="435">
        <f t="shared" si="21"/>
        <v>0</v>
      </c>
      <c r="P28" s="435">
        <f t="shared" si="21"/>
        <v>0</v>
      </c>
      <c r="Q28" s="435">
        <f t="shared" si="21"/>
        <v>0</v>
      </c>
      <c r="R28" s="435">
        <f t="shared" si="21"/>
        <v>0</v>
      </c>
      <c r="S28" s="435">
        <f t="shared" si="21"/>
        <v>0</v>
      </c>
      <c r="T28" s="436">
        <f t="shared" ref="T28:AB28" si="22">SUM(T23:T27)</f>
        <v>3332</v>
      </c>
      <c r="U28" s="436">
        <f t="shared" si="22"/>
        <v>0</v>
      </c>
      <c r="V28" s="710">
        <f t="shared" si="22"/>
        <v>0</v>
      </c>
      <c r="W28" s="436">
        <f t="shared" si="22"/>
        <v>0</v>
      </c>
      <c r="X28" s="435">
        <f t="shared" si="22"/>
        <v>300</v>
      </c>
      <c r="Y28" s="435">
        <f t="shared" si="22"/>
        <v>-5</v>
      </c>
      <c r="Z28" s="442">
        <f t="shared" si="22"/>
        <v>-926</v>
      </c>
      <c r="AA28" s="436">
        <f t="shared" si="22"/>
        <v>-50487</v>
      </c>
      <c r="AB28" s="710">
        <f t="shared" si="22"/>
        <v>3567</v>
      </c>
      <c r="AC28" s="434">
        <f t="shared" si="21"/>
        <v>263997</v>
      </c>
      <c r="AD28" s="436">
        <f t="shared" si="21"/>
        <v>5733</v>
      </c>
      <c r="AE28" s="436">
        <f>SUM(AE23:AE27)</f>
        <v>-447</v>
      </c>
      <c r="AF28" s="436">
        <f>SUM(AF23:AF27)</f>
        <v>0</v>
      </c>
      <c r="AG28" s="436">
        <f>SUM(AG23:AG27)</f>
        <v>-1638</v>
      </c>
      <c r="AH28" s="436">
        <f>SUM(AH23:AH27)</f>
        <v>0</v>
      </c>
      <c r="AI28" s="721">
        <f>SUM(AI23:AI27)</f>
        <v>1169</v>
      </c>
      <c r="AJ28" s="721">
        <f t="shared" si="21"/>
        <v>0</v>
      </c>
      <c r="AK28" s="705">
        <f t="shared" ref="AK28:AP28" si="23">SUM(AK23:AK27)</f>
        <v>392</v>
      </c>
      <c r="AL28" s="442">
        <f t="shared" si="23"/>
        <v>0</v>
      </c>
      <c r="AM28" s="436">
        <f t="shared" si="23"/>
        <v>0</v>
      </c>
      <c r="AN28" s="436">
        <f t="shared" si="23"/>
        <v>1156</v>
      </c>
      <c r="AO28" s="442">
        <f t="shared" si="23"/>
        <v>0</v>
      </c>
      <c r="AP28" s="442">
        <f t="shared" si="23"/>
        <v>0</v>
      </c>
      <c r="AQ28" s="436">
        <f t="shared" ref="AQ28:AV28" si="24">SUM(AQ23:AQ27)</f>
        <v>0</v>
      </c>
      <c r="AR28" s="436">
        <f t="shared" si="24"/>
        <v>0</v>
      </c>
      <c r="AS28" s="436">
        <f t="shared" si="24"/>
        <v>0</v>
      </c>
      <c r="AT28" s="436">
        <f t="shared" si="24"/>
        <v>0</v>
      </c>
      <c r="AU28" s="436">
        <f t="shared" si="24"/>
        <v>0</v>
      </c>
      <c r="AV28" s="436">
        <f t="shared" si="24"/>
        <v>0</v>
      </c>
      <c r="AW28" s="442">
        <f t="shared" ref="AW28:BF28" si="25">SUM(AW23:AW27)</f>
        <v>3400</v>
      </c>
      <c r="AX28" s="442">
        <f t="shared" si="25"/>
        <v>-1770.5805499999988</v>
      </c>
      <c r="AY28" s="442">
        <f t="shared" si="25"/>
        <v>-16</v>
      </c>
      <c r="AZ28" s="442">
        <f t="shared" si="25"/>
        <v>0</v>
      </c>
      <c r="BA28" s="436">
        <f t="shared" si="25"/>
        <v>2959.5680000000002</v>
      </c>
      <c r="BB28" s="436">
        <f t="shared" ref="BB28" si="26">SUM(BB23:BB27)</f>
        <v>0</v>
      </c>
      <c r="BC28" s="436">
        <f t="shared" ref="BC28:BD28" si="27">SUM(BC23:BC27)</f>
        <v>0</v>
      </c>
      <c r="BD28" s="436">
        <f t="shared" si="27"/>
        <v>0</v>
      </c>
      <c r="BE28" s="436">
        <f t="shared" ref="BE28" si="28">SUM(BE23:BE27)</f>
        <v>0</v>
      </c>
      <c r="BF28" s="442">
        <f t="shared" si="25"/>
        <v>0</v>
      </c>
      <c r="BG28" s="468">
        <f t="shared" si="20"/>
        <v>274934.98745000002</v>
      </c>
    </row>
    <row r="29" spans="1:59" s="424" customFormat="1" ht="8.25" customHeight="1">
      <c r="A29" s="422"/>
      <c r="E29" s="427"/>
      <c r="F29" s="435"/>
      <c r="G29" s="435"/>
      <c r="H29" s="435"/>
      <c r="I29" s="435"/>
      <c r="J29" s="435"/>
      <c r="K29" s="436"/>
      <c r="L29" s="435"/>
      <c r="M29" s="435"/>
      <c r="N29" s="435"/>
      <c r="O29" s="435"/>
      <c r="P29" s="435"/>
      <c r="Q29" s="435"/>
      <c r="R29" s="435"/>
      <c r="S29" s="435"/>
      <c r="T29" s="436"/>
      <c r="U29" s="436"/>
      <c r="V29" s="710"/>
      <c r="W29" s="436"/>
      <c r="X29" s="435"/>
      <c r="Y29" s="435"/>
      <c r="Z29" s="442"/>
      <c r="AA29" s="436"/>
      <c r="AB29" s="710"/>
      <c r="AC29" s="434"/>
      <c r="AD29" s="436"/>
      <c r="AE29" s="436"/>
      <c r="AF29" s="436"/>
      <c r="AG29" s="436"/>
      <c r="AH29" s="436"/>
      <c r="AI29" s="721"/>
      <c r="AJ29" s="721"/>
      <c r="AK29" s="705"/>
      <c r="AL29" s="442"/>
      <c r="AM29" s="436"/>
      <c r="AN29" s="436"/>
      <c r="AO29" s="442"/>
      <c r="AP29" s="442"/>
      <c r="AQ29" s="436"/>
      <c r="AR29" s="436"/>
      <c r="AS29" s="436"/>
      <c r="AT29" s="436"/>
      <c r="AU29" s="436"/>
      <c r="AV29" s="436"/>
      <c r="AW29" s="442"/>
      <c r="AX29" s="442"/>
      <c r="AY29" s="442"/>
      <c r="AZ29" s="442"/>
      <c r="BA29" s="436"/>
      <c r="BB29" s="436"/>
      <c r="BC29" s="436"/>
      <c r="BD29" s="436"/>
      <c r="BE29" s="436"/>
      <c r="BF29" s="442"/>
      <c r="BG29" s="468"/>
    </row>
    <row r="30" spans="1:59" s="424" customFormat="1">
      <c r="A30" s="422"/>
      <c r="B30" s="424" t="s">
        <v>199</v>
      </c>
      <c r="E30" s="427"/>
      <c r="F30" s="435"/>
      <c r="G30" s="435"/>
      <c r="H30" s="435"/>
      <c r="I30" s="435"/>
      <c r="J30" s="435"/>
      <c r="K30" s="436"/>
      <c r="L30" s="435"/>
      <c r="M30" s="435"/>
      <c r="N30" s="435"/>
      <c r="O30" s="435"/>
      <c r="P30" s="435"/>
      <c r="Q30" s="435"/>
      <c r="R30" s="435"/>
      <c r="S30" s="435"/>
      <c r="T30" s="436"/>
      <c r="U30" s="436"/>
      <c r="V30" s="710"/>
      <c r="W30" s="436"/>
      <c r="X30" s="435"/>
      <c r="Y30" s="435"/>
      <c r="Z30" s="442"/>
      <c r="AA30" s="436"/>
      <c r="AB30" s="710"/>
      <c r="AC30" s="434"/>
      <c r="AD30" s="436"/>
      <c r="AE30" s="436"/>
      <c r="AF30" s="436"/>
      <c r="AG30" s="436"/>
      <c r="AH30" s="436"/>
      <c r="AI30" s="721"/>
      <c r="AJ30" s="721"/>
      <c r="AK30" s="705"/>
      <c r="AL30" s="442"/>
      <c r="AM30" s="436"/>
      <c r="AN30" s="436"/>
      <c r="AO30" s="442"/>
      <c r="AP30" s="442"/>
      <c r="AQ30" s="436"/>
      <c r="AR30" s="436"/>
      <c r="AS30" s="436"/>
      <c r="AT30" s="436"/>
      <c r="AU30" s="436"/>
      <c r="AV30" s="436"/>
      <c r="AW30" s="442"/>
      <c r="AX30" s="442"/>
      <c r="AY30" s="442"/>
      <c r="AZ30" s="442"/>
      <c r="BA30" s="436"/>
      <c r="BB30" s="436"/>
      <c r="BC30" s="436"/>
      <c r="BD30" s="436"/>
      <c r="BE30" s="436"/>
      <c r="BF30" s="442"/>
      <c r="BG30" s="468">
        <f>SUM(AC30:BF30)</f>
        <v>0</v>
      </c>
    </row>
    <row r="31" spans="1:59" s="424" customFormat="1">
      <c r="A31" s="422">
        <v>13</v>
      </c>
      <c r="C31" s="424" t="s">
        <v>195</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10"/>
      <c r="W31" s="436">
        <v>0</v>
      </c>
      <c r="X31" s="435">
        <v>0</v>
      </c>
      <c r="Y31" s="435">
        <v>0</v>
      </c>
      <c r="Z31" s="442">
        <v>0</v>
      </c>
      <c r="AA31" s="436">
        <v>0</v>
      </c>
      <c r="AB31" s="710">
        <v>0</v>
      </c>
      <c r="AC31" s="434">
        <f>SUM(E31:AB31)</f>
        <v>26747</v>
      </c>
      <c r="AD31" s="436">
        <v>0</v>
      </c>
      <c r="AE31" s="436">
        <v>0</v>
      </c>
      <c r="AF31" s="436">
        <v>0</v>
      </c>
      <c r="AG31" s="436">
        <v>0</v>
      </c>
      <c r="AH31" s="436">
        <v>0</v>
      </c>
      <c r="AI31" s="705">
        <f>+'[17]ADJ DETAIL-INPUT'!AI31</f>
        <v>713</v>
      </c>
      <c r="AJ31" s="721"/>
      <c r="AK31" s="705">
        <v>247</v>
      </c>
      <c r="AL31" s="442">
        <v>0</v>
      </c>
      <c r="AM31" s="436">
        <v>0</v>
      </c>
      <c r="AN31" s="436">
        <v>0</v>
      </c>
      <c r="AO31" s="442">
        <v>0</v>
      </c>
      <c r="AP31" s="442">
        <v>0</v>
      </c>
      <c r="AQ31" s="436">
        <v>0</v>
      </c>
      <c r="AR31" s="436">
        <v>0</v>
      </c>
      <c r="AS31" s="436">
        <v>0</v>
      </c>
      <c r="AT31" s="436">
        <v>0</v>
      </c>
      <c r="AU31" s="436"/>
      <c r="AV31" s="436">
        <v>1799</v>
      </c>
      <c r="AW31" s="442">
        <v>0</v>
      </c>
      <c r="AX31" s="442">
        <v>0</v>
      </c>
      <c r="AY31" s="442">
        <v>0</v>
      </c>
      <c r="AZ31" s="442"/>
      <c r="BA31" s="436">
        <v>0</v>
      </c>
      <c r="BB31" s="436">
        <v>0</v>
      </c>
      <c r="BC31" s="436">
        <v>0</v>
      </c>
      <c r="BD31" s="436">
        <v>0</v>
      </c>
      <c r="BE31" s="436">
        <v>0</v>
      </c>
      <c r="BF31" s="442">
        <v>0</v>
      </c>
      <c r="BG31" s="468">
        <f>SUM(AC31:BF31)</f>
        <v>29506</v>
      </c>
    </row>
    <row r="32" spans="1:59" s="424" customFormat="1">
      <c r="A32" s="422">
        <v>14</v>
      </c>
      <c r="C32" s="424" t="s">
        <v>547</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10">
        <v>0</v>
      </c>
      <c r="W32" s="436">
        <v>0</v>
      </c>
      <c r="X32" s="435">
        <v>0</v>
      </c>
      <c r="Y32" s="435">
        <v>0</v>
      </c>
      <c r="Z32" s="442">
        <v>0</v>
      </c>
      <c r="AA32" s="436">
        <v>0</v>
      </c>
      <c r="AB32" s="710">
        <v>-1363</v>
      </c>
      <c r="AC32" s="434">
        <f>SUM(E32:AB32)</f>
        <v>29711</v>
      </c>
      <c r="AD32" s="436">
        <v>0</v>
      </c>
      <c r="AE32" s="436">
        <v>0</v>
      </c>
      <c r="AF32" s="436">
        <v>0</v>
      </c>
      <c r="AG32" s="436">
        <v>0</v>
      </c>
      <c r="AH32" s="436">
        <v>0</v>
      </c>
      <c r="AI32" s="721"/>
      <c r="AJ32" s="721">
        <v>0</v>
      </c>
      <c r="AK32" s="705">
        <v>0</v>
      </c>
      <c r="AL32" s="442">
        <v>0</v>
      </c>
      <c r="AM32" s="436">
        <v>0</v>
      </c>
      <c r="AN32" s="436">
        <v>0</v>
      </c>
      <c r="AO32" s="442">
        <v>0</v>
      </c>
      <c r="AP32" s="442">
        <v>0</v>
      </c>
      <c r="AQ32" s="436">
        <v>0</v>
      </c>
      <c r="AR32" s="436">
        <v>0</v>
      </c>
      <c r="AS32" s="436">
        <v>0</v>
      </c>
      <c r="AT32" s="436">
        <v>0</v>
      </c>
      <c r="AU32" s="436">
        <f>2671-737</f>
        <v>1934</v>
      </c>
      <c r="AV32" s="436">
        <v>0</v>
      </c>
      <c r="AW32" s="442">
        <v>0</v>
      </c>
      <c r="AX32" s="442">
        <v>0</v>
      </c>
      <c r="AY32" s="442">
        <v>0</v>
      </c>
      <c r="AZ32" s="442">
        <v>0</v>
      </c>
      <c r="BA32" s="436">
        <f>+[19]Electric!$L$40</f>
        <v>2371.2036226647037</v>
      </c>
      <c r="BB32" s="436">
        <v>0</v>
      </c>
      <c r="BC32" s="436">
        <v>0</v>
      </c>
      <c r="BD32" s="436">
        <v>0</v>
      </c>
      <c r="BE32" s="436">
        <v>0</v>
      </c>
      <c r="BF32" s="442"/>
      <c r="BG32" s="468">
        <f>SUM(AC32:BF32)</f>
        <v>34016.203622664703</v>
      </c>
    </row>
    <row r="33" spans="1:64" s="424" customFormat="1">
      <c r="A33" s="422"/>
      <c r="C33" s="427" t="s">
        <v>545</v>
      </c>
      <c r="E33" s="431">
        <f>'ROO INPUT'!F33</f>
        <v>0</v>
      </c>
      <c r="F33" s="435"/>
      <c r="G33" s="435"/>
      <c r="H33" s="435"/>
      <c r="I33" s="435"/>
      <c r="J33" s="435"/>
      <c r="K33" s="436"/>
      <c r="L33" s="435"/>
      <c r="M33" s="435"/>
      <c r="N33" s="435"/>
      <c r="O33" s="435"/>
      <c r="P33" s="435"/>
      <c r="Q33" s="435"/>
      <c r="R33" s="435"/>
      <c r="S33" s="435"/>
      <c r="T33" s="436"/>
      <c r="U33" s="436"/>
      <c r="V33" s="710"/>
      <c r="W33" s="436"/>
      <c r="X33" s="435"/>
      <c r="Y33" s="435"/>
      <c r="Z33" s="442"/>
      <c r="AA33" s="436"/>
      <c r="AB33" s="710"/>
      <c r="AC33" s="434">
        <f>SUM(E33:AB33)</f>
        <v>0</v>
      </c>
      <c r="AD33" s="436"/>
      <c r="AE33" s="436"/>
      <c r="AF33" s="436"/>
      <c r="AG33" s="436"/>
      <c r="AH33" s="436"/>
      <c r="AI33" s="721"/>
      <c r="AJ33" s="721"/>
      <c r="AK33" s="705"/>
      <c r="AL33" s="442"/>
      <c r="AM33" s="436"/>
      <c r="AN33" s="436"/>
      <c r="AO33" s="442"/>
      <c r="AP33" s="442"/>
      <c r="AQ33" s="436"/>
      <c r="AR33" s="436"/>
      <c r="AS33" s="436"/>
      <c r="AT33" s="436"/>
      <c r="AU33" s="436"/>
      <c r="AV33" s="436"/>
      <c r="AW33" s="442"/>
      <c r="AX33" s="442"/>
      <c r="AY33" s="442"/>
      <c r="AZ33" s="442"/>
      <c r="BA33" s="436"/>
      <c r="BB33" s="436"/>
      <c r="BC33" s="436"/>
      <c r="BD33" s="436"/>
      <c r="BE33" s="436"/>
      <c r="BF33" s="442"/>
      <c r="BG33" s="468"/>
    </row>
    <row r="34" spans="1:64" s="424" customFormat="1">
      <c r="A34" s="422">
        <v>15</v>
      </c>
      <c r="C34" s="424" t="s">
        <v>197</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12">
        <v>0</v>
      </c>
      <c r="W34" s="443">
        <v>0</v>
      </c>
      <c r="X34" s="444">
        <f>ROUND(X$14*'CF '!$E$16,0)</f>
        <v>67</v>
      </c>
      <c r="Y34" s="444">
        <v>0</v>
      </c>
      <c r="Z34" s="443">
        <v>0</v>
      </c>
      <c r="AA34" s="443">
        <v>0</v>
      </c>
      <c r="AB34" s="712">
        <v>0</v>
      </c>
      <c r="AC34" s="237">
        <f>SUM(E34:AB34)</f>
        <v>28381</v>
      </c>
      <c r="AD34" s="444">
        <f>ROUND(AD$14*'CF '!$E$16,0)</f>
        <v>0</v>
      </c>
      <c r="AE34" s="444"/>
      <c r="AF34" s="444">
        <f>ROUND(AF$14*'CF '!$E$16,0)</f>
        <v>1028</v>
      </c>
      <c r="AG34" s="443">
        <v>0</v>
      </c>
      <c r="AH34" s="443">
        <v>0</v>
      </c>
      <c r="AI34" s="716">
        <v>0</v>
      </c>
      <c r="AJ34" s="716">
        <v>0</v>
      </c>
      <c r="AK34" s="712">
        <v>0</v>
      </c>
      <c r="AL34" s="443">
        <v>0</v>
      </c>
      <c r="AM34" s="443">
        <v>0</v>
      </c>
      <c r="AN34" s="443">
        <v>552</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43">
        <v>0</v>
      </c>
      <c r="BD34" s="443">
        <v>0</v>
      </c>
      <c r="BE34" s="443">
        <v>0</v>
      </c>
      <c r="BF34" s="443">
        <v>0</v>
      </c>
      <c r="BG34" s="470">
        <f>SUM(AC34:BF34)</f>
        <v>29961</v>
      </c>
      <c r="BI34" s="791"/>
    </row>
    <row r="35" spans="1:64" s="424" customFormat="1">
      <c r="A35" s="422">
        <v>16</v>
      </c>
      <c r="B35" s="424" t="s">
        <v>200</v>
      </c>
      <c r="E35" s="427">
        <f t="shared" ref="E35:BF35" si="29">SUM(E31:E34)</f>
        <v>105301</v>
      </c>
      <c r="F35" s="435">
        <f t="shared" si="29"/>
        <v>0</v>
      </c>
      <c r="G35" s="435">
        <f t="shared" si="29"/>
        <v>0</v>
      </c>
      <c r="H35" s="435">
        <f t="shared" si="29"/>
        <v>0</v>
      </c>
      <c r="I35" s="435">
        <f t="shared" si="29"/>
        <v>0</v>
      </c>
      <c r="J35" s="435">
        <f t="shared" si="29"/>
        <v>-18805</v>
      </c>
      <c r="K35" s="436">
        <f t="shared" si="29"/>
        <v>650</v>
      </c>
      <c r="L35" s="435">
        <f t="shared" si="29"/>
        <v>0</v>
      </c>
      <c r="M35" s="435">
        <f t="shared" si="29"/>
        <v>0</v>
      </c>
      <c r="N35" s="435">
        <f t="shared" si="29"/>
        <v>0</v>
      </c>
      <c r="O35" s="435">
        <f t="shared" si="29"/>
        <v>0</v>
      </c>
      <c r="P35" s="435">
        <f t="shared" si="29"/>
        <v>0</v>
      </c>
      <c r="Q35" s="435">
        <f t="shared" si="29"/>
        <v>34</v>
      </c>
      <c r="R35" s="435">
        <f t="shared" si="29"/>
        <v>-58</v>
      </c>
      <c r="S35" s="435">
        <f t="shared" si="29"/>
        <v>-148</v>
      </c>
      <c r="T35" s="436">
        <f t="shared" si="29"/>
        <v>-839</v>
      </c>
      <c r="U35" s="436">
        <f t="shared" si="29"/>
        <v>0</v>
      </c>
      <c r="V35" s="710">
        <f>SUM(V31:V34)</f>
        <v>0</v>
      </c>
      <c r="W35" s="436">
        <f>SUM(W31:W34)</f>
        <v>0</v>
      </c>
      <c r="X35" s="435">
        <f t="shared" si="29"/>
        <v>67</v>
      </c>
      <c r="Y35" s="435">
        <f t="shared" si="29"/>
        <v>0</v>
      </c>
      <c r="Z35" s="442">
        <f t="shared" si="29"/>
        <v>0</v>
      </c>
      <c r="AA35" s="436">
        <f t="shared" si="29"/>
        <v>0</v>
      </c>
      <c r="AB35" s="710">
        <f t="shared" si="29"/>
        <v>-1363</v>
      </c>
      <c r="AC35" s="434">
        <f>SUM(AC31:AC34)</f>
        <v>84839</v>
      </c>
      <c r="AD35" s="436">
        <f t="shared" si="29"/>
        <v>0</v>
      </c>
      <c r="AE35" s="436">
        <f>SUM(AE31:AE34)</f>
        <v>0</v>
      </c>
      <c r="AF35" s="436">
        <f>SUM(AF31:AF34)</f>
        <v>1028</v>
      </c>
      <c r="AG35" s="436">
        <f t="shared" si="29"/>
        <v>0</v>
      </c>
      <c r="AH35" s="436">
        <f>SUM(AH31:AH34)</f>
        <v>0</v>
      </c>
      <c r="AI35" s="721">
        <f t="shared" si="29"/>
        <v>713</v>
      </c>
      <c r="AJ35" s="721">
        <f t="shared" si="29"/>
        <v>0</v>
      </c>
      <c r="AK35" s="705">
        <f t="shared" si="29"/>
        <v>247</v>
      </c>
      <c r="AL35" s="442">
        <f>SUM(AL31:AL34)</f>
        <v>0</v>
      </c>
      <c r="AM35" s="436">
        <f t="shared" si="29"/>
        <v>0</v>
      </c>
      <c r="AN35" s="436">
        <f t="shared" si="29"/>
        <v>552</v>
      </c>
      <c r="AO35" s="442">
        <f>SUM(AO31:AO34)</f>
        <v>0</v>
      </c>
      <c r="AP35" s="442">
        <f t="shared" si="29"/>
        <v>0</v>
      </c>
      <c r="AQ35" s="436">
        <f t="shared" ref="AQ35:AX35" si="30">SUM(AQ31:AQ34)</f>
        <v>0</v>
      </c>
      <c r="AR35" s="436">
        <f t="shared" si="30"/>
        <v>0</v>
      </c>
      <c r="AS35" s="436">
        <f t="shared" si="30"/>
        <v>0</v>
      </c>
      <c r="AT35" s="436">
        <f t="shared" si="30"/>
        <v>0</v>
      </c>
      <c r="AU35" s="436">
        <f t="shared" si="30"/>
        <v>1934</v>
      </c>
      <c r="AV35" s="436">
        <f t="shared" si="30"/>
        <v>1799</v>
      </c>
      <c r="AW35" s="442">
        <f t="shared" si="30"/>
        <v>0</v>
      </c>
      <c r="AX35" s="442">
        <f t="shared" si="30"/>
        <v>0</v>
      </c>
      <c r="AY35" s="442">
        <f t="shared" si="29"/>
        <v>0</v>
      </c>
      <c r="AZ35" s="442">
        <f t="shared" ref="AZ35:BE35" si="31">SUM(AZ31:AZ34)</f>
        <v>0</v>
      </c>
      <c r="BA35" s="436">
        <f t="shared" si="31"/>
        <v>2371.2036226647037</v>
      </c>
      <c r="BB35" s="436">
        <f t="shared" si="31"/>
        <v>0</v>
      </c>
      <c r="BC35" s="436">
        <f t="shared" si="31"/>
        <v>0</v>
      </c>
      <c r="BD35" s="436">
        <f t="shared" si="31"/>
        <v>0</v>
      </c>
      <c r="BE35" s="436">
        <f t="shared" si="31"/>
        <v>0</v>
      </c>
      <c r="BF35" s="442">
        <f t="shared" si="29"/>
        <v>0</v>
      </c>
      <c r="BG35" s="468">
        <f>SUM(AC35:BF35)</f>
        <v>93483.203622664703</v>
      </c>
      <c r="BI35" s="791"/>
    </row>
    <row r="36" spans="1:64" s="424" customFormat="1" ht="5.25" customHeight="1">
      <c r="E36" s="427"/>
      <c r="F36" s="435"/>
      <c r="G36" s="435"/>
      <c r="H36" s="435"/>
      <c r="I36" s="435"/>
      <c r="J36" s="435"/>
      <c r="K36" s="436"/>
      <c r="L36" s="435"/>
      <c r="M36" s="435"/>
      <c r="N36" s="435"/>
      <c r="O36" s="435"/>
      <c r="P36" s="435"/>
      <c r="Q36" s="435"/>
      <c r="R36" s="435"/>
      <c r="S36" s="435"/>
      <c r="T36" s="436"/>
      <c r="U36" s="436"/>
      <c r="V36" s="710"/>
      <c r="W36" s="436"/>
      <c r="X36" s="435"/>
      <c r="Y36" s="435"/>
      <c r="Z36" s="442"/>
      <c r="AA36" s="436"/>
      <c r="AB36" s="710"/>
      <c r="AC36" s="434"/>
      <c r="AD36" s="436"/>
      <c r="AE36" s="436"/>
      <c r="AF36" s="436"/>
      <c r="AG36" s="436"/>
      <c r="AH36" s="436"/>
      <c r="AI36" s="721"/>
      <c r="AJ36" s="721"/>
      <c r="AK36" s="705"/>
      <c r="AL36" s="442"/>
      <c r="AM36" s="436"/>
      <c r="AN36" s="436"/>
      <c r="AO36" s="442"/>
      <c r="AP36" s="442"/>
      <c r="AQ36" s="436"/>
      <c r="AR36" s="436"/>
      <c r="AS36" s="436"/>
      <c r="AT36" s="436"/>
      <c r="AU36" s="436"/>
      <c r="AV36" s="436"/>
      <c r="AW36" s="442"/>
      <c r="AX36" s="442"/>
      <c r="AY36" s="442"/>
      <c r="AZ36" s="442"/>
      <c r="BA36" s="436"/>
      <c r="BB36" s="436"/>
      <c r="BC36" s="436"/>
      <c r="BD36" s="436"/>
      <c r="BE36" s="436"/>
      <c r="BF36" s="442"/>
      <c r="BG36" s="468"/>
      <c r="BI36" s="791"/>
    </row>
    <row r="37" spans="1:64" s="424" customFormat="1">
      <c r="A37" s="422">
        <v>17</v>
      </c>
      <c r="B37" s="424" t="s">
        <v>201</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10">
        <v>0</v>
      </c>
      <c r="W37" s="436">
        <v>0</v>
      </c>
      <c r="X37" s="436">
        <f>ROUND(X$14*'CF '!$E$12,0)+5</f>
        <v>11</v>
      </c>
      <c r="Y37" s="435">
        <v>0</v>
      </c>
      <c r="Z37" s="442">
        <v>0</v>
      </c>
      <c r="AA37" s="436">
        <v>0</v>
      </c>
      <c r="AB37" s="710">
        <v>0</v>
      </c>
      <c r="AC37" s="434">
        <f>SUM(E37:AB37)</f>
        <v>11331</v>
      </c>
      <c r="AD37" s="435">
        <f>ROUND(AD$14*'CF '!$E$12,0)</f>
        <v>0</v>
      </c>
      <c r="AE37" s="435"/>
      <c r="AF37" s="435">
        <f>ROUND(AF$14*'CF '!$E$12,0)</f>
        <v>89</v>
      </c>
      <c r="AG37" s="436">
        <v>0</v>
      </c>
      <c r="AH37" s="436">
        <v>0</v>
      </c>
      <c r="AI37" s="705">
        <f>+'[17]ADJ DETAIL-INPUT'!AI37</f>
        <v>315</v>
      </c>
      <c r="AJ37" s="721">
        <v>0</v>
      </c>
      <c r="AK37" s="705">
        <v>112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36">
        <v>0</v>
      </c>
      <c r="BC37" s="436">
        <v>0</v>
      </c>
      <c r="BD37" s="436">
        <v>0</v>
      </c>
      <c r="BE37" s="436">
        <v>0</v>
      </c>
      <c r="BF37" s="442">
        <v>0</v>
      </c>
      <c r="BG37" s="468">
        <f>SUM(AC37:BF37)</f>
        <v>11944</v>
      </c>
      <c r="BI37" s="791"/>
    </row>
    <row r="38" spans="1:64" s="424" customFormat="1" ht="12.75" customHeight="1" thickBot="1">
      <c r="A38" s="422">
        <v>18</v>
      </c>
      <c r="B38" s="424" t="s">
        <v>202</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10">
        <v>0</v>
      </c>
      <c r="W38" s="436">
        <v>0</v>
      </c>
      <c r="X38" s="435">
        <v>0</v>
      </c>
      <c r="Y38" s="435">
        <v>0</v>
      </c>
      <c r="Z38" s="442">
        <v>0</v>
      </c>
      <c r="AA38" s="436">
        <v>0</v>
      </c>
      <c r="AB38" s="710">
        <v>0</v>
      </c>
      <c r="AC38" s="434">
        <f>SUM(E38:AB38)</f>
        <v>1598</v>
      </c>
      <c r="AD38" s="436">
        <v>0</v>
      </c>
      <c r="AE38" s="436">
        <v>0</v>
      </c>
      <c r="AF38" s="436">
        <v>0</v>
      </c>
      <c r="AG38" s="436">
        <v>0</v>
      </c>
      <c r="AH38" s="436">
        <v>0</v>
      </c>
      <c r="AI38" s="705">
        <f>+'[17]ADJ DETAIL-INPUT'!AI38</f>
        <v>25</v>
      </c>
      <c r="AJ38" s="721">
        <v>0</v>
      </c>
      <c r="AK38" s="705">
        <v>11</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36">
        <v>0</v>
      </c>
      <c r="BC38" s="436">
        <v>0</v>
      </c>
      <c r="BD38" s="436">
        <v>0</v>
      </c>
      <c r="BE38" s="436">
        <v>0</v>
      </c>
      <c r="BF38" s="442">
        <v>0</v>
      </c>
      <c r="BG38" s="468">
        <f>SUM(AC38:BF38)</f>
        <v>1634</v>
      </c>
    </row>
    <row r="39" spans="1:64" s="424" customFormat="1" ht="12" customHeight="1">
      <c r="A39" s="422">
        <v>19</v>
      </c>
      <c r="B39" s="424" t="s">
        <v>203</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10">
        <v>0</v>
      </c>
      <c r="W39" s="436">
        <v>0</v>
      </c>
      <c r="X39" s="435">
        <v>0</v>
      </c>
      <c r="Y39" s="435">
        <v>0</v>
      </c>
      <c r="Z39" s="442">
        <v>0</v>
      </c>
      <c r="AA39" s="436">
        <v>0</v>
      </c>
      <c r="AB39" s="710">
        <v>0</v>
      </c>
      <c r="AC39" s="434">
        <f>SUM(E39:AB39)</f>
        <v>0</v>
      </c>
      <c r="AD39" s="436">
        <v>0</v>
      </c>
      <c r="AE39" s="436">
        <v>0</v>
      </c>
      <c r="AF39" s="436">
        <v>0</v>
      </c>
      <c r="AG39" s="436">
        <v>0</v>
      </c>
      <c r="AH39" s="436">
        <v>0</v>
      </c>
      <c r="AI39" s="721"/>
      <c r="AJ39" s="721"/>
      <c r="AK39" s="705"/>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36">
        <v>0</v>
      </c>
      <c r="BC39" s="436">
        <v>0</v>
      </c>
      <c r="BD39" s="436">
        <v>0</v>
      </c>
      <c r="BE39" s="436">
        <v>0</v>
      </c>
      <c r="BF39" s="442">
        <v>0</v>
      </c>
      <c r="BG39" s="468">
        <f>SUM(AC39:BF39)</f>
        <v>0</v>
      </c>
      <c r="BJ39" s="936" t="s">
        <v>785</v>
      </c>
      <c r="BK39" s="785"/>
      <c r="BL39" s="409"/>
    </row>
    <row r="40" spans="1:64" s="424" customFormat="1" ht="11.25" customHeight="1">
      <c r="A40" s="422"/>
      <c r="E40" s="427"/>
      <c r="F40" s="435"/>
      <c r="G40" s="435"/>
      <c r="H40" s="435"/>
      <c r="I40" s="435"/>
      <c r="J40" s="435"/>
      <c r="K40" s="436"/>
      <c r="L40" s="435"/>
      <c r="M40" s="435"/>
      <c r="N40" s="435"/>
      <c r="O40" s="435"/>
      <c r="P40" s="435"/>
      <c r="Q40" s="435"/>
      <c r="R40" s="435"/>
      <c r="S40" s="435"/>
      <c r="T40" s="436"/>
      <c r="U40" s="436"/>
      <c r="V40" s="710"/>
      <c r="W40" s="436"/>
      <c r="X40" s="435"/>
      <c r="Y40" s="435"/>
      <c r="Z40" s="442"/>
      <c r="AA40" s="436"/>
      <c r="AB40" s="710"/>
      <c r="AC40" s="434"/>
      <c r="AD40" s="436"/>
      <c r="AE40" s="436"/>
      <c r="AF40" s="436"/>
      <c r="AG40" s="436"/>
      <c r="AH40" s="436"/>
      <c r="AI40" s="721"/>
      <c r="AJ40" s="721"/>
      <c r="AK40" s="705"/>
      <c r="AL40" s="442"/>
      <c r="AM40" s="436"/>
      <c r="AN40" s="436"/>
      <c r="AO40" s="442"/>
      <c r="AP40" s="442"/>
      <c r="AQ40" s="436"/>
      <c r="AR40" s="436"/>
      <c r="AS40" s="436"/>
      <c r="AT40" s="436"/>
      <c r="AU40" s="436"/>
      <c r="AV40" s="436"/>
      <c r="AW40" s="442"/>
      <c r="AX40" s="442"/>
      <c r="AY40" s="442"/>
      <c r="AZ40" s="442"/>
      <c r="BA40" s="436"/>
      <c r="BB40" s="436"/>
      <c r="BC40" s="436"/>
      <c r="BD40" s="436"/>
      <c r="BE40" s="436"/>
      <c r="BF40" s="442"/>
      <c r="BG40" s="468"/>
      <c r="BJ40" s="937"/>
      <c r="BK40" s="793" t="e">
        <f>-#REF!/'CF '!E24</f>
        <v>#REF!</v>
      </c>
      <c r="BL40" s="423" t="s">
        <v>783</v>
      </c>
    </row>
    <row r="41" spans="1:64" s="424" customFormat="1" ht="12.75" thickBot="1">
      <c r="B41" s="424" t="s">
        <v>204</v>
      </c>
      <c r="E41" s="427"/>
      <c r="F41" s="435"/>
      <c r="G41" s="435"/>
      <c r="H41" s="435"/>
      <c r="I41" s="435"/>
      <c r="J41" s="435"/>
      <c r="K41" s="436"/>
      <c r="L41" s="435"/>
      <c r="M41" s="435"/>
      <c r="N41" s="435"/>
      <c r="O41" s="435"/>
      <c r="P41" s="435"/>
      <c r="Q41" s="435"/>
      <c r="R41" s="435"/>
      <c r="S41" s="435"/>
      <c r="T41" s="436"/>
      <c r="U41" s="436"/>
      <c r="V41" s="710"/>
      <c r="W41" s="436"/>
      <c r="X41" s="435"/>
      <c r="Y41" s="435"/>
      <c r="Z41" s="442"/>
      <c r="AA41" s="436"/>
      <c r="AB41" s="710"/>
      <c r="AC41" s="434"/>
      <c r="AD41" s="436"/>
      <c r="AE41" s="436"/>
      <c r="AF41" s="436"/>
      <c r="AG41" s="436"/>
      <c r="AH41" s="436"/>
      <c r="AI41" s="721"/>
      <c r="AJ41" s="721"/>
      <c r="AK41" s="705"/>
      <c r="AL41" s="442"/>
      <c r="AM41" s="436"/>
      <c r="AN41" s="436"/>
      <c r="AO41" s="442"/>
      <c r="AP41" s="442"/>
      <c r="AQ41" s="436"/>
      <c r="AR41" s="436"/>
      <c r="AS41" s="436"/>
      <c r="AT41" s="436"/>
      <c r="AU41" s="436"/>
      <c r="AV41" s="436"/>
      <c r="AW41" s="442"/>
      <c r="AX41" s="442"/>
      <c r="AY41" s="442"/>
      <c r="AZ41" s="442"/>
      <c r="BA41" s="436"/>
      <c r="BB41" s="436"/>
      <c r="BC41" s="436"/>
      <c r="BD41" s="436"/>
      <c r="BE41" s="436"/>
      <c r="BF41" s="442"/>
      <c r="BG41" s="468"/>
      <c r="BJ41" s="792" t="e">
        <f>BK40+BK41</f>
        <v>#REF!</v>
      </c>
      <c r="BK41" s="794" t="e">
        <f>#REF!*'RR SUMMARY'!L15/'CF '!E24*-1</f>
        <v>#REF!</v>
      </c>
      <c r="BL41" s="424" t="s">
        <v>784</v>
      </c>
    </row>
    <row r="42" spans="1:64" s="424" customFormat="1">
      <c r="A42" s="422">
        <v>20</v>
      </c>
      <c r="C42" s="424" t="s">
        <v>195</v>
      </c>
      <c r="E42" s="431">
        <f>'ROO INPUT'!F42</f>
        <v>55880</v>
      </c>
      <c r="F42" s="435">
        <v>0</v>
      </c>
      <c r="G42" s="435">
        <v>0</v>
      </c>
      <c r="H42" s="435">
        <v>0</v>
      </c>
      <c r="I42" s="435">
        <v>0</v>
      </c>
      <c r="J42" s="435">
        <v>0</v>
      </c>
      <c r="K42" s="435">
        <v>0</v>
      </c>
      <c r="L42" s="435">
        <v>0</v>
      </c>
      <c r="M42" s="435">
        <v>-372</v>
      </c>
      <c r="N42" s="435">
        <v>51</v>
      </c>
      <c r="O42" s="435">
        <v>0</v>
      </c>
      <c r="P42" s="435">
        <v>-52</v>
      </c>
      <c r="Q42" s="435">
        <v>0</v>
      </c>
      <c r="R42" s="435">
        <v>0</v>
      </c>
      <c r="S42" s="435">
        <f>ROUND(S$14*'CF '!$E$14,0)</f>
        <v>-8</v>
      </c>
      <c r="T42" s="435">
        <f>ROUND(T$14*'CF '!$E$14,0)</f>
        <v>-43</v>
      </c>
      <c r="U42" s="436">
        <v>-1232</v>
      </c>
      <c r="V42" s="710">
        <v>753</v>
      </c>
      <c r="W42" s="436">
        <v>0</v>
      </c>
      <c r="X42" s="435">
        <f>ROUND(X$14*'CF '!$E$14,0)</f>
        <v>3</v>
      </c>
      <c r="Y42" s="435">
        <v>0</v>
      </c>
      <c r="Z42" s="442">
        <v>0</v>
      </c>
      <c r="AA42" s="436">
        <v>0</v>
      </c>
      <c r="AB42" s="710">
        <v>0</v>
      </c>
      <c r="AC42" s="434">
        <f>SUM(E42:AB42)</f>
        <v>54980</v>
      </c>
      <c r="AD42" s="435">
        <f>ROUND(AD$14*'CF '!$E$14,0)</f>
        <v>0</v>
      </c>
      <c r="AE42" s="435"/>
      <c r="AF42" s="435">
        <f>ROUND(AF$14*'CF '!$E$14,0)</f>
        <v>53</v>
      </c>
      <c r="AG42" s="436">
        <v>0</v>
      </c>
      <c r="AH42" s="436">
        <v>0</v>
      </c>
      <c r="AI42" s="705">
        <f>+'[17]ADJ DETAIL-INPUT'!AI42</f>
        <v>1045</v>
      </c>
      <c r="AJ42" s="721">
        <v>-318</v>
      </c>
      <c r="AK42" s="705">
        <v>358</v>
      </c>
      <c r="AL42" s="442">
        <f>3539-1031</f>
        <v>2508</v>
      </c>
      <c r="AM42" s="868">
        <f>+'[15]ISIT-1 (Adj. 3.07) 2020'!$S$15/1000</f>
        <v>1030.0362600000001</v>
      </c>
      <c r="AN42" s="436">
        <v>0</v>
      </c>
      <c r="AO42" s="442">
        <v>0</v>
      </c>
      <c r="AP42" s="442">
        <v>0</v>
      </c>
      <c r="AQ42" s="436">
        <v>0</v>
      </c>
      <c r="AR42" s="436">
        <v>0</v>
      </c>
      <c r="AS42" s="436">
        <v>0</v>
      </c>
      <c r="AT42" s="436">
        <v>0</v>
      </c>
      <c r="AU42" s="436">
        <f>-3189+203</f>
        <v>-2986</v>
      </c>
      <c r="AV42" s="436">
        <v>0</v>
      </c>
      <c r="AW42" s="442">
        <v>0</v>
      </c>
      <c r="AX42" s="442">
        <v>0</v>
      </c>
      <c r="AY42" s="442">
        <v>0</v>
      </c>
      <c r="AZ42" s="442"/>
      <c r="BA42" s="436">
        <v>0</v>
      </c>
      <c r="BB42" s="436">
        <v>0</v>
      </c>
      <c r="BC42" s="436">
        <v>-53.747</v>
      </c>
      <c r="BD42" s="436">
        <v>0</v>
      </c>
      <c r="BE42" s="436">
        <v>0</v>
      </c>
      <c r="BF42" s="442"/>
      <c r="BG42" s="468">
        <f t="shared" ref="BG42:BG47" si="32">SUM(AC42:BF42)</f>
        <v>56616.289259999998</v>
      </c>
      <c r="BI42" s="791"/>
      <c r="BK42" s="427"/>
    </row>
    <row r="43" spans="1:64" s="424" customFormat="1">
      <c r="A43" s="422">
        <v>21</v>
      </c>
      <c r="C43" s="424" t="s">
        <v>547</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10">
        <v>0</v>
      </c>
      <c r="W43" s="436">
        <v>0</v>
      </c>
      <c r="X43" s="435">
        <v>0</v>
      </c>
      <c r="Y43" s="435">
        <v>0</v>
      </c>
      <c r="Z43" s="442">
        <v>0</v>
      </c>
      <c r="AA43" s="436">
        <v>0</v>
      </c>
      <c r="AB43" s="710">
        <f>848-1196</f>
        <v>-348</v>
      </c>
      <c r="AC43" s="434">
        <f>SUM(E43:AB43)</f>
        <v>35247</v>
      </c>
      <c r="AD43" s="436">
        <v>0</v>
      </c>
      <c r="AE43" s="436">
        <v>0</v>
      </c>
      <c r="AF43" s="436">
        <v>0</v>
      </c>
      <c r="AG43" s="436">
        <v>0</v>
      </c>
      <c r="AH43" s="436">
        <v>0</v>
      </c>
      <c r="AI43" s="721">
        <v>0</v>
      </c>
      <c r="AJ43" s="721">
        <v>0</v>
      </c>
      <c r="AK43" s="705">
        <v>0</v>
      </c>
      <c r="AL43" s="442">
        <v>0</v>
      </c>
      <c r="AM43" s="436">
        <v>0</v>
      </c>
      <c r="AN43" s="436">
        <v>0</v>
      </c>
      <c r="AO43" s="442">
        <v>0</v>
      </c>
      <c r="AP43" s="442">
        <v>0</v>
      </c>
      <c r="AQ43" s="436">
        <v>0</v>
      </c>
      <c r="AR43" s="436">
        <v>0</v>
      </c>
      <c r="AS43" s="436">
        <v>0</v>
      </c>
      <c r="AT43" s="436">
        <v>0</v>
      </c>
      <c r="AU43" s="436">
        <v>581</v>
      </c>
      <c r="AV43" s="436">
        <v>0</v>
      </c>
      <c r="AW43" s="442">
        <v>0</v>
      </c>
      <c r="AX43" s="442">
        <v>0</v>
      </c>
      <c r="AY43" s="442">
        <v>0</v>
      </c>
      <c r="AZ43" s="442">
        <v>0</v>
      </c>
      <c r="BA43" s="436">
        <f>+[19]Electric!$L$41</f>
        <v>2437.9913773352964</v>
      </c>
      <c r="BB43" s="436">
        <v>0</v>
      </c>
      <c r="BC43" s="436">
        <v>0</v>
      </c>
      <c r="BD43" s="436">
        <v>0</v>
      </c>
      <c r="BE43" s="436">
        <v>0</v>
      </c>
      <c r="BF43" s="442"/>
      <c r="BG43" s="468">
        <f t="shared" si="32"/>
        <v>38265.991377335296</v>
      </c>
      <c r="BK43" s="424">
        <v>-44183</v>
      </c>
      <c r="BL43" s="424" t="s">
        <v>789</v>
      </c>
    </row>
    <row r="44" spans="1:64" s="424" customFormat="1">
      <c r="A44" s="422">
        <v>22</v>
      </c>
      <c r="C44" s="424" t="s">
        <v>692</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21">
        <v>0</v>
      </c>
      <c r="W44" s="435">
        <v>0</v>
      </c>
      <c r="X44" s="435">
        <v>0</v>
      </c>
      <c r="Y44" s="435">
        <v>0</v>
      </c>
      <c r="Z44" s="435">
        <v>0</v>
      </c>
      <c r="AA44" s="435">
        <v>0</v>
      </c>
      <c r="AB44" s="721">
        <v>0</v>
      </c>
      <c r="AC44" s="434">
        <f>SUM(E44:AB44)</f>
        <v>-5104</v>
      </c>
      <c r="AD44" s="436">
        <v>0</v>
      </c>
      <c r="AE44" s="436">
        <v>0</v>
      </c>
      <c r="AF44" s="436">
        <v>0</v>
      </c>
      <c r="AG44" s="436">
        <v>-779</v>
      </c>
      <c r="AH44" s="436">
        <v>0</v>
      </c>
      <c r="AI44" s="705">
        <v>0</v>
      </c>
      <c r="AJ44" s="705">
        <v>0</v>
      </c>
      <c r="AK44" s="705">
        <v>0</v>
      </c>
      <c r="AL44" s="436">
        <v>0</v>
      </c>
      <c r="AM44" s="436">
        <v>0</v>
      </c>
      <c r="AN44" s="436">
        <v>0</v>
      </c>
      <c r="AO44" s="436">
        <v>1235</v>
      </c>
      <c r="AP44" s="436">
        <v>0</v>
      </c>
      <c r="AQ44" s="436">
        <v>0</v>
      </c>
      <c r="AR44" s="436">
        <v>0</v>
      </c>
      <c r="AS44" s="436">
        <v>0</v>
      </c>
      <c r="AT44" s="436">
        <v>0</v>
      </c>
      <c r="AU44" s="867">
        <f>10133+[16]Adjustment!$E$48/1000</f>
        <v>16037.977939494449</v>
      </c>
      <c r="AV44" s="436">
        <v>0</v>
      </c>
      <c r="AW44" s="436">
        <v>0</v>
      </c>
      <c r="AX44" s="436">
        <v>0</v>
      </c>
      <c r="AY44" s="436">
        <v>0</v>
      </c>
      <c r="AZ44" s="436"/>
      <c r="BA44" s="436"/>
      <c r="BB44" s="436"/>
      <c r="BC44" s="436"/>
      <c r="BD44" s="436">
        <f>-'Exh. No. BGM-3 (1)'!Y64</f>
        <v>0</v>
      </c>
      <c r="BE44" s="436">
        <f>-'Exh. No. BGM-3 (1)'!Y65</f>
        <v>0</v>
      </c>
      <c r="BF44" s="436">
        <v>0</v>
      </c>
      <c r="BG44" s="468">
        <f t="shared" si="32"/>
        <v>11389.977939494449</v>
      </c>
      <c r="BK44" s="788" t="e">
        <f>BJ41</f>
        <v>#REF!</v>
      </c>
      <c r="BL44" s="424" t="s">
        <v>786</v>
      </c>
    </row>
    <row r="45" spans="1:64" s="424" customFormat="1">
      <c r="A45" s="448">
        <v>23</v>
      </c>
      <c r="C45" s="424" t="s">
        <v>197</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12">
        <v>0</v>
      </c>
      <c r="W45" s="443">
        <v>0</v>
      </c>
      <c r="X45" s="444">
        <v>0</v>
      </c>
      <c r="Y45" s="444">
        <v>0</v>
      </c>
      <c r="Z45" s="443">
        <v>0</v>
      </c>
      <c r="AA45" s="443">
        <v>0</v>
      </c>
      <c r="AB45" s="712">
        <v>0</v>
      </c>
      <c r="AC45" s="237">
        <f>SUM(E45:AB45)</f>
        <v>0</v>
      </c>
      <c r="AD45" s="443">
        <v>0</v>
      </c>
      <c r="AE45" s="443">
        <v>0</v>
      </c>
      <c r="AF45" s="443">
        <v>0</v>
      </c>
      <c r="AG45" s="444">
        <v>0</v>
      </c>
      <c r="AH45" s="444">
        <v>0</v>
      </c>
      <c r="AI45" s="716">
        <v>0</v>
      </c>
      <c r="AJ45" s="716">
        <v>0</v>
      </c>
      <c r="AK45" s="712">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43">
        <v>0</v>
      </c>
      <c r="BD45" s="443">
        <v>0</v>
      </c>
      <c r="BE45" s="443">
        <v>0</v>
      </c>
      <c r="BF45" s="443">
        <v>0</v>
      </c>
      <c r="BG45" s="470">
        <f t="shared" si="32"/>
        <v>0</v>
      </c>
      <c r="BK45" s="424" t="e">
        <f>BK43+BK44</f>
        <v>#REF!</v>
      </c>
      <c r="BL45" s="790" t="s">
        <v>788</v>
      </c>
    </row>
    <row r="46" spans="1:64" s="424" customFormat="1">
      <c r="A46" s="422">
        <v>24</v>
      </c>
      <c r="B46" s="424" t="s">
        <v>205</v>
      </c>
      <c r="E46" s="454">
        <f t="shared" ref="E46:AK46" si="33">SUM(E42:E45)</f>
        <v>82457</v>
      </c>
      <c r="F46" s="444">
        <f t="shared" si="33"/>
        <v>0</v>
      </c>
      <c r="G46" s="444">
        <f t="shared" si="33"/>
        <v>0</v>
      </c>
      <c r="H46" s="444">
        <f t="shared" si="33"/>
        <v>0</v>
      </c>
      <c r="I46" s="444">
        <f>SUM(I42:I45)</f>
        <v>0</v>
      </c>
      <c r="J46" s="444">
        <f t="shared" si="33"/>
        <v>0</v>
      </c>
      <c r="K46" s="444">
        <f>SUM(K42:K45)</f>
        <v>0</v>
      </c>
      <c r="L46" s="444">
        <f t="shared" si="33"/>
        <v>0</v>
      </c>
      <c r="M46" s="444">
        <f t="shared" si="33"/>
        <v>-372</v>
      </c>
      <c r="N46" s="444">
        <f t="shared" si="33"/>
        <v>51</v>
      </c>
      <c r="O46" s="444">
        <f t="shared" si="33"/>
        <v>0</v>
      </c>
      <c r="P46" s="444">
        <f t="shared" si="33"/>
        <v>-52</v>
      </c>
      <c r="Q46" s="444">
        <f t="shared" si="33"/>
        <v>0</v>
      </c>
      <c r="R46" s="444">
        <f t="shared" si="33"/>
        <v>0</v>
      </c>
      <c r="S46" s="444">
        <f t="shared" si="33"/>
        <v>-8</v>
      </c>
      <c r="T46" s="443">
        <f t="shared" ref="T46:AB46" si="34">SUM(T42:T45)</f>
        <v>3871</v>
      </c>
      <c r="U46" s="443">
        <f t="shared" si="34"/>
        <v>-1232</v>
      </c>
      <c r="V46" s="712">
        <f t="shared" si="34"/>
        <v>753</v>
      </c>
      <c r="W46" s="443">
        <f t="shared" si="34"/>
        <v>0</v>
      </c>
      <c r="X46" s="444">
        <f t="shared" si="34"/>
        <v>3</v>
      </c>
      <c r="Y46" s="444">
        <f t="shared" si="34"/>
        <v>0</v>
      </c>
      <c r="Z46" s="443">
        <f t="shared" si="34"/>
        <v>0</v>
      </c>
      <c r="AA46" s="443">
        <f t="shared" si="34"/>
        <v>0</v>
      </c>
      <c r="AB46" s="712">
        <f t="shared" si="34"/>
        <v>-348</v>
      </c>
      <c r="AC46" s="237">
        <f t="shared" si="33"/>
        <v>85123</v>
      </c>
      <c r="AD46" s="443">
        <f t="shared" si="33"/>
        <v>0</v>
      </c>
      <c r="AE46" s="443">
        <f>SUM(AE42:AE45)</f>
        <v>0</v>
      </c>
      <c r="AF46" s="443">
        <f>SUM(AF42:AF45)</f>
        <v>53</v>
      </c>
      <c r="AG46" s="444">
        <f>SUM(AG42:AG45)</f>
        <v>-779</v>
      </c>
      <c r="AH46" s="444">
        <f>SUM(AH42:AH45)</f>
        <v>0</v>
      </c>
      <c r="AI46" s="716">
        <f>SUM(AI42:AI45)</f>
        <v>1045</v>
      </c>
      <c r="AJ46" s="716">
        <f t="shared" si="33"/>
        <v>-318</v>
      </c>
      <c r="AK46" s="712">
        <f t="shared" si="33"/>
        <v>358</v>
      </c>
      <c r="AL46" s="443">
        <f>SUM(AL42:AL45)</f>
        <v>2508</v>
      </c>
      <c r="AM46" s="443">
        <f>SUM(AM42:AM45)</f>
        <v>1030.0362600000001</v>
      </c>
      <c r="AN46" s="443">
        <f>SUM(AN42:AN45)</f>
        <v>0</v>
      </c>
      <c r="AO46" s="443">
        <f>SUM(AO42:AO45)</f>
        <v>1235</v>
      </c>
      <c r="AP46" s="443">
        <f>SUM(AP42:AP45)</f>
        <v>0</v>
      </c>
      <c r="AQ46" s="443">
        <f t="shared" ref="AQ46:AV46" si="35">SUM(AQ42:AQ45)</f>
        <v>0</v>
      </c>
      <c r="AR46" s="443">
        <f t="shared" si="35"/>
        <v>0</v>
      </c>
      <c r="AS46" s="443">
        <f t="shared" si="35"/>
        <v>0</v>
      </c>
      <c r="AT46" s="443">
        <f t="shared" si="35"/>
        <v>0</v>
      </c>
      <c r="AU46" s="443">
        <f t="shared" si="35"/>
        <v>13632.977939494449</v>
      </c>
      <c r="AV46" s="443">
        <f t="shared" si="35"/>
        <v>0</v>
      </c>
      <c r="AW46" s="443">
        <f t="shared" ref="AW46:BF46" si="36">SUM(AW42:AW45)</f>
        <v>0</v>
      </c>
      <c r="AX46" s="443">
        <f t="shared" si="36"/>
        <v>0</v>
      </c>
      <c r="AY46" s="443">
        <f t="shared" si="36"/>
        <v>0</v>
      </c>
      <c r="AZ46" s="443">
        <f t="shared" si="36"/>
        <v>0</v>
      </c>
      <c r="BA46" s="443">
        <f t="shared" si="36"/>
        <v>2437.9913773352964</v>
      </c>
      <c r="BB46" s="443">
        <f t="shared" ref="BB46" si="37">SUM(BB42:BB45)</f>
        <v>0</v>
      </c>
      <c r="BC46" s="443">
        <f t="shared" ref="BC46:BD46" si="38">SUM(BC42:BC45)</f>
        <v>-53.747</v>
      </c>
      <c r="BD46" s="443">
        <f t="shared" si="38"/>
        <v>0</v>
      </c>
      <c r="BE46" s="443">
        <f t="shared" ref="BE46" si="39">SUM(BE42:BE45)</f>
        <v>0</v>
      </c>
      <c r="BF46" s="443">
        <f t="shared" si="36"/>
        <v>0</v>
      </c>
      <c r="BG46" s="470">
        <f t="shared" si="32"/>
        <v>106272.25857682974</v>
      </c>
      <c r="BK46" s="787" t="e">
        <f>BK45*'CF '!E18*-1</f>
        <v>#REF!</v>
      </c>
      <c r="BL46" s="790" t="s">
        <v>787</v>
      </c>
    </row>
    <row r="47" spans="1:64" s="424" customFormat="1" ht="18" customHeight="1">
      <c r="A47" s="422">
        <v>25</v>
      </c>
      <c r="B47" s="424" t="s">
        <v>206</v>
      </c>
      <c r="E47" s="454">
        <f t="shared" ref="E47:BF47" si="40">E46+E39+E38+E37+E35+E28</f>
        <v>533959</v>
      </c>
      <c r="F47" s="444">
        <f t="shared" si="40"/>
        <v>0</v>
      </c>
      <c r="G47" s="444">
        <f t="shared" si="40"/>
        <v>57</v>
      </c>
      <c r="H47" s="444">
        <f t="shared" si="40"/>
        <v>0</v>
      </c>
      <c r="I47" s="444">
        <f t="shared" si="40"/>
        <v>0</v>
      </c>
      <c r="J47" s="444">
        <f t="shared" si="40"/>
        <v>-18805</v>
      </c>
      <c r="K47" s="444">
        <f t="shared" si="40"/>
        <v>1001</v>
      </c>
      <c r="L47" s="444">
        <f t="shared" si="40"/>
        <v>1437</v>
      </c>
      <c r="M47" s="444">
        <f t="shared" si="40"/>
        <v>-372</v>
      </c>
      <c r="N47" s="444">
        <f t="shared" si="40"/>
        <v>51</v>
      </c>
      <c r="O47" s="444">
        <f t="shared" si="40"/>
        <v>0</v>
      </c>
      <c r="P47" s="444">
        <f t="shared" si="40"/>
        <v>-52</v>
      </c>
      <c r="Q47" s="444">
        <f t="shared" si="40"/>
        <v>34</v>
      </c>
      <c r="R47" s="444">
        <f t="shared" si="40"/>
        <v>-58</v>
      </c>
      <c r="S47" s="444">
        <f t="shared" si="40"/>
        <v>-169</v>
      </c>
      <c r="T47" s="443">
        <f t="shared" si="40"/>
        <v>-20543</v>
      </c>
      <c r="U47" s="443">
        <f t="shared" si="40"/>
        <v>-1224</v>
      </c>
      <c r="V47" s="712">
        <f>V46+V39+V38+V37+V35+V28</f>
        <v>753</v>
      </c>
      <c r="W47" s="443">
        <f>W46+W39+W38+W37+W35+W28</f>
        <v>0</v>
      </c>
      <c r="X47" s="444">
        <f t="shared" si="40"/>
        <v>381</v>
      </c>
      <c r="Y47" s="444">
        <f t="shared" si="40"/>
        <v>-5</v>
      </c>
      <c r="Z47" s="443">
        <f t="shared" si="40"/>
        <v>-926</v>
      </c>
      <c r="AA47" s="443">
        <f t="shared" si="40"/>
        <v>-50487</v>
      </c>
      <c r="AB47" s="712">
        <f t="shared" si="40"/>
        <v>1856</v>
      </c>
      <c r="AC47" s="237">
        <f t="shared" si="40"/>
        <v>446888</v>
      </c>
      <c r="AD47" s="443">
        <f t="shared" si="40"/>
        <v>5733</v>
      </c>
      <c r="AE47" s="443">
        <f>AE46+AE39+AE38+AE37+AE35+AE28</f>
        <v>-447</v>
      </c>
      <c r="AF47" s="443">
        <f>AF46+AF39+AF38+AF37+AF35+AF28</f>
        <v>1170</v>
      </c>
      <c r="AG47" s="444">
        <f t="shared" si="40"/>
        <v>-2417</v>
      </c>
      <c r="AH47" s="444">
        <f>AH46+AH39+AH38+AH37+AH35+AH28</f>
        <v>0</v>
      </c>
      <c r="AI47" s="716">
        <f t="shared" si="40"/>
        <v>3267</v>
      </c>
      <c r="AJ47" s="716">
        <f t="shared" si="40"/>
        <v>-318</v>
      </c>
      <c r="AK47" s="712">
        <f t="shared" si="40"/>
        <v>1120</v>
      </c>
      <c r="AL47" s="443">
        <f>AL46+AL39+AL38+AL37+AL35+AL28</f>
        <v>2508</v>
      </c>
      <c r="AM47" s="443">
        <f t="shared" si="40"/>
        <v>1030.0362600000001</v>
      </c>
      <c r="AN47" s="443">
        <f t="shared" si="40"/>
        <v>1708</v>
      </c>
      <c r="AO47" s="443">
        <f>AO46+AO39+AO38+AO37+AO35+AO28</f>
        <v>1332</v>
      </c>
      <c r="AP47" s="443">
        <f t="shared" si="40"/>
        <v>0</v>
      </c>
      <c r="AQ47" s="443">
        <f t="shared" ref="AQ47:AX47" si="41">AQ46+AQ39+AQ38+AQ37+AQ35+AQ28</f>
        <v>0</v>
      </c>
      <c r="AR47" s="443">
        <f t="shared" si="41"/>
        <v>0</v>
      </c>
      <c r="AS47" s="443">
        <f t="shared" si="41"/>
        <v>0</v>
      </c>
      <c r="AT47" s="443">
        <f t="shared" si="41"/>
        <v>0</v>
      </c>
      <c r="AU47" s="443">
        <f t="shared" si="41"/>
        <v>15566.977939494449</v>
      </c>
      <c r="AV47" s="443">
        <f t="shared" si="41"/>
        <v>1799</v>
      </c>
      <c r="AW47" s="443">
        <f t="shared" si="41"/>
        <v>3400</v>
      </c>
      <c r="AX47" s="443">
        <f t="shared" si="41"/>
        <v>-1770.5805499999988</v>
      </c>
      <c r="AY47" s="443">
        <f t="shared" si="40"/>
        <v>-16</v>
      </c>
      <c r="AZ47" s="443">
        <f t="shared" ref="AZ47:BE47" si="42">AZ46+AZ39+AZ38+AZ37+AZ35+AZ28</f>
        <v>0</v>
      </c>
      <c r="BA47" s="443">
        <f t="shared" si="42"/>
        <v>7768.7629999999999</v>
      </c>
      <c r="BB47" s="443">
        <f t="shared" si="42"/>
        <v>0</v>
      </c>
      <c r="BC47" s="443">
        <f t="shared" si="42"/>
        <v>-53.747</v>
      </c>
      <c r="BD47" s="443">
        <f t="shared" si="42"/>
        <v>0</v>
      </c>
      <c r="BE47" s="443">
        <f t="shared" si="42"/>
        <v>0</v>
      </c>
      <c r="BF47" s="443">
        <f t="shared" si="40"/>
        <v>0</v>
      </c>
      <c r="BG47" s="470">
        <f t="shared" si="32"/>
        <v>488268.44964949449</v>
      </c>
      <c r="BK47" s="786" t="e">
        <f>SUM(BK45:BK46)</f>
        <v>#REF!</v>
      </c>
    </row>
    <row r="48" spans="1:64" s="424" customFormat="1" ht="8.25" customHeight="1">
      <c r="E48" s="427"/>
      <c r="F48" s="435"/>
      <c r="G48" s="435"/>
      <c r="H48" s="435"/>
      <c r="I48" s="435"/>
      <c r="J48" s="435"/>
      <c r="K48" s="435"/>
      <c r="L48" s="435"/>
      <c r="M48" s="435"/>
      <c r="N48" s="435"/>
      <c r="O48" s="435"/>
      <c r="P48" s="435"/>
      <c r="Q48" s="435"/>
      <c r="R48" s="435"/>
      <c r="S48" s="435"/>
      <c r="T48" s="436"/>
      <c r="U48" s="436"/>
      <c r="V48" s="710"/>
      <c r="W48" s="436"/>
      <c r="X48" s="435"/>
      <c r="Y48" s="435"/>
      <c r="Z48" s="442"/>
      <c r="AA48" s="436"/>
      <c r="AB48" s="710"/>
      <c r="AC48" s="434"/>
      <c r="AD48" s="436"/>
      <c r="AE48" s="436"/>
      <c r="AF48" s="436"/>
      <c r="AG48" s="435"/>
      <c r="AH48" s="435"/>
      <c r="AI48" s="721"/>
      <c r="AJ48" s="721"/>
      <c r="AK48" s="705"/>
      <c r="AL48" s="442"/>
      <c r="AM48" s="436"/>
      <c r="AN48" s="436"/>
      <c r="AO48" s="442"/>
      <c r="AP48" s="442"/>
      <c r="AQ48" s="436"/>
      <c r="AR48" s="436"/>
      <c r="AS48" s="436"/>
      <c r="AT48" s="436"/>
      <c r="AU48" s="436"/>
      <c r="AV48" s="436"/>
      <c r="AW48" s="442"/>
      <c r="AX48" s="442"/>
      <c r="AY48" s="442"/>
      <c r="AZ48" s="442"/>
      <c r="BA48" s="436"/>
      <c r="BB48" s="436"/>
      <c r="BC48" s="436"/>
      <c r="BD48" s="436"/>
      <c r="BE48" s="436"/>
      <c r="BF48" s="442"/>
      <c r="BG48" s="468"/>
    </row>
    <row r="49" spans="1:62" s="424" customFormat="1">
      <c r="A49" s="422">
        <v>26</v>
      </c>
      <c r="B49" s="424" t="s">
        <v>207</v>
      </c>
      <c r="E49" s="427">
        <f t="shared" ref="E49:BF49" si="43">E19-E47</f>
        <v>127498</v>
      </c>
      <c r="F49" s="435">
        <f t="shared" si="43"/>
        <v>0</v>
      </c>
      <c r="G49" s="435">
        <f t="shared" si="43"/>
        <v>-57</v>
      </c>
      <c r="H49" s="435">
        <f t="shared" si="43"/>
        <v>0</v>
      </c>
      <c r="I49" s="435">
        <f t="shared" si="43"/>
        <v>0</v>
      </c>
      <c r="J49" s="435">
        <f t="shared" si="43"/>
        <v>-80</v>
      </c>
      <c r="K49" s="435">
        <f t="shared" si="43"/>
        <v>-1001</v>
      </c>
      <c r="L49" s="435">
        <f t="shared" si="43"/>
        <v>-1437</v>
      </c>
      <c r="M49" s="435">
        <f t="shared" si="43"/>
        <v>372</v>
      </c>
      <c r="N49" s="435">
        <f t="shared" si="43"/>
        <v>-51</v>
      </c>
      <c r="O49" s="435">
        <f t="shared" si="43"/>
        <v>0</v>
      </c>
      <c r="P49" s="435">
        <f t="shared" si="43"/>
        <v>52</v>
      </c>
      <c r="Q49" s="435">
        <f t="shared" si="43"/>
        <v>-34</v>
      </c>
      <c r="R49" s="435">
        <f t="shared" si="43"/>
        <v>58</v>
      </c>
      <c r="S49" s="435">
        <f t="shared" si="43"/>
        <v>-784</v>
      </c>
      <c r="T49" s="436">
        <f t="shared" si="43"/>
        <v>-1397</v>
      </c>
      <c r="U49" s="436">
        <f t="shared" si="43"/>
        <v>1224</v>
      </c>
      <c r="V49" s="710">
        <f>V19-V47</f>
        <v>-753</v>
      </c>
      <c r="W49" s="436">
        <f>W19-W47</f>
        <v>0</v>
      </c>
      <c r="X49" s="435">
        <f t="shared" si="43"/>
        <v>1359</v>
      </c>
      <c r="Y49" s="435">
        <f t="shared" si="43"/>
        <v>5</v>
      </c>
      <c r="Z49" s="442">
        <f t="shared" si="43"/>
        <v>926</v>
      </c>
      <c r="AA49" s="436">
        <f t="shared" si="43"/>
        <v>-5865</v>
      </c>
      <c r="AB49" s="710">
        <f t="shared" si="43"/>
        <v>-1856</v>
      </c>
      <c r="AC49" s="434">
        <f t="shared" si="43"/>
        <v>118179</v>
      </c>
      <c r="AD49" s="436">
        <f t="shared" si="43"/>
        <v>14583</v>
      </c>
      <c r="AE49" s="436">
        <f>AE19-AE47</f>
        <v>1637.63</v>
      </c>
      <c r="AF49" s="436">
        <f>AF19-AF47</f>
        <v>14861</v>
      </c>
      <c r="AG49" s="435">
        <f t="shared" si="43"/>
        <v>2417</v>
      </c>
      <c r="AH49" s="435">
        <f>AH19-AH47</f>
        <v>0</v>
      </c>
      <c r="AI49" s="721">
        <f t="shared" si="43"/>
        <v>-3267</v>
      </c>
      <c r="AJ49" s="721">
        <f t="shared" si="43"/>
        <v>318</v>
      </c>
      <c r="AK49" s="705">
        <f t="shared" si="43"/>
        <v>-1120</v>
      </c>
      <c r="AL49" s="442">
        <f>AL19-AL47</f>
        <v>-2508</v>
      </c>
      <c r="AM49" s="436">
        <f t="shared" si="43"/>
        <v>-1030.0362600000001</v>
      </c>
      <c r="AN49" s="436">
        <f t="shared" si="43"/>
        <v>-1708</v>
      </c>
      <c r="AO49" s="442">
        <f t="shared" ref="AO49:AT49" si="44">AO19-AO47</f>
        <v>-1332</v>
      </c>
      <c r="AP49" s="442">
        <f t="shared" si="44"/>
        <v>0</v>
      </c>
      <c r="AQ49" s="436">
        <f t="shared" si="44"/>
        <v>0</v>
      </c>
      <c r="AR49" s="436">
        <f t="shared" si="44"/>
        <v>0</v>
      </c>
      <c r="AS49" s="436">
        <f t="shared" si="44"/>
        <v>0</v>
      </c>
      <c r="AT49" s="436">
        <f t="shared" si="44"/>
        <v>0</v>
      </c>
      <c r="AU49" s="436">
        <f>AU19-AU47</f>
        <v>-15566.977939494449</v>
      </c>
      <c r="AV49" s="436">
        <f>AV19-AV47</f>
        <v>-1799</v>
      </c>
      <c r="AW49" s="442">
        <f>AW19-AW47</f>
        <v>-3400</v>
      </c>
      <c r="AX49" s="442">
        <f>AX19-AX47</f>
        <v>1770.5805499999988</v>
      </c>
      <c r="AY49" s="442">
        <f t="shared" si="43"/>
        <v>16</v>
      </c>
      <c r="AZ49" s="442">
        <f t="shared" ref="AZ49:BE49" si="45">AZ19-AZ47</f>
        <v>0</v>
      </c>
      <c r="BA49" s="436">
        <f t="shared" si="45"/>
        <v>-7768.7629999999999</v>
      </c>
      <c r="BB49" s="436">
        <f t="shared" si="45"/>
        <v>0</v>
      </c>
      <c r="BC49" s="436">
        <f t="shared" si="45"/>
        <v>53.747</v>
      </c>
      <c r="BD49" s="436">
        <f t="shared" si="45"/>
        <v>0</v>
      </c>
      <c r="BE49" s="436">
        <f t="shared" si="45"/>
        <v>0</v>
      </c>
      <c r="BF49" s="442">
        <f t="shared" si="43"/>
        <v>0</v>
      </c>
      <c r="BG49" s="468">
        <f>SUM(AC49:BF49)</f>
        <v>114336.18035050556</v>
      </c>
    </row>
    <row r="50" spans="1:62" s="424" customFormat="1" ht="6.75" customHeight="1">
      <c r="A50" s="422"/>
      <c r="E50" s="427"/>
      <c r="F50" s="435"/>
      <c r="G50" s="435"/>
      <c r="H50" s="435"/>
      <c r="I50" s="435"/>
      <c r="J50" s="435"/>
      <c r="K50" s="435"/>
      <c r="L50" s="435"/>
      <c r="M50" s="435"/>
      <c r="N50" s="435"/>
      <c r="O50" s="435"/>
      <c r="P50" s="435"/>
      <c r="Q50" s="435"/>
      <c r="R50" s="435"/>
      <c r="S50" s="435"/>
      <c r="T50" s="436"/>
      <c r="U50" s="436"/>
      <c r="V50" s="710"/>
      <c r="W50" s="436"/>
      <c r="X50" s="435"/>
      <c r="Y50" s="435"/>
      <c r="Z50" s="442"/>
      <c r="AA50" s="436"/>
      <c r="AB50" s="710"/>
      <c r="AC50" s="434"/>
      <c r="AD50" s="436"/>
      <c r="AE50" s="436"/>
      <c r="AF50" s="436"/>
      <c r="AG50" s="435"/>
      <c r="AH50" s="435"/>
      <c r="AI50" s="721"/>
      <c r="AJ50" s="721"/>
      <c r="AK50" s="705"/>
      <c r="AL50" s="442"/>
      <c r="AM50" s="436"/>
      <c r="AN50" s="436"/>
      <c r="AO50" s="442"/>
      <c r="AP50" s="442"/>
      <c r="AQ50" s="436"/>
      <c r="AR50" s="436"/>
      <c r="AS50" s="436"/>
      <c r="AT50" s="436"/>
      <c r="AU50" s="436"/>
      <c r="AV50" s="436"/>
      <c r="AW50" s="442"/>
      <c r="AX50" s="442"/>
      <c r="AY50" s="442"/>
      <c r="AZ50" s="442"/>
      <c r="BA50" s="436"/>
      <c r="BB50" s="436"/>
      <c r="BC50" s="436"/>
      <c r="BD50" s="436"/>
      <c r="BE50" s="436"/>
      <c r="BF50" s="442"/>
      <c r="BG50" s="468"/>
    </row>
    <row r="51" spans="1:62" s="424" customFormat="1">
      <c r="A51" s="426"/>
      <c r="B51" s="424" t="s">
        <v>208</v>
      </c>
      <c r="E51" s="427"/>
      <c r="F51" s="435"/>
      <c r="G51" s="435"/>
      <c r="H51" s="435"/>
      <c r="I51" s="435"/>
      <c r="J51" s="435"/>
      <c r="K51" s="435"/>
      <c r="L51" s="435"/>
      <c r="M51" s="435"/>
      <c r="N51" s="435"/>
      <c r="O51" s="435"/>
      <c r="P51" s="435"/>
      <c r="Q51" s="435"/>
      <c r="R51" s="435"/>
      <c r="S51" s="435"/>
      <c r="T51" s="436"/>
      <c r="U51" s="436"/>
      <c r="V51" s="710"/>
      <c r="W51" s="436"/>
      <c r="X51" s="435"/>
      <c r="Y51" s="435"/>
      <c r="Z51" s="442"/>
      <c r="AA51" s="436"/>
      <c r="AB51" s="710"/>
      <c r="AC51" s="434"/>
      <c r="AD51" s="436"/>
      <c r="AE51" s="436"/>
      <c r="AF51" s="436"/>
      <c r="AG51" s="435"/>
      <c r="AH51" s="435"/>
      <c r="AI51" s="721"/>
      <c r="AJ51" s="721"/>
      <c r="AK51" s="705"/>
      <c r="AL51" s="442"/>
      <c r="AM51" s="436"/>
      <c r="AN51" s="436"/>
      <c r="AO51" s="442"/>
      <c r="AP51" s="442"/>
      <c r="AQ51" s="436"/>
      <c r="AR51" s="436"/>
      <c r="AS51" s="436"/>
      <c r="AT51" s="436"/>
      <c r="AU51" s="436"/>
      <c r="AV51" s="436"/>
      <c r="AW51" s="442">
        <f>+AW49-AW52</f>
        <v>-2686</v>
      </c>
      <c r="AX51" s="442"/>
      <c r="AY51" s="442"/>
      <c r="AZ51" s="442"/>
      <c r="BA51" s="436"/>
      <c r="BB51" s="436"/>
      <c r="BC51" s="436"/>
      <c r="BD51" s="436"/>
      <c r="BE51" s="436"/>
      <c r="BF51" s="442"/>
      <c r="BG51" s="468"/>
    </row>
    <row r="52" spans="1:62" s="427" customFormat="1">
      <c r="A52" s="448">
        <v>27</v>
      </c>
      <c r="B52" s="427" t="s">
        <v>583</v>
      </c>
      <c r="D52" s="555"/>
      <c r="E52" s="431">
        <f>'ROO INPUT'!F52</f>
        <v>4963</v>
      </c>
      <c r="F52" s="436">
        <f>F49*0.21</f>
        <v>0</v>
      </c>
      <c r="G52" s="436">
        <f t="shared" ref="G52:BF52" si="46">G49*0.21</f>
        <v>-11.969999999999999</v>
      </c>
      <c r="H52" s="436">
        <f t="shared" si="46"/>
        <v>0</v>
      </c>
      <c r="I52" s="436">
        <f t="shared" si="46"/>
        <v>0</v>
      </c>
      <c r="J52" s="436">
        <f t="shared" si="46"/>
        <v>-16.8</v>
      </c>
      <c r="K52" s="436">
        <f t="shared" si="46"/>
        <v>-210.20999999999998</v>
      </c>
      <c r="L52" s="436">
        <f t="shared" si="46"/>
        <v>-301.77</v>
      </c>
      <c r="M52" s="436">
        <f t="shared" si="46"/>
        <v>78.11999999999999</v>
      </c>
      <c r="N52" s="436">
        <f t="shared" si="46"/>
        <v>-10.709999999999999</v>
      </c>
      <c r="O52" s="436">
        <v>1</v>
      </c>
      <c r="P52" s="436">
        <f t="shared" si="46"/>
        <v>10.92</v>
      </c>
      <c r="Q52" s="436">
        <f t="shared" si="46"/>
        <v>-7.14</v>
      </c>
      <c r="R52" s="436">
        <f t="shared" si="46"/>
        <v>12.18</v>
      </c>
      <c r="S52" s="436">
        <f t="shared" si="46"/>
        <v>-164.64</v>
      </c>
      <c r="T52" s="436">
        <f t="shared" si="46"/>
        <v>-293.37</v>
      </c>
      <c r="U52" s="436">
        <f t="shared" si="46"/>
        <v>257.03999999999996</v>
      </c>
      <c r="V52" s="705">
        <f>V49*0.21</f>
        <v>-158.13</v>
      </c>
      <c r="W52" s="436">
        <f>'DEBT CALC'!E70</f>
        <v>1042</v>
      </c>
      <c r="X52" s="436">
        <v>348</v>
      </c>
      <c r="Y52" s="436">
        <f t="shared" si="46"/>
        <v>1.05</v>
      </c>
      <c r="Z52" s="436">
        <f t="shared" si="46"/>
        <v>194.45999999999998</v>
      </c>
      <c r="AA52" s="436">
        <f t="shared" si="46"/>
        <v>-1231.6499999999999</v>
      </c>
      <c r="AB52" s="705">
        <f t="shared" si="46"/>
        <v>-389.76</v>
      </c>
      <c r="AC52" s="434">
        <f>SUM(E52:AB52)</f>
        <v>4111.62</v>
      </c>
      <c r="AD52" s="436">
        <f>AD49*0.21</f>
        <v>3062.43</v>
      </c>
      <c r="AE52" s="436">
        <f>AE49*0.21</f>
        <v>343.90230000000003</v>
      </c>
      <c r="AF52" s="436">
        <f>AF49*0.21</f>
        <v>3120.81</v>
      </c>
      <c r="AG52" s="436">
        <f>AG49*0.21</f>
        <v>507.57</v>
      </c>
      <c r="AH52" s="436">
        <f>AH49*0.21</f>
        <v>0</v>
      </c>
      <c r="AI52" s="705">
        <f t="shared" si="46"/>
        <v>-686.06999999999994</v>
      </c>
      <c r="AJ52" s="705">
        <f t="shared" si="46"/>
        <v>66.78</v>
      </c>
      <c r="AK52" s="705">
        <f t="shared" si="46"/>
        <v>-235.2</v>
      </c>
      <c r="AL52" s="436">
        <f>AL49*0.21</f>
        <v>-526.67999999999995</v>
      </c>
      <c r="AM52" s="436">
        <f>AM49*0.21</f>
        <v>-216.30761460000002</v>
      </c>
      <c r="AN52" s="436">
        <f t="shared" si="46"/>
        <v>-358.68</v>
      </c>
      <c r="AO52" s="436">
        <f t="shared" ref="AO52:AT52" si="47">AO49*0.21</f>
        <v>-279.71999999999997</v>
      </c>
      <c r="AP52" s="436">
        <f t="shared" si="47"/>
        <v>0</v>
      </c>
      <c r="AQ52" s="436">
        <f t="shared" si="47"/>
        <v>0</v>
      </c>
      <c r="AR52" s="436">
        <f t="shared" si="47"/>
        <v>0</v>
      </c>
      <c r="AS52" s="436">
        <f t="shared" si="47"/>
        <v>0</v>
      </c>
      <c r="AT52" s="436">
        <f t="shared" si="47"/>
        <v>0</v>
      </c>
      <c r="AU52" s="436">
        <f>AU49*0.21</f>
        <v>-3269.0653672938342</v>
      </c>
      <c r="AV52" s="436">
        <f>AV49*0.21</f>
        <v>-377.78999999999996</v>
      </c>
      <c r="AW52" s="436">
        <f>AW49*0.21</f>
        <v>-714</v>
      </c>
      <c r="AX52" s="436">
        <f>AX49*0.21</f>
        <v>371.8219154999997</v>
      </c>
      <c r="AY52" s="436">
        <f t="shared" si="46"/>
        <v>3.36</v>
      </c>
      <c r="AZ52" s="436">
        <f t="shared" ref="AZ52:BE52" si="48">AZ49*0.21</f>
        <v>0</v>
      </c>
      <c r="BA52" s="436">
        <f t="shared" si="48"/>
        <v>-1631.4402299999999</v>
      </c>
      <c r="BB52" s="436">
        <f t="shared" si="48"/>
        <v>0</v>
      </c>
      <c r="BC52" s="436">
        <f t="shared" si="48"/>
        <v>11.28687</v>
      </c>
      <c r="BD52" s="436">
        <f t="shared" si="48"/>
        <v>0</v>
      </c>
      <c r="BE52" s="436">
        <f t="shared" si="48"/>
        <v>0</v>
      </c>
      <c r="BF52" s="436">
        <f t="shared" si="46"/>
        <v>0</v>
      </c>
      <c r="BG52" s="468">
        <f>SUM(AC52:BF52)</f>
        <v>3304.6278736061631</v>
      </c>
    </row>
    <row r="53" spans="1:62" s="427" customFormat="1">
      <c r="A53" s="448">
        <v>28</v>
      </c>
      <c r="B53" s="427" t="s">
        <v>262</v>
      </c>
      <c r="E53" s="431">
        <f>'ROO INPUT'!F53</f>
        <v>0</v>
      </c>
      <c r="F53" s="436">
        <f>(F81*'RR SUMMARY'!$M$12)*-0.21</f>
        <v>-0.24181499999999997</v>
      </c>
      <c r="G53" s="436">
        <f>(G81*'RR SUMMARY'!$M$12)*-0.21</f>
        <v>-5.1450000000000003E-3</v>
      </c>
      <c r="H53" s="436">
        <f>(H81*'RR SUMMARY'!$M$12)*-0.21</f>
        <v>19.304040000000001</v>
      </c>
      <c r="I53" s="436">
        <f>(I81*'RR SUMMARY'!$M$12)*-0.21</f>
        <v>248.44175999999999</v>
      </c>
      <c r="J53" s="436">
        <f>(J81*'RR SUMMARY'!$M$12)*-0.21</f>
        <v>0</v>
      </c>
      <c r="K53" s="436">
        <f>(K81*'RR SUMMARY'!$M$12)*-0.21</f>
        <v>0</v>
      </c>
      <c r="L53" s="436">
        <f>(L81*'RR SUMMARY'!$M$12)*-0.21</f>
        <v>0</v>
      </c>
      <c r="M53" s="436">
        <f>(M81*'RR SUMMARY'!$M$12)*-0.21</f>
        <v>0</v>
      </c>
      <c r="N53" s="436">
        <f>(N81*'RR SUMMARY'!$M$12)*-0.21</f>
        <v>0</v>
      </c>
      <c r="O53" s="436">
        <f>(O81*'RR SUMMARY'!$M$12)*-0.21</f>
        <v>0</v>
      </c>
      <c r="P53" s="436">
        <f>(P81*'RR SUMMARY'!$M$12)*-0.21</f>
        <v>0</v>
      </c>
      <c r="Q53" s="436">
        <f>(Q81*'RR SUMMARY'!$M$12)*-0.21</f>
        <v>0</v>
      </c>
      <c r="R53" s="436">
        <f>(R81*'RR SUMMARY'!$M$12)*-0.21</f>
        <v>0</v>
      </c>
      <c r="S53" s="436">
        <f>(S81*'RR SUMMARY'!$M$12)*-0.21</f>
        <v>0</v>
      </c>
      <c r="T53" s="436">
        <f>(T81*'RR SUMMARY'!$M$12)*-0.21</f>
        <v>0</v>
      </c>
      <c r="U53" s="436">
        <f>(U81*'RR SUMMARY'!$M$12)*-0.21</f>
        <v>0</v>
      </c>
      <c r="V53" s="705">
        <f>(V81*'RR SUMMARY'!$M$12)*-0.21</f>
        <v>0</v>
      </c>
      <c r="W53" s="436"/>
      <c r="X53" s="436">
        <f>(X81*'RR SUMMARY'!$M$12)*-0.21</f>
        <v>0</v>
      </c>
      <c r="Y53" s="436">
        <f>(Y81*'RR SUMMARY'!$M$12)*-0.21</f>
        <v>0</v>
      </c>
      <c r="Z53" s="436">
        <f>(Z81*'RR SUMMARY'!$M$12)*-0.21</f>
        <v>0</v>
      </c>
      <c r="AA53" s="436">
        <f>(AA81*'RR SUMMARY'!$M$12)*-0.21</f>
        <v>0</v>
      </c>
      <c r="AB53" s="705">
        <f>(AB81*'RR SUMMARY'!$M$12)*-0.21</f>
        <v>-108.29725412991273</v>
      </c>
      <c r="AC53" s="434">
        <f>SUM(E53:AB53)</f>
        <v>159.20158587008723</v>
      </c>
      <c r="AD53" s="436">
        <f>(AD81*'RR SUMMARY'!$M$12)*-0.21</f>
        <v>0</v>
      </c>
      <c r="AE53" s="436">
        <f>(AE81*'RR SUMMARY'!$M$12)*-0.21</f>
        <v>0</v>
      </c>
      <c r="AF53" s="436">
        <f>(AF81*'RR SUMMARY'!$M$12)*-0.21</f>
        <v>0</v>
      </c>
      <c r="AG53" s="436">
        <f>(AG81*'RR SUMMARY'!$M$12)*-0.21</f>
        <v>3.9410699999999999</v>
      </c>
      <c r="AH53" s="436">
        <f>(AH81*'RR SUMMARY'!$M$12)*-0.21</f>
        <v>0</v>
      </c>
      <c r="AI53" s="705">
        <f>(AI81*'RR SUMMARY'!$M$12)*-0.21</f>
        <v>0</v>
      </c>
      <c r="AJ53" s="705">
        <f>(AJ81*'RR SUMMARY'!$M$12)*-0.21</f>
        <v>0</v>
      </c>
      <c r="AK53" s="705">
        <f>(AK81*'RR SUMMARY'!$M$12)*-0.21</f>
        <v>0</v>
      </c>
      <c r="AL53" s="436">
        <f>(AL81*'RR SUMMARY'!$M$12)*-0.21</f>
        <v>0</v>
      </c>
      <c r="AM53" s="436">
        <f>(AM81*'RR SUMMARY'!$M$12)*-0.21</f>
        <v>0</v>
      </c>
      <c r="AN53" s="436">
        <f>(AN81*'RR SUMMARY'!$M$12)*-0.21</f>
        <v>0</v>
      </c>
      <c r="AO53" s="436">
        <f>(AO81*'RR SUMMARY'!$M$12)*-0.21</f>
        <v>0</v>
      </c>
      <c r="AP53" s="436">
        <f>(AP81*'RR SUMMARY'!$M$12)*-0.21</f>
        <v>0</v>
      </c>
      <c r="AQ53" s="436">
        <f>(AQ81*'RR SUMMARY'!$M$12)*-0.21</f>
        <v>0</v>
      </c>
      <c r="AR53" s="436">
        <f>(AR81*'RR SUMMARY'!$M$12)*-0.21</f>
        <v>0</v>
      </c>
      <c r="AS53" s="436">
        <f>(AS81*'RR SUMMARY'!$M$12)*-0.21</f>
        <v>0</v>
      </c>
      <c r="AT53" s="436">
        <f>(AT81*'RR SUMMARY'!$M$12)*-0.21</f>
        <v>0</v>
      </c>
      <c r="AU53" s="436">
        <f>(AU81*'RR SUMMARY'!$M$12)*-0.21</f>
        <v>111.82492485915625</v>
      </c>
      <c r="AV53" s="436">
        <f>(AV81*'RR SUMMARY'!$M$12)*-0.21</f>
        <v>0</v>
      </c>
      <c r="AW53" s="436">
        <f>(AW81*'RR SUMMARY'!$M$12)*-0.21</f>
        <v>-64.708664999999996</v>
      </c>
      <c r="AX53" s="436">
        <f>(AX81*'RR SUMMARY'!$M$12)*-0.21</f>
        <v>21.949149908458153</v>
      </c>
      <c r="AY53" s="436">
        <f>(AY81*'RR SUMMARY'!$M$12)*-0.21</f>
        <v>0</v>
      </c>
      <c r="AZ53" s="436">
        <f>(AZ81*'RR SUMMARY'!$M$12)*-0.21</f>
        <v>157.13858999999999</v>
      </c>
      <c r="BA53" s="436">
        <f>(BA81*'RR SUMMARY'!$M$12)*-0.21</f>
        <v>-65.504464653696942</v>
      </c>
      <c r="BB53" s="436">
        <f>(BB81*'RR SUMMARY'!$M$12)*-0.21</f>
        <v>0</v>
      </c>
      <c r="BC53" s="436">
        <f>(BC81*'RR SUMMARY'!$M$12)*-0.21</f>
        <v>0</v>
      </c>
      <c r="BD53" s="436">
        <f>(BD81*'RR SUMMARY'!$M$12)*-0.21</f>
        <v>0</v>
      </c>
      <c r="BE53" s="436">
        <f>(BE81*'RR SUMMARY'!$M$12)*-0.21</f>
        <v>0</v>
      </c>
      <c r="BF53" s="436">
        <f>(BF81*'RR SUMMARY'!$M$12)*-0.21</f>
        <v>0</v>
      </c>
      <c r="BG53" s="468">
        <f>SUM(AC53:BF53)</f>
        <v>323.84219098400467</v>
      </c>
    </row>
    <row r="54" spans="1:62" s="427" customFormat="1">
      <c r="A54" s="448">
        <v>29</v>
      </c>
      <c r="B54" s="427" t="s">
        <v>209</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10">
        <v>0</v>
      </c>
      <c r="W54" s="436">
        <v>0</v>
      </c>
      <c r="X54" s="436">
        <v>-63</v>
      </c>
      <c r="Y54" s="436">
        <v>0</v>
      </c>
      <c r="Z54" s="442">
        <v>0</v>
      </c>
      <c r="AA54" s="436">
        <v>0</v>
      </c>
      <c r="AB54" s="710">
        <v>0</v>
      </c>
      <c r="AC54" s="434">
        <f>SUM(E54:AB54)</f>
        <v>7763</v>
      </c>
      <c r="AD54" s="436">
        <v>0</v>
      </c>
      <c r="AE54" s="436">
        <v>0</v>
      </c>
      <c r="AF54" s="436">
        <v>0</v>
      </c>
      <c r="AG54" s="436">
        <v>0</v>
      </c>
      <c r="AH54" s="436">
        <v>-500</v>
      </c>
      <c r="AI54" s="705">
        <v>0</v>
      </c>
      <c r="AJ54" s="705">
        <v>0</v>
      </c>
      <c r="AK54" s="705">
        <v>0</v>
      </c>
      <c r="AL54" s="442">
        <v>0</v>
      </c>
      <c r="AM54" s="436">
        <v>0</v>
      </c>
      <c r="AN54" s="436">
        <v>0</v>
      </c>
      <c r="AO54" s="442">
        <v>0</v>
      </c>
      <c r="AP54" s="442">
        <v>0</v>
      </c>
      <c r="AQ54" s="436">
        <v>0</v>
      </c>
      <c r="AR54" s="436">
        <v>0</v>
      </c>
      <c r="AS54" s="436">
        <v>0</v>
      </c>
      <c r="AT54" s="436">
        <v>0</v>
      </c>
      <c r="AU54" s="436">
        <v>0</v>
      </c>
      <c r="AV54" s="436">
        <v>0</v>
      </c>
      <c r="AW54" s="442">
        <v>0</v>
      </c>
      <c r="AX54" s="442">
        <v>-596</v>
      </c>
      <c r="AY54" s="442">
        <v>0</v>
      </c>
      <c r="AZ54" s="442"/>
      <c r="BA54" s="436">
        <v>0</v>
      </c>
      <c r="BB54" s="436">
        <v>0</v>
      </c>
      <c r="BC54" s="436">
        <v>0</v>
      </c>
      <c r="BD54" s="436">
        <v>0</v>
      </c>
      <c r="BE54" s="436">
        <v>0</v>
      </c>
      <c r="BF54" s="442">
        <v>0</v>
      </c>
      <c r="BG54" s="468">
        <f>SUM(AC54:BF54)</f>
        <v>6667</v>
      </c>
    </row>
    <row r="55" spans="1:62" s="424" customFormat="1">
      <c r="A55" s="426">
        <v>30</v>
      </c>
      <c r="B55" s="424" t="s">
        <v>254</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12">
        <v>0</v>
      </c>
      <c r="W55" s="443">
        <v>0</v>
      </c>
      <c r="X55" s="444">
        <v>0</v>
      </c>
      <c r="Y55" s="444">
        <v>0</v>
      </c>
      <c r="Z55" s="443">
        <v>0</v>
      </c>
      <c r="AA55" s="443">
        <v>0</v>
      </c>
      <c r="AB55" s="712">
        <v>0</v>
      </c>
      <c r="AC55" s="237">
        <f>SUM(E55:AB55)</f>
        <v>-318</v>
      </c>
      <c r="AD55" s="443">
        <v>0</v>
      </c>
      <c r="AE55" s="443">
        <v>0</v>
      </c>
      <c r="AF55" s="443">
        <v>0</v>
      </c>
      <c r="AG55" s="444">
        <v>0</v>
      </c>
      <c r="AH55" s="444">
        <v>0</v>
      </c>
      <c r="AI55" s="716">
        <v>0</v>
      </c>
      <c r="AJ55" s="716">
        <v>0</v>
      </c>
      <c r="AK55" s="712">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43">
        <v>0</v>
      </c>
      <c r="BG55" s="470">
        <f>SUM(AC55:BF55)</f>
        <v>-318</v>
      </c>
    </row>
    <row r="56" spans="1:62" ht="6.75" customHeight="1">
      <c r="V56" s="710"/>
      <c r="Z56" s="442"/>
      <c r="AB56" s="710"/>
      <c r="AL56" s="442"/>
      <c r="AO56" s="442"/>
      <c r="AP56" s="442"/>
      <c r="AW56" s="442"/>
      <c r="AX56" s="442"/>
      <c r="AY56" s="442"/>
      <c r="AZ56" s="442"/>
      <c r="BF56" s="442"/>
      <c r="BG56" s="468"/>
    </row>
    <row r="57" spans="1:62" s="423" customFormat="1" ht="12.75" thickBot="1">
      <c r="A57" s="425">
        <v>31</v>
      </c>
      <c r="B57" s="423" t="s">
        <v>210</v>
      </c>
      <c r="E57" s="455">
        <f t="shared" ref="E57:AK57" si="49">E49-SUM(E52:E55)</f>
        <v>115023</v>
      </c>
      <c r="F57" s="456">
        <f t="shared" si="49"/>
        <v>0.24181499999999997</v>
      </c>
      <c r="G57" s="456">
        <f t="shared" si="49"/>
        <v>-45.024855000000002</v>
      </c>
      <c r="H57" s="456">
        <f t="shared" si="49"/>
        <v>-19.304040000000001</v>
      </c>
      <c r="I57" s="456">
        <f>I49-SUM(I52:I55)</f>
        <v>-248.44175999999999</v>
      </c>
      <c r="J57" s="456">
        <f t="shared" si="49"/>
        <v>-63.2</v>
      </c>
      <c r="K57" s="456">
        <f>K49-SUM(K52:K55)</f>
        <v>-790.79</v>
      </c>
      <c r="L57" s="456">
        <f t="shared" si="49"/>
        <v>-1135.23</v>
      </c>
      <c r="M57" s="456">
        <f t="shared" si="49"/>
        <v>293.88</v>
      </c>
      <c r="N57" s="456">
        <f t="shared" si="49"/>
        <v>-40.29</v>
      </c>
      <c r="O57" s="456">
        <f t="shared" si="49"/>
        <v>3</v>
      </c>
      <c r="P57" s="456">
        <f t="shared" si="49"/>
        <v>41.08</v>
      </c>
      <c r="Q57" s="456">
        <f t="shared" si="49"/>
        <v>-26.86</v>
      </c>
      <c r="R57" s="456">
        <f t="shared" si="49"/>
        <v>45.82</v>
      </c>
      <c r="S57" s="456">
        <f t="shared" si="49"/>
        <v>-619.36</v>
      </c>
      <c r="T57" s="455">
        <f>T49-SUM(T52:T55)</f>
        <v>-1103.6300000000001</v>
      </c>
      <c r="U57" s="455">
        <f t="shared" ref="U57:AA57" si="50">U49-SUM(U52:U55)</f>
        <v>966.96</v>
      </c>
      <c r="V57" s="713">
        <f>V49-SUM(V52:V55)</f>
        <v>-594.87</v>
      </c>
      <c r="W57" s="567">
        <f>W49-SUM(W52:W55)</f>
        <v>-1042</v>
      </c>
      <c r="X57" s="456">
        <f t="shared" si="50"/>
        <v>1074</v>
      </c>
      <c r="Y57" s="456">
        <f t="shared" si="50"/>
        <v>3.95</v>
      </c>
      <c r="Z57" s="567">
        <f t="shared" si="50"/>
        <v>731.54</v>
      </c>
      <c r="AA57" s="455">
        <f t="shared" si="50"/>
        <v>-4633.3500000000004</v>
      </c>
      <c r="AB57" s="718">
        <f>AB49-SUM(AB52:AB55)</f>
        <v>-1357.9427458700873</v>
      </c>
      <c r="AC57" s="368">
        <f t="shared" si="49"/>
        <v>106463.17841412991</v>
      </c>
      <c r="AD57" s="567">
        <f t="shared" ref="AD57:AI57" si="51">AD49-SUM(AD52:AD55)</f>
        <v>11520.57</v>
      </c>
      <c r="AE57" s="567">
        <f t="shared" si="51"/>
        <v>1293.7277000000001</v>
      </c>
      <c r="AF57" s="567">
        <f t="shared" si="51"/>
        <v>11740.19</v>
      </c>
      <c r="AG57" s="456">
        <f t="shared" si="51"/>
        <v>1905.48893</v>
      </c>
      <c r="AH57" s="456">
        <f t="shared" si="51"/>
        <v>500</v>
      </c>
      <c r="AI57" s="726">
        <f t="shared" si="51"/>
        <v>-2580.9300000000003</v>
      </c>
      <c r="AJ57" s="726">
        <f t="shared" si="49"/>
        <v>251.22</v>
      </c>
      <c r="AK57" s="726">
        <f t="shared" si="49"/>
        <v>-884.8</v>
      </c>
      <c r="AL57" s="567">
        <f>AL49-SUM(AL52:AL55)</f>
        <v>-1981.3200000000002</v>
      </c>
      <c r="AM57" s="456">
        <f>AM49-SUM(AM52:AM55)</f>
        <v>-813.7286454</v>
      </c>
      <c r="AN57" s="456">
        <f>AN49-SUM(AN52:AN55)</f>
        <v>-1349.32</v>
      </c>
      <c r="AO57" s="567">
        <f>AO49-SUM(AO52:AO55)</f>
        <v>-1052.28</v>
      </c>
      <c r="AP57" s="567">
        <f>AP49-SUM(AP52:AP55)</f>
        <v>0</v>
      </c>
      <c r="AQ57" s="456">
        <f t="shared" ref="AQ57:AV57" si="52">AQ49-SUM(AQ52:AQ55)</f>
        <v>0</v>
      </c>
      <c r="AR57" s="456">
        <f t="shared" si="52"/>
        <v>0</v>
      </c>
      <c r="AS57" s="456">
        <f t="shared" si="52"/>
        <v>0</v>
      </c>
      <c r="AT57" s="456">
        <f t="shared" si="52"/>
        <v>0</v>
      </c>
      <c r="AU57" s="456">
        <f t="shared" si="52"/>
        <v>-12409.73749705977</v>
      </c>
      <c r="AV57" s="456">
        <f t="shared" si="52"/>
        <v>-1421.21</v>
      </c>
      <c r="AW57" s="567">
        <f t="shared" ref="AW57:BF57" si="53">AW49-SUM(AW52:AW55)</f>
        <v>-2621.2913349999999</v>
      </c>
      <c r="AX57" s="567">
        <f t="shared" si="53"/>
        <v>1972.8094845915409</v>
      </c>
      <c r="AY57" s="567">
        <f t="shared" si="53"/>
        <v>12.64</v>
      </c>
      <c r="AZ57" s="567">
        <f t="shared" si="53"/>
        <v>-157.13858999999999</v>
      </c>
      <c r="BA57" s="456">
        <f t="shared" si="53"/>
        <v>-6071.8183053463035</v>
      </c>
      <c r="BB57" s="456">
        <f t="shared" ref="BB57" si="54">BB49-SUM(BB52:BB55)</f>
        <v>0</v>
      </c>
      <c r="BC57" s="456">
        <f t="shared" ref="BC57:BD57" si="55">BC49-SUM(BC52:BC55)</f>
        <v>42.460129999999999</v>
      </c>
      <c r="BD57" s="456">
        <f t="shared" si="55"/>
        <v>0</v>
      </c>
      <c r="BE57" s="456">
        <f t="shared" ref="BE57" si="56">BE49-SUM(BE52:BE55)</f>
        <v>0</v>
      </c>
      <c r="BF57" s="567">
        <f t="shared" si="53"/>
        <v>0</v>
      </c>
      <c r="BG57" s="472">
        <f>SUM(AC57:BF57)</f>
        <v>104358.7102859154</v>
      </c>
    </row>
    <row r="58" spans="1:62" ht="6" customHeight="1" thickTop="1">
      <c r="A58" s="425"/>
      <c r="V58" s="710"/>
      <c r="Z58" s="442"/>
      <c r="AB58" s="710"/>
      <c r="AL58" s="442"/>
      <c r="AO58" s="442"/>
      <c r="AP58" s="442"/>
      <c r="AW58" s="442"/>
      <c r="AX58" s="442"/>
      <c r="AY58" s="442"/>
      <c r="AZ58" s="442"/>
      <c r="BF58" s="442"/>
      <c r="BG58" s="468"/>
    </row>
    <row r="59" spans="1:62">
      <c r="A59" s="425"/>
      <c r="B59" s="409" t="s">
        <v>211</v>
      </c>
      <c r="V59" s="710"/>
      <c r="Z59" s="442"/>
      <c r="AB59" s="710"/>
      <c r="AL59" s="442"/>
      <c r="AO59" s="442"/>
      <c r="AP59" s="442"/>
      <c r="AW59" s="442"/>
      <c r="AX59" s="442"/>
      <c r="AY59" s="442"/>
      <c r="AZ59" s="442"/>
      <c r="BF59" s="442"/>
      <c r="BG59" s="468"/>
      <c r="BJ59" s="435"/>
    </row>
    <row r="60" spans="1:62" ht="12.75" customHeight="1">
      <c r="B60" s="409" t="s">
        <v>212</v>
      </c>
      <c r="V60" s="710"/>
      <c r="Z60" s="442"/>
      <c r="AB60" s="710"/>
      <c r="AL60" s="442"/>
      <c r="AO60" s="442"/>
      <c r="AP60" s="442"/>
      <c r="AW60" s="442"/>
      <c r="AX60" s="442"/>
      <c r="AY60" s="442"/>
      <c r="AZ60" s="442"/>
      <c r="BF60" s="442"/>
      <c r="BG60" s="468"/>
    </row>
    <row r="61" spans="1:62" s="423" customFormat="1">
      <c r="A61" s="452">
        <v>32</v>
      </c>
      <c r="C61" s="423" t="s">
        <v>213</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14">
        <v>0</v>
      </c>
      <c r="W61" s="449">
        <v>0</v>
      </c>
      <c r="X61" s="423">
        <v>0</v>
      </c>
      <c r="Y61" s="423">
        <v>0</v>
      </c>
      <c r="Z61" s="432">
        <v>0</v>
      </c>
      <c r="AA61" s="449">
        <v>0</v>
      </c>
      <c r="AB61" s="727">
        <v>2079.1125307387479</v>
      </c>
      <c r="AC61" s="293">
        <f>SUM(E61:AB61)</f>
        <v>182889.11253073876</v>
      </c>
      <c r="AD61" s="449">
        <v>0</v>
      </c>
      <c r="AE61" s="449">
        <v>0</v>
      </c>
      <c r="AF61" s="449">
        <v>0</v>
      </c>
      <c r="AG61" s="423">
        <v>0</v>
      </c>
      <c r="AH61" s="423">
        <v>0</v>
      </c>
      <c r="AI61" s="727">
        <v>0</v>
      </c>
      <c r="AJ61" s="727">
        <v>0</v>
      </c>
      <c r="AK61" s="727">
        <v>0</v>
      </c>
      <c r="AL61" s="432">
        <v>0</v>
      </c>
      <c r="AM61" s="423">
        <v>0</v>
      </c>
      <c r="AN61" s="423">
        <v>0</v>
      </c>
      <c r="AO61" s="432">
        <v>0</v>
      </c>
      <c r="AP61" s="449">
        <v>0</v>
      </c>
      <c r="AQ61" s="423">
        <v>0</v>
      </c>
      <c r="AR61" s="423">
        <v>0</v>
      </c>
      <c r="AS61" s="423">
        <v>0</v>
      </c>
      <c r="AT61" s="423">
        <v>0</v>
      </c>
      <c r="AV61" s="423">
        <v>0</v>
      </c>
      <c r="AW61" s="432">
        <v>0</v>
      </c>
      <c r="AX61" s="432">
        <v>0</v>
      </c>
      <c r="AY61" s="432">
        <v>0</v>
      </c>
      <c r="AZ61" s="432"/>
      <c r="BA61" s="435">
        <f>+[19]Electric!$L$10</f>
        <v>-2005.7196299400339</v>
      </c>
      <c r="BB61" s="435">
        <v>0</v>
      </c>
      <c r="BC61" s="435">
        <v>0</v>
      </c>
      <c r="BD61" s="435">
        <v>0</v>
      </c>
      <c r="BE61" s="435">
        <v>0</v>
      </c>
      <c r="BF61" s="432"/>
      <c r="BG61" s="469">
        <f t="shared" ref="BG61:BG66" si="57">SUM(AC61:BF61)</f>
        <v>180883.39290079873</v>
      </c>
    </row>
    <row r="62" spans="1:62" s="424" customFormat="1">
      <c r="A62" s="425">
        <v>33</v>
      </c>
      <c r="C62" s="424" t="s">
        <v>214</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10">
        <v>0</v>
      </c>
      <c r="W62" s="436">
        <v>0</v>
      </c>
      <c r="X62" s="435">
        <v>0</v>
      </c>
      <c r="Y62" s="435">
        <v>0</v>
      </c>
      <c r="Z62" s="442">
        <v>0</v>
      </c>
      <c r="AA62" s="436">
        <v>0</v>
      </c>
      <c r="AB62" s="710">
        <v>3979.3009999999776</v>
      </c>
      <c r="AC62" s="320">
        <f>SUM(E62:AB62)</f>
        <v>934139.30099999998</v>
      </c>
      <c r="AD62" s="436">
        <v>0</v>
      </c>
      <c r="AE62" s="436">
        <v>0</v>
      </c>
      <c r="AF62" s="436">
        <v>0</v>
      </c>
      <c r="AG62" s="435">
        <v>0</v>
      </c>
      <c r="AH62" s="435">
        <v>0</v>
      </c>
      <c r="AI62" s="721">
        <v>0</v>
      </c>
      <c r="AJ62" s="721">
        <v>0</v>
      </c>
      <c r="AK62" s="721">
        <v>0</v>
      </c>
      <c r="AL62" s="442">
        <v>0</v>
      </c>
      <c r="AM62" s="435">
        <v>0</v>
      </c>
      <c r="AN62" s="435">
        <v>0</v>
      </c>
      <c r="AO62" s="442">
        <v>0</v>
      </c>
      <c r="AP62" s="442">
        <v>0</v>
      </c>
      <c r="AQ62" s="435">
        <v>0</v>
      </c>
      <c r="AR62" s="435">
        <v>0</v>
      </c>
      <c r="AS62" s="435">
        <v>0</v>
      </c>
      <c r="AT62" s="435">
        <v>0</v>
      </c>
      <c r="AU62" s="435">
        <v>0</v>
      </c>
      <c r="AV62" s="435">
        <v>0</v>
      </c>
      <c r="AW62" s="442">
        <v>13908</v>
      </c>
      <c r="AX62" s="442">
        <v>0</v>
      </c>
      <c r="AY62" s="442">
        <v>0</v>
      </c>
      <c r="AZ62" s="442">
        <v>0</v>
      </c>
      <c r="BA62" s="435">
        <f>+[19]Electric!$L$6</f>
        <v>3248.134</v>
      </c>
      <c r="BB62" s="435">
        <v>0</v>
      </c>
      <c r="BC62" s="435">
        <v>0</v>
      </c>
      <c r="BD62" s="435">
        <v>0</v>
      </c>
      <c r="BE62" s="435">
        <v>0</v>
      </c>
      <c r="BF62" s="442"/>
      <c r="BG62" s="468">
        <f t="shared" si="57"/>
        <v>951295.43499999994</v>
      </c>
    </row>
    <row r="63" spans="1:62" s="424" customFormat="1" ht="12.75" customHeight="1">
      <c r="A63" s="425">
        <v>34</v>
      </c>
      <c r="C63" s="424" t="s">
        <v>215</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10">
        <v>0</v>
      </c>
      <c r="W63" s="436">
        <v>0</v>
      </c>
      <c r="X63" s="435">
        <v>0</v>
      </c>
      <c r="Y63" s="435">
        <v>0</v>
      </c>
      <c r="Z63" s="442">
        <v>0</v>
      </c>
      <c r="AA63" s="436">
        <v>0</v>
      </c>
      <c r="AB63" s="710">
        <v>17967.087999999989</v>
      </c>
      <c r="AC63" s="320">
        <f>SUM(E63:AB63)</f>
        <v>527864.08799999999</v>
      </c>
      <c r="AD63" s="436">
        <v>0</v>
      </c>
      <c r="AE63" s="436">
        <v>0</v>
      </c>
      <c r="AF63" s="436">
        <v>0</v>
      </c>
      <c r="AG63" s="435">
        <v>0</v>
      </c>
      <c r="AH63" s="435">
        <v>0</v>
      </c>
      <c r="AI63" s="721">
        <v>0</v>
      </c>
      <c r="AJ63" s="721">
        <v>0</v>
      </c>
      <c r="AK63" s="721">
        <v>0</v>
      </c>
      <c r="AL63" s="442">
        <v>0</v>
      </c>
      <c r="AM63" s="435">
        <v>0</v>
      </c>
      <c r="AN63" s="435">
        <v>0</v>
      </c>
      <c r="AO63" s="442">
        <v>0</v>
      </c>
      <c r="AP63" s="442">
        <v>0</v>
      </c>
      <c r="AQ63" s="435">
        <v>0</v>
      </c>
      <c r="AR63" s="435">
        <v>0</v>
      </c>
      <c r="AS63" s="435">
        <v>0</v>
      </c>
      <c r="AT63" s="435">
        <v>0</v>
      </c>
      <c r="AU63" s="435">
        <v>0</v>
      </c>
      <c r="AV63" s="435">
        <v>0</v>
      </c>
      <c r="AW63" s="442">
        <v>0</v>
      </c>
      <c r="AX63" s="442">
        <v>0</v>
      </c>
      <c r="AY63" s="442">
        <v>0</v>
      </c>
      <c r="AZ63" s="442">
        <v>0</v>
      </c>
      <c r="BA63" s="435">
        <f>+[19]Electric!$L$7</f>
        <v>12889.547</v>
      </c>
      <c r="BB63" s="435">
        <v>0</v>
      </c>
      <c r="BC63" s="435">
        <v>0</v>
      </c>
      <c r="BD63" s="435">
        <v>0</v>
      </c>
      <c r="BE63" s="435">
        <v>0</v>
      </c>
      <c r="BF63" s="442"/>
      <c r="BG63" s="468">
        <f t="shared" si="57"/>
        <v>540753.63500000001</v>
      </c>
    </row>
    <row r="64" spans="1:62" s="424" customFormat="1" ht="12" customHeight="1">
      <c r="A64" s="425">
        <v>35</v>
      </c>
      <c r="C64" s="424" t="s">
        <v>199</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10">
        <v>0</v>
      </c>
      <c r="W64" s="436">
        <v>0</v>
      </c>
      <c r="X64" s="435">
        <v>0</v>
      </c>
      <c r="Y64" s="435">
        <v>0</v>
      </c>
      <c r="Z64" s="442">
        <v>0</v>
      </c>
      <c r="AA64" s="436">
        <v>0</v>
      </c>
      <c r="AB64" s="710">
        <v>7509.7858044323584</v>
      </c>
      <c r="AC64" s="320">
        <f>SUM(E64:AB64)</f>
        <v>1182840.7858044324</v>
      </c>
      <c r="AD64" s="436">
        <v>0</v>
      </c>
      <c r="AE64" s="436">
        <v>0</v>
      </c>
      <c r="AF64" s="436">
        <v>0</v>
      </c>
      <c r="AG64" s="435">
        <v>0</v>
      </c>
      <c r="AH64" s="435">
        <v>0</v>
      </c>
      <c r="AI64" s="721">
        <v>0</v>
      </c>
      <c r="AJ64" s="721">
        <v>0</v>
      </c>
      <c r="AK64" s="721">
        <v>0</v>
      </c>
      <c r="AL64" s="442">
        <v>0</v>
      </c>
      <c r="AM64" s="435">
        <v>0</v>
      </c>
      <c r="AN64" s="435">
        <v>0</v>
      </c>
      <c r="AO64" s="442">
        <v>0</v>
      </c>
      <c r="AP64" s="442">
        <v>0</v>
      </c>
      <c r="AQ64" s="435">
        <v>0</v>
      </c>
      <c r="AR64" s="435">
        <v>0</v>
      </c>
      <c r="AS64" s="435">
        <v>0</v>
      </c>
      <c r="AT64" s="435">
        <v>0</v>
      </c>
      <c r="AU64" s="435">
        <f>+[16]Adjustment!$E$3/1000</f>
        <v>-24366.4979475</v>
      </c>
      <c r="AV64" s="435">
        <v>0</v>
      </c>
      <c r="AW64" s="442">
        <v>0</v>
      </c>
      <c r="AX64" s="442">
        <v>0</v>
      </c>
      <c r="AY64" s="442">
        <v>0</v>
      </c>
      <c r="AZ64" s="442">
        <v>0</v>
      </c>
      <c r="BA64" s="435">
        <f>+[19]Electric!$L$8</f>
        <v>31444.242608669771</v>
      </c>
      <c r="BB64" s="435">
        <v>0</v>
      </c>
      <c r="BC64" s="435">
        <v>0</v>
      </c>
      <c r="BD64" s="435">
        <v>0</v>
      </c>
      <c r="BE64" s="435">
        <v>0</v>
      </c>
      <c r="BF64" s="442"/>
      <c r="BG64" s="468">
        <f t="shared" si="57"/>
        <v>1189918.5304656019</v>
      </c>
    </row>
    <row r="65" spans="1:65" s="424" customFormat="1" ht="12.75" customHeight="1">
      <c r="A65" s="425">
        <v>36</v>
      </c>
      <c r="C65" s="424" t="s">
        <v>216</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12">
        <v>0</v>
      </c>
      <c r="W65" s="443">
        <v>0</v>
      </c>
      <c r="X65" s="444">
        <v>0</v>
      </c>
      <c r="Y65" s="444">
        <v>0</v>
      </c>
      <c r="Z65" s="443">
        <v>0</v>
      </c>
      <c r="AA65" s="443">
        <v>0</v>
      </c>
      <c r="AB65" s="712">
        <v>5613.0008319739036</v>
      </c>
      <c r="AC65" s="321">
        <f>SUM(E65:AB65)</f>
        <v>276872.00083197391</v>
      </c>
      <c r="AD65" s="443">
        <v>0</v>
      </c>
      <c r="AE65" s="443">
        <v>0</v>
      </c>
      <c r="AF65" s="443">
        <v>0</v>
      </c>
      <c r="AG65" s="444">
        <v>0</v>
      </c>
      <c r="AH65" s="444">
        <v>0</v>
      </c>
      <c r="AI65" s="716">
        <v>0</v>
      </c>
      <c r="AJ65" s="716">
        <v>0</v>
      </c>
      <c r="AK65" s="716">
        <v>0</v>
      </c>
      <c r="AL65" s="443">
        <v>0</v>
      </c>
      <c r="AM65" s="444">
        <v>0</v>
      </c>
      <c r="AN65" s="444">
        <v>0</v>
      </c>
      <c r="AO65" s="443">
        <v>0</v>
      </c>
      <c r="AP65" s="443">
        <v>0</v>
      </c>
      <c r="AQ65" s="444">
        <v>0</v>
      </c>
      <c r="AR65" s="444">
        <v>0</v>
      </c>
      <c r="AS65" s="444">
        <v>0</v>
      </c>
      <c r="AT65" s="444">
        <v>0</v>
      </c>
      <c r="AU65" s="444"/>
      <c r="AV65" s="444">
        <v>0</v>
      </c>
      <c r="AW65" s="443">
        <v>0</v>
      </c>
      <c r="AX65" s="443">
        <v>0</v>
      </c>
      <c r="AY65" s="443">
        <v>0</v>
      </c>
      <c r="AZ65" s="443">
        <v>0</v>
      </c>
      <c r="BA65" s="444">
        <f>+[19]Electric!$L$9</f>
        <v>-668.6578120630619</v>
      </c>
      <c r="BB65" s="444">
        <v>0</v>
      </c>
      <c r="BC65" s="444">
        <v>0</v>
      </c>
      <c r="BD65" s="444">
        <v>0</v>
      </c>
      <c r="BE65" s="444">
        <v>0</v>
      </c>
      <c r="BF65" s="443"/>
      <c r="BG65" s="470">
        <f t="shared" si="57"/>
        <v>276203.34301991086</v>
      </c>
      <c r="BL65" s="789"/>
      <c r="BM65" s="789"/>
    </row>
    <row r="66" spans="1:65" s="424" customFormat="1" ht="12" customHeight="1">
      <c r="A66" s="425">
        <v>37</v>
      </c>
      <c r="B66" s="424" t="s">
        <v>217</v>
      </c>
      <c r="E66" s="436">
        <f>SUM(E61:E65)</f>
        <v>3125125</v>
      </c>
      <c r="F66" s="435">
        <f t="shared" ref="F66:AK66" si="58">SUM(F61:F65)</f>
        <v>0</v>
      </c>
      <c r="G66" s="435">
        <f t="shared" si="58"/>
        <v>0</v>
      </c>
      <c r="H66" s="435">
        <f t="shared" si="58"/>
        <v>0</v>
      </c>
      <c r="I66" s="435">
        <f>SUM(I61:I65)</f>
        <v>-57668</v>
      </c>
      <c r="J66" s="435">
        <f t="shared" si="58"/>
        <v>0</v>
      </c>
      <c r="K66" s="435">
        <f>SUM(K61:K65)</f>
        <v>0</v>
      </c>
      <c r="L66" s="435">
        <f t="shared" si="58"/>
        <v>0</v>
      </c>
      <c r="M66" s="435">
        <f t="shared" si="58"/>
        <v>0</v>
      </c>
      <c r="N66" s="435">
        <f t="shared" si="58"/>
        <v>0</v>
      </c>
      <c r="O66" s="435">
        <f t="shared" si="58"/>
        <v>0</v>
      </c>
      <c r="P66" s="435">
        <f t="shared" si="58"/>
        <v>0</v>
      </c>
      <c r="Q66" s="435">
        <f t="shared" si="58"/>
        <v>0</v>
      </c>
      <c r="R66" s="435">
        <f t="shared" si="58"/>
        <v>0</v>
      </c>
      <c r="S66" s="435">
        <f t="shared" si="58"/>
        <v>0</v>
      </c>
      <c r="T66" s="436">
        <f t="shared" ref="T66:AB66" si="59">SUM(T61:T65)</f>
        <v>0</v>
      </c>
      <c r="U66" s="436">
        <f t="shared" si="59"/>
        <v>0</v>
      </c>
      <c r="V66" s="710">
        <f t="shared" si="59"/>
        <v>0</v>
      </c>
      <c r="W66" s="436">
        <f t="shared" si="59"/>
        <v>0</v>
      </c>
      <c r="X66" s="435">
        <f t="shared" si="59"/>
        <v>0</v>
      </c>
      <c r="Y66" s="435">
        <f t="shared" si="59"/>
        <v>0</v>
      </c>
      <c r="Z66" s="442">
        <f t="shared" si="59"/>
        <v>0</v>
      </c>
      <c r="AA66" s="436">
        <f t="shared" si="59"/>
        <v>0</v>
      </c>
      <c r="AB66" s="710">
        <f t="shared" si="59"/>
        <v>37148.28816714498</v>
      </c>
      <c r="AC66" s="320">
        <f t="shared" si="58"/>
        <v>3104605.2881671451</v>
      </c>
      <c r="AD66" s="436">
        <f t="shared" si="58"/>
        <v>0</v>
      </c>
      <c r="AE66" s="436">
        <f>SUM(AE61:AE65)</f>
        <v>0</v>
      </c>
      <c r="AF66" s="436">
        <f>SUM(AF61:AF65)</f>
        <v>0</v>
      </c>
      <c r="AG66" s="435">
        <f>SUM(AG61:AG65)</f>
        <v>0</v>
      </c>
      <c r="AH66" s="435">
        <f>SUM(AH61:AH65)</f>
        <v>0</v>
      </c>
      <c r="AI66" s="721">
        <f>SUM(AI61:AI65)</f>
        <v>0</v>
      </c>
      <c r="AJ66" s="721">
        <f t="shared" si="58"/>
        <v>0</v>
      </c>
      <c r="AK66" s="721">
        <f t="shared" si="58"/>
        <v>0</v>
      </c>
      <c r="AL66" s="442">
        <f>SUM(AL61:AL65)</f>
        <v>0</v>
      </c>
      <c r="AM66" s="435">
        <f>SUM(AM61:AM65)</f>
        <v>0</v>
      </c>
      <c r="AN66" s="435">
        <f>SUM(AN61:AN65)</f>
        <v>0</v>
      </c>
      <c r="AO66" s="442">
        <f>SUM(AO61:AO65)</f>
        <v>0</v>
      </c>
      <c r="AP66" s="442">
        <f>SUM(AP61:AP65)</f>
        <v>0</v>
      </c>
      <c r="AQ66" s="435">
        <f t="shared" ref="AQ66:AV66" si="60">SUM(AQ61:AQ65)</f>
        <v>0</v>
      </c>
      <c r="AR66" s="435">
        <f t="shared" si="60"/>
        <v>0</v>
      </c>
      <c r="AS66" s="435">
        <f t="shared" si="60"/>
        <v>0</v>
      </c>
      <c r="AT66" s="435">
        <f t="shared" si="60"/>
        <v>0</v>
      </c>
      <c r="AU66" s="436">
        <f t="shared" si="60"/>
        <v>-24366.4979475</v>
      </c>
      <c r="AV66" s="436">
        <f t="shared" si="60"/>
        <v>0</v>
      </c>
      <c r="AW66" s="442">
        <f t="shared" ref="AW66:BF66" si="61">SUM(AW61:AW65)</f>
        <v>13908</v>
      </c>
      <c r="AX66" s="442">
        <f t="shared" si="61"/>
        <v>0</v>
      </c>
      <c r="AY66" s="442">
        <f t="shared" si="61"/>
        <v>0</v>
      </c>
      <c r="AZ66" s="442">
        <f t="shared" si="61"/>
        <v>0</v>
      </c>
      <c r="BA66" s="435">
        <f t="shared" si="61"/>
        <v>44907.546166666682</v>
      </c>
      <c r="BB66" s="435">
        <f t="shared" ref="BB66" si="62">SUM(BB61:BB65)</f>
        <v>0</v>
      </c>
      <c r="BC66" s="435">
        <f t="shared" ref="BC66:BD66" si="63">SUM(BC61:BC65)</f>
        <v>0</v>
      </c>
      <c r="BD66" s="435">
        <f t="shared" si="63"/>
        <v>0</v>
      </c>
      <c r="BE66" s="435">
        <f t="shared" ref="BE66" si="64">SUM(BE61:BE65)</f>
        <v>0</v>
      </c>
      <c r="BF66" s="442">
        <f t="shared" si="61"/>
        <v>0</v>
      </c>
      <c r="BG66" s="468">
        <f t="shared" si="57"/>
        <v>3139054.3363863118</v>
      </c>
      <c r="BL66" s="789"/>
      <c r="BM66" s="789"/>
    </row>
    <row r="67" spans="1:65" s="424" customFormat="1" ht="14.25" customHeight="1">
      <c r="A67" s="425"/>
      <c r="B67" s="424" t="s">
        <v>553</v>
      </c>
      <c r="E67" s="436"/>
      <c r="F67" s="435"/>
      <c r="G67" s="435"/>
      <c r="H67" s="435"/>
      <c r="I67" s="435"/>
      <c r="J67" s="435"/>
      <c r="K67" s="435"/>
      <c r="L67" s="435"/>
      <c r="M67" s="435"/>
      <c r="N67" s="435"/>
      <c r="O67" s="435"/>
      <c r="P67" s="435"/>
      <c r="Q67" s="435"/>
      <c r="R67" s="435"/>
      <c r="S67" s="435"/>
      <c r="T67" s="436"/>
      <c r="U67" s="436"/>
      <c r="V67" s="710"/>
      <c r="W67" s="436"/>
      <c r="X67" s="435"/>
      <c r="Y67" s="435"/>
      <c r="Z67" s="442"/>
      <c r="AA67" s="436">
        <v>0</v>
      </c>
      <c r="AB67" s="710"/>
      <c r="AC67" s="320"/>
      <c r="AD67" s="436"/>
      <c r="AE67" s="436"/>
      <c r="AF67" s="436"/>
      <c r="AG67" s="435"/>
      <c r="AH67" s="435"/>
      <c r="AI67" s="721">
        <v>0</v>
      </c>
      <c r="AJ67" s="721">
        <v>0</v>
      </c>
      <c r="AK67" s="721">
        <v>0</v>
      </c>
      <c r="AL67" s="442"/>
      <c r="AM67" s="435"/>
      <c r="AN67" s="435"/>
      <c r="AO67" s="442"/>
      <c r="AP67" s="442"/>
      <c r="AQ67" s="435"/>
      <c r="AR67" s="435"/>
      <c r="AS67" s="435"/>
      <c r="AT67" s="435"/>
      <c r="AU67" s="435"/>
      <c r="AV67" s="435"/>
      <c r="AW67" s="442"/>
      <c r="AX67" s="442"/>
      <c r="AY67" s="442"/>
      <c r="AZ67" s="442"/>
      <c r="BA67" s="435"/>
      <c r="BB67" s="435"/>
      <c r="BC67" s="435"/>
      <c r="BD67" s="435"/>
      <c r="BE67" s="435"/>
      <c r="BF67" s="442"/>
      <c r="BG67" s="468"/>
      <c r="BL67" s="789"/>
      <c r="BM67" s="789"/>
    </row>
    <row r="68" spans="1:65" s="424" customFormat="1">
      <c r="A68" s="425">
        <v>38</v>
      </c>
      <c r="C68" s="423" t="s">
        <v>213</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15">
        <v>0</v>
      </c>
      <c r="W68" s="435">
        <v>0</v>
      </c>
      <c r="X68" s="435">
        <v>0</v>
      </c>
      <c r="Y68" s="435">
        <v>0</v>
      </c>
      <c r="Z68" s="446">
        <v>0</v>
      </c>
      <c r="AA68" s="435">
        <v>0</v>
      </c>
      <c r="AB68" s="710">
        <v>-5313.6517048432197</v>
      </c>
      <c r="AC68" s="320">
        <f>SUM(E68:AB68)</f>
        <v>-57959.651704843222</v>
      </c>
      <c r="AD68" s="435">
        <v>0</v>
      </c>
      <c r="AE68" s="435">
        <v>0</v>
      </c>
      <c r="AF68" s="435">
        <v>0</v>
      </c>
      <c r="AG68" s="435">
        <v>0</v>
      </c>
      <c r="AH68" s="435">
        <v>0</v>
      </c>
      <c r="AI68" s="721">
        <v>0</v>
      </c>
      <c r="AJ68" s="721">
        <v>0</v>
      </c>
      <c r="AK68" s="721">
        <v>0</v>
      </c>
      <c r="AL68" s="446">
        <v>0</v>
      </c>
      <c r="AM68" s="435">
        <v>0</v>
      </c>
      <c r="AN68" s="435">
        <v>0</v>
      </c>
      <c r="AO68" s="446">
        <v>0</v>
      </c>
      <c r="AP68" s="442">
        <v>0</v>
      </c>
      <c r="AQ68" s="435">
        <v>0</v>
      </c>
      <c r="AR68" s="435">
        <v>0</v>
      </c>
      <c r="AS68" s="435">
        <v>0</v>
      </c>
      <c r="AT68" s="435">
        <v>0</v>
      </c>
      <c r="AU68" s="435">
        <v>0</v>
      </c>
      <c r="AV68" s="435">
        <v>0</v>
      </c>
      <c r="AW68" s="446">
        <v>0</v>
      </c>
      <c r="AX68" s="446">
        <v>0</v>
      </c>
      <c r="AY68" s="446">
        <v>0</v>
      </c>
      <c r="AZ68" s="442">
        <v>0</v>
      </c>
      <c r="BA68" s="435">
        <f>+[19]Electric!$L$21</f>
        <v>-5308.6255540888815</v>
      </c>
      <c r="BB68" s="435">
        <v>0</v>
      </c>
      <c r="BC68" s="435">
        <v>0</v>
      </c>
      <c r="BD68" s="435">
        <v>0</v>
      </c>
      <c r="BE68" s="435">
        <v>0</v>
      </c>
      <c r="BF68" s="446"/>
      <c r="BG68" s="468">
        <f t="shared" ref="BG68:BG73" si="65">SUM(AC68:BF68)</f>
        <v>-63268.277258932103</v>
      </c>
    </row>
    <row r="69" spans="1:65" s="424" customFormat="1">
      <c r="A69" s="425">
        <v>39</v>
      </c>
      <c r="C69" s="424" t="s">
        <v>214</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15">
        <v>0</v>
      </c>
      <c r="W69" s="435">
        <v>0</v>
      </c>
      <c r="X69" s="435">
        <v>0</v>
      </c>
      <c r="Y69" s="435">
        <v>0</v>
      </c>
      <c r="Z69" s="446">
        <v>0</v>
      </c>
      <c r="AA69" s="435">
        <v>0</v>
      </c>
      <c r="AB69" s="710">
        <v>-8174.1350000000093</v>
      </c>
      <c r="AC69" s="320">
        <f>SUM(E69:AB69)</f>
        <v>-390611.13500000001</v>
      </c>
      <c r="AD69" s="435">
        <v>0</v>
      </c>
      <c r="AE69" s="435">
        <v>0</v>
      </c>
      <c r="AF69" s="435">
        <v>0</v>
      </c>
      <c r="AG69" s="435">
        <v>0</v>
      </c>
      <c r="AH69" s="435">
        <v>0</v>
      </c>
      <c r="AI69" s="721">
        <v>0</v>
      </c>
      <c r="AJ69" s="721">
        <v>0</v>
      </c>
      <c r="AK69" s="721">
        <v>0</v>
      </c>
      <c r="AL69" s="446">
        <v>0</v>
      </c>
      <c r="AM69" s="435">
        <v>0</v>
      </c>
      <c r="AN69" s="435">
        <v>0</v>
      </c>
      <c r="AO69" s="446">
        <v>0</v>
      </c>
      <c r="AP69" s="442">
        <v>0</v>
      </c>
      <c r="AQ69" s="435">
        <v>0</v>
      </c>
      <c r="AR69" s="435">
        <v>0</v>
      </c>
      <c r="AS69" s="435">
        <v>0</v>
      </c>
      <c r="AT69" s="435">
        <v>0</v>
      </c>
      <c r="AU69" s="435">
        <v>0</v>
      </c>
      <c r="AV69" s="435">
        <v>0</v>
      </c>
      <c r="AW69" s="446">
        <v>-1150</v>
      </c>
      <c r="AX69" s="446">
        <v>0</v>
      </c>
      <c r="AY69" s="446">
        <v>0</v>
      </c>
      <c r="AZ69" s="442">
        <v>0</v>
      </c>
      <c r="BA69" s="435">
        <f>+[19]Electric!$L$17</f>
        <v>-12152.587</v>
      </c>
      <c r="BB69" s="435">
        <v>0</v>
      </c>
      <c r="BC69" s="435">
        <v>0</v>
      </c>
      <c r="BD69" s="435">
        <v>0</v>
      </c>
      <c r="BE69" s="435">
        <v>0</v>
      </c>
      <c r="BF69" s="446"/>
      <c r="BG69" s="469">
        <f t="shared" si="65"/>
        <v>-403913.72200000001</v>
      </c>
    </row>
    <row r="70" spans="1:65" s="424" customFormat="1">
      <c r="A70" s="425">
        <v>40</v>
      </c>
      <c r="C70" s="424" t="s">
        <v>215</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15">
        <v>0</v>
      </c>
      <c r="W70" s="435">
        <v>0</v>
      </c>
      <c r="X70" s="435">
        <v>0</v>
      </c>
      <c r="Y70" s="435">
        <v>0</v>
      </c>
      <c r="Z70" s="446">
        <v>0</v>
      </c>
      <c r="AA70" s="435">
        <v>0</v>
      </c>
      <c r="AB70" s="710">
        <v>-3770.7280000000028</v>
      </c>
      <c r="AC70" s="320">
        <f>SUM(E70:AB70)</f>
        <v>-150786.728</v>
      </c>
      <c r="AD70" s="435">
        <v>0</v>
      </c>
      <c r="AE70" s="435">
        <v>0</v>
      </c>
      <c r="AF70" s="435">
        <v>0</v>
      </c>
      <c r="AG70" s="435">
        <v>0</v>
      </c>
      <c r="AH70" s="435">
        <v>0</v>
      </c>
      <c r="AI70" s="721">
        <v>0</v>
      </c>
      <c r="AJ70" s="721">
        <v>0</v>
      </c>
      <c r="AK70" s="721">
        <v>0</v>
      </c>
      <c r="AL70" s="446">
        <v>0</v>
      </c>
      <c r="AM70" s="435">
        <v>0</v>
      </c>
      <c r="AN70" s="435">
        <v>0</v>
      </c>
      <c r="AO70" s="446">
        <v>0</v>
      </c>
      <c r="AP70" s="442">
        <v>0</v>
      </c>
      <c r="AQ70" s="435">
        <v>0</v>
      </c>
      <c r="AR70" s="435">
        <v>0</v>
      </c>
      <c r="AS70" s="435">
        <v>0</v>
      </c>
      <c r="AT70" s="435">
        <v>0</v>
      </c>
      <c r="AU70" s="435">
        <v>0</v>
      </c>
      <c r="AV70" s="435">
        <v>0</v>
      </c>
      <c r="AW70" s="446">
        <v>0</v>
      </c>
      <c r="AX70" s="446">
        <v>0</v>
      </c>
      <c r="AY70" s="446">
        <v>0</v>
      </c>
      <c r="AZ70" s="442">
        <v>0</v>
      </c>
      <c r="BA70" s="435">
        <f>+[19]Electric!$L$18</f>
        <v>-3151.4189999999999</v>
      </c>
      <c r="BB70" s="435">
        <v>0</v>
      </c>
      <c r="BC70" s="435">
        <v>0</v>
      </c>
      <c r="BD70" s="435">
        <v>0</v>
      </c>
      <c r="BE70" s="435">
        <v>0</v>
      </c>
      <c r="BF70" s="446"/>
      <c r="BG70" s="468">
        <f t="shared" si="65"/>
        <v>-153938.147</v>
      </c>
    </row>
    <row r="71" spans="1:65" s="424" customFormat="1">
      <c r="A71" s="425">
        <v>41</v>
      </c>
      <c r="C71" s="424" t="s">
        <v>199</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15">
        <v>0</v>
      </c>
      <c r="W71" s="435">
        <v>0</v>
      </c>
      <c r="X71" s="435">
        <v>0</v>
      </c>
      <c r="Y71" s="435">
        <v>0</v>
      </c>
      <c r="Z71" s="446">
        <v>0</v>
      </c>
      <c r="AA71" s="435">
        <v>0</v>
      </c>
      <c r="AB71" s="710">
        <v>558.15549731263059</v>
      </c>
      <c r="AC71" s="320">
        <f>SUM(E71:AB71)</f>
        <v>-357884.8445026874</v>
      </c>
      <c r="AD71" s="435">
        <v>0</v>
      </c>
      <c r="AE71" s="435">
        <v>0</v>
      </c>
      <c r="AF71" s="435">
        <v>0</v>
      </c>
      <c r="AG71" s="435">
        <v>0</v>
      </c>
      <c r="AH71" s="435">
        <v>0</v>
      </c>
      <c r="AI71" s="721">
        <v>0</v>
      </c>
      <c r="AJ71" s="721">
        <v>0</v>
      </c>
      <c r="AK71" s="721">
        <v>0</v>
      </c>
      <c r="AL71" s="446">
        <v>0</v>
      </c>
      <c r="AM71" s="435">
        <v>0</v>
      </c>
      <c r="AN71" s="435">
        <v>0</v>
      </c>
      <c r="AO71" s="446">
        <v>0</v>
      </c>
      <c r="AP71" s="442">
        <v>0</v>
      </c>
      <c r="AQ71" s="435">
        <v>0</v>
      </c>
      <c r="AR71" s="435">
        <v>0</v>
      </c>
      <c r="AS71" s="435">
        <v>0</v>
      </c>
      <c r="AT71" s="435">
        <v>0</v>
      </c>
      <c r="AU71" s="435">
        <f>+[16]Adjustment!$E$8/1000</f>
        <v>2631.8186745833332</v>
      </c>
      <c r="AV71" s="435">
        <v>0</v>
      </c>
      <c r="AW71" s="446">
        <v>0</v>
      </c>
      <c r="AX71" s="446">
        <v>0</v>
      </c>
      <c r="AY71" s="446">
        <v>0</v>
      </c>
      <c r="AZ71" s="442">
        <v>0</v>
      </c>
      <c r="BA71" s="435">
        <f>+[19]Electric!$L$19</f>
        <v>-6649.3347863013387</v>
      </c>
      <c r="BB71" s="435">
        <v>0</v>
      </c>
      <c r="BC71" s="435">
        <v>0</v>
      </c>
      <c r="BD71" s="435">
        <v>0</v>
      </c>
      <c r="BE71" s="435">
        <v>0</v>
      </c>
      <c r="BF71" s="446"/>
      <c r="BG71" s="468">
        <f t="shared" si="65"/>
        <v>-361902.36061440542</v>
      </c>
    </row>
    <row r="72" spans="1:65" s="424" customFormat="1">
      <c r="A72" s="425">
        <v>42</v>
      </c>
      <c r="C72" s="424" t="s">
        <v>216</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16">
        <v>0</v>
      </c>
      <c r="W72" s="435">
        <v>0</v>
      </c>
      <c r="X72" s="435">
        <v>0</v>
      </c>
      <c r="Y72" s="435">
        <v>0</v>
      </c>
      <c r="Z72" s="444">
        <v>0</v>
      </c>
      <c r="AA72" s="435">
        <v>0</v>
      </c>
      <c r="AB72" s="710">
        <v>1118.1000257914006</v>
      </c>
      <c r="AC72" s="320">
        <f>SUM(E72:AB72)</f>
        <v>-90546.899974208602</v>
      </c>
      <c r="AD72" s="435">
        <v>0</v>
      </c>
      <c r="AE72" s="435">
        <v>0</v>
      </c>
      <c r="AF72" s="435">
        <v>0</v>
      </c>
      <c r="AG72" s="435">
        <v>0</v>
      </c>
      <c r="AH72" s="435">
        <v>0</v>
      </c>
      <c r="AI72" s="721">
        <v>0</v>
      </c>
      <c r="AJ72" s="721">
        <v>0</v>
      </c>
      <c r="AK72" s="721">
        <v>0</v>
      </c>
      <c r="AL72" s="444">
        <v>0</v>
      </c>
      <c r="AM72" s="435">
        <v>0</v>
      </c>
      <c r="AN72" s="435">
        <v>0</v>
      </c>
      <c r="AO72" s="444">
        <v>0</v>
      </c>
      <c r="AP72" s="442">
        <v>0</v>
      </c>
      <c r="AQ72" s="435">
        <v>0</v>
      </c>
      <c r="AR72" s="435">
        <v>0</v>
      </c>
      <c r="AS72" s="435">
        <v>0</v>
      </c>
      <c r="AT72" s="435">
        <v>0</v>
      </c>
      <c r="AU72" s="435">
        <v>0</v>
      </c>
      <c r="AV72" s="435">
        <v>0</v>
      </c>
      <c r="AW72" s="444">
        <v>0</v>
      </c>
      <c r="AX72" s="444">
        <v>0</v>
      </c>
      <c r="AY72" s="444">
        <v>0</v>
      </c>
      <c r="AZ72" s="443">
        <v>0</v>
      </c>
      <c r="BA72" s="435">
        <f>+[19]Electric!$L$20</f>
        <v>-2370.7371596097801</v>
      </c>
      <c r="BB72" s="435">
        <v>0</v>
      </c>
      <c r="BC72" s="435">
        <v>0</v>
      </c>
      <c r="BD72" s="435">
        <v>0</v>
      </c>
      <c r="BE72" s="435">
        <v>0</v>
      </c>
      <c r="BF72" s="444"/>
      <c r="BG72" s="470">
        <f t="shared" si="65"/>
        <v>-92917.637133818382</v>
      </c>
    </row>
    <row r="73" spans="1:65" s="424" customFormat="1">
      <c r="A73" s="425">
        <v>43</v>
      </c>
      <c r="B73" s="424" t="s">
        <v>266</v>
      </c>
      <c r="E73" s="453">
        <f t="shared" ref="E73:AJ73" si="66">SUM(E68:E72)</f>
        <v>-1038385</v>
      </c>
      <c r="F73" s="453">
        <f t="shared" si="66"/>
        <v>0</v>
      </c>
      <c r="G73" s="453">
        <f t="shared" si="66"/>
        <v>0</v>
      </c>
      <c r="H73" s="453">
        <f t="shared" si="66"/>
        <v>0</v>
      </c>
      <c r="I73" s="453">
        <f>SUM(I68:I72)</f>
        <v>6178</v>
      </c>
      <c r="J73" s="453">
        <f t="shared" si="66"/>
        <v>0</v>
      </c>
      <c r="K73" s="453">
        <f>SUM(K68:K72)</f>
        <v>0</v>
      </c>
      <c r="L73" s="453">
        <f t="shared" si="66"/>
        <v>0</v>
      </c>
      <c r="M73" s="453">
        <f t="shared" si="66"/>
        <v>0</v>
      </c>
      <c r="N73" s="453">
        <f t="shared" si="66"/>
        <v>0</v>
      </c>
      <c r="O73" s="453">
        <f t="shared" si="66"/>
        <v>0</v>
      </c>
      <c r="P73" s="453">
        <f t="shared" si="66"/>
        <v>0</v>
      </c>
      <c r="Q73" s="453">
        <f t="shared" si="66"/>
        <v>0</v>
      </c>
      <c r="R73" s="453">
        <f t="shared" si="66"/>
        <v>0</v>
      </c>
      <c r="S73" s="453">
        <f t="shared" si="66"/>
        <v>0</v>
      </c>
      <c r="T73" s="453">
        <f t="shared" ref="T73:AB73" si="67">SUM(T68:T72)</f>
        <v>0</v>
      </c>
      <c r="U73" s="453">
        <f t="shared" si="67"/>
        <v>0</v>
      </c>
      <c r="V73" s="717">
        <f t="shared" si="67"/>
        <v>0</v>
      </c>
      <c r="W73" s="453">
        <f t="shared" si="67"/>
        <v>0</v>
      </c>
      <c r="X73" s="453">
        <f t="shared" si="67"/>
        <v>0</v>
      </c>
      <c r="Y73" s="453">
        <f t="shared" si="67"/>
        <v>0</v>
      </c>
      <c r="Z73" s="450">
        <f t="shared" si="67"/>
        <v>0</v>
      </c>
      <c r="AA73" s="453">
        <f t="shared" si="67"/>
        <v>0</v>
      </c>
      <c r="AB73" s="728">
        <f t="shared" si="67"/>
        <v>-15582.259181739204</v>
      </c>
      <c r="AC73" s="322">
        <f t="shared" si="66"/>
        <v>-1047789.2591817393</v>
      </c>
      <c r="AD73" s="453">
        <f t="shared" si="66"/>
        <v>0</v>
      </c>
      <c r="AE73" s="453">
        <f>SUM(AE68:AE72)</f>
        <v>0</v>
      </c>
      <c r="AF73" s="453">
        <f>SUM(AF68:AF72)</f>
        <v>0</v>
      </c>
      <c r="AG73" s="453">
        <f>SUM(AG68:AG72)</f>
        <v>0</v>
      </c>
      <c r="AH73" s="453">
        <f>SUM(AH68:AH72)</f>
        <v>0</v>
      </c>
      <c r="AI73" s="728">
        <f>SUM(AI68:AI72)</f>
        <v>0</v>
      </c>
      <c r="AJ73" s="728">
        <f t="shared" si="66"/>
        <v>0</v>
      </c>
      <c r="AK73" s="728">
        <f t="shared" ref="AK73:AP73" si="68">SUM(AK68:AK72)</f>
        <v>0</v>
      </c>
      <c r="AL73" s="450">
        <f t="shared" si="68"/>
        <v>0</v>
      </c>
      <c r="AM73" s="453">
        <f t="shared" si="68"/>
        <v>0</v>
      </c>
      <c r="AN73" s="453">
        <f t="shared" si="68"/>
        <v>0</v>
      </c>
      <c r="AO73" s="450">
        <f t="shared" si="68"/>
        <v>0</v>
      </c>
      <c r="AP73" s="453">
        <f t="shared" si="68"/>
        <v>0</v>
      </c>
      <c r="AQ73" s="453">
        <f t="shared" ref="AQ73:AV73" si="69">SUM(AQ68:AQ72)</f>
        <v>0</v>
      </c>
      <c r="AR73" s="453">
        <f t="shared" si="69"/>
        <v>0</v>
      </c>
      <c r="AS73" s="453">
        <f t="shared" si="69"/>
        <v>0</v>
      </c>
      <c r="AT73" s="453">
        <f t="shared" si="69"/>
        <v>0</v>
      </c>
      <c r="AU73" s="453">
        <f t="shared" si="69"/>
        <v>2631.8186745833332</v>
      </c>
      <c r="AV73" s="453">
        <f t="shared" si="69"/>
        <v>0</v>
      </c>
      <c r="AW73" s="450">
        <f t="shared" ref="AW73:BF73" si="70">SUM(AW68:AW72)</f>
        <v>-1150</v>
      </c>
      <c r="AX73" s="450">
        <f t="shared" si="70"/>
        <v>0</v>
      </c>
      <c r="AY73" s="450">
        <f t="shared" si="70"/>
        <v>0</v>
      </c>
      <c r="AZ73" s="450">
        <f t="shared" si="70"/>
        <v>0</v>
      </c>
      <c r="BA73" s="453">
        <f t="shared" si="70"/>
        <v>-29632.703500000003</v>
      </c>
      <c r="BB73" s="453">
        <f t="shared" ref="BB73" si="71">SUM(BB68:BB72)</f>
        <v>0</v>
      </c>
      <c r="BC73" s="453">
        <f t="shared" ref="BC73:BD73" si="72">SUM(BC68:BC72)</f>
        <v>0</v>
      </c>
      <c r="BD73" s="453">
        <f t="shared" si="72"/>
        <v>0</v>
      </c>
      <c r="BE73" s="453">
        <f t="shared" ref="BE73" si="73">SUM(BE68:BE72)</f>
        <v>0</v>
      </c>
      <c r="BF73" s="450">
        <f t="shared" si="70"/>
        <v>0</v>
      </c>
      <c r="BG73" s="468">
        <f t="shared" si="65"/>
        <v>-1075940.1440071559</v>
      </c>
    </row>
    <row r="74" spans="1:65" s="424" customFormat="1">
      <c r="A74" s="425">
        <v>44</v>
      </c>
      <c r="B74" s="424" t="s">
        <v>267</v>
      </c>
      <c r="E74" s="453">
        <f>E66+E73</f>
        <v>2086740</v>
      </c>
      <c r="F74" s="453">
        <f t="shared" ref="F74:Y74" si="74">F66+F73</f>
        <v>0</v>
      </c>
      <c r="G74" s="453">
        <f t="shared" si="74"/>
        <v>0</v>
      </c>
      <c r="H74" s="453">
        <f t="shared" si="74"/>
        <v>0</v>
      </c>
      <c r="I74" s="453">
        <f>I66+I73</f>
        <v>-51490</v>
      </c>
      <c r="J74" s="453">
        <f t="shared" si="74"/>
        <v>0</v>
      </c>
      <c r="K74" s="453">
        <f t="shared" si="74"/>
        <v>0</v>
      </c>
      <c r="L74" s="453">
        <f t="shared" si="74"/>
        <v>0</v>
      </c>
      <c r="M74" s="453">
        <f t="shared" si="74"/>
        <v>0</v>
      </c>
      <c r="N74" s="453">
        <f t="shared" si="74"/>
        <v>0</v>
      </c>
      <c r="O74" s="453">
        <f t="shared" si="74"/>
        <v>0</v>
      </c>
      <c r="P74" s="453">
        <f t="shared" si="74"/>
        <v>0</v>
      </c>
      <c r="Q74" s="453">
        <f t="shared" si="74"/>
        <v>0</v>
      </c>
      <c r="R74" s="453">
        <f t="shared" si="74"/>
        <v>0</v>
      </c>
      <c r="S74" s="453">
        <f t="shared" si="74"/>
        <v>0</v>
      </c>
      <c r="T74" s="453">
        <f>T66+T73</f>
        <v>0</v>
      </c>
      <c r="U74" s="453">
        <f>U66+U73</f>
        <v>0</v>
      </c>
      <c r="V74" s="710">
        <f>V66+V73</f>
        <v>0</v>
      </c>
      <c r="W74" s="453">
        <f>W66+W73</f>
        <v>0</v>
      </c>
      <c r="X74" s="453">
        <f t="shared" si="74"/>
        <v>0</v>
      </c>
      <c r="Y74" s="453">
        <f t="shared" si="74"/>
        <v>0</v>
      </c>
      <c r="Z74" s="442">
        <f>Z66+Z73</f>
        <v>0</v>
      </c>
      <c r="AA74" s="453">
        <f t="shared" ref="AA74:AI74" si="75">AA66+AA73</f>
        <v>0</v>
      </c>
      <c r="AB74" s="728">
        <f t="shared" si="75"/>
        <v>21566.028985405777</v>
      </c>
      <c r="AC74" s="323">
        <f t="shared" si="75"/>
        <v>2056816.0289854058</v>
      </c>
      <c r="AD74" s="453">
        <f>AD66-AD73</f>
        <v>0</v>
      </c>
      <c r="AE74" s="453">
        <f>AE66-AE73</f>
        <v>0</v>
      </c>
      <c r="AF74" s="453">
        <f>AF66-AF73</f>
        <v>0</v>
      </c>
      <c r="AG74" s="453">
        <f>AG66+AG73</f>
        <v>0</v>
      </c>
      <c r="AH74" s="453">
        <f>AH66+AH73</f>
        <v>0</v>
      </c>
      <c r="AI74" s="728">
        <f t="shared" si="75"/>
        <v>0</v>
      </c>
      <c r="AJ74" s="728">
        <f>AJ66+AJ73</f>
        <v>0</v>
      </c>
      <c r="AK74" s="728">
        <f>AK66+AK73</f>
        <v>0</v>
      </c>
      <c r="AL74" s="442">
        <f>AL66+AL73</f>
        <v>0</v>
      </c>
      <c r="AM74" s="453">
        <f>AM66+AM73</f>
        <v>0</v>
      </c>
      <c r="AN74" s="453">
        <f t="shared" ref="AN74:AT74" si="76">AN66+AN73</f>
        <v>0</v>
      </c>
      <c r="AO74" s="442">
        <f t="shared" si="76"/>
        <v>0</v>
      </c>
      <c r="AP74" s="453">
        <f>AP66+AP73</f>
        <v>0</v>
      </c>
      <c r="AQ74" s="453">
        <f t="shared" si="76"/>
        <v>0</v>
      </c>
      <c r="AR74" s="453">
        <f t="shared" si="76"/>
        <v>0</v>
      </c>
      <c r="AS74" s="453">
        <f t="shared" si="76"/>
        <v>0</v>
      </c>
      <c r="AT74" s="453">
        <f t="shared" si="76"/>
        <v>0</v>
      </c>
      <c r="AU74" s="453">
        <f>AU66+AU73</f>
        <v>-21734.679272916666</v>
      </c>
      <c r="AV74" s="453">
        <f>AV66+AV73</f>
        <v>0</v>
      </c>
      <c r="AW74" s="442">
        <f>AW66+AW73</f>
        <v>12758</v>
      </c>
      <c r="AX74" s="442">
        <f>AX66+AX73</f>
        <v>0</v>
      </c>
      <c r="AY74" s="442">
        <f>AY66+AY73</f>
        <v>0</v>
      </c>
      <c r="AZ74" s="442">
        <f>AZ66-AZ73</f>
        <v>0</v>
      </c>
      <c r="BA74" s="453">
        <f t="shared" ref="BA74:BG74" si="77">BA66+BA73</f>
        <v>15274.842666666678</v>
      </c>
      <c r="BB74" s="453">
        <f t="shared" si="77"/>
        <v>0</v>
      </c>
      <c r="BC74" s="453">
        <f t="shared" si="77"/>
        <v>0</v>
      </c>
      <c r="BD74" s="453">
        <f t="shared" si="77"/>
        <v>0</v>
      </c>
      <c r="BE74" s="453">
        <f t="shared" si="77"/>
        <v>0</v>
      </c>
      <c r="BF74" s="442">
        <f t="shared" si="77"/>
        <v>0</v>
      </c>
      <c r="BG74" s="471">
        <f t="shared" si="77"/>
        <v>2063114.1923791559</v>
      </c>
    </row>
    <row r="75" spans="1:65" s="424" customFormat="1" ht="5.25" customHeight="1">
      <c r="A75" s="425"/>
      <c r="E75" s="442"/>
      <c r="F75" s="442"/>
      <c r="G75" s="442"/>
      <c r="H75" s="442"/>
      <c r="I75" s="442"/>
      <c r="J75" s="442"/>
      <c r="K75" s="442"/>
      <c r="L75" s="442"/>
      <c r="M75" s="442"/>
      <c r="N75" s="442"/>
      <c r="O75" s="442"/>
      <c r="P75" s="442"/>
      <c r="Q75" s="442"/>
      <c r="R75" s="442"/>
      <c r="S75" s="442"/>
      <c r="T75" s="442"/>
      <c r="U75" s="442"/>
      <c r="V75" s="710"/>
      <c r="W75" s="442"/>
      <c r="X75" s="442"/>
      <c r="Y75" s="442"/>
      <c r="Z75" s="442"/>
      <c r="AA75" s="442"/>
      <c r="AB75" s="710"/>
      <c r="AC75" s="339"/>
      <c r="AD75" s="442"/>
      <c r="AE75" s="442"/>
      <c r="AF75" s="442"/>
      <c r="AG75" s="442"/>
      <c r="AH75" s="442"/>
      <c r="AI75" s="710"/>
      <c r="AJ75" s="710"/>
      <c r="AK75" s="710"/>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68"/>
    </row>
    <row r="76" spans="1:65" s="424" customFormat="1">
      <c r="A76" s="426">
        <v>45</v>
      </c>
      <c r="B76" s="424" t="s">
        <v>219</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12">
        <v>0</v>
      </c>
      <c r="W76" s="443">
        <v>0</v>
      </c>
      <c r="X76" s="444">
        <v>0</v>
      </c>
      <c r="Y76" s="444">
        <v>0</v>
      </c>
      <c r="Z76" s="443">
        <v>0</v>
      </c>
      <c r="AA76" s="443">
        <v>0</v>
      </c>
      <c r="AB76" s="712">
        <v>-517</v>
      </c>
      <c r="AC76" s="321">
        <f>SUM(E76:AB76)</f>
        <v>-416057</v>
      </c>
      <c r="AD76" s="443">
        <v>0</v>
      </c>
      <c r="AE76" s="443">
        <v>0</v>
      </c>
      <c r="AF76" s="443">
        <v>0</v>
      </c>
      <c r="AG76" s="444">
        <v>0</v>
      </c>
      <c r="AH76" s="444">
        <v>0</v>
      </c>
      <c r="AI76" s="716">
        <v>0</v>
      </c>
      <c r="AJ76" s="716">
        <v>0</v>
      </c>
      <c r="AK76" s="716">
        <v>0</v>
      </c>
      <c r="AL76" s="443">
        <v>0</v>
      </c>
      <c r="AM76" s="444">
        <v>0</v>
      </c>
      <c r="AN76" s="444">
        <v>0</v>
      </c>
      <c r="AO76" s="443">
        <v>0</v>
      </c>
      <c r="AP76" s="443">
        <v>0</v>
      </c>
      <c r="AQ76" s="444">
        <v>0</v>
      </c>
      <c r="AR76" s="444">
        <v>0</v>
      </c>
      <c r="AS76" s="444">
        <v>0</v>
      </c>
      <c r="AT76" s="444">
        <v>0</v>
      </c>
      <c r="AU76" s="444">
        <v>0</v>
      </c>
      <c r="AV76" s="444">
        <v>0</v>
      </c>
      <c r="AW76" s="443">
        <v>-181</v>
      </c>
      <c r="AX76" s="443">
        <v>0</v>
      </c>
      <c r="AY76" s="443">
        <v>0</v>
      </c>
      <c r="AZ76" s="443">
        <v>-30542</v>
      </c>
      <c r="BA76" s="444">
        <f>+[19]Electric!$L$29</f>
        <v>-2543.168292770285</v>
      </c>
      <c r="BB76" s="444">
        <v>0</v>
      </c>
      <c r="BC76" s="444">
        <v>0</v>
      </c>
      <c r="BD76" s="444">
        <v>0</v>
      </c>
      <c r="BE76" s="444">
        <v>0</v>
      </c>
      <c r="BF76" s="443"/>
      <c r="BG76" s="470">
        <f>SUM(AC76:BF76)</f>
        <v>-449323.16829277028</v>
      </c>
      <c r="BH76" s="735"/>
      <c r="BI76" s="795"/>
      <c r="BJ76" s="785"/>
    </row>
    <row r="77" spans="1:65" s="424" customFormat="1">
      <c r="A77" s="426">
        <v>46</v>
      </c>
      <c r="C77" s="424" t="s">
        <v>554</v>
      </c>
      <c r="E77" s="442">
        <f>SUM(E74:E76)</f>
        <v>1667769</v>
      </c>
      <c r="F77" s="442">
        <f t="shared" ref="F77:AJ77" si="78">SUM(F74:F76)</f>
        <v>47</v>
      </c>
      <c r="G77" s="442">
        <f t="shared" si="78"/>
        <v>0</v>
      </c>
      <c r="H77" s="442">
        <f t="shared" si="78"/>
        <v>0</v>
      </c>
      <c r="I77" s="442">
        <f>SUM(I74:I76)</f>
        <v>-48106</v>
      </c>
      <c r="J77" s="442">
        <f t="shared" si="78"/>
        <v>0</v>
      </c>
      <c r="K77" s="442">
        <f>SUM(K74:K76)</f>
        <v>0</v>
      </c>
      <c r="L77" s="442">
        <f t="shared" si="78"/>
        <v>0</v>
      </c>
      <c r="M77" s="442">
        <f t="shared" si="78"/>
        <v>0</v>
      </c>
      <c r="N77" s="442">
        <f t="shared" si="78"/>
        <v>0</v>
      </c>
      <c r="O77" s="442">
        <f t="shared" si="78"/>
        <v>0</v>
      </c>
      <c r="P77" s="442">
        <f t="shared" si="78"/>
        <v>0</v>
      </c>
      <c r="Q77" s="442">
        <f t="shared" si="78"/>
        <v>0</v>
      </c>
      <c r="R77" s="442">
        <f t="shared" si="78"/>
        <v>0</v>
      </c>
      <c r="S77" s="442">
        <f t="shared" si="78"/>
        <v>0</v>
      </c>
      <c r="T77" s="442">
        <f t="shared" ref="T77:AB77" si="79">SUM(T74:T76)</f>
        <v>0</v>
      </c>
      <c r="U77" s="442">
        <f t="shared" si="79"/>
        <v>0</v>
      </c>
      <c r="V77" s="710">
        <f t="shared" si="79"/>
        <v>0</v>
      </c>
      <c r="W77" s="442">
        <f t="shared" si="79"/>
        <v>0</v>
      </c>
      <c r="X77" s="442">
        <f t="shared" si="79"/>
        <v>0</v>
      </c>
      <c r="Y77" s="442">
        <f t="shared" si="79"/>
        <v>0</v>
      </c>
      <c r="Z77" s="442">
        <f t="shared" si="79"/>
        <v>0</v>
      </c>
      <c r="AA77" s="442">
        <f t="shared" si="79"/>
        <v>0</v>
      </c>
      <c r="AB77" s="710">
        <f t="shared" si="79"/>
        <v>21049.028985405777</v>
      </c>
      <c r="AC77" s="339">
        <f t="shared" si="78"/>
        <v>1640759.0289854058</v>
      </c>
      <c r="AD77" s="442">
        <f t="shared" si="78"/>
        <v>0</v>
      </c>
      <c r="AE77" s="442">
        <f>SUM(AE74:AE76)</f>
        <v>0</v>
      </c>
      <c r="AF77" s="442">
        <f>SUM(AF74:AF76)</f>
        <v>0</v>
      </c>
      <c r="AG77" s="442">
        <f>SUM(AG74:AG76)</f>
        <v>0</v>
      </c>
      <c r="AH77" s="442">
        <f>SUM(AH74:AH76)</f>
        <v>0</v>
      </c>
      <c r="AI77" s="710">
        <f>SUM(AI74:AI76)</f>
        <v>0</v>
      </c>
      <c r="AJ77" s="710">
        <f t="shared" si="78"/>
        <v>0</v>
      </c>
      <c r="AK77" s="710">
        <f t="shared" ref="AK77:AP77" si="80">SUM(AK74:AK76)</f>
        <v>0</v>
      </c>
      <c r="AL77" s="442">
        <f t="shared" si="80"/>
        <v>0</v>
      </c>
      <c r="AM77" s="442">
        <f t="shared" si="80"/>
        <v>0</v>
      </c>
      <c r="AN77" s="442">
        <f t="shared" si="80"/>
        <v>0</v>
      </c>
      <c r="AO77" s="442">
        <f t="shared" si="80"/>
        <v>0</v>
      </c>
      <c r="AP77" s="442">
        <f t="shared" si="80"/>
        <v>0</v>
      </c>
      <c r="AQ77" s="442">
        <f t="shared" ref="AQ77:AV77" si="81">SUM(AQ74:AQ76)</f>
        <v>0</v>
      </c>
      <c r="AR77" s="442">
        <f t="shared" si="81"/>
        <v>0</v>
      </c>
      <c r="AS77" s="442">
        <f t="shared" si="81"/>
        <v>0</v>
      </c>
      <c r="AT77" s="442">
        <f t="shared" si="81"/>
        <v>0</v>
      </c>
      <c r="AU77" s="442">
        <f t="shared" si="81"/>
        <v>-21734.679272916666</v>
      </c>
      <c r="AV77" s="442">
        <f t="shared" si="81"/>
        <v>0</v>
      </c>
      <c r="AW77" s="442">
        <f t="shared" ref="AW77:BG77" si="82">SUM(AW74:AW76)</f>
        <v>12577</v>
      </c>
      <c r="AX77" s="442">
        <f t="shared" si="82"/>
        <v>0</v>
      </c>
      <c r="AY77" s="442">
        <f t="shared" si="82"/>
        <v>0</v>
      </c>
      <c r="AZ77" s="442">
        <f t="shared" si="82"/>
        <v>-30542</v>
      </c>
      <c r="BA77" s="442">
        <f t="shared" si="82"/>
        <v>12731.674373896392</v>
      </c>
      <c r="BB77" s="442">
        <f t="shared" ref="BB77" si="83">SUM(BB74:BB76)</f>
        <v>0</v>
      </c>
      <c r="BC77" s="442">
        <f t="shared" ref="BC77:BD77" si="84">SUM(BC74:BC76)</f>
        <v>0</v>
      </c>
      <c r="BD77" s="442">
        <f t="shared" si="84"/>
        <v>0</v>
      </c>
      <c r="BE77" s="442">
        <f t="shared" ref="BE77" si="85">SUM(BE74:BE76)</f>
        <v>0</v>
      </c>
      <c r="BF77" s="442">
        <f t="shared" si="82"/>
        <v>0</v>
      </c>
      <c r="BG77" s="468">
        <f t="shared" si="82"/>
        <v>1613791.0240863855</v>
      </c>
      <c r="BJ77" s="409"/>
    </row>
    <row r="78" spans="1:65" s="424" customFormat="1">
      <c r="A78" s="425">
        <v>47</v>
      </c>
      <c r="B78" s="424" t="s">
        <v>622</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10">
        <v>0</v>
      </c>
      <c r="W78" s="436">
        <v>0</v>
      </c>
      <c r="X78" s="435">
        <v>0</v>
      </c>
      <c r="Y78" s="435">
        <v>0</v>
      </c>
      <c r="Z78" s="442">
        <v>0</v>
      </c>
      <c r="AA78" s="436">
        <v>0</v>
      </c>
      <c r="AB78" s="710">
        <v>0</v>
      </c>
      <c r="AC78" s="320">
        <f>SUM(E78:AB78)</f>
        <v>-2277</v>
      </c>
      <c r="AD78" s="436">
        <v>0</v>
      </c>
      <c r="AE78" s="436">
        <v>0</v>
      </c>
      <c r="AF78" s="436">
        <v>0</v>
      </c>
      <c r="AG78" s="435">
        <v>-766</v>
      </c>
      <c r="AH78" s="435"/>
      <c r="AI78" s="721">
        <v>0</v>
      </c>
      <c r="AJ78" s="721">
        <v>0</v>
      </c>
      <c r="AK78" s="721">
        <v>0</v>
      </c>
      <c r="AL78" s="442">
        <v>0</v>
      </c>
      <c r="AM78" s="435">
        <v>0</v>
      </c>
      <c r="AN78" s="435">
        <v>0</v>
      </c>
      <c r="AO78" s="442">
        <v>0</v>
      </c>
      <c r="AP78" s="442">
        <v>0</v>
      </c>
      <c r="AQ78" s="435">
        <v>0</v>
      </c>
      <c r="AR78" s="435">
        <v>0</v>
      </c>
      <c r="AS78" s="435">
        <v>0</v>
      </c>
      <c r="AT78" s="435">
        <v>0</v>
      </c>
      <c r="AU78" s="435">
        <v>0</v>
      </c>
      <c r="AV78" s="435">
        <v>0</v>
      </c>
      <c r="AW78" s="442">
        <v>0</v>
      </c>
      <c r="AX78" s="442">
        <f>+'[18]Total ADJ - include PF'!$F$7/1000</f>
        <v>-4266.1127130142186</v>
      </c>
      <c r="AY78" s="442">
        <v>0</v>
      </c>
      <c r="AZ78" s="442">
        <v>0</v>
      </c>
      <c r="BA78" s="435">
        <v>0</v>
      </c>
      <c r="BB78" s="435">
        <v>0</v>
      </c>
      <c r="BC78" s="435">
        <v>0</v>
      </c>
      <c r="BD78" s="435">
        <v>0</v>
      </c>
      <c r="BE78" s="435">
        <v>0</v>
      </c>
      <c r="BF78" s="442">
        <v>0</v>
      </c>
      <c r="BG78" s="468">
        <f>SUM(AC78:BF78)</f>
        <v>-7309.1127130142186</v>
      </c>
    </row>
    <row r="79" spans="1:65" s="424" customFormat="1">
      <c r="A79" s="425">
        <v>48</v>
      </c>
      <c r="B79" s="424" t="s">
        <v>255</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12">
        <v>0</v>
      </c>
      <c r="W79" s="443">
        <v>0</v>
      </c>
      <c r="X79" s="444">
        <v>0</v>
      </c>
      <c r="Y79" s="444">
        <v>0</v>
      </c>
      <c r="Z79" s="443">
        <v>0</v>
      </c>
      <c r="AA79" s="443">
        <v>0</v>
      </c>
      <c r="AB79" s="712">
        <v>0</v>
      </c>
      <c r="AC79" s="321">
        <f>SUM(E79:AB79)</f>
        <v>40710</v>
      </c>
      <c r="AD79" s="443">
        <v>0</v>
      </c>
      <c r="AE79" s="443">
        <v>0</v>
      </c>
      <c r="AF79" s="443">
        <v>0</v>
      </c>
      <c r="AG79" s="444">
        <v>0</v>
      </c>
      <c r="AH79" s="444">
        <v>0</v>
      </c>
      <c r="AI79" s="716">
        <v>0</v>
      </c>
      <c r="AJ79" s="716">
        <v>0</v>
      </c>
      <c r="AK79" s="716">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4">
        <v>0</v>
      </c>
      <c r="BC79" s="444">
        <v>0</v>
      </c>
      <c r="BD79" s="444">
        <v>0</v>
      </c>
      <c r="BE79" s="444">
        <v>0</v>
      </c>
      <c r="BF79" s="443">
        <v>0</v>
      </c>
      <c r="BG79" s="470">
        <f>SUM(AC79:BF79)</f>
        <v>40710</v>
      </c>
    </row>
    <row r="80" spans="1:65" s="424" customFormat="1" ht="7.5" customHeight="1">
      <c r="A80" s="426"/>
      <c r="E80" s="442"/>
      <c r="F80" s="435"/>
      <c r="G80" s="435"/>
      <c r="H80" s="435"/>
      <c r="I80" s="435"/>
      <c r="J80" s="435"/>
      <c r="K80" s="435"/>
      <c r="L80" s="435"/>
      <c r="M80" s="435"/>
      <c r="N80" s="435"/>
      <c r="O80" s="435"/>
      <c r="P80" s="435"/>
      <c r="Q80" s="435"/>
      <c r="R80" s="435"/>
      <c r="S80" s="435"/>
      <c r="T80" s="436"/>
      <c r="U80" s="436"/>
      <c r="V80" s="710"/>
      <c r="W80" s="436"/>
      <c r="X80" s="435"/>
      <c r="Y80" s="435"/>
      <c r="Z80" s="442"/>
      <c r="AA80" s="436"/>
      <c r="AB80" s="710"/>
      <c r="AC80" s="434"/>
      <c r="AD80" s="436"/>
      <c r="AE80" s="436"/>
      <c r="AF80" s="436"/>
      <c r="AG80" s="435"/>
      <c r="AH80" s="435"/>
      <c r="AI80" s="721"/>
      <c r="AJ80" s="721"/>
      <c r="AK80" s="721"/>
      <c r="AL80" s="442"/>
      <c r="AM80" s="435"/>
      <c r="AN80" s="435"/>
      <c r="AO80" s="442"/>
      <c r="AP80" s="442"/>
      <c r="AQ80" s="435"/>
      <c r="AR80" s="435"/>
      <c r="AS80" s="435"/>
      <c r="AT80" s="435"/>
      <c r="AU80" s="435"/>
      <c r="AV80" s="435"/>
      <c r="AW80" s="442"/>
      <c r="AX80" s="442"/>
      <c r="AY80" s="442"/>
      <c r="AZ80" s="442"/>
      <c r="BA80" s="435"/>
      <c r="BB80" s="435"/>
      <c r="BC80" s="435"/>
      <c r="BD80" s="435"/>
      <c r="BE80" s="435"/>
      <c r="BF80" s="442"/>
      <c r="BG80" s="468"/>
    </row>
    <row r="81" spans="1:62" s="423" customFormat="1" ht="13.5" customHeight="1" thickBot="1">
      <c r="A81" s="422">
        <v>49</v>
      </c>
      <c r="B81" s="423" t="s">
        <v>220</v>
      </c>
      <c r="E81" s="567">
        <f t="shared" ref="E81:AP81" si="86">SUM(E77:E79)</f>
        <v>1710135</v>
      </c>
      <c r="F81" s="455">
        <f t="shared" si="86"/>
        <v>47</v>
      </c>
      <c r="G81" s="455">
        <f t="shared" si="86"/>
        <v>1</v>
      </c>
      <c r="H81" s="455">
        <f t="shared" si="86"/>
        <v>-3752</v>
      </c>
      <c r="I81" s="455">
        <f>SUM(I77:I79)</f>
        <v>-48288</v>
      </c>
      <c r="J81" s="455">
        <f t="shared" si="86"/>
        <v>0</v>
      </c>
      <c r="K81" s="455">
        <f t="shared" si="86"/>
        <v>0</v>
      </c>
      <c r="L81" s="455">
        <f t="shared" si="86"/>
        <v>0</v>
      </c>
      <c r="M81" s="455">
        <f t="shared" si="86"/>
        <v>0</v>
      </c>
      <c r="N81" s="455">
        <f t="shared" si="86"/>
        <v>0</v>
      </c>
      <c r="O81" s="455">
        <f t="shared" si="86"/>
        <v>0</v>
      </c>
      <c r="P81" s="455">
        <f t="shared" si="86"/>
        <v>0</v>
      </c>
      <c r="Q81" s="455">
        <f t="shared" si="86"/>
        <v>0</v>
      </c>
      <c r="R81" s="455">
        <f t="shared" si="86"/>
        <v>0</v>
      </c>
      <c r="S81" s="455">
        <f t="shared" si="86"/>
        <v>0</v>
      </c>
      <c r="T81" s="455">
        <f>SUM(T77:T79)</f>
        <v>0</v>
      </c>
      <c r="U81" s="455">
        <f>SUM(U77:U79)</f>
        <v>0</v>
      </c>
      <c r="V81" s="718">
        <f>SUM(V77:V79)</f>
        <v>0</v>
      </c>
      <c r="W81" s="455">
        <f>SUM(W77:W79)</f>
        <v>0</v>
      </c>
      <c r="X81" s="455">
        <f t="shared" si="86"/>
        <v>0</v>
      </c>
      <c r="Y81" s="455">
        <f t="shared" si="86"/>
        <v>0</v>
      </c>
      <c r="Z81" s="455">
        <f>SUM(Z77:Z79)</f>
        <v>0</v>
      </c>
      <c r="AA81" s="455">
        <f>SUM(AA77:AA79)</f>
        <v>0</v>
      </c>
      <c r="AB81" s="713">
        <f>SUM(AB77:AB79)</f>
        <v>21049.028985405777</v>
      </c>
      <c r="AC81" s="336">
        <f t="shared" si="86"/>
        <v>1679192.0289854058</v>
      </c>
      <c r="AD81" s="455">
        <f t="shared" si="86"/>
        <v>0</v>
      </c>
      <c r="AE81" s="455">
        <f>SUM(AE77:AE79)</f>
        <v>0</v>
      </c>
      <c r="AF81" s="455">
        <f>SUM(AF77:AF79)</f>
        <v>0</v>
      </c>
      <c r="AG81" s="567">
        <f>SUM(AG77:AG79)</f>
        <v>-766</v>
      </c>
      <c r="AH81" s="567">
        <f>SUM(AH77:AH79)</f>
        <v>0</v>
      </c>
      <c r="AI81" s="718">
        <f>SUM(AI77:AI79)</f>
        <v>0</v>
      </c>
      <c r="AJ81" s="718">
        <f t="shared" si="86"/>
        <v>0</v>
      </c>
      <c r="AK81" s="718">
        <f>SUM(AK77:AK79)</f>
        <v>0</v>
      </c>
      <c r="AL81" s="455">
        <f>SUM(AL77:AL79)</f>
        <v>0</v>
      </c>
      <c r="AM81" s="455">
        <f>SUM(AM77:AM79)</f>
        <v>0</v>
      </c>
      <c r="AN81" s="455">
        <f>SUM(AN77:AN79)</f>
        <v>0</v>
      </c>
      <c r="AO81" s="455">
        <f>SUM(AO77:AO79)</f>
        <v>0</v>
      </c>
      <c r="AP81" s="455">
        <f t="shared" si="86"/>
        <v>0</v>
      </c>
      <c r="AQ81" s="455">
        <f t="shared" ref="AQ81:AV81" si="87">SUM(AQ77:AQ79)</f>
        <v>0</v>
      </c>
      <c r="AR81" s="455">
        <f t="shared" si="87"/>
        <v>0</v>
      </c>
      <c r="AS81" s="455">
        <f t="shared" si="87"/>
        <v>0</v>
      </c>
      <c r="AT81" s="455">
        <f t="shared" si="87"/>
        <v>0</v>
      </c>
      <c r="AU81" s="455">
        <f t="shared" si="87"/>
        <v>-21734.679272916666</v>
      </c>
      <c r="AV81" s="455">
        <f t="shared" si="87"/>
        <v>0</v>
      </c>
      <c r="AW81" s="455">
        <f t="shared" ref="AW81:BG81" si="88">SUM(AW77:AW79)</f>
        <v>12577</v>
      </c>
      <c r="AX81" s="455">
        <f t="shared" si="88"/>
        <v>-4266.1127130142186</v>
      </c>
      <c r="AY81" s="455">
        <f t="shared" si="88"/>
        <v>0</v>
      </c>
      <c r="AZ81" s="455">
        <f t="shared" si="88"/>
        <v>-30542</v>
      </c>
      <c r="BA81" s="455">
        <f t="shared" si="88"/>
        <v>12731.674373896392</v>
      </c>
      <c r="BB81" s="455">
        <f t="shared" ref="BB81" si="89">SUM(BB77:BB79)</f>
        <v>0</v>
      </c>
      <c r="BC81" s="455">
        <f t="shared" ref="BC81:BD81" si="90">SUM(BC77:BC79)</f>
        <v>0</v>
      </c>
      <c r="BD81" s="455">
        <f t="shared" si="90"/>
        <v>0</v>
      </c>
      <c r="BE81" s="455">
        <f t="shared" ref="BE81" si="91">SUM(BE77:BE79)</f>
        <v>0</v>
      </c>
      <c r="BF81" s="455">
        <f t="shared" si="88"/>
        <v>0</v>
      </c>
      <c r="BG81" s="472">
        <f t="shared" si="88"/>
        <v>1647191.9113733713</v>
      </c>
    </row>
    <row r="82" spans="1:62" ht="18" customHeight="1" thickTop="1">
      <c r="A82" s="422">
        <v>50</v>
      </c>
      <c r="B82" s="409" t="s">
        <v>623</v>
      </c>
      <c r="E82" s="428">
        <f>ROUND(E57/E81,4)</f>
        <v>6.7299999999999999E-2</v>
      </c>
      <c r="F82" s="657"/>
      <c r="G82" s="657"/>
      <c r="H82" s="657"/>
      <c r="I82" s="657"/>
      <c r="J82" s="657"/>
      <c r="K82" s="657"/>
      <c r="L82" s="657"/>
      <c r="M82" s="657"/>
      <c r="N82" s="657"/>
      <c r="O82" s="657"/>
      <c r="P82" s="657"/>
      <c r="Q82" s="657"/>
      <c r="R82" s="657"/>
      <c r="V82" s="719"/>
      <c r="Z82" s="666"/>
      <c r="AC82" s="390" t="s">
        <v>618</v>
      </c>
      <c r="AL82" s="666"/>
      <c r="AO82" s="666"/>
      <c r="AW82" s="666"/>
      <c r="AX82" s="666"/>
      <c r="AY82" s="666"/>
      <c r="AZ82" s="666"/>
      <c r="BF82" s="666"/>
    </row>
    <row r="83" spans="1:62">
      <c r="A83" s="410">
        <v>51</v>
      </c>
      <c r="B83" s="409" t="s">
        <v>619</v>
      </c>
      <c r="E83" s="445">
        <f t="shared" ref="E83:K83" si="92">E89</f>
        <v>6431.2221466078081</v>
      </c>
      <c r="F83" s="445">
        <f t="shared" si="92"/>
        <v>4.0419823274115769</v>
      </c>
      <c r="G83" s="445">
        <f t="shared" si="92"/>
        <v>59.705167788966939</v>
      </c>
      <c r="H83" s="445">
        <f t="shared" si="92"/>
        <v>-322.67058920102636</v>
      </c>
      <c r="I83" s="445">
        <f t="shared" si="92"/>
        <v>-4152.7498431074509</v>
      </c>
      <c r="J83" s="445">
        <f t="shared" si="92"/>
        <v>83.676025494708028</v>
      </c>
      <c r="K83" s="445">
        <f t="shared" si="92"/>
        <v>1046.9962690025341</v>
      </c>
      <c r="L83" s="445">
        <f t="shared" ref="L83:S83" si="93">L89</f>
        <v>1503.0306079486927</v>
      </c>
      <c r="M83" s="445">
        <f t="shared" si="93"/>
        <v>-389.09351855039228</v>
      </c>
      <c r="N83" s="445">
        <f t="shared" si="93"/>
        <v>53.343466252876361</v>
      </c>
      <c r="O83" s="445">
        <f t="shared" si="93"/>
        <v>-3.9719632355082921</v>
      </c>
      <c r="P83" s="445">
        <f t="shared" si="93"/>
        <v>-54.389416571560211</v>
      </c>
      <c r="Q83" s="445">
        <f t="shared" si="93"/>
        <v>35.562310835250905</v>
      </c>
      <c r="R83" s="445">
        <f t="shared" si="93"/>
        <v>-60.665118483663313</v>
      </c>
      <c r="S83" s="445">
        <f t="shared" si="93"/>
        <v>820.02504984813856</v>
      </c>
      <c r="T83" s="445">
        <f t="shared" ref="T83:AF83" si="94">T89</f>
        <v>1461.1925952013389</v>
      </c>
      <c r="U83" s="445">
        <f t="shared" si="94"/>
        <v>-1280.2431900690328</v>
      </c>
      <c r="V83" s="720">
        <f t="shared" si="94"/>
        <v>787.60058996893918</v>
      </c>
      <c r="W83" s="445">
        <f t="shared" si="94"/>
        <v>1379.5952304665468</v>
      </c>
      <c r="X83" s="445">
        <f t="shared" si="94"/>
        <v>-1421.9628383119687</v>
      </c>
      <c r="Y83" s="445">
        <f t="shared" si="94"/>
        <v>-5.2297515934192518</v>
      </c>
      <c r="Z83" s="445">
        <f t="shared" si="94"/>
        <v>-968.54999510124526</v>
      </c>
      <c r="AA83" s="445">
        <f t="shared" si="94"/>
        <v>6134.4986190807822</v>
      </c>
      <c r="AB83" s="720">
        <f t="shared" si="94"/>
        <v>3751.492369523698</v>
      </c>
      <c r="AC83" s="445">
        <f t="shared" si="94"/>
        <v>14892.456206122424</v>
      </c>
      <c r="AD83" s="445">
        <f t="shared" si="94"/>
        <v>-15253.093497366588</v>
      </c>
      <c r="AE83" s="445">
        <f t="shared" si="94"/>
        <v>-1712.8796203862339</v>
      </c>
      <c r="AF83" s="445">
        <f t="shared" si="94"/>
        <v>-15543.867685960699</v>
      </c>
      <c r="AG83" s="445">
        <f t="shared" ref="AG83:AL83" si="95">AG89</f>
        <v>-2593.937632233276</v>
      </c>
      <c r="AH83" s="445">
        <f t="shared" si="95"/>
        <v>-661.99387258471529</v>
      </c>
      <c r="AI83" s="720">
        <f t="shared" si="95"/>
        <v>3417.1196911401389</v>
      </c>
      <c r="AJ83" s="720">
        <f t="shared" si="95"/>
        <v>-332.61220134146436</v>
      </c>
      <c r="AK83" s="720">
        <f t="shared" si="95"/>
        <v>1171.4643569259122</v>
      </c>
      <c r="AL83" s="445">
        <f t="shared" si="95"/>
        <v>2623.2433992590968</v>
      </c>
      <c r="AM83" s="445">
        <f>AM89</f>
        <v>1077.3667544029213</v>
      </c>
      <c r="AN83" s="445">
        <f>AN89</f>
        <v>1786.4831443120161</v>
      </c>
      <c r="AO83" s="445">
        <f>AO89</f>
        <v>1393.2058244868886</v>
      </c>
      <c r="AP83" s="445">
        <f>AP89</f>
        <v>0</v>
      </c>
      <c r="AQ83" s="445">
        <f t="shared" ref="AQ83:AV83" si="96">AQ89</f>
        <v>0</v>
      </c>
      <c r="AR83" s="445">
        <f t="shared" si="96"/>
        <v>0</v>
      </c>
      <c r="AS83" s="445">
        <f t="shared" si="96"/>
        <v>0</v>
      </c>
      <c r="AT83" s="445">
        <f t="shared" si="96"/>
        <v>0</v>
      </c>
      <c r="AU83" s="445">
        <f t="shared" si="96"/>
        <v>14413.111291799367</v>
      </c>
      <c r="AV83" s="445">
        <f t="shared" si="96"/>
        <v>1881.6646233122467</v>
      </c>
      <c r="AW83" s="445">
        <f>AW89</f>
        <v>4637.8483544156315</v>
      </c>
      <c r="AX83" s="445">
        <f>AX89</f>
        <v>-3007.9200758563388</v>
      </c>
      <c r="AY83" s="445">
        <f t="shared" ref="AY83:BG83" si="97">AY89</f>
        <v>-16.735205098941606</v>
      </c>
      <c r="AZ83" s="445">
        <f t="shared" si="97"/>
        <v>-2626.6005158256257</v>
      </c>
      <c r="BA83" s="445">
        <f t="shared" si="97"/>
        <v>9220.659344515434</v>
      </c>
      <c r="BB83" s="445">
        <f t="shared" ref="BB83" si="98">BB89</f>
        <v>0</v>
      </c>
      <c r="BC83" s="445">
        <f t="shared" ref="BC83:BD83" si="99">BC89</f>
        <v>-56.216691778300898</v>
      </c>
      <c r="BD83" s="445">
        <f t="shared" si="99"/>
        <v>0</v>
      </c>
      <c r="BE83" s="445">
        <f t="shared" ref="BE83" si="100">BE89</f>
        <v>0</v>
      </c>
      <c r="BF83" s="445">
        <f t="shared" si="97"/>
        <v>0</v>
      </c>
      <c r="BG83" s="539">
        <f t="shared" si="97"/>
        <v>14708.765992259869</v>
      </c>
      <c r="BI83" s="784"/>
      <c r="BJ83" s="785"/>
    </row>
    <row r="84" spans="1:62" ht="69.75" customHeight="1">
      <c r="B84" s="465"/>
      <c r="E84" s="409"/>
      <c r="AD84" s="698"/>
      <c r="AE84" s="698"/>
      <c r="AF84" s="698"/>
      <c r="AI84" s="729"/>
      <c r="AJ84" s="729"/>
      <c r="AK84" s="729"/>
      <c r="AL84" s="435"/>
      <c r="AM84" s="698"/>
      <c r="AN84" s="698"/>
      <c r="AO84" s="435"/>
      <c r="AP84" s="763"/>
      <c r="AQ84" s="698"/>
      <c r="AR84" s="698"/>
      <c r="AS84" s="698"/>
      <c r="AT84" s="698"/>
      <c r="AU84" s="698"/>
      <c r="AV84" s="698"/>
      <c r="AW84" s="754"/>
      <c r="AX84" s="754"/>
      <c r="AY84" s="754"/>
      <c r="BA84" s="698"/>
      <c r="BB84" s="698"/>
      <c r="BC84" s="698"/>
      <c r="BD84" s="698"/>
      <c r="BE84" s="698"/>
      <c r="BF84" s="692"/>
      <c r="BG84" s="692"/>
    </row>
    <row r="85" spans="1:62">
      <c r="E85" s="428">
        <f>'RR SUMMARY'!E14</f>
        <v>7.0099999999999996E-2</v>
      </c>
      <c r="AP85" s="764"/>
      <c r="AQ85" s="752"/>
      <c r="AR85" s="752"/>
      <c r="AS85" s="752"/>
      <c r="AT85" s="752"/>
      <c r="AU85" s="752"/>
      <c r="AV85" s="752"/>
      <c r="BA85" s="752"/>
      <c r="BB85" s="752"/>
      <c r="BC85" s="752"/>
      <c r="BD85" s="752"/>
      <c r="BE85" s="752"/>
      <c r="BG85" s="434"/>
    </row>
    <row r="86" spans="1:62">
      <c r="E86" s="428"/>
      <c r="AP86" s="475"/>
      <c r="BG86" s="434"/>
    </row>
    <row r="87" spans="1:62">
      <c r="D87" s="409" t="s">
        <v>684</v>
      </c>
      <c r="E87" s="568">
        <f>'CF '!E24</f>
        <v>0.75529400000000002</v>
      </c>
    </row>
    <row r="88" spans="1:62">
      <c r="D88" s="409" t="s">
        <v>226</v>
      </c>
      <c r="E88" s="450">
        <f t="shared" ref="E88:BG88" si="101">E81*$E$85-E57</f>
        <v>4857.463499999998</v>
      </c>
      <c r="F88" s="450">
        <f t="shared" si="101"/>
        <v>3.0528849999999998</v>
      </c>
      <c r="G88" s="450">
        <f t="shared" si="101"/>
        <v>45.094954999999999</v>
      </c>
      <c r="H88" s="450">
        <f>H81*$E$85-H57</f>
        <v>-243.71116000000001</v>
      </c>
      <c r="I88" s="450">
        <f t="shared" si="101"/>
        <v>-3136.5470399999995</v>
      </c>
      <c r="J88" s="450">
        <f t="shared" si="101"/>
        <v>63.2</v>
      </c>
      <c r="K88" s="450">
        <f t="shared" si="101"/>
        <v>790.79</v>
      </c>
      <c r="L88" s="450">
        <f t="shared" si="101"/>
        <v>1135.23</v>
      </c>
      <c r="M88" s="450">
        <f t="shared" si="101"/>
        <v>-293.88</v>
      </c>
      <c r="N88" s="450">
        <f t="shared" si="101"/>
        <v>40.29</v>
      </c>
      <c r="O88" s="450">
        <f t="shared" si="101"/>
        <v>-3</v>
      </c>
      <c r="P88" s="450">
        <f t="shared" si="101"/>
        <v>-41.08</v>
      </c>
      <c r="Q88" s="450">
        <f t="shared" si="101"/>
        <v>26.86</v>
      </c>
      <c r="R88" s="450">
        <f t="shared" si="101"/>
        <v>-45.82</v>
      </c>
      <c r="S88" s="450">
        <f t="shared" si="101"/>
        <v>619.36</v>
      </c>
      <c r="T88" s="450">
        <f t="shared" si="101"/>
        <v>1103.6300000000001</v>
      </c>
      <c r="U88" s="450">
        <f t="shared" si="101"/>
        <v>-966.96</v>
      </c>
      <c r="V88" s="717">
        <f t="shared" si="101"/>
        <v>594.87</v>
      </c>
      <c r="W88" s="450">
        <f t="shared" si="101"/>
        <v>1042</v>
      </c>
      <c r="X88" s="450">
        <f t="shared" si="101"/>
        <v>-1074</v>
      </c>
      <c r="Y88" s="450">
        <f t="shared" si="101"/>
        <v>-3.95</v>
      </c>
      <c r="Z88" s="450">
        <f t="shared" si="101"/>
        <v>-731.54</v>
      </c>
      <c r="AA88" s="450">
        <f t="shared" si="101"/>
        <v>4633.3500000000004</v>
      </c>
      <c r="AB88" s="717">
        <f t="shared" si="101"/>
        <v>2833.4796777470319</v>
      </c>
      <c r="AC88" s="450">
        <f t="shared" si="101"/>
        <v>11248.182817747031</v>
      </c>
      <c r="AD88" s="450">
        <f t="shared" si="101"/>
        <v>-11520.57</v>
      </c>
      <c r="AE88" s="450">
        <f>AE81*$E$85-AE57</f>
        <v>-1293.7277000000001</v>
      </c>
      <c r="AF88" s="450">
        <f>AF81*$E$85-AF57</f>
        <v>-11740.19</v>
      </c>
      <c r="AG88" s="450">
        <f t="shared" si="101"/>
        <v>-1959.18553</v>
      </c>
      <c r="AH88" s="450">
        <f>AH81*$E$85-AH57</f>
        <v>-500</v>
      </c>
      <c r="AI88" s="717">
        <f t="shared" si="101"/>
        <v>2580.9300000000003</v>
      </c>
      <c r="AJ88" s="717">
        <f t="shared" si="101"/>
        <v>-251.22</v>
      </c>
      <c r="AK88" s="717">
        <f t="shared" si="101"/>
        <v>884.8</v>
      </c>
      <c r="AL88" s="450">
        <f>AL81*$E$85-AL57</f>
        <v>1981.3200000000002</v>
      </c>
      <c r="AM88" s="450">
        <f t="shared" si="101"/>
        <v>813.7286454</v>
      </c>
      <c r="AN88" s="450">
        <f t="shared" si="101"/>
        <v>1349.32</v>
      </c>
      <c r="AO88" s="450">
        <f t="shared" ref="AO88:AT88" si="102">AO81*$E$85-AO57</f>
        <v>1052.28</v>
      </c>
      <c r="AP88" s="450">
        <f t="shared" si="102"/>
        <v>0</v>
      </c>
      <c r="AQ88" s="450">
        <f t="shared" si="102"/>
        <v>0</v>
      </c>
      <c r="AR88" s="450">
        <f t="shared" si="102"/>
        <v>0</v>
      </c>
      <c r="AS88" s="450">
        <f t="shared" si="102"/>
        <v>0</v>
      </c>
      <c r="AT88" s="450">
        <f t="shared" si="102"/>
        <v>0</v>
      </c>
      <c r="AU88" s="450">
        <f>AU81*$E$85-AU57</f>
        <v>10886.136480028312</v>
      </c>
      <c r="AV88" s="450">
        <f>AV81*$E$85-AV57</f>
        <v>1421.21</v>
      </c>
      <c r="AW88" s="450">
        <f>AW81*$E$85-AW57</f>
        <v>3502.9390349999999</v>
      </c>
      <c r="AX88" s="450">
        <f>AX81*$E$85-AX57</f>
        <v>-2271.8639857738376</v>
      </c>
      <c r="AY88" s="450">
        <f t="shared" si="101"/>
        <v>-12.64</v>
      </c>
      <c r="AZ88" s="450">
        <f>AZ81*$E$85-AZ57</f>
        <v>-1983.8556100000001</v>
      </c>
      <c r="BA88" s="450">
        <f>BA81*$E$85-BA57</f>
        <v>6964.3086789564404</v>
      </c>
      <c r="BB88" s="450">
        <f>BB81*$E$85-BB57</f>
        <v>0</v>
      </c>
      <c r="BC88" s="450">
        <f>BC81*$E$85-BC57</f>
        <v>-42.460129999999999</v>
      </c>
      <c r="BD88" s="450">
        <f t="shared" ref="BD88:BE88" si="103">BD81*$E$85-BD57</f>
        <v>0</v>
      </c>
      <c r="BE88" s="450">
        <f t="shared" si="103"/>
        <v>0</v>
      </c>
      <c r="BF88" s="450">
        <f t="shared" si="101"/>
        <v>0</v>
      </c>
      <c r="BG88" s="451">
        <f t="shared" si="101"/>
        <v>11109.442701357926</v>
      </c>
    </row>
    <row r="89" spans="1:62" s="475" customFormat="1">
      <c r="A89" s="537"/>
      <c r="D89" s="475" t="s">
        <v>650</v>
      </c>
      <c r="E89" s="443">
        <f t="shared" ref="E89:K89" si="104">E88/$E$87</f>
        <v>6431.2221466078081</v>
      </c>
      <c r="F89" s="443">
        <f t="shared" si="104"/>
        <v>4.0419823274115769</v>
      </c>
      <c r="G89" s="443">
        <f t="shared" si="104"/>
        <v>59.705167788966939</v>
      </c>
      <c r="H89" s="443">
        <f t="shared" si="104"/>
        <v>-322.67058920102636</v>
      </c>
      <c r="I89" s="443">
        <f t="shared" si="104"/>
        <v>-4152.7498431074509</v>
      </c>
      <c r="J89" s="443">
        <f t="shared" si="104"/>
        <v>83.676025494708028</v>
      </c>
      <c r="K89" s="443">
        <f t="shared" si="104"/>
        <v>1046.9962690025341</v>
      </c>
      <c r="L89" s="443">
        <f t="shared" ref="L89:S89" si="105">L88/$E$87</f>
        <v>1503.0306079486927</v>
      </c>
      <c r="M89" s="443">
        <f t="shared" si="105"/>
        <v>-389.09351855039228</v>
      </c>
      <c r="N89" s="443">
        <f t="shared" si="105"/>
        <v>53.343466252876361</v>
      </c>
      <c r="O89" s="443">
        <f t="shared" si="105"/>
        <v>-3.9719632355082921</v>
      </c>
      <c r="P89" s="443">
        <f t="shared" si="105"/>
        <v>-54.389416571560211</v>
      </c>
      <c r="Q89" s="443">
        <f t="shared" si="105"/>
        <v>35.562310835250905</v>
      </c>
      <c r="R89" s="443">
        <f t="shared" si="105"/>
        <v>-60.665118483663313</v>
      </c>
      <c r="S89" s="443">
        <f t="shared" si="105"/>
        <v>820.02504984813856</v>
      </c>
      <c r="T89" s="443">
        <f t="shared" ref="T89:AF89" si="106">T88/$E$87</f>
        <v>1461.1925952013389</v>
      </c>
      <c r="U89" s="443">
        <f t="shared" si="106"/>
        <v>-1280.2431900690328</v>
      </c>
      <c r="V89" s="712">
        <f t="shared" si="106"/>
        <v>787.60058996893918</v>
      </c>
      <c r="W89" s="443">
        <f t="shared" si="106"/>
        <v>1379.5952304665468</v>
      </c>
      <c r="X89" s="443">
        <f t="shared" si="106"/>
        <v>-1421.9628383119687</v>
      </c>
      <c r="Y89" s="443">
        <f t="shared" si="106"/>
        <v>-5.2297515934192518</v>
      </c>
      <c r="Z89" s="443">
        <f t="shared" si="106"/>
        <v>-968.54999510124526</v>
      </c>
      <c r="AA89" s="443">
        <f t="shared" si="106"/>
        <v>6134.4986190807822</v>
      </c>
      <c r="AB89" s="712">
        <f t="shared" si="106"/>
        <v>3751.492369523698</v>
      </c>
      <c r="AC89" s="443">
        <f t="shared" si="106"/>
        <v>14892.456206122424</v>
      </c>
      <c r="AD89" s="443">
        <f t="shared" si="106"/>
        <v>-15253.093497366588</v>
      </c>
      <c r="AE89" s="443">
        <f t="shared" si="106"/>
        <v>-1712.8796203862339</v>
      </c>
      <c r="AF89" s="443">
        <f t="shared" si="106"/>
        <v>-15543.867685960699</v>
      </c>
      <c r="AG89" s="443">
        <f t="shared" ref="AG89:AL89" si="107">AG88/$E$87</f>
        <v>-2593.937632233276</v>
      </c>
      <c r="AH89" s="443">
        <f t="shared" si="107"/>
        <v>-661.99387258471529</v>
      </c>
      <c r="AI89" s="712">
        <f t="shared" si="107"/>
        <v>3417.1196911401389</v>
      </c>
      <c r="AJ89" s="712">
        <f t="shared" si="107"/>
        <v>-332.61220134146436</v>
      </c>
      <c r="AK89" s="712">
        <f t="shared" si="107"/>
        <v>1171.4643569259122</v>
      </c>
      <c r="AL89" s="443">
        <f t="shared" si="107"/>
        <v>2623.2433992590968</v>
      </c>
      <c r="AM89" s="443">
        <f>AM88/$E$87</f>
        <v>1077.3667544029213</v>
      </c>
      <c r="AN89" s="443">
        <f>AN88/$E$87</f>
        <v>1786.4831443120161</v>
      </c>
      <c r="AO89" s="443">
        <f>AO88/$E$87</f>
        <v>1393.2058244868886</v>
      </c>
      <c r="AP89" s="443">
        <f>AP88/$E$87</f>
        <v>0</v>
      </c>
      <c r="AQ89" s="443">
        <f t="shared" ref="AQ89:AV89" si="108">AQ88/$E$87</f>
        <v>0</v>
      </c>
      <c r="AR89" s="443">
        <f t="shared" si="108"/>
        <v>0</v>
      </c>
      <c r="AS89" s="443">
        <f t="shared" si="108"/>
        <v>0</v>
      </c>
      <c r="AT89" s="443">
        <f t="shared" si="108"/>
        <v>0</v>
      </c>
      <c r="AU89" s="443">
        <f t="shared" si="108"/>
        <v>14413.111291799367</v>
      </c>
      <c r="AV89" s="443">
        <f t="shared" si="108"/>
        <v>1881.6646233122467</v>
      </c>
      <c r="AW89" s="443">
        <f>AW88/$E$87</f>
        <v>4637.8483544156315</v>
      </c>
      <c r="AX89" s="443">
        <f t="shared" ref="AX89:BG89" si="109">AX88/$E$87</f>
        <v>-3007.9200758563388</v>
      </c>
      <c r="AY89" s="443">
        <f t="shared" si="109"/>
        <v>-16.735205098941606</v>
      </c>
      <c r="AZ89" s="443">
        <f>AZ88/$E$87</f>
        <v>-2626.6005158256257</v>
      </c>
      <c r="BA89" s="443">
        <f>BA88/$E$87</f>
        <v>9220.659344515434</v>
      </c>
      <c r="BB89" s="443">
        <f>BB88/$E$87</f>
        <v>0</v>
      </c>
      <c r="BC89" s="443">
        <f>BC88/$E$87</f>
        <v>-56.216691778300898</v>
      </c>
      <c r="BD89" s="443">
        <f t="shared" ref="BD89:BE89" si="110">BD88/$E$87</f>
        <v>0</v>
      </c>
      <c r="BE89" s="443">
        <f t="shared" si="110"/>
        <v>0</v>
      </c>
      <c r="BF89" s="443">
        <f t="shared" si="109"/>
        <v>0</v>
      </c>
      <c r="BG89" s="237">
        <f t="shared" si="109"/>
        <v>14708.765992259869</v>
      </c>
    </row>
    <row r="90" spans="1:62" s="523" customFormat="1">
      <c r="A90" s="522"/>
      <c r="E90" s="442"/>
      <c r="F90" s="442"/>
      <c r="G90" s="442"/>
      <c r="H90" s="442"/>
      <c r="I90" s="442"/>
      <c r="J90" s="442"/>
      <c r="K90" s="442"/>
      <c r="L90" s="442"/>
      <c r="M90" s="442"/>
      <c r="N90" s="442"/>
      <c r="O90" s="442"/>
      <c r="P90" s="442"/>
      <c r="Q90" s="442"/>
      <c r="R90" s="442"/>
      <c r="S90" s="442"/>
      <c r="T90" s="442"/>
      <c r="U90" s="442"/>
      <c r="V90" s="710"/>
      <c r="W90" s="442"/>
      <c r="X90" s="442"/>
      <c r="Y90" s="442"/>
      <c r="Z90" s="442"/>
      <c r="AA90" s="442"/>
      <c r="AB90" s="710"/>
      <c r="AC90" s="442"/>
      <c r="AD90" s="442"/>
      <c r="AE90" s="442"/>
      <c r="AF90" s="442"/>
      <c r="AG90" s="442"/>
      <c r="AH90" s="442"/>
      <c r="AI90" s="710"/>
      <c r="AJ90" s="710"/>
      <c r="AK90" s="710"/>
      <c r="AL90" s="442"/>
      <c r="AM90" s="442"/>
      <c r="AN90" s="442"/>
      <c r="AO90" s="442"/>
      <c r="AP90" s="476"/>
      <c r="AQ90" s="442"/>
      <c r="AR90" s="442"/>
      <c r="AS90" s="442"/>
      <c r="AT90" s="442"/>
      <c r="AU90" s="442"/>
      <c r="AV90" s="442"/>
      <c r="AW90" s="442"/>
      <c r="AX90" s="442"/>
      <c r="AY90" s="442"/>
      <c r="AZ90" s="442"/>
      <c r="BA90" s="442"/>
      <c r="BB90" s="442"/>
      <c r="BC90" s="442"/>
      <c r="BD90" s="442"/>
      <c r="BE90" s="442"/>
      <c r="BF90" s="442"/>
      <c r="BG90" s="442"/>
    </row>
    <row r="91" spans="1:62" s="523" customFormat="1">
      <c r="A91" s="522"/>
      <c r="E91" s="442"/>
      <c r="F91" s="442"/>
      <c r="G91" s="442"/>
      <c r="H91" s="442"/>
      <c r="I91" s="442"/>
      <c r="J91" s="442"/>
      <c r="K91" s="442"/>
      <c r="L91" s="442"/>
      <c r="M91" s="442"/>
      <c r="N91" s="442"/>
      <c r="O91" s="442"/>
      <c r="P91" s="442"/>
      <c r="Q91" s="442"/>
      <c r="R91" s="442"/>
      <c r="S91" s="442"/>
      <c r="T91" s="442"/>
      <c r="U91" s="442"/>
      <c r="V91" s="710"/>
      <c r="W91" s="442"/>
      <c r="X91" s="442"/>
      <c r="Y91" s="442"/>
      <c r="Z91" s="442"/>
      <c r="AA91" s="442"/>
      <c r="AB91" s="710"/>
      <c r="AC91" s="442"/>
      <c r="AD91" s="442"/>
      <c r="AE91" s="442"/>
      <c r="AF91" s="442"/>
      <c r="AG91" s="442"/>
      <c r="AH91" s="442"/>
      <c r="AI91" s="710"/>
      <c r="AJ91" s="710"/>
      <c r="AK91" s="710"/>
      <c r="AL91" s="442"/>
      <c r="AM91" s="442"/>
      <c r="AN91" s="442"/>
      <c r="AO91" s="442"/>
      <c r="AP91" s="765"/>
      <c r="AQ91" s="442"/>
      <c r="AR91" s="442"/>
      <c r="AS91" s="442"/>
      <c r="AT91" s="442"/>
      <c r="AU91" s="442"/>
      <c r="AV91" s="442"/>
      <c r="AW91" s="442"/>
      <c r="AX91" s="442"/>
      <c r="AY91" s="442"/>
      <c r="AZ91" s="442"/>
      <c r="BA91" s="442"/>
      <c r="BB91" s="442"/>
      <c r="BC91" s="442"/>
      <c r="BD91" s="442"/>
      <c r="BE91" s="442"/>
      <c r="BF91" s="442"/>
      <c r="BG91" s="442"/>
    </row>
    <row r="92" spans="1:62" s="523" customFormat="1">
      <c r="A92" s="522"/>
      <c r="E92" s="442"/>
      <c r="F92" s="442"/>
      <c r="G92" s="442"/>
      <c r="H92" s="442"/>
      <c r="I92" s="442"/>
      <c r="J92" s="442"/>
      <c r="K92" s="442"/>
      <c r="L92" s="442"/>
      <c r="M92" s="442"/>
      <c r="N92" s="442"/>
      <c r="O92" s="442"/>
      <c r="P92" s="442"/>
      <c r="Q92" s="442"/>
      <c r="R92" s="442"/>
      <c r="S92" s="442"/>
      <c r="T92" s="442"/>
      <c r="U92" s="442"/>
      <c r="V92" s="710"/>
      <c r="W92" s="442"/>
      <c r="X92" s="442"/>
      <c r="Y92" s="442"/>
      <c r="Z92" s="442"/>
      <c r="AA92" s="442"/>
      <c r="AB92" s="710"/>
      <c r="AC92" s="442"/>
      <c r="AD92" s="442"/>
      <c r="AE92" s="442"/>
      <c r="AF92" s="442"/>
      <c r="AG92" s="442"/>
      <c r="AH92" s="442"/>
      <c r="AI92" s="710"/>
      <c r="AJ92" s="710"/>
      <c r="AK92" s="710"/>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row>
    <row r="93" spans="1:62" s="430" customFormat="1">
      <c r="A93" s="433"/>
      <c r="E93" s="442"/>
      <c r="F93" s="446"/>
      <c r="G93" s="446"/>
      <c r="H93" s="446"/>
      <c r="I93" s="446"/>
      <c r="J93" s="446"/>
      <c r="K93" s="446"/>
      <c r="L93" s="446"/>
      <c r="M93" s="446"/>
      <c r="N93" s="446"/>
      <c r="O93" s="446"/>
      <c r="P93" s="446"/>
      <c r="Q93" s="446"/>
      <c r="R93" s="446"/>
      <c r="S93" s="446"/>
      <c r="T93" s="442"/>
      <c r="U93" s="442"/>
      <c r="V93" s="710"/>
      <c r="W93" s="442"/>
      <c r="X93" s="446"/>
      <c r="Y93" s="446"/>
      <c r="Z93" s="442"/>
      <c r="AA93" s="796"/>
      <c r="AB93" s="715"/>
      <c r="AC93" s="476"/>
      <c r="AD93" s="442"/>
      <c r="AE93" s="442"/>
      <c r="AF93" s="442"/>
      <c r="AG93" s="446"/>
      <c r="AH93" s="446"/>
      <c r="AI93" s="715"/>
      <c r="AJ93" s="715"/>
      <c r="AK93" s="715"/>
      <c r="AL93" s="442"/>
      <c r="AM93" s="446"/>
      <c r="AN93" s="446"/>
      <c r="AO93" s="442"/>
      <c r="AP93" s="442"/>
      <c r="AQ93" s="446"/>
      <c r="AR93" s="446"/>
      <c r="AS93" s="446"/>
      <c r="AT93" s="446"/>
      <c r="AU93" s="446"/>
      <c r="AV93" s="446"/>
      <c r="AW93" s="442"/>
      <c r="AX93" s="442"/>
      <c r="AY93" s="442"/>
      <c r="AZ93" s="442"/>
      <c r="BA93" s="446"/>
      <c r="BB93" s="446"/>
      <c r="BC93" s="446"/>
      <c r="BD93" s="446"/>
      <c r="BE93" s="446"/>
      <c r="BF93" s="442"/>
      <c r="BG93" s="447"/>
    </row>
    <row r="94" spans="1:62" s="430" customFormat="1">
      <c r="A94" s="433"/>
      <c r="E94" s="442"/>
      <c r="F94" s="446"/>
      <c r="G94" s="446"/>
      <c r="H94" s="446"/>
      <c r="I94" s="446"/>
      <c r="J94" s="446"/>
      <c r="K94" s="446"/>
      <c r="L94" s="446"/>
      <c r="M94" s="446"/>
      <c r="N94" s="446"/>
      <c r="O94" s="446"/>
      <c r="P94" s="446"/>
      <c r="Q94" s="446"/>
      <c r="R94" s="446"/>
      <c r="S94" s="446"/>
      <c r="T94" s="442"/>
      <c r="U94" s="442"/>
      <c r="V94" s="710"/>
      <c r="W94" s="442"/>
      <c r="X94" s="446"/>
      <c r="Y94" s="446"/>
      <c r="Z94" s="442"/>
      <c r="AA94" s="442"/>
      <c r="AB94" s="715"/>
      <c r="AC94" s="476"/>
      <c r="AD94" s="442"/>
      <c r="AE94" s="442"/>
      <c r="AF94" s="442"/>
      <c r="AG94" s="446"/>
      <c r="AH94" s="446"/>
      <c r="AI94" s="715"/>
      <c r="AJ94" s="715"/>
      <c r="AK94" s="715"/>
      <c r="AL94" s="442"/>
      <c r="AM94" s="446"/>
      <c r="AN94" s="446"/>
      <c r="AO94" s="442"/>
      <c r="AP94" s="442"/>
      <c r="AQ94" s="446"/>
      <c r="AR94" s="446"/>
      <c r="AS94" s="446"/>
      <c r="AT94" s="446"/>
      <c r="AU94" s="768">
        <f>AU83/'RR SUMMARY'!E26</f>
        <v>2.7106479122171675E-2</v>
      </c>
      <c r="AV94" s="446"/>
      <c r="AW94" s="442"/>
      <c r="AX94" s="442"/>
      <c r="AY94" s="442"/>
      <c r="AZ94" s="442"/>
      <c r="BA94" s="446"/>
      <c r="BB94" s="446"/>
      <c r="BC94" s="446"/>
      <c r="BD94" s="446"/>
      <c r="BE94" s="446"/>
      <c r="BF94" s="442"/>
      <c r="BG94" s="797"/>
    </row>
    <row r="98" spans="42:42">
      <c r="AP98" s="663"/>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J39:BJ40"/>
    <mergeCell ref="D1:E1"/>
  </mergeCells>
  <phoneticPr fontId="0" type="noConversion"/>
  <hyperlinks>
    <hyperlink ref="J10" location="BandO!A1" display="t" xr:uid="{00000000-0004-0000-0400-000000000000}"/>
  </hyperlinks>
  <pageMargins left="0.7" right="0.51" top="1" bottom="0.25" header="0.5" footer="0.5"/>
  <pageSetup scale="65" firstPageNumber="4" fitToWidth="7" orientation="portrait" r:id="rId3"/>
  <headerFooter scaleWithDoc="0" alignWithMargins="0"/>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O66"/>
  <sheetViews>
    <sheetView zoomScale="130" zoomScaleNormal="130" zoomScaleSheetLayoutView="100" workbookViewId="0">
      <selection sqref="A1:F1"/>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3" hidden="1" customWidth="1"/>
    <col min="8" max="8" width="12.140625" style="365" customWidth="1"/>
    <col min="9" max="9" width="9.42578125" style="384" hidden="1" customWidth="1"/>
    <col min="10" max="10" width="13" style="25" customWidth="1"/>
    <col min="11" max="11" width="15" style="744" customWidth="1"/>
    <col min="12" max="16384" width="11.42578125" style="25"/>
  </cols>
  <sheetData>
    <row r="1" spans="1:15">
      <c r="A1" s="934" t="str">
        <f>'ADJ DETAIL-INPUT'!A2</f>
        <v>AVISTA UTILITIES  -  AWEC ADJUSTED</v>
      </c>
      <c r="B1" s="934"/>
      <c r="C1" s="934"/>
      <c r="D1" s="934"/>
      <c r="E1" s="934"/>
      <c r="F1" s="934"/>
    </row>
    <row r="2" spans="1:15">
      <c r="A2" s="938" t="s">
        <v>77</v>
      </c>
      <c r="B2" s="938"/>
      <c r="C2" s="938"/>
      <c r="D2" s="938"/>
      <c r="E2" s="938"/>
      <c r="F2" s="938"/>
    </row>
    <row r="3" spans="1:15">
      <c r="A3" s="938" t="s">
        <v>78</v>
      </c>
      <c r="B3" s="938"/>
      <c r="C3" s="938"/>
      <c r="D3" s="938"/>
      <c r="E3" s="938"/>
      <c r="F3" s="938"/>
    </row>
    <row r="4" spans="1:15">
      <c r="A4" s="939" t="str">
        <f>'ADJ DETAIL-INPUT'!A4</f>
        <v>TWELVE MONTHS ENDED DECEMBER 31, 2019</v>
      </c>
      <c r="B4" s="939"/>
      <c r="C4" s="939"/>
      <c r="D4" s="939"/>
      <c r="E4" s="939"/>
      <c r="F4" s="939"/>
    </row>
    <row r="5" spans="1:15" ht="5.25" customHeight="1"/>
    <row r="7" spans="1:15">
      <c r="D7" s="254"/>
      <c r="E7" s="255" t="s">
        <v>78</v>
      </c>
      <c r="F7" s="54"/>
      <c r="G7" s="748" t="s">
        <v>252</v>
      </c>
      <c r="H7" s="366" t="s">
        <v>251</v>
      </c>
      <c r="J7" s="25" t="s">
        <v>584</v>
      </c>
    </row>
    <row r="8" spans="1:15">
      <c r="A8" s="31" t="s">
        <v>79</v>
      </c>
      <c r="B8" s="356" t="s">
        <v>561</v>
      </c>
      <c r="C8" s="54" t="s">
        <v>140</v>
      </c>
      <c r="D8" s="255" t="s">
        <v>81</v>
      </c>
      <c r="E8" s="255" t="s">
        <v>24</v>
      </c>
      <c r="F8" s="54" t="s">
        <v>82</v>
      </c>
      <c r="H8" s="25"/>
      <c r="K8" s="745"/>
      <c r="L8" s="146"/>
      <c r="M8" s="146"/>
      <c r="N8" s="146"/>
    </row>
    <row r="9" spans="1:15">
      <c r="A9" s="189" t="s">
        <v>644</v>
      </c>
      <c r="B9" s="189"/>
      <c r="C9" s="59"/>
      <c r="D9" s="256"/>
      <c r="E9" s="256"/>
      <c r="F9" s="59"/>
      <c r="I9" s="385" t="s">
        <v>252</v>
      </c>
      <c r="K9" s="745"/>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253</v>
      </c>
      <c r="J10" s="773" t="s">
        <v>715</v>
      </c>
      <c r="K10" s="745"/>
      <c r="L10" s="531"/>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0.24181499999999997</v>
      </c>
      <c r="E11" s="99">
        <f>'ADJ DETAIL-INPUT'!F$81</f>
        <v>47</v>
      </c>
      <c r="F11" s="129"/>
      <c r="G11" s="693"/>
      <c r="H11" s="182" t="s">
        <v>253</v>
      </c>
      <c r="J11" s="773" t="s">
        <v>715</v>
      </c>
      <c r="K11" s="745"/>
      <c r="L11" s="531"/>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-45.024855000000002</v>
      </c>
      <c r="E12" s="99">
        <f>'ADJ DETAIL-INPUT'!G$81</f>
        <v>1</v>
      </c>
      <c r="F12" s="129"/>
      <c r="G12" s="700"/>
      <c r="H12" s="182" t="s">
        <v>658</v>
      </c>
      <c r="J12" s="773" t="s">
        <v>715</v>
      </c>
      <c r="K12" s="745"/>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-19.304040000000001</v>
      </c>
      <c r="E13" s="207">
        <f>'ADJ DETAIL-INPUT'!H$81</f>
        <v>-3752</v>
      </c>
      <c r="F13" s="128"/>
      <c r="G13" s="693"/>
      <c r="H13" s="182" t="s">
        <v>253</v>
      </c>
      <c r="J13" s="773" t="s">
        <v>715</v>
      </c>
      <c r="K13" s="745"/>
      <c r="L13" s="150"/>
      <c r="M13" s="150"/>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-248.44175999999999</v>
      </c>
      <c r="E14" s="207">
        <f>'ADJ DETAIL-INPUT'!I$81</f>
        <v>-48288</v>
      </c>
      <c r="F14" s="128"/>
      <c r="G14" s="693"/>
      <c r="H14" s="182" t="s">
        <v>253</v>
      </c>
      <c r="J14" s="773" t="s">
        <v>715</v>
      </c>
      <c r="K14" s="745"/>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3"/>
      <c r="H15" s="182" t="s">
        <v>617</v>
      </c>
      <c r="J15" s="773" t="s">
        <v>715</v>
      </c>
      <c r="K15" s="744"/>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3"/>
      <c r="H16" s="182" t="s">
        <v>253</v>
      </c>
      <c r="J16" s="773" t="s">
        <v>715</v>
      </c>
      <c r="K16" s="745"/>
      <c r="L16" s="159"/>
      <c r="M16" s="159"/>
      <c r="N16" s="159"/>
      <c r="O16" s="159"/>
    </row>
    <row r="17" spans="1:11"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00"/>
      <c r="H17" s="477" t="s">
        <v>658</v>
      </c>
      <c r="I17" s="159"/>
      <c r="J17" s="745" t="s">
        <v>715</v>
      </c>
      <c r="K17" s="744"/>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293.88</v>
      </c>
      <c r="E18" s="99">
        <f>'ADJ DETAIL-INPUT'!M$81</f>
        <v>0</v>
      </c>
      <c r="F18" s="53"/>
      <c r="G18" s="693"/>
      <c r="H18" s="182" t="s">
        <v>658</v>
      </c>
      <c r="J18" s="773" t="s">
        <v>715</v>
      </c>
      <c r="K18" s="744"/>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693"/>
      <c r="H19" s="182" t="s">
        <v>658</v>
      </c>
      <c r="J19" s="773" t="s">
        <v>715</v>
      </c>
      <c r="K19" s="744"/>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3"/>
      <c r="H20" s="182" t="s">
        <v>617</v>
      </c>
      <c r="I20" s="182"/>
      <c r="J20" s="773" t="s">
        <v>715</v>
      </c>
      <c r="K20" s="744"/>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658</v>
      </c>
      <c r="J21" s="773" t="s">
        <v>715</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3"/>
      <c r="H22" s="182" t="s">
        <v>617</v>
      </c>
      <c r="J22" s="773" t="s">
        <v>715</v>
      </c>
      <c r="K22" s="746"/>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3"/>
      <c r="H23" s="182" t="s">
        <v>658</v>
      </c>
      <c r="J23" s="773" t="s">
        <v>715</v>
      </c>
      <c r="K23" s="744"/>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617</v>
      </c>
      <c r="J24" s="773" t="s">
        <v>715</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0"/>
      <c r="H25" s="182" t="s">
        <v>714</v>
      </c>
      <c r="J25" s="773" t="s">
        <v>715</v>
      </c>
      <c r="K25" s="772"/>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658</v>
      </c>
      <c r="J26" s="773" t="s">
        <v>715</v>
      </c>
      <c r="K26" s="746"/>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00"/>
      <c r="H27" s="182" t="s">
        <v>264</v>
      </c>
      <c r="J27" s="773" t="s">
        <v>715</v>
      </c>
      <c r="K27" s="744"/>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-1042</v>
      </c>
      <c r="E28" s="162">
        <f>'ADJ DETAIL-INPUT'!W$81</f>
        <v>0</v>
      </c>
      <c r="F28" s="152"/>
      <c r="H28" s="182" t="s">
        <v>715</v>
      </c>
      <c r="I28" s="182"/>
      <c r="J28" s="777" t="s">
        <v>715</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0"/>
      <c r="H29" s="182" t="s">
        <v>264</v>
      </c>
      <c r="J29" s="773" t="s">
        <v>715</v>
      </c>
      <c r="K29" s="744"/>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3"/>
      <c r="H30" s="182" t="s">
        <v>658</v>
      </c>
      <c r="J30" s="773" t="s">
        <v>715</v>
      </c>
      <c r="K30" s="744"/>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3"/>
      <c r="H31" s="182" t="s">
        <v>253</v>
      </c>
      <c r="J31" s="773" t="s">
        <v>715</v>
      </c>
      <c r="K31" s="747"/>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0"/>
      <c r="H32" s="182" t="s">
        <v>264</v>
      </c>
      <c r="J32" s="774" t="s">
        <v>715</v>
      </c>
      <c r="K32" s="744"/>
    </row>
    <row r="33" spans="1:11"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-1357.9427458700873</v>
      </c>
      <c r="E33" s="253">
        <f>'ADJ DETAIL-INPUT'!AB$81</f>
        <v>21049.028985405777</v>
      </c>
      <c r="F33" s="128"/>
      <c r="G33" s="700"/>
      <c r="H33" s="699" t="s">
        <v>770</v>
      </c>
      <c r="I33" s="25"/>
      <c r="J33" s="774" t="s">
        <v>715</v>
      </c>
      <c r="K33" s="744"/>
    </row>
    <row r="34" spans="1:11" s="107" customFormat="1" ht="3.75" customHeight="1">
      <c r="A34" s="197"/>
      <c r="B34" s="197"/>
      <c r="C34" s="148"/>
      <c r="D34" s="388"/>
      <c r="E34" s="388"/>
      <c r="F34" s="156"/>
      <c r="G34" s="700"/>
      <c r="I34" s="25"/>
      <c r="J34" s="25"/>
      <c r="K34" s="744"/>
    </row>
    <row r="35" spans="1:11" ht="13.5" thickBot="1">
      <c r="A35" s="40"/>
      <c r="B35" s="40"/>
      <c r="C35" s="146" t="s">
        <v>84</v>
      </c>
      <c r="D35" s="389">
        <f>SUM(D10:D34)</f>
        <v>106463.17841412994</v>
      </c>
      <c r="E35" s="389">
        <f>SUM(E10:E34)</f>
        <v>1679192.0289854058</v>
      </c>
      <c r="F35" s="171">
        <f>D35/E35</f>
        <v>6.3401431507780964E-2</v>
      </c>
      <c r="G35" s="700"/>
      <c r="I35" s="25"/>
    </row>
    <row r="36" spans="1:11" ht="13.5" thickTop="1">
      <c r="A36" s="190" t="s">
        <v>272</v>
      </c>
      <c r="B36" s="190"/>
      <c r="C36" s="146"/>
      <c r="D36" s="257"/>
      <c r="E36" s="258"/>
      <c r="F36" s="199"/>
      <c r="G36" s="700"/>
      <c r="I36" s="25"/>
    </row>
    <row r="37" spans="1:11">
      <c r="A37" s="241" t="str">
        <f>'ADJ DETAIL-INPUT'!AD$10</f>
        <v>3.00P</v>
      </c>
      <c r="B37" s="364" t="str">
        <f>'ADJ DETAIL-INPUT'!AD$11</f>
        <v>E-PPS</v>
      </c>
      <c r="C37" s="35" t="str">
        <f>TRIM(CONCATENATE('ADJ DETAIL-INPUT'!AD$7," ",'ADJ DETAIL-INPUT'!AD$8," ",'ADJ DETAIL-INPUT'!AD$9))</f>
        <v>Pro Forma Power Supply</v>
      </c>
      <c r="D37" s="253">
        <f>'ADJ DETAIL-INPUT'!AD$57</f>
        <v>11520.57</v>
      </c>
      <c r="E37" s="253">
        <f>'ADJ DETAIL-INPUT'!AD$81</f>
        <v>0</v>
      </c>
      <c r="H37" s="699" t="s">
        <v>264</v>
      </c>
      <c r="I37" s="182"/>
      <c r="J37" s="773" t="s">
        <v>715</v>
      </c>
    </row>
    <row r="38" spans="1:11">
      <c r="A38" s="241" t="str">
        <f>'ADJ DETAIL-INPUT'!AE$10</f>
        <v>3.00T</v>
      </c>
      <c r="B38" s="364" t="str">
        <f>'ADJ DETAIL-INPUT'!AE$11</f>
        <v>E-PTRAN</v>
      </c>
      <c r="C38" s="35" t="str">
        <f>TRIM(CONCATENATE('ADJ DETAIL-INPUT'!AE$7," ",'ADJ DETAIL-INPUT'!AE$8," ",'ADJ DETAIL-INPUT'!AE$9))</f>
        <v>Pro Forma Transmission Revenue/Expense</v>
      </c>
      <c r="D38" s="253">
        <f>'ADJ DETAIL-INPUT'!AE$57</f>
        <v>1293.7277000000001</v>
      </c>
      <c r="E38" s="36">
        <f>'ADJ DETAIL-INPUT'!AE$81</f>
        <v>0</v>
      </c>
      <c r="H38" s="699" t="s">
        <v>715</v>
      </c>
      <c r="I38" s="182"/>
      <c r="J38" s="773" t="s">
        <v>715</v>
      </c>
    </row>
    <row r="39" spans="1:11">
      <c r="A39" s="241">
        <f>'ADJ DETAIL-INPUT'!AF$10</f>
        <v>3.01</v>
      </c>
      <c r="B39" s="364" t="str">
        <f>'ADJ DETAIL-INPUT'!AF$11</f>
        <v>E-PREV</v>
      </c>
      <c r="C39" s="35" t="str">
        <f>TRIM(CONCATENATE('ADJ DETAIL-INPUT'!AF$7," ",'ADJ DETAIL-INPUT'!AF$8," ",'ADJ DETAIL-INPUT'!AF$9))</f>
        <v>Pro Forma Revenue Normalization</v>
      </c>
      <c r="D39" s="253">
        <f>'ADJ DETAIL-INPUT'!AF$57</f>
        <v>11740.19</v>
      </c>
      <c r="E39" s="36">
        <f>'ADJ DETAIL-INPUT'!AF$81</f>
        <v>0</v>
      </c>
      <c r="H39" s="699" t="s">
        <v>750</v>
      </c>
      <c r="I39" s="182"/>
      <c r="J39" s="773" t="s">
        <v>715</v>
      </c>
      <c r="K39" s="772"/>
    </row>
    <row r="40" spans="1:11"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1905.48893</v>
      </c>
      <c r="E40" s="262">
        <f>'ADJ DETAIL-INPUT'!AG$81</f>
        <v>-766</v>
      </c>
      <c r="F40" s="156"/>
      <c r="H40" s="699" t="s">
        <v>658</v>
      </c>
      <c r="J40" s="773" t="s">
        <v>715</v>
      </c>
      <c r="K40" s="745"/>
    </row>
    <row r="41" spans="1:11" s="146" customFormat="1">
      <c r="A41" s="242">
        <f>'ADJ DETAIL-INPUT'!AH$10</f>
        <v>3.0299999999999994</v>
      </c>
      <c r="B41" s="374" t="str">
        <f>'ADJ DETAIL-INPUT'!AH$11</f>
        <v>E-ARAM</v>
      </c>
      <c r="C41" s="192" t="str">
        <f>TRIM(CONCATENATE('ADJ DETAIL-INPUT'!AH$7," ",'ADJ DETAIL-INPUT'!AH$8," ",'ADJ DETAIL-INPUT'!AH$9))</f>
        <v>Pro Forma ARAM DFIT</v>
      </c>
      <c r="D41" s="175">
        <f>'ADJ DETAIL-INPUT'!AH$57</f>
        <v>500</v>
      </c>
      <c r="E41" s="262">
        <f>'ADJ DETAIL-INPUT'!AH$81</f>
        <v>0</v>
      </c>
      <c r="F41" s="156"/>
      <c r="G41" s="700"/>
      <c r="H41" s="699" t="s">
        <v>617</v>
      </c>
      <c r="J41" s="773" t="s">
        <v>715</v>
      </c>
      <c r="K41" s="129"/>
    </row>
    <row r="42" spans="1:11"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699" t="s">
        <v>264</v>
      </c>
      <c r="I42" s="477"/>
      <c r="J42" s="773" t="s">
        <v>715</v>
      </c>
      <c r="K42" s="745"/>
    </row>
    <row r="43" spans="1:11"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3"/>
      <c r="H43" s="699" t="s">
        <v>264</v>
      </c>
      <c r="J43" s="773" t="s">
        <v>715</v>
      </c>
      <c r="K43" s="745"/>
    </row>
    <row r="44" spans="1:11"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-884.8</v>
      </c>
      <c r="E44" s="262">
        <f>'ADJ DETAIL-INPUT'!AK$81</f>
        <v>0</v>
      </c>
      <c r="F44" s="156"/>
      <c r="G44" s="693"/>
      <c r="H44" s="699" t="s">
        <v>264</v>
      </c>
      <c r="I44" s="477"/>
      <c r="J44" s="773" t="s">
        <v>715</v>
      </c>
      <c r="K44" s="745"/>
    </row>
    <row r="45" spans="1:11">
      <c r="A45" s="242">
        <f>'ADJ DETAIL-INPUT'!AL$10</f>
        <v>3.0699999999999985</v>
      </c>
      <c r="B45" s="364" t="str">
        <f>'ADJ DETAIL-INPUT'!AL$11</f>
        <v>E-PINS</v>
      </c>
      <c r="C45" s="192" t="str">
        <f>TRIM(CONCATENATE('ADJ DETAIL-INPUT'!AL$7," ",'ADJ DETAIL-INPUT'!AL$8," ",'ADJ DETAIL-INPUT'!AL$9))</f>
        <v>Pro Forma Insurance Expense</v>
      </c>
      <c r="D45" s="162">
        <f>'ADJ DETAIL-INPUT'!AL$57</f>
        <v>-1981.3200000000002</v>
      </c>
      <c r="E45" s="162">
        <f>'ADJ DETAIL-INPUT'!AL$81</f>
        <v>0</v>
      </c>
      <c r="F45" s="172"/>
      <c r="H45" s="699" t="s">
        <v>658</v>
      </c>
      <c r="I45" s="146"/>
      <c r="J45" s="773" t="s">
        <v>715</v>
      </c>
    </row>
    <row r="46" spans="1:11" s="44" customFormat="1">
      <c r="A46" s="241">
        <f>'ADJ DETAIL-INPUT'!AM$10</f>
        <v>3.0799999999999983</v>
      </c>
      <c r="B46" s="364" t="str">
        <f>'ADJ DETAIL-INPUT'!AM$11</f>
        <v>E-PIT</v>
      </c>
      <c r="C46" s="35" t="str">
        <f>TRIM(CONCATENATE('ADJ DETAIL-INPUT'!AM$7," ",'ADJ DETAIL-INPUT'!AM$8," ",'ADJ DETAIL-INPUT'!AM$9))</f>
        <v>Pro Forma IS/IT Expense</v>
      </c>
      <c r="D46" s="262">
        <f>'ADJ DETAIL-INPUT'!AM$57</f>
        <v>-813.7286454</v>
      </c>
      <c r="E46" s="262">
        <f>'ADJ DETAIL-INPUT'!AM$81</f>
        <v>0</v>
      </c>
      <c r="F46" s="53"/>
      <c r="H46" s="699" t="s">
        <v>658</v>
      </c>
      <c r="J46" s="773" t="s">
        <v>715</v>
      </c>
      <c r="K46" s="744"/>
    </row>
    <row r="47" spans="1:11" s="44" customFormat="1">
      <c r="A47" s="241">
        <f>'ADJ DETAIL-INPUT'!AN$10</f>
        <v>3.0899999999999981</v>
      </c>
      <c r="B47" s="364" t="str">
        <f>'ADJ DETAIL-INPUT'!AN$11</f>
        <v>E-PPT</v>
      </c>
      <c r="C47" s="35" t="str">
        <f>TRIM(CONCATENATE('ADJ DETAIL-INPUT'!AN$7," ",'ADJ DETAIL-INPUT'!AN$8," ",'ADJ DETAIL-INPUT'!AN$9))</f>
        <v>Pro Forma Property Tax</v>
      </c>
      <c r="D47" s="262">
        <f>'ADJ DETAIL-INPUT'!AN$57</f>
        <v>-1349.32</v>
      </c>
      <c r="E47" s="262">
        <f>'ADJ DETAIL-INPUT'!AN$81</f>
        <v>0</v>
      </c>
      <c r="F47" s="53"/>
      <c r="G47" s="693"/>
      <c r="H47" s="699" t="s">
        <v>253</v>
      </c>
      <c r="I47" s="182"/>
      <c r="J47" s="745" t="s">
        <v>715</v>
      </c>
      <c r="K47" s="744"/>
    </row>
    <row r="48" spans="1:11"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699" t="s">
        <v>658</v>
      </c>
      <c r="I48" s="182"/>
      <c r="J48" s="773" t="s">
        <v>715</v>
      </c>
      <c r="K48" s="747"/>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0</v>
      </c>
      <c r="E49" s="258">
        <f>'ADJ DETAIL-INPUT'!AP$81</f>
        <v>0</v>
      </c>
      <c r="F49" s="407"/>
      <c r="H49" s="699" t="s">
        <v>770</v>
      </c>
      <c r="I49" s="182"/>
      <c r="J49" s="773" t="s">
        <v>715</v>
      </c>
      <c r="K49" s="747"/>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0</v>
      </c>
      <c r="E50" s="262">
        <f>'ADJ DETAIL-INPUT'!AQ$81</f>
        <v>0</v>
      </c>
      <c r="F50" s="59"/>
      <c r="H50" s="699" t="s">
        <v>770</v>
      </c>
      <c r="I50" s="167"/>
      <c r="J50" s="773" t="s">
        <v>715</v>
      </c>
      <c r="K50" s="538"/>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0</v>
      </c>
      <c r="E51" s="175">
        <f>'ADJ DETAIL-INPUT'!AR$81</f>
        <v>0</v>
      </c>
      <c r="F51" s="59"/>
      <c r="H51" s="699" t="s">
        <v>770</v>
      </c>
      <c r="I51" s="167"/>
      <c r="J51" s="745" t="s">
        <v>715</v>
      </c>
      <c r="K51" s="772"/>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0</v>
      </c>
      <c r="E52" s="175">
        <f>'ADJ DETAIL-INPUT'!AS$81</f>
        <v>0</v>
      </c>
      <c r="F52" s="59"/>
      <c r="H52" s="699" t="s">
        <v>770</v>
      </c>
      <c r="I52" s="167"/>
      <c r="J52" s="773" t="s">
        <v>715</v>
      </c>
      <c r="K52" s="538"/>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0</v>
      </c>
      <c r="E53" s="175">
        <f>'ADJ DETAIL-INPUT'!AT$81</f>
        <v>0</v>
      </c>
      <c r="F53" s="59"/>
      <c r="H53" s="699" t="s">
        <v>770</v>
      </c>
      <c r="I53" s="167"/>
      <c r="J53" s="773" t="s">
        <v>715</v>
      </c>
      <c r="K53" s="538"/>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-12409.73749705977</v>
      </c>
      <c r="E54" s="198">
        <f>'ADJ DETAIL-INPUT'!AU$81</f>
        <v>-21734.679272916666</v>
      </c>
      <c r="F54" s="407"/>
      <c r="G54" s="750"/>
      <c r="H54" s="699" t="s">
        <v>253</v>
      </c>
      <c r="J54" s="745" t="s">
        <v>715</v>
      </c>
      <c r="K54" s="747"/>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-1421.21</v>
      </c>
      <c r="E55" s="198">
        <f>'ADJ DETAIL-INPUT'!AV$81</f>
        <v>0</v>
      </c>
      <c r="F55" s="407"/>
      <c r="G55" s="749"/>
      <c r="H55" s="699" t="s">
        <v>771</v>
      </c>
      <c r="J55" s="774" t="s">
        <v>715</v>
      </c>
      <c r="K55" s="747"/>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-2621.2913349999999</v>
      </c>
      <c r="E56" s="198">
        <f>'ADJ DETAIL-INPUT'!AW$81</f>
        <v>12577</v>
      </c>
      <c r="F56" s="407"/>
      <c r="G56" s="749"/>
      <c r="H56" s="699" t="s">
        <v>771</v>
      </c>
      <c r="J56" s="774" t="s">
        <v>715</v>
      </c>
      <c r="K56" s="747"/>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1972.8094845915409</v>
      </c>
      <c r="E57" s="429">
        <f>'ADJ DETAIL-INPUT'!AX$81</f>
        <v>-4266.1127130142186</v>
      </c>
      <c r="F57" s="407"/>
      <c r="G57" s="750"/>
      <c r="H57" s="699" t="s">
        <v>253</v>
      </c>
      <c r="I57" s="182"/>
      <c r="J57" s="773" t="s">
        <v>715</v>
      </c>
      <c r="K57" s="747"/>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12.64</v>
      </c>
      <c r="E58" s="429">
        <f>'ADJ DETAIL-INPUT'!AY$81</f>
        <v>0</v>
      </c>
      <c r="F58" s="407"/>
      <c r="H58" s="699" t="s">
        <v>715</v>
      </c>
      <c r="J58" s="773" t="s">
        <v>715</v>
      </c>
      <c r="K58" s="747"/>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-157.13858999999999</v>
      </c>
      <c r="E59" s="258">
        <f>'ADJ DETAIL-INPUT'!AZ$81</f>
        <v>-30542</v>
      </c>
      <c r="F59" s="407"/>
      <c r="G59" s="756"/>
      <c r="H59" s="699" t="s">
        <v>253</v>
      </c>
      <c r="J59" s="783" t="s">
        <v>715</v>
      </c>
      <c r="K59" s="747"/>
    </row>
    <row r="60" spans="1:11" s="150" customFormat="1" ht="12" customHeight="1">
      <c r="A60" s="406">
        <f>'ADJ DETAIL-INPUT'!BA$10</f>
        <v>7.01</v>
      </c>
      <c r="B60" s="405">
        <f>'ADJ DETAIL-INPUT'!BA$11</f>
        <v>0</v>
      </c>
      <c r="C60" s="381" t="str">
        <f>TRIM(CONCATENATE('ADJ DETAIL-INPUT'!BA$7," ",'ADJ DETAIL-INPUT'!BA$8," ",'ADJ DETAIL-INPUT'!BA$9))</f>
        <v>2020 AMA Capital</v>
      </c>
      <c r="D60" s="198">
        <f>'ADJ DETAIL-INPUT'!BA$57</f>
        <v>-6071.8183053463035</v>
      </c>
      <c r="E60" s="429">
        <f>'ADJ DETAIL-INPUT'!BA$81</f>
        <v>12731.674373896392</v>
      </c>
      <c r="F60" s="407"/>
      <c r="G60" s="693"/>
      <c r="J60" s="773"/>
      <c r="K60" s="747"/>
    </row>
    <row r="61" spans="1:11" s="150" customFormat="1" ht="10.5" customHeight="1">
      <c r="A61" s="406">
        <f>'ADJ DETAIL-INPUT'!BF$10</f>
        <v>7.02</v>
      </c>
      <c r="B61" s="405">
        <f>'ADJ DETAIL-INPUT'!BF$11</f>
        <v>0</v>
      </c>
      <c r="C61" s="381" t="str">
        <f>TRIM(CONCATENATE('ADJ DETAIL-INPUT'!BF$7," ",'ADJ DETAIL-INPUT'!BF$8," ",'ADJ DETAIL-INPUT'!BF$9))</f>
        <v>Pro Forma Open</v>
      </c>
      <c r="D61" s="258">
        <f>'ADJ DETAIL-INPUT'!BF$57</f>
        <v>0</v>
      </c>
      <c r="E61" s="429">
        <f>'ADJ DETAIL-INPUT'!BF$81</f>
        <v>0</v>
      </c>
      <c r="F61" s="407"/>
      <c r="G61" s="693"/>
      <c r="I61" s="182"/>
      <c r="J61" s="773"/>
      <c r="K61" s="747"/>
    </row>
    <row r="62" spans="1:11" ht="14.25" customHeight="1" thickBot="1">
      <c r="A62" s="511"/>
      <c r="B62" s="511"/>
      <c r="C62" s="59" t="s">
        <v>711</v>
      </c>
      <c r="D62" s="683">
        <f>SUM(D35:D61)</f>
        <v>104316.25015591542</v>
      </c>
      <c r="E62" s="683">
        <f>SUM(E35:E61)</f>
        <v>1647191.9113733713</v>
      </c>
      <c r="F62" s="171">
        <f>D62/E62</f>
        <v>6.3329748911248693E-2</v>
      </c>
      <c r="G62" s="700"/>
      <c r="H62" s="25"/>
      <c r="I62" s="25"/>
      <c r="J62" s="102"/>
    </row>
    <row r="63" spans="1:11" s="150" customFormat="1" ht="13.5" thickTop="1">
      <c r="A63" s="190" t="s">
        <v>586</v>
      </c>
      <c r="B63" s="525" t="s">
        <v>587</v>
      </c>
      <c r="C63" s="138" t="s">
        <v>136</v>
      </c>
      <c r="D63" s="258"/>
      <c r="E63" s="258"/>
      <c r="F63" s="407"/>
      <c r="G63" s="693"/>
      <c r="I63" s="182"/>
      <c r="J63" s="538"/>
      <c r="K63" s="747"/>
    </row>
    <row r="64" spans="1:11" ht="18" customHeight="1">
      <c r="A64" s="778" t="s">
        <v>780</v>
      </c>
      <c r="B64" s="53"/>
      <c r="D64" s="259"/>
      <c r="E64" s="259"/>
      <c r="F64" s="120"/>
      <c r="H64" s="477" t="s">
        <v>658</v>
      </c>
      <c r="I64" s="25"/>
      <c r="J64" s="773" t="s">
        <v>715</v>
      </c>
    </row>
    <row r="65" spans="1:10" ht="12" customHeight="1">
      <c r="A65" s="406" t="e">
        <f>'ADJ DETAIL-INPUT'!#REF!</f>
        <v>#REF!</v>
      </c>
      <c r="B65" s="405" t="e">
        <f>'ADJ DETAIL-INPUT'!#REF!</f>
        <v>#REF!</v>
      </c>
      <c r="C65" s="381" t="e">
        <f>TRIM(CONCATENATE('ADJ DETAIL-INPUT'!#REF!," ",'ADJ DETAIL-INPUT'!#REF!," ",'ADJ DETAIL-INPUT'!#REF!))</f>
        <v>#REF!</v>
      </c>
      <c r="D65" s="780" t="e">
        <f>'ADJ DETAIL-INPUT'!#REF!</f>
        <v>#REF!</v>
      </c>
      <c r="E65" s="781" t="e">
        <f>'ADJ DETAIL-INPUT'!#REF!</f>
        <v>#REF!</v>
      </c>
      <c r="F65" s="782"/>
      <c r="J65" s="102"/>
    </row>
    <row r="66" spans="1:10">
      <c r="C66" s="25" t="s">
        <v>792</v>
      </c>
      <c r="D66" s="253" t="e">
        <f>D62+D65</f>
        <v>#REF!</v>
      </c>
      <c r="E66" s="253" t="e">
        <f>E62+E65</f>
        <v>#REF!</v>
      </c>
      <c r="F66" s="779" t="e">
        <f>D66/E66</f>
        <v>#REF!</v>
      </c>
      <c r="H66" s="699" t="s">
        <v>253</v>
      </c>
      <c r="J66" s="783" t="s">
        <v>715</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1" orientation="portrait" r:id="rId3"/>
  <headerFooter alignWithMargins="0">
    <oddHeader>&amp;C
&amp;RExh. EMA - 2</oddHeader>
    <oddFooter>&amp;C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265</v>
      </c>
      <c r="F1" s="436" t="s">
        <v>271</v>
      </c>
      <c r="G1" s="436" t="s">
        <v>271</v>
      </c>
      <c r="H1" s="436" t="s">
        <v>271</v>
      </c>
      <c r="I1" s="436" t="s">
        <v>271</v>
      </c>
      <c r="J1" s="436" t="s">
        <v>271</v>
      </c>
      <c r="K1" s="436" t="s">
        <v>271</v>
      </c>
      <c r="L1" s="436" t="s">
        <v>271</v>
      </c>
      <c r="M1" s="436" t="s">
        <v>271</v>
      </c>
      <c r="N1" s="436" t="s">
        <v>271</v>
      </c>
      <c r="O1" s="436" t="s">
        <v>271</v>
      </c>
      <c r="P1" s="436" t="s">
        <v>271</v>
      </c>
      <c r="Q1" s="436" t="s">
        <v>271</v>
      </c>
      <c r="R1" s="436" t="s">
        <v>271</v>
      </c>
      <c r="S1" s="436" t="s">
        <v>271</v>
      </c>
      <c r="T1" s="436" t="s">
        <v>271</v>
      </c>
      <c r="U1" s="436" t="s">
        <v>271</v>
      </c>
      <c r="V1" s="436" t="s">
        <v>271</v>
      </c>
      <c r="W1" s="436" t="s">
        <v>271</v>
      </c>
      <c r="X1" s="436" t="s">
        <v>271</v>
      </c>
      <c r="Y1" s="436" t="s">
        <v>271</v>
      </c>
      <c r="Z1" s="436" t="s">
        <v>271</v>
      </c>
      <c r="AA1" s="436" t="s">
        <v>271</v>
      </c>
      <c r="AB1" s="436" t="s">
        <v>271</v>
      </c>
      <c r="AC1" s="436" t="s">
        <v>271</v>
      </c>
      <c r="AD1" s="436" t="s">
        <v>271</v>
      </c>
      <c r="AE1" s="436" t="s">
        <v>271</v>
      </c>
      <c r="AF1" s="436" t="s">
        <v>271</v>
      </c>
      <c r="AG1" s="436" t="s">
        <v>271</v>
      </c>
      <c r="AH1" s="436" t="s">
        <v>271</v>
      </c>
      <c r="AI1" s="436" t="s">
        <v>271</v>
      </c>
      <c r="AJ1" s="436" t="s">
        <v>271</v>
      </c>
      <c r="AK1" s="436" t="s">
        <v>271</v>
      </c>
      <c r="AL1" s="436" t="s">
        <v>271</v>
      </c>
      <c r="AM1" s="436" t="s">
        <v>271</v>
      </c>
      <c r="AN1" s="436" t="s">
        <v>271</v>
      </c>
      <c r="AO1" s="436" t="s">
        <v>271</v>
      </c>
      <c r="AP1" s="436" t="s">
        <v>271</v>
      </c>
      <c r="AQ1" s="436" t="s">
        <v>271</v>
      </c>
      <c r="AR1" s="436" t="s">
        <v>271</v>
      </c>
      <c r="AS1" s="436" t="s">
        <v>271</v>
      </c>
      <c r="AT1" s="436" t="s">
        <v>271</v>
      </c>
      <c r="AU1" s="436" t="s">
        <v>271</v>
      </c>
      <c r="AV1" s="436" t="s">
        <v>271</v>
      </c>
      <c r="AW1" s="436" t="s">
        <v>271</v>
      </c>
      <c r="AX1" s="436" t="s">
        <v>271</v>
      </c>
      <c r="AY1" s="436" t="s">
        <v>271</v>
      </c>
      <c r="AZ1" s="436" t="s">
        <v>271</v>
      </c>
      <c r="BA1" s="436" t="s">
        <v>271</v>
      </c>
      <c r="BB1" s="436" t="s">
        <v>271</v>
      </c>
    </row>
    <row r="2" spans="1:54" ht="5.25" customHeight="1">
      <c r="D2" s="410"/>
      <c r="E2" s="434"/>
    </row>
    <row r="3" spans="1:54">
      <c r="A3" s="518" t="str">
        <f>'ADJ DETAIL-INPUT'!A2</f>
        <v>AVISTA UTILITIES  -  AWEC ADJUSTED</v>
      </c>
      <c r="D3" s="410"/>
      <c r="E3" s="409"/>
      <c r="F3" s="437"/>
      <c r="G3" s="437"/>
      <c r="H3" s="437"/>
      <c r="I3" s="437"/>
      <c r="J3" s="437"/>
      <c r="K3" s="437"/>
      <c r="L3" s="437"/>
      <c r="M3" s="437"/>
      <c r="N3" s="437"/>
      <c r="O3" s="437"/>
      <c r="P3" s="437"/>
      <c r="Q3" s="437"/>
      <c r="R3" s="437"/>
      <c r="S3" s="437"/>
      <c r="T3" s="437"/>
      <c r="U3" s="437"/>
      <c r="V3" s="437"/>
      <c r="W3" s="437"/>
      <c r="X3" s="437"/>
      <c r="Y3" s="437"/>
      <c r="Z3" s="437"/>
      <c r="AA3" s="940">
        <f>'ADJ DETAIL-INPUT'!AA3</f>
        <v>0</v>
      </c>
      <c r="AB3" s="940">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940"/>
      <c r="AB4" s="940"/>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940"/>
      <c r="AB5" s="940"/>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940"/>
      <c r="AB6" s="940"/>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DETAIL-INPUT'!AW7</f>
        <v>Pro Forma</v>
      </c>
      <c r="AW7" s="462" t="str">
        <f>'ADJ DETAIL-INPUT'!AX7</f>
        <v>Pro Forma</v>
      </c>
      <c r="AX7" s="462" t="str">
        <f>'ADJ DETAIL-INPUT'!AY7</f>
        <v>PF Normalize</v>
      </c>
      <c r="AY7" s="462" t="str">
        <f>'ADJ DETAIL-INPUT'!AZ7</f>
        <v>Restate</v>
      </c>
      <c r="AZ7" s="462" t="str">
        <f>'ADJ DETAIL-INPUT'!BG7</f>
        <v>Base</v>
      </c>
      <c r="BA7" s="462" t="e">
        <f>'ADJ DETAIL-INPUT'!#REF!</f>
        <v>#REF!</v>
      </c>
      <c r="BB7" s="462" t="e">
        <f>'ADJ DETAIL-INPUT'!#REF!</f>
        <v>#REF!</v>
      </c>
    </row>
    <row r="8" spans="1:54" s="412" customFormat="1">
      <c r="A8" s="358" t="str">
        <f>'ADJ DETAIL-INPUT'!A8</f>
        <v>Line</v>
      </c>
      <c r="B8" s="418"/>
      <c r="C8" s="418"/>
      <c r="D8" s="418"/>
      <c r="E8" s="515" t="s">
        <v>260</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DETAIL-INPUT'!AW8</f>
        <v>EIM</v>
      </c>
      <c r="AW8" s="462" t="str">
        <f>'ADJ DETAIL-INPUT'!AX8</f>
        <v>Colstrip Cap &amp;</v>
      </c>
      <c r="AX8" s="462" t="str">
        <f>'ADJ DETAIL-INPUT'!AY8</f>
        <v>CS2/Colstrip</v>
      </c>
      <c r="AY8" s="462" t="str">
        <f>'ADJ DETAIL-INPUT'!AZ8</f>
        <v>2019</v>
      </c>
      <c r="AZ8" s="462" t="str">
        <f>'ADJ DETAIL-INPUT'!BG8</f>
        <v xml:space="preserve">Pro Forma </v>
      </c>
      <c r="BA8" s="462" t="e">
        <f>'ADJ DETAIL-INPUT'!#REF!</f>
        <v>#REF!</v>
      </c>
      <c r="BB8" s="462" t="e">
        <f>'ADJ DETAIL-INPUT'!#REF!</f>
        <v>#REF!</v>
      </c>
    </row>
    <row r="9" spans="1:54" s="412" customFormat="1" ht="11.25" customHeight="1">
      <c r="A9" s="362" t="str">
        <f>'ADJ DETAIL-INPUT'!A9</f>
        <v>No.</v>
      </c>
      <c r="B9" s="421"/>
      <c r="C9" s="363" t="s">
        <v>22</v>
      </c>
      <c r="D9" s="421"/>
      <c r="E9" s="359" t="s">
        <v>261</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DETAIL-INPUT'!AW9</f>
        <v>Expenditures</v>
      </c>
      <c r="AW9" s="463" t="str">
        <f>'ADJ DETAIL-INPUT'!AX9</f>
        <v>Amortization</v>
      </c>
      <c r="AX9" s="463" t="str">
        <f>'ADJ DETAIL-INPUT'!AY9</f>
        <v>Major Maint</v>
      </c>
      <c r="AY9" s="463" t="str">
        <f>'ADJ DETAIL-INPUT'!AZ9</f>
        <v>ADFIT</v>
      </c>
      <c r="AZ9" s="463" t="str">
        <f>'ADJ DETAIL-INPUT'!BG9</f>
        <v>Total</v>
      </c>
      <c r="BA9" s="463" t="e">
        <f>'ADJ DETAIL-INPUT'!#REF!</f>
        <v>#REF!</v>
      </c>
      <c r="BB9" s="463" t="e">
        <f>'ADJ DETAIL-INPUT'!#REF!</f>
        <v>#REF!</v>
      </c>
    </row>
    <row r="10" spans="1:54" s="458" customFormat="1">
      <c r="B10" s="461" t="s">
        <v>562</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f>'ADJ DETAIL-INPUT'!AV10</f>
        <v>3.1699999999999964</v>
      </c>
      <c r="AV10" s="459">
        <f>'ADJ DETAIL-INPUT'!AW10</f>
        <v>3.1799999999999962</v>
      </c>
      <c r="AW10" s="459">
        <f>'ADJ DETAIL-INPUT'!AX10</f>
        <v>3.1899999999999959</v>
      </c>
      <c r="AX10" s="459">
        <f>'ADJ DETAIL-INPUT'!AY10</f>
        <v>3.1999999999999957</v>
      </c>
      <c r="AY10" s="459">
        <f>'ADJ DETAIL-INPUT'!AZ10</f>
        <v>3.2099999999999955</v>
      </c>
      <c r="AZ10" s="459" t="str">
        <f>'ADJ DETAIL-INPUT'!BG10</f>
        <v>PF-SubTtl</v>
      </c>
      <c r="BA10" s="459" t="e">
        <f>'ADJ DETAIL-INPUT'!#REF!</f>
        <v>#REF!</v>
      </c>
      <c r="BB10" s="459" t="e">
        <f>'ADJ DETAIL-INPUT'!#REF!</f>
        <v>#REF!</v>
      </c>
    </row>
    <row r="11" spans="1:54" s="458" customFormat="1">
      <c r="A11" s="360"/>
      <c r="B11" s="361" t="s">
        <v>563</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DETAIL-INPUT'!AW11</f>
        <v>E-PEIM</v>
      </c>
      <c r="AW11" s="464" t="str">
        <f>'ADJ DETAIL-INPUT'!AX11</f>
        <v>E-PCOL</v>
      </c>
      <c r="AX11" s="464" t="str">
        <f>'ADJ DETAIL-INPUT'!AY11</f>
        <v>E-PMM</v>
      </c>
      <c r="AY11" s="464" t="str">
        <f>'ADJ DETAIL-INPUT'!AZ11</f>
        <v>E-RDFIT</v>
      </c>
      <c r="AZ11" s="464">
        <f>'ADJ DETAIL-INPUT'!BG11</f>
        <v>0</v>
      </c>
      <c r="BA11" s="464" t="e">
        <f>'ADJ DETAIL-INPUT'!#REF!</f>
        <v>#REF!</v>
      </c>
      <c r="BB11" s="464" t="e">
        <f>'ADJ DETAIL-INPUT'!#REF!</f>
        <v>#REF!</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26639</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DETAIL-INPUT'!AW14</f>
        <v>0</v>
      </c>
      <c r="AW14" s="457">
        <f>'ADJ DETAIL-INPUT'!AX14</f>
        <v>0</v>
      </c>
      <c r="AX14" s="457">
        <f>'ADJ DETAIL-INPUT'!AY14</f>
        <v>0</v>
      </c>
      <c r="AY14" s="457">
        <f>'ADJ DETAIL-INPUT'!AZ14</f>
        <v>0</v>
      </c>
      <c r="AZ14" s="457">
        <f>'ADJ DETAIL-INPUT'!BG14</f>
        <v>530494</v>
      </c>
      <c r="BA14" s="457" t="e">
        <f>'ADJ DETAIL-INPUT'!#REF!</f>
        <v>#REF!</v>
      </c>
      <c r="BB14" s="457" t="e">
        <f>'ADJ DETAIL-INPUT'!#REF!</f>
        <v>#REF!</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DETAIL-INPUT'!BG15</f>
        <v>1228</v>
      </c>
      <c r="BA15" s="435" t="e">
        <f>'ADJ DETAIL-INPUT'!#REF!</f>
        <v>#REF!</v>
      </c>
      <c r="BB15" s="435" t="e">
        <f>'ADJ DETAIL-INPUT'!#REF!</f>
        <v>#REF!</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17183</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DETAIL-INPUT'!BG16</f>
        <v>53469</v>
      </c>
      <c r="BA16" s="444" t="e">
        <f>'ADJ DETAIL-INPUT'!#REF!</f>
        <v>#REF!</v>
      </c>
      <c r="BB16" s="444" t="e">
        <f>'ADJ DETAIL-INPUT'!#REF!</f>
        <v>#REF!</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17183</v>
      </c>
      <c r="AD17" s="435">
        <f>'ADJ DETAIL-INPUT'!AE17</f>
        <v>0</v>
      </c>
      <c r="AE17" s="435">
        <f>'ADJ DETAIL-INPUT'!AF17</f>
        <v>26639</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DETAIL-INPUT'!BG17</f>
        <v>585191</v>
      </c>
      <c r="BA17" s="435" t="e">
        <f>'ADJ DETAIL-INPUT'!#REF!</f>
        <v>#REF!</v>
      </c>
      <c r="BB17" s="435" t="e">
        <f>'ADJ DETAIL-INPUT'!#REF!</f>
        <v>#REF!</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1190.6300000000001</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DETAIL-INPUT'!BG18</f>
        <v>17413.63</v>
      </c>
      <c r="BA18" s="444" t="e">
        <f>'ADJ DETAIL-INPUT'!#REF!</f>
        <v>#REF!</v>
      </c>
      <c r="BB18" s="444" t="e">
        <f>'ADJ DETAIL-INPUT'!#REF!</f>
        <v>#REF!</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20316</v>
      </c>
      <c r="AD19" s="435">
        <f>'ADJ DETAIL-INPUT'!AE19</f>
        <v>1190.6300000000001</v>
      </c>
      <c r="AE19" s="435">
        <f>'ADJ DETAIL-INPUT'!AF19</f>
        <v>16031</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DETAIL-INPUT'!BG19</f>
        <v>602604.63</v>
      </c>
      <c r="BA19" s="435" t="e">
        <f>'ADJ DETAIL-INPUT'!#REF!</f>
        <v>#REF!</v>
      </c>
      <c r="BB19" s="435" t="e">
        <f>'ADJ DETAIL-INPUT'!#REF!</f>
        <v>#REF!</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0</v>
      </c>
      <c r="AC23" s="435">
        <f>'ADJ DETAIL-INPUT'!AD23</f>
        <v>9232</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392</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0</v>
      </c>
      <c r="AV23" s="435">
        <f>'ADJ DETAIL-INPUT'!AW23</f>
        <v>1691</v>
      </c>
      <c r="AW23" s="435">
        <f>'ADJ DETAIL-INPUT'!AX23</f>
        <v>0</v>
      </c>
      <c r="AX23" s="435">
        <f>'ADJ DETAIL-INPUT'!AY23</f>
        <v>-16</v>
      </c>
      <c r="AY23" s="435">
        <f>'ADJ DETAIL-INPUT'!AZ23</f>
        <v>0</v>
      </c>
      <c r="AZ23" s="435">
        <f>'ADJ DETAIL-INPUT'!BG23</f>
        <v>146493</v>
      </c>
      <c r="BA23" s="435" t="e">
        <f>'ADJ DETAIL-INPUT'!#REF!</f>
        <v>#REF!</v>
      </c>
      <c r="BB23" s="435" t="e">
        <f>'ADJ DETAIL-INPUT'!#REF!</f>
        <v>#REF!</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DETAIL-INPUT'!BG24</f>
        <v>70783</v>
      </c>
      <c r="BA24" s="435" t="e">
        <f>'ADJ DETAIL-INPUT'!#REF!</f>
        <v>#REF!</v>
      </c>
      <c r="BB24" s="435" t="e">
        <f>'ADJ DETAIL-INPUT'!#REF!</f>
        <v>#REF!</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0</v>
      </c>
      <c r="AQ25" s="435">
        <f>'ADJ DETAIL-INPUT'!AR25</f>
        <v>0</v>
      </c>
      <c r="AR25" s="435">
        <f>'ADJ DETAIL-INPUT'!AS25</f>
        <v>0</v>
      </c>
      <c r="AS25" s="435">
        <f>'ADJ DETAIL-INPUT'!AT25</f>
        <v>0</v>
      </c>
      <c r="AT25" s="435">
        <f>'ADJ DETAIL-INPUT'!AU25</f>
        <v>0</v>
      </c>
      <c r="AU25" s="435">
        <f>'ADJ DETAIL-INPUT'!AV25</f>
        <v>0</v>
      </c>
      <c r="AV25" s="435">
        <f>'ADJ DETAIL-INPUT'!AW25</f>
        <v>1709</v>
      </c>
      <c r="AW25" s="435">
        <f>'ADJ DETAIL-INPUT'!AX25</f>
        <v>763.23924999999997</v>
      </c>
      <c r="AX25" s="435">
        <f>'ADJ DETAIL-INPUT'!AY25</f>
        <v>0</v>
      </c>
      <c r="AY25" s="435">
        <f>'ADJ DETAIL-INPUT'!AZ25</f>
        <v>0</v>
      </c>
      <c r="AZ25" s="435">
        <f>'ADJ DETAIL-INPUT'!BG25</f>
        <v>41445.807249999998</v>
      </c>
      <c r="BA25" s="435" t="e">
        <f>'ADJ DETAIL-INPUT'!#REF!</f>
        <v>#REF!</v>
      </c>
      <c r="BB25" s="435" t="e">
        <f>'ADJ DETAIL-INPUT'!#REF!</f>
        <v>#REF!</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-2533.8197999999988</v>
      </c>
      <c r="AX26" s="436">
        <f>'ADJ DETAIL-INPUT'!AY26</f>
        <v>0</v>
      </c>
      <c r="AY26" s="436">
        <f>'ADJ DETAIL-INPUT'!AZ26</f>
        <v>0</v>
      </c>
      <c r="AZ26" s="436">
        <f>'ADJ DETAIL-INPUT'!BG26</f>
        <v>-1782.8197999999988</v>
      </c>
      <c r="BA26" s="436" t="e">
        <f>'ADJ DETAIL-INPUT'!#REF!</f>
        <v>#REF!</v>
      </c>
      <c r="BB26" s="436" t="e">
        <f>'ADJ DETAIL-INPUT'!#REF!</f>
        <v>#REF!</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1156</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DETAIL-INPUT'!BG27</f>
        <v>17996</v>
      </c>
      <c r="BA27" s="444" t="e">
        <f>'ADJ DETAIL-INPUT'!#REF!</f>
        <v>#REF!</v>
      </c>
      <c r="BB27" s="444" t="e">
        <f>'ADJ DETAIL-INPUT'!#REF!</f>
        <v>#REF!</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3567</v>
      </c>
      <c r="AC28" s="435">
        <f>'ADJ DETAIL-INPUT'!AD28</f>
        <v>5733</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392</v>
      </c>
      <c r="AK28" s="435">
        <f>'ADJ DETAIL-INPUT'!AL28</f>
        <v>0</v>
      </c>
      <c r="AL28" s="435">
        <f>'ADJ DETAIL-INPUT'!AM28</f>
        <v>0</v>
      </c>
      <c r="AM28" s="435">
        <f>'ADJ DETAIL-INPUT'!AN28</f>
        <v>1156</v>
      </c>
      <c r="AN28" s="435">
        <f>'ADJ DETAIL-INPUT'!AO28</f>
        <v>0</v>
      </c>
      <c r="AO28" s="435">
        <f>'ADJ DETAIL-INPUT'!AP28</f>
        <v>0</v>
      </c>
      <c r="AP28" s="435">
        <f>'ADJ DETAIL-INPUT'!AQ28</f>
        <v>0</v>
      </c>
      <c r="AQ28" s="435">
        <f>'ADJ DETAIL-INPUT'!AR28</f>
        <v>0</v>
      </c>
      <c r="AR28" s="435">
        <f>'ADJ DETAIL-INPUT'!AS28</f>
        <v>0</v>
      </c>
      <c r="AS28" s="435">
        <f>'ADJ DETAIL-INPUT'!AT28</f>
        <v>0</v>
      </c>
      <c r="AT28" s="435">
        <f>'ADJ DETAIL-INPUT'!AU28</f>
        <v>0</v>
      </c>
      <c r="AU28" s="435">
        <f>'ADJ DETAIL-INPUT'!AV28</f>
        <v>0</v>
      </c>
      <c r="AV28" s="435">
        <f>'ADJ DETAIL-INPUT'!AW28</f>
        <v>3400</v>
      </c>
      <c r="AW28" s="435">
        <f>'ADJ DETAIL-INPUT'!AX28</f>
        <v>-1770.5805499999988</v>
      </c>
      <c r="AX28" s="435">
        <f>'ADJ DETAIL-INPUT'!AY28</f>
        <v>-16</v>
      </c>
      <c r="AY28" s="435">
        <f>'ADJ DETAIL-INPUT'!AZ28</f>
        <v>0</v>
      </c>
      <c r="AZ28" s="435">
        <f>'ADJ DETAIL-INPUT'!BG28</f>
        <v>274934.98745000002</v>
      </c>
      <c r="BA28" s="435" t="e">
        <f>'ADJ DETAIL-INPUT'!#REF!</f>
        <v>#REF!</v>
      </c>
      <c r="BB28" s="435" t="e">
        <f>'ADJ DETAIL-INPUT'!#REF!</f>
        <v>#REF!</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247</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0</v>
      </c>
      <c r="AR31" s="435">
        <f>'ADJ DETAIL-INPUT'!AS31</f>
        <v>0</v>
      </c>
      <c r="AS31" s="435">
        <f>'ADJ DETAIL-INPUT'!AT31</f>
        <v>0</v>
      </c>
      <c r="AT31" s="435">
        <f>'ADJ DETAIL-INPUT'!AU31</f>
        <v>0</v>
      </c>
      <c r="AU31" s="435">
        <f>'ADJ DETAIL-INPUT'!AV31</f>
        <v>1799</v>
      </c>
      <c r="AV31" s="435">
        <f>'ADJ DETAIL-INPUT'!AW31</f>
        <v>0</v>
      </c>
      <c r="AW31" s="435">
        <f>'ADJ DETAIL-INPUT'!AX31</f>
        <v>0</v>
      </c>
      <c r="AX31" s="435">
        <f>'ADJ DETAIL-INPUT'!AY31</f>
        <v>0</v>
      </c>
      <c r="AY31" s="435">
        <f>'ADJ DETAIL-INPUT'!AZ31</f>
        <v>0</v>
      </c>
      <c r="AZ31" s="435">
        <f>'ADJ DETAIL-INPUT'!BG31</f>
        <v>29506</v>
      </c>
      <c r="BA31" s="435" t="e">
        <f>'ADJ DETAIL-INPUT'!#REF!</f>
        <v>#REF!</v>
      </c>
      <c r="BB31" s="435" t="e">
        <f>'ADJ DETAIL-INPUT'!#REF!</f>
        <v>#REF!</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0</v>
      </c>
      <c r="AQ32" s="435">
        <f>'ADJ DETAIL-INPUT'!AR32</f>
        <v>0</v>
      </c>
      <c r="AR32" s="435">
        <f>'ADJ DETAIL-INPUT'!AS32</f>
        <v>0</v>
      </c>
      <c r="AS32" s="435">
        <f>'ADJ DETAIL-INPUT'!AT32</f>
        <v>0</v>
      </c>
      <c r="AT32" s="435">
        <f>'ADJ DETAIL-INPUT'!AU32</f>
        <v>1934</v>
      </c>
      <c r="AU32" s="435">
        <f>'ADJ DETAIL-INPUT'!AV32</f>
        <v>0</v>
      </c>
      <c r="AV32" s="435">
        <f>'ADJ DETAIL-INPUT'!AW32</f>
        <v>0</v>
      </c>
      <c r="AW32" s="435">
        <f>'ADJ DETAIL-INPUT'!AX32</f>
        <v>0</v>
      </c>
      <c r="AX32" s="435">
        <f>'ADJ DETAIL-INPUT'!AY32</f>
        <v>0</v>
      </c>
      <c r="AY32" s="435">
        <f>'ADJ DETAIL-INPUT'!AZ32</f>
        <v>0</v>
      </c>
      <c r="AZ32" s="435">
        <f>'ADJ DETAIL-INPUT'!BG32</f>
        <v>34016.203622664703</v>
      </c>
      <c r="BA32" s="435" t="e">
        <f>'ADJ DETAIL-INPUT'!#REF!</f>
        <v>#REF!</v>
      </c>
      <c r="BB32" s="435" t="e">
        <f>'ADJ DETAIL-INPUT'!#REF!</f>
        <v>#REF!</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1028</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552</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DETAIL-INPUT'!BG34</f>
        <v>29961</v>
      </c>
      <c r="BA33" s="444" t="e">
        <f>'ADJ DETAIL-INPUT'!#REF!</f>
        <v>#REF!</v>
      </c>
      <c r="BB33" s="444" t="e">
        <f>'ADJ DETAIL-INPUT'!#REF!</f>
        <v>#REF!</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1028</v>
      </c>
      <c r="AF34" s="435">
        <f>'ADJ DETAIL-INPUT'!AG35</f>
        <v>0</v>
      </c>
      <c r="AG34" s="435">
        <f>'ADJ DETAIL-INPUT'!AH35</f>
        <v>0</v>
      </c>
      <c r="AH34" s="435">
        <f>'ADJ DETAIL-INPUT'!AI35</f>
        <v>713</v>
      </c>
      <c r="AI34" s="435">
        <f>'ADJ DETAIL-INPUT'!AJ35</f>
        <v>0</v>
      </c>
      <c r="AJ34" s="435">
        <f>'ADJ DETAIL-INPUT'!AK35</f>
        <v>247</v>
      </c>
      <c r="AK34" s="435">
        <f>'ADJ DETAIL-INPUT'!AL35</f>
        <v>0</v>
      </c>
      <c r="AL34" s="435">
        <f>'ADJ DETAIL-INPUT'!AM35</f>
        <v>0</v>
      </c>
      <c r="AM34" s="435">
        <f>'ADJ DETAIL-INPUT'!AN35</f>
        <v>552</v>
      </c>
      <c r="AN34" s="435">
        <f>'ADJ DETAIL-INPUT'!AO35</f>
        <v>0</v>
      </c>
      <c r="AO34" s="435">
        <f>'ADJ DETAIL-INPUT'!AP35</f>
        <v>0</v>
      </c>
      <c r="AP34" s="435">
        <f>'ADJ DETAIL-INPUT'!AQ35</f>
        <v>0</v>
      </c>
      <c r="AQ34" s="435">
        <f>'ADJ DETAIL-INPUT'!AR35</f>
        <v>0</v>
      </c>
      <c r="AR34" s="435">
        <f>'ADJ DETAIL-INPUT'!AS35</f>
        <v>0</v>
      </c>
      <c r="AS34" s="435">
        <f>'ADJ DETAIL-INPUT'!AT35</f>
        <v>0</v>
      </c>
      <c r="AT34" s="435">
        <f>'ADJ DETAIL-INPUT'!AU35</f>
        <v>1934</v>
      </c>
      <c r="AU34" s="435">
        <f>'ADJ DETAIL-INPUT'!AV35</f>
        <v>1799</v>
      </c>
      <c r="AV34" s="435">
        <f>'ADJ DETAIL-INPUT'!AW35</f>
        <v>0</v>
      </c>
      <c r="AW34" s="435">
        <f>'ADJ DETAIL-INPUT'!AX35</f>
        <v>0</v>
      </c>
      <c r="AX34" s="435">
        <f>'ADJ DETAIL-INPUT'!AY35</f>
        <v>0</v>
      </c>
      <c r="AY34" s="435">
        <f>'ADJ DETAIL-INPUT'!AZ35</f>
        <v>0</v>
      </c>
      <c r="AZ34" s="435">
        <f>'ADJ DETAIL-INPUT'!BG35</f>
        <v>93483.203622664703</v>
      </c>
      <c r="BA34" s="435" t="e">
        <f>'ADJ DETAIL-INPUT'!#REF!</f>
        <v>#REF!</v>
      </c>
      <c r="BB34" s="435" t="e">
        <f>'ADJ DETAIL-INPUT'!#REF!</f>
        <v>#REF!</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89</v>
      </c>
      <c r="AF36" s="435">
        <f>'ADJ DETAIL-INPUT'!AG37</f>
        <v>0</v>
      </c>
      <c r="AG36" s="435">
        <f>'ADJ DETAIL-INPUT'!AH37</f>
        <v>0</v>
      </c>
      <c r="AH36" s="435">
        <f>'ADJ DETAIL-INPUT'!AI37</f>
        <v>315</v>
      </c>
      <c r="AI36" s="435">
        <f>'ADJ DETAIL-INPUT'!AJ37</f>
        <v>0</v>
      </c>
      <c r="AJ36" s="435">
        <f>'ADJ DETAIL-INPUT'!AK37</f>
        <v>112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DETAIL-INPUT'!BG37</f>
        <v>11944</v>
      </c>
      <c r="BA36" s="435" t="e">
        <f>'ADJ DETAIL-INPUT'!#REF!</f>
        <v>#REF!</v>
      </c>
      <c r="BB36" s="435" t="e">
        <f>'ADJ DETAIL-INPUT'!#REF!</f>
        <v>#REF!</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11</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DETAIL-INPUT'!BG38</f>
        <v>1634</v>
      </c>
      <c r="BA37" s="435" t="e">
        <f>'ADJ DETAIL-INPUT'!#REF!</f>
        <v>#REF!</v>
      </c>
      <c r="BB37" s="435" t="e">
        <f>'ADJ DETAIL-INPUT'!#REF!</f>
        <v>#REF!</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DETAIL-INPUT'!BG39</f>
        <v>0</v>
      </c>
      <c r="BA38" s="435" t="e">
        <f>'ADJ DETAIL-INPUT'!#REF!</f>
        <v>#REF!</v>
      </c>
      <c r="BB38" s="435" t="e">
        <f>'ADJ DETAIL-INPUT'!#REF!</f>
        <v>#REF!</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-372</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53</v>
      </c>
      <c r="AF41" s="435">
        <f>'ADJ DETAIL-INPUT'!AG42</f>
        <v>0</v>
      </c>
      <c r="AG41" s="435">
        <f>'ADJ DETAIL-INPUT'!AH42</f>
        <v>0</v>
      </c>
      <c r="AH41" s="435">
        <f>'ADJ DETAIL-INPUT'!AI42</f>
        <v>1045</v>
      </c>
      <c r="AI41" s="435">
        <f>'ADJ DETAIL-INPUT'!AJ42</f>
        <v>-318</v>
      </c>
      <c r="AJ41" s="435">
        <f>'ADJ DETAIL-INPUT'!AK42</f>
        <v>358</v>
      </c>
      <c r="AK41" s="435">
        <f>'ADJ DETAIL-INPUT'!AL42</f>
        <v>2508</v>
      </c>
      <c r="AL41" s="435">
        <f>'ADJ DETAIL-INPUT'!AM42</f>
        <v>1030.0362600000001</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-2986</v>
      </c>
      <c r="AU41" s="435">
        <f>'ADJ DETAIL-INPUT'!AV42</f>
        <v>0</v>
      </c>
      <c r="AV41" s="435">
        <f>'ADJ DETAIL-INPUT'!AW42</f>
        <v>0</v>
      </c>
      <c r="AW41" s="435">
        <f>'ADJ DETAIL-INPUT'!AX42</f>
        <v>0</v>
      </c>
      <c r="AX41" s="435">
        <f>'ADJ DETAIL-INPUT'!AY42</f>
        <v>0</v>
      </c>
      <c r="AY41" s="435">
        <f>'ADJ DETAIL-INPUT'!AZ42</f>
        <v>0</v>
      </c>
      <c r="AZ41" s="435">
        <f>'ADJ DETAIL-INPUT'!BG42</f>
        <v>56616.289259999998</v>
      </c>
      <c r="BA41" s="435" t="e">
        <f>'ADJ DETAIL-INPUT'!#REF!</f>
        <v>#REF!</v>
      </c>
      <c r="BB41" s="435" t="e">
        <f>'ADJ DETAIL-INPUT'!#REF!</f>
        <v>#REF!</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0</v>
      </c>
      <c r="AP42" s="435">
        <f>'ADJ DETAIL-INPUT'!AQ43</f>
        <v>0</v>
      </c>
      <c r="AQ42" s="435">
        <f>'ADJ DETAIL-INPUT'!AR43</f>
        <v>0</v>
      </c>
      <c r="AR42" s="435">
        <f>'ADJ DETAIL-INPUT'!AS43</f>
        <v>0</v>
      </c>
      <c r="AS42" s="435">
        <f>'ADJ DETAIL-INPUT'!AT43</f>
        <v>0</v>
      </c>
      <c r="AT42" s="435">
        <f>'ADJ DETAIL-INPUT'!AU43</f>
        <v>581</v>
      </c>
      <c r="AU42" s="435">
        <f>'ADJ DETAIL-INPUT'!AV43</f>
        <v>0</v>
      </c>
      <c r="AV42" s="435">
        <f>'ADJ DETAIL-INPUT'!AW43</f>
        <v>0</v>
      </c>
      <c r="AW42" s="435">
        <f>'ADJ DETAIL-INPUT'!AX43</f>
        <v>0</v>
      </c>
      <c r="AX42" s="435">
        <f>'ADJ DETAIL-INPUT'!AY43</f>
        <v>0</v>
      </c>
      <c r="AY42" s="435">
        <f>'ADJ DETAIL-INPUT'!AZ43</f>
        <v>0</v>
      </c>
      <c r="AZ42" s="435">
        <f>'ADJ DETAIL-INPUT'!BG43</f>
        <v>38265.991377335296</v>
      </c>
      <c r="BA42" s="435" t="e">
        <f>'ADJ DETAIL-INPUT'!#REF!</f>
        <v>#REF!</v>
      </c>
      <c r="BB42" s="435" t="e">
        <f>'ADJ DETAIL-INPUT'!#REF!</f>
        <v>#REF!</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16037.977939494449</v>
      </c>
      <c r="AU43" s="435">
        <f>'ADJ DETAIL-INPUT'!AV44</f>
        <v>0</v>
      </c>
      <c r="AV43" s="435">
        <f>'ADJ DETAIL-INPUT'!AW44</f>
        <v>0</v>
      </c>
      <c r="AW43" s="435">
        <f>'ADJ DETAIL-INPUT'!AX44</f>
        <v>0</v>
      </c>
      <c r="AX43" s="435">
        <f>'ADJ DETAIL-INPUT'!AY44</f>
        <v>0</v>
      </c>
      <c r="AY43" s="435">
        <f>'ADJ DETAIL-INPUT'!AZ44</f>
        <v>0</v>
      </c>
      <c r="AZ43" s="435">
        <f>'ADJ DETAIL-INPUT'!BG44</f>
        <v>11389.977939494449</v>
      </c>
      <c r="BA43" s="435" t="e">
        <f>'ADJ DETAIL-INPUT'!#REF!</f>
        <v>#REF!</v>
      </c>
      <c r="BB43" s="435" t="e">
        <f>'ADJ DETAIL-INPUT'!#REF!</f>
        <v>#REF!</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DETAIL-INPUT'!BG45</f>
        <v>0</v>
      </c>
      <c r="BA44" s="444" t="e">
        <f>'ADJ DETAIL-INPUT'!#REF!</f>
        <v>#REF!</v>
      </c>
      <c r="BB44" s="444" t="e">
        <f>'ADJ DETAIL-INPUT'!#REF!</f>
        <v>#REF!</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-372</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53</v>
      </c>
      <c r="AF45" s="444">
        <f>'ADJ DETAIL-INPUT'!AG46</f>
        <v>-779</v>
      </c>
      <c r="AG45" s="444">
        <f>'ADJ DETAIL-INPUT'!AH46</f>
        <v>0</v>
      </c>
      <c r="AH45" s="444">
        <f>'ADJ DETAIL-INPUT'!AI46</f>
        <v>1045</v>
      </c>
      <c r="AI45" s="444">
        <f>'ADJ DETAIL-INPUT'!AJ46</f>
        <v>-318</v>
      </c>
      <c r="AJ45" s="444">
        <f>'ADJ DETAIL-INPUT'!AK46</f>
        <v>358</v>
      </c>
      <c r="AK45" s="444">
        <f>'ADJ DETAIL-INPUT'!AL46</f>
        <v>2508</v>
      </c>
      <c r="AL45" s="444">
        <f>'ADJ DETAIL-INPUT'!AM46</f>
        <v>1030.0362600000001</v>
      </c>
      <c r="AM45" s="444">
        <f>'ADJ DETAIL-INPUT'!AN46</f>
        <v>0</v>
      </c>
      <c r="AN45" s="444">
        <f>'ADJ DETAIL-INPUT'!AO46</f>
        <v>1235</v>
      </c>
      <c r="AO45" s="444">
        <f>'ADJ DETAIL-INPUT'!AP46</f>
        <v>0</v>
      </c>
      <c r="AP45" s="444">
        <f>'ADJ DETAIL-INPUT'!AQ46</f>
        <v>0</v>
      </c>
      <c r="AQ45" s="444">
        <f>'ADJ DETAIL-INPUT'!AR46</f>
        <v>0</v>
      </c>
      <c r="AR45" s="444">
        <f>'ADJ DETAIL-INPUT'!AS46</f>
        <v>0</v>
      </c>
      <c r="AS45" s="444">
        <f>'ADJ DETAIL-INPUT'!AT46</f>
        <v>0</v>
      </c>
      <c r="AT45" s="444">
        <f>'ADJ DETAIL-INPUT'!AU46</f>
        <v>13632.977939494449</v>
      </c>
      <c r="AU45" s="444">
        <f>'ADJ DETAIL-INPUT'!AV46</f>
        <v>0</v>
      </c>
      <c r="AV45" s="444">
        <f>'ADJ DETAIL-INPUT'!AW46</f>
        <v>0</v>
      </c>
      <c r="AW45" s="444">
        <f>'ADJ DETAIL-INPUT'!AX46</f>
        <v>0</v>
      </c>
      <c r="AX45" s="444">
        <f>'ADJ DETAIL-INPUT'!AY46</f>
        <v>0</v>
      </c>
      <c r="AY45" s="444">
        <f>'ADJ DETAIL-INPUT'!AZ46</f>
        <v>0</v>
      </c>
      <c r="AZ45" s="444">
        <f>'ADJ DETAIL-INPUT'!BG46</f>
        <v>106272.25857682974</v>
      </c>
      <c r="BA45" s="444" t="e">
        <f>'ADJ DETAIL-INPUT'!#REF!</f>
        <v>#REF!</v>
      </c>
      <c r="BB45" s="444" t="e">
        <f>'ADJ DETAIL-INPUT'!#REF!</f>
        <v>#REF!</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-372</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1856</v>
      </c>
      <c r="AC46" s="444">
        <f>'ADJ DETAIL-INPUT'!AD47</f>
        <v>5733</v>
      </c>
      <c r="AD46" s="444">
        <f>'ADJ DETAIL-INPUT'!AE47</f>
        <v>-447</v>
      </c>
      <c r="AE46" s="444">
        <f>'ADJ DETAIL-INPUT'!AF47</f>
        <v>1170</v>
      </c>
      <c r="AF46" s="444">
        <f>'ADJ DETAIL-INPUT'!AG47</f>
        <v>-2417</v>
      </c>
      <c r="AG46" s="444">
        <f>'ADJ DETAIL-INPUT'!AH47</f>
        <v>0</v>
      </c>
      <c r="AH46" s="444">
        <f>'ADJ DETAIL-INPUT'!AI47</f>
        <v>3267</v>
      </c>
      <c r="AI46" s="444">
        <f>'ADJ DETAIL-INPUT'!AJ47</f>
        <v>-318</v>
      </c>
      <c r="AJ46" s="444">
        <f>'ADJ DETAIL-INPUT'!AK47</f>
        <v>1120</v>
      </c>
      <c r="AK46" s="444">
        <f>'ADJ DETAIL-INPUT'!AL47</f>
        <v>2508</v>
      </c>
      <c r="AL46" s="444">
        <f>'ADJ DETAIL-INPUT'!AM47</f>
        <v>1030.0362600000001</v>
      </c>
      <c r="AM46" s="444">
        <f>'ADJ DETAIL-INPUT'!AN47</f>
        <v>1708</v>
      </c>
      <c r="AN46" s="444">
        <f>'ADJ DETAIL-INPUT'!AO47</f>
        <v>1332</v>
      </c>
      <c r="AO46" s="444">
        <f>'ADJ DETAIL-INPUT'!AP47</f>
        <v>0</v>
      </c>
      <c r="AP46" s="444">
        <f>'ADJ DETAIL-INPUT'!AQ47</f>
        <v>0</v>
      </c>
      <c r="AQ46" s="444">
        <f>'ADJ DETAIL-INPUT'!AR47</f>
        <v>0</v>
      </c>
      <c r="AR46" s="444">
        <f>'ADJ DETAIL-INPUT'!AS47</f>
        <v>0</v>
      </c>
      <c r="AS46" s="444">
        <f>'ADJ DETAIL-INPUT'!AT47</f>
        <v>0</v>
      </c>
      <c r="AT46" s="444">
        <f>'ADJ DETAIL-INPUT'!AU47</f>
        <v>15566.977939494449</v>
      </c>
      <c r="AU46" s="444">
        <f>'ADJ DETAIL-INPUT'!AV47</f>
        <v>1799</v>
      </c>
      <c r="AV46" s="444">
        <f>'ADJ DETAIL-INPUT'!AW47</f>
        <v>3400</v>
      </c>
      <c r="AW46" s="444">
        <f>'ADJ DETAIL-INPUT'!AX47</f>
        <v>-1770.5805499999988</v>
      </c>
      <c r="AX46" s="444">
        <f>'ADJ DETAIL-INPUT'!AY47</f>
        <v>-16</v>
      </c>
      <c r="AY46" s="444">
        <f>'ADJ DETAIL-INPUT'!AZ47</f>
        <v>0</v>
      </c>
      <c r="AZ46" s="444">
        <f>'ADJ DETAIL-INPUT'!BG47</f>
        <v>488268.44964949449</v>
      </c>
      <c r="BA46" s="444" t="e">
        <f>'ADJ DETAIL-INPUT'!#REF!</f>
        <v>#REF!</v>
      </c>
      <c r="BB46" s="444" t="e">
        <f>'ADJ DETAIL-INPUT'!#REF!</f>
        <v>#REF!</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372</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-1856</v>
      </c>
      <c r="AC48" s="435">
        <f>'ADJ DETAIL-INPUT'!AD49</f>
        <v>14583</v>
      </c>
      <c r="AD48" s="435">
        <f>'ADJ DETAIL-INPUT'!AE49</f>
        <v>1637.63</v>
      </c>
      <c r="AE48" s="435">
        <f>'ADJ DETAIL-INPUT'!AF49</f>
        <v>14861</v>
      </c>
      <c r="AF48" s="435">
        <f>'ADJ DETAIL-INPUT'!AG49</f>
        <v>2417</v>
      </c>
      <c r="AG48" s="435">
        <f>'ADJ DETAIL-INPUT'!AH49</f>
        <v>0</v>
      </c>
      <c r="AH48" s="435">
        <f>'ADJ DETAIL-INPUT'!AI49</f>
        <v>-3267</v>
      </c>
      <c r="AI48" s="435">
        <f>'ADJ DETAIL-INPUT'!AJ49</f>
        <v>318</v>
      </c>
      <c r="AJ48" s="435">
        <f>'ADJ DETAIL-INPUT'!AK49</f>
        <v>-1120</v>
      </c>
      <c r="AK48" s="435">
        <f>'ADJ DETAIL-INPUT'!AL49</f>
        <v>-2508</v>
      </c>
      <c r="AL48" s="435">
        <f>'ADJ DETAIL-INPUT'!AM49</f>
        <v>-1030.0362600000001</v>
      </c>
      <c r="AM48" s="435">
        <f>'ADJ DETAIL-INPUT'!AN49</f>
        <v>-1708</v>
      </c>
      <c r="AN48" s="435">
        <f>'ADJ DETAIL-INPUT'!AO49</f>
        <v>-1332</v>
      </c>
      <c r="AO48" s="435">
        <f>'ADJ DETAIL-INPUT'!AP49</f>
        <v>0</v>
      </c>
      <c r="AP48" s="435">
        <f>'ADJ DETAIL-INPUT'!AQ49</f>
        <v>0</v>
      </c>
      <c r="AQ48" s="435">
        <f>'ADJ DETAIL-INPUT'!AR49</f>
        <v>0</v>
      </c>
      <c r="AR48" s="435">
        <f>'ADJ DETAIL-INPUT'!AS49</f>
        <v>0</v>
      </c>
      <c r="AS48" s="435">
        <f>'ADJ DETAIL-INPUT'!AT49</f>
        <v>0</v>
      </c>
      <c r="AT48" s="435">
        <f>'ADJ DETAIL-INPUT'!AU49</f>
        <v>-15566.977939494449</v>
      </c>
      <c r="AU48" s="435">
        <f>'ADJ DETAIL-INPUT'!AV49</f>
        <v>-1799</v>
      </c>
      <c r="AV48" s="435">
        <f>'ADJ DETAIL-INPUT'!AW49</f>
        <v>-3400</v>
      </c>
      <c r="AW48" s="435">
        <f>'ADJ DETAIL-INPUT'!AX49</f>
        <v>1770.5805499999988</v>
      </c>
      <c r="AX48" s="435">
        <f>'ADJ DETAIL-INPUT'!AY49</f>
        <v>16</v>
      </c>
      <c r="AY48" s="435">
        <f>'ADJ DETAIL-INPUT'!AZ49</f>
        <v>0</v>
      </c>
      <c r="AZ48" s="435">
        <f>'ADJ DETAIL-INPUT'!BG49</f>
        <v>114336.18035050556</v>
      </c>
      <c r="BA48" s="435" t="e">
        <f>'ADJ DETAIL-INPUT'!#REF!</f>
        <v>#REF!</v>
      </c>
      <c r="BB48" s="435" t="e">
        <f>'ADJ DETAIL-INPUT'!#REF!</f>
        <v>#REF!</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-2686</v>
      </c>
      <c r="AW50" s="435">
        <f>'ADJ DETAIL-INPUT'!AX51</f>
        <v>0</v>
      </c>
      <c r="AX50" s="435">
        <f>'ADJ DETAIL-INPUT'!AY51</f>
        <v>0</v>
      </c>
      <c r="AY50" s="435">
        <f>'ADJ DETAIL-INPUT'!AZ51</f>
        <v>0</v>
      </c>
      <c r="AZ50" s="435">
        <f>'ADJ DETAIL-INPUT'!BG51</f>
        <v>0</v>
      </c>
      <c r="BA50" s="435" t="e">
        <f>'ADJ DETAIL-INPUT'!#REF!</f>
        <v>#REF!</v>
      </c>
      <c r="BB50" s="435" t="e">
        <f>'ADJ DETAIL-INPUT'!#REF!</f>
        <v>#REF!</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78.11999999999999</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1042</v>
      </c>
      <c r="X51" s="435">
        <f>'ADJ DETAIL-INPUT'!X52</f>
        <v>348</v>
      </c>
      <c r="Y51" s="435">
        <f>'ADJ DETAIL-INPUT'!Y52</f>
        <v>1.05</v>
      </c>
      <c r="Z51" s="435">
        <f>'ADJ DETAIL-INPUT'!Z52</f>
        <v>194.45999999999998</v>
      </c>
      <c r="AA51" s="435">
        <f>'ADJ DETAIL-INPUT'!AA52</f>
        <v>-1231.6499999999999</v>
      </c>
      <c r="AB51" s="435">
        <f>'ADJ DETAIL-INPUT'!AB52</f>
        <v>-389.76</v>
      </c>
      <c r="AC51" s="435">
        <f>'ADJ DETAIL-INPUT'!AD52</f>
        <v>3062.43</v>
      </c>
      <c r="AD51" s="435">
        <f>'ADJ DETAIL-INPUT'!AE52</f>
        <v>343.90230000000003</v>
      </c>
      <c r="AE51" s="435">
        <f>'ADJ DETAIL-INPUT'!AF52</f>
        <v>3120.81</v>
      </c>
      <c r="AF51" s="435">
        <f>'ADJ DETAIL-INPUT'!AG52</f>
        <v>507.57</v>
      </c>
      <c r="AG51" s="435">
        <f>'ADJ DETAIL-INPUT'!AH52</f>
        <v>0</v>
      </c>
      <c r="AH51" s="435">
        <f>'ADJ DETAIL-INPUT'!AI52</f>
        <v>-686.06999999999994</v>
      </c>
      <c r="AI51" s="435">
        <f>'ADJ DETAIL-INPUT'!AJ52</f>
        <v>66.78</v>
      </c>
      <c r="AJ51" s="435">
        <f>'ADJ DETAIL-INPUT'!AK52</f>
        <v>-235.2</v>
      </c>
      <c r="AK51" s="435">
        <f>'ADJ DETAIL-INPUT'!AL52</f>
        <v>-526.67999999999995</v>
      </c>
      <c r="AL51" s="435">
        <f>'ADJ DETAIL-INPUT'!AM52</f>
        <v>-216.30761460000002</v>
      </c>
      <c r="AM51" s="435">
        <f>'ADJ DETAIL-INPUT'!AN52</f>
        <v>-358.68</v>
      </c>
      <c r="AN51" s="435">
        <f>'ADJ DETAIL-INPUT'!AO52</f>
        <v>-279.71999999999997</v>
      </c>
      <c r="AO51" s="435">
        <f>'ADJ DETAIL-INPUT'!AP52</f>
        <v>0</v>
      </c>
      <c r="AP51" s="435">
        <f>'ADJ DETAIL-INPUT'!AQ52</f>
        <v>0</v>
      </c>
      <c r="AQ51" s="435">
        <f>'ADJ DETAIL-INPUT'!AR52</f>
        <v>0</v>
      </c>
      <c r="AR51" s="435">
        <f>'ADJ DETAIL-INPUT'!AS52</f>
        <v>0</v>
      </c>
      <c r="AS51" s="435">
        <f>'ADJ DETAIL-INPUT'!AT52</f>
        <v>0</v>
      </c>
      <c r="AT51" s="435">
        <f>'ADJ DETAIL-INPUT'!AU52</f>
        <v>-3269.0653672938342</v>
      </c>
      <c r="AU51" s="435">
        <f>'ADJ DETAIL-INPUT'!AV52</f>
        <v>-377.78999999999996</v>
      </c>
      <c r="AV51" s="435">
        <f>'ADJ DETAIL-INPUT'!AW52</f>
        <v>-714</v>
      </c>
      <c r="AW51" s="435">
        <f>'ADJ DETAIL-INPUT'!AX52</f>
        <v>371.8219154999997</v>
      </c>
      <c r="AX51" s="435">
        <f>'ADJ DETAIL-INPUT'!AY52</f>
        <v>3.36</v>
      </c>
      <c r="AY51" s="435">
        <f>'ADJ DETAIL-INPUT'!AZ52</f>
        <v>0</v>
      </c>
      <c r="AZ51" s="435">
        <f>'ADJ DETAIL-INPUT'!BG52</f>
        <v>3304.6278736061631</v>
      </c>
      <c r="BA51" s="435" t="e">
        <f>'ADJ DETAIL-INPUT'!#REF!</f>
        <v>#REF!</v>
      </c>
      <c r="BB51" s="435" t="e">
        <f>'ADJ DETAIL-INPUT'!#REF!</f>
        <v>#REF!</v>
      </c>
    </row>
    <row r="52" spans="1:54" s="427" customFormat="1">
      <c r="A52" s="422">
        <f>'ADJ DETAIL-INPUT'!A53</f>
        <v>28</v>
      </c>
      <c r="B52" s="427" t="str">
        <f>'ADJ DETAIL-INPUT'!B53</f>
        <v>Debt Interest</v>
      </c>
      <c r="E52" s="431">
        <f>'ADJ DETAIL-INPUT'!E53</f>
        <v>0</v>
      </c>
      <c r="F52" s="436">
        <f>'ADJ DETAIL-INPUT'!F53</f>
        <v>-0.24181499999999997</v>
      </c>
      <c r="G52" s="436">
        <f>'ADJ DETAIL-INPUT'!G53</f>
        <v>-5.1450000000000003E-3</v>
      </c>
      <c r="H52" s="436">
        <f>'ADJ DETAIL-INPUT'!H53</f>
        <v>19.304040000000001</v>
      </c>
      <c r="I52" s="436">
        <f>'ADJ DETAIL-INPUT'!I53</f>
        <v>248.44175999999999</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-108.29725412991273</v>
      </c>
      <c r="AC52" s="436">
        <f>'ADJ DETAIL-INPUT'!AD53</f>
        <v>0</v>
      </c>
      <c r="AD52" s="436">
        <f>'ADJ DETAIL-INPUT'!AE53</f>
        <v>0</v>
      </c>
      <c r="AE52" s="436">
        <f>'ADJ DETAIL-INPUT'!AF53</f>
        <v>0</v>
      </c>
      <c r="AF52" s="436">
        <f>'ADJ DETAIL-INPUT'!AG53</f>
        <v>3.9410699999999999</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0</v>
      </c>
      <c r="AP52" s="436">
        <f>'ADJ DETAIL-INPUT'!AQ53</f>
        <v>0</v>
      </c>
      <c r="AQ52" s="436">
        <f>'ADJ DETAIL-INPUT'!AR53</f>
        <v>0</v>
      </c>
      <c r="AR52" s="436">
        <f>'ADJ DETAIL-INPUT'!AS53</f>
        <v>0</v>
      </c>
      <c r="AS52" s="436">
        <f>'ADJ DETAIL-INPUT'!AT53</f>
        <v>0</v>
      </c>
      <c r="AT52" s="436">
        <f>'ADJ DETAIL-INPUT'!AU53</f>
        <v>111.82492485915625</v>
      </c>
      <c r="AU52" s="436">
        <f>'ADJ DETAIL-INPUT'!AV53</f>
        <v>0</v>
      </c>
      <c r="AV52" s="436">
        <f>'ADJ DETAIL-INPUT'!AW53</f>
        <v>-64.708664999999996</v>
      </c>
      <c r="AW52" s="436">
        <f>'ADJ DETAIL-INPUT'!AX53</f>
        <v>21.949149908458153</v>
      </c>
      <c r="AX52" s="436">
        <f>'ADJ DETAIL-INPUT'!AY53</f>
        <v>0</v>
      </c>
      <c r="AY52" s="436">
        <f>'ADJ DETAIL-INPUT'!AZ53</f>
        <v>157.13858999999999</v>
      </c>
      <c r="AZ52" s="436">
        <f>'ADJ DETAIL-INPUT'!BG53</f>
        <v>323.84219098400467</v>
      </c>
      <c r="BA52" s="436" t="e">
        <f>'ADJ DETAIL-INPUT'!#REF!</f>
        <v>#REF!</v>
      </c>
      <c r="BB52" s="436" t="e">
        <f>'ADJ DETAIL-INPUT'!#REF!</f>
        <v>#REF!</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-500</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-596</v>
      </c>
      <c r="AX53" s="435">
        <f>'ADJ DETAIL-INPUT'!AY54</f>
        <v>0</v>
      </c>
      <c r="AY53" s="435">
        <f>'ADJ DETAIL-INPUT'!AZ54</f>
        <v>0</v>
      </c>
      <c r="AZ53" s="435">
        <f>'ADJ DETAIL-INPUT'!BG54</f>
        <v>6667</v>
      </c>
      <c r="BA53" s="435" t="e">
        <f>'ADJ DETAIL-INPUT'!#REF!</f>
        <v>#REF!</v>
      </c>
      <c r="BB53" s="435" t="e">
        <f>'ADJ DETAIL-INPUT'!#REF!</f>
        <v>#REF!</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DETAIL-INPUT'!BG55</f>
        <v>-318</v>
      </c>
      <c r="BA54" s="444" t="e">
        <f>'ADJ DETAIL-INPUT'!#REF!</f>
        <v>#REF!</v>
      </c>
      <c r="BB54" s="444" t="e">
        <f>'ADJ DETAIL-INPUT'!#REF!</f>
        <v>#REF!</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0.24181499999999997</v>
      </c>
      <c r="G56" s="456">
        <f>'ADJ DETAIL-INPUT'!G57</f>
        <v>-45.024855000000002</v>
      </c>
      <c r="H56" s="456">
        <f>'ADJ DETAIL-INPUT'!H57</f>
        <v>-19.304040000000001</v>
      </c>
      <c r="I56" s="456">
        <f>'ADJ DETAIL-INPUT'!I57</f>
        <v>-248.44175999999999</v>
      </c>
      <c r="J56" s="456">
        <f>'ADJ DETAIL-INPUT'!J57</f>
        <v>-63.2</v>
      </c>
      <c r="K56" s="456">
        <f>'ADJ DETAIL-INPUT'!K57</f>
        <v>-790.79</v>
      </c>
      <c r="L56" s="456">
        <f>'ADJ DETAIL-INPUT'!L57</f>
        <v>-1135.23</v>
      </c>
      <c r="M56" s="456">
        <f>'ADJ DETAIL-INPUT'!M57</f>
        <v>293.88</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-1042</v>
      </c>
      <c r="X56" s="456">
        <f>'ADJ DETAIL-INPUT'!X57</f>
        <v>1074</v>
      </c>
      <c r="Y56" s="456">
        <f>'ADJ DETAIL-INPUT'!Y57</f>
        <v>3.95</v>
      </c>
      <c r="Z56" s="456">
        <f>'ADJ DETAIL-INPUT'!Z57</f>
        <v>731.54</v>
      </c>
      <c r="AA56" s="456">
        <f>'ADJ DETAIL-INPUT'!AA57</f>
        <v>-4633.3500000000004</v>
      </c>
      <c r="AB56" s="456">
        <f>'ADJ DETAIL-INPUT'!AB57</f>
        <v>-1357.9427458700873</v>
      </c>
      <c r="AC56" s="456">
        <f>'ADJ DETAIL-INPUT'!AD57</f>
        <v>11520.57</v>
      </c>
      <c r="AD56" s="456">
        <f>'ADJ DETAIL-INPUT'!AE57</f>
        <v>1293.7277000000001</v>
      </c>
      <c r="AE56" s="456">
        <f>'ADJ DETAIL-INPUT'!AF57</f>
        <v>11740.19</v>
      </c>
      <c r="AF56" s="456">
        <f>'ADJ DETAIL-INPUT'!AG57</f>
        <v>1905.48893</v>
      </c>
      <c r="AG56" s="456">
        <f>'ADJ DETAIL-INPUT'!AH57</f>
        <v>500</v>
      </c>
      <c r="AH56" s="456">
        <f>'ADJ DETAIL-INPUT'!AI57</f>
        <v>-2580.9300000000003</v>
      </c>
      <c r="AI56" s="456">
        <f>'ADJ DETAIL-INPUT'!AJ57</f>
        <v>251.22</v>
      </c>
      <c r="AJ56" s="456">
        <f>'ADJ DETAIL-INPUT'!AK57</f>
        <v>-884.8</v>
      </c>
      <c r="AK56" s="456">
        <f>'ADJ DETAIL-INPUT'!AL57</f>
        <v>-1981.3200000000002</v>
      </c>
      <c r="AL56" s="456">
        <f>'ADJ DETAIL-INPUT'!AM57</f>
        <v>-813.7286454</v>
      </c>
      <c r="AM56" s="456">
        <f>'ADJ DETAIL-INPUT'!AN57</f>
        <v>-1349.32</v>
      </c>
      <c r="AN56" s="456">
        <f>'ADJ DETAIL-INPUT'!AO57</f>
        <v>-1052.28</v>
      </c>
      <c r="AO56" s="456">
        <f>'ADJ DETAIL-INPUT'!AP57</f>
        <v>0</v>
      </c>
      <c r="AP56" s="456">
        <f>'ADJ DETAIL-INPUT'!AQ57</f>
        <v>0</v>
      </c>
      <c r="AQ56" s="456">
        <f>'ADJ DETAIL-INPUT'!AR57</f>
        <v>0</v>
      </c>
      <c r="AR56" s="456">
        <f>'ADJ DETAIL-INPUT'!AS57</f>
        <v>0</v>
      </c>
      <c r="AS56" s="456">
        <f>'ADJ DETAIL-INPUT'!AT57</f>
        <v>0</v>
      </c>
      <c r="AT56" s="456">
        <f>'ADJ DETAIL-INPUT'!AU57</f>
        <v>-12409.73749705977</v>
      </c>
      <c r="AU56" s="456">
        <f>'ADJ DETAIL-INPUT'!AV57</f>
        <v>-1421.21</v>
      </c>
      <c r="AV56" s="456">
        <f>'ADJ DETAIL-INPUT'!AW57</f>
        <v>-2621.2913349999999</v>
      </c>
      <c r="AW56" s="456">
        <f>'ADJ DETAIL-INPUT'!AX57</f>
        <v>1972.8094845915409</v>
      </c>
      <c r="AX56" s="456">
        <f>'ADJ DETAIL-INPUT'!AY57</f>
        <v>12.64</v>
      </c>
      <c r="AY56" s="456">
        <f>'ADJ DETAIL-INPUT'!AZ57</f>
        <v>-157.13858999999999</v>
      </c>
      <c r="AZ56" s="456">
        <f>'ADJ DETAIL-INPUT'!BG57</f>
        <v>104358.7102859154</v>
      </c>
      <c r="BA56" s="456" t="e">
        <f>'ADJ DETAIL-INPUT'!#REF!</f>
        <v>#REF!</v>
      </c>
      <c r="BB56" s="456" t="e">
        <f>'ADJ DETAIL-INPUT'!#REF!</f>
        <v>#REF!</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0</v>
      </c>
      <c r="AP60" s="423">
        <f>'ADJ DETAIL-INPUT'!AQ61</f>
        <v>0</v>
      </c>
      <c r="AQ60" s="423">
        <f>'ADJ DETAIL-INPUT'!AR61</f>
        <v>0</v>
      </c>
      <c r="AR60" s="423">
        <f>'ADJ DETAIL-INPUT'!AS61</f>
        <v>0</v>
      </c>
      <c r="AS60" s="423">
        <f>'ADJ DETAIL-INPUT'!AT61</f>
        <v>0</v>
      </c>
      <c r="AT60" s="423">
        <f>'ADJ DETAIL-INPUT'!AU61</f>
        <v>0</v>
      </c>
      <c r="AU60" s="423">
        <f>'ADJ DETAIL-INPUT'!AV61</f>
        <v>0</v>
      </c>
      <c r="AV60" s="423">
        <f>'ADJ DETAIL-INPUT'!AW61</f>
        <v>0</v>
      </c>
      <c r="AW60" s="423">
        <f>'ADJ DETAIL-INPUT'!AX61</f>
        <v>0</v>
      </c>
      <c r="AX60" s="423">
        <f>'ADJ DETAIL-INPUT'!AY61</f>
        <v>0</v>
      </c>
      <c r="AY60" s="423">
        <f>'ADJ DETAIL-INPUT'!AZ61</f>
        <v>0</v>
      </c>
      <c r="AZ60" s="423">
        <f>'ADJ DETAIL-INPUT'!BG61</f>
        <v>180883.39290079873</v>
      </c>
      <c r="BA60" s="423" t="e">
        <f>'ADJ DETAIL-INPUT'!#REF!</f>
        <v>#REF!</v>
      </c>
      <c r="BB60" s="423" t="e">
        <f>'ADJ DETAIL-INPUT'!#REF!</f>
        <v>#REF!</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0</v>
      </c>
      <c r="AQ61" s="435">
        <f>'ADJ DETAIL-INPUT'!AR62</f>
        <v>0</v>
      </c>
      <c r="AR61" s="435">
        <f>'ADJ DETAIL-INPUT'!AS62</f>
        <v>0</v>
      </c>
      <c r="AS61" s="435">
        <f>'ADJ DETAIL-INPUT'!AT62</f>
        <v>0</v>
      </c>
      <c r="AT61" s="435">
        <f>'ADJ DETAIL-INPUT'!AU62</f>
        <v>0</v>
      </c>
      <c r="AU61" s="435">
        <f>'ADJ DETAIL-INPUT'!AV62</f>
        <v>0</v>
      </c>
      <c r="AV61" s="435">
        <f>'ADJ DETAIL-INPUT'!AW62</f>
        <v>13908</v>
      </c>
      <c r="AW61" s="435">
        <f>'ADJ DETAIL-INPUT'!AX62</f>
        <v>0</v>
      </c>
      <c r="AX61" s="435">
        <f>'ADJ DETAIL-INPUT'!AY62</f>
        <v>0</v>
      </c>
      <c r="AY61" s="435">
        <f>'ADJ DETAIL-INPUT'!AZ62</f>
        <v>0</v>
      </c>
      <c r="AZ61" s="435">
        <f>'ADJ DETAIL-INPUT'!BG62</f>
        <v>951295.43499999994</v>
      </c>
      <c r="BA61" s="435" t="e">
        <f>'ADJ DETAIL-INPUT'!#REF!</f>
        <v>#REF!</v>
      </c>
      <c r="BB61" s="435" t="e">
        <f>'ADJ DETAIL-INPUT'!#REF!</f>
        <v>#REF!</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0</v>
      </c>
      <c r="AQ62" s="435">
        <f>'ADJ DETAIL-INPUT'!AR63</f>
        <v>0</v>
      </c>
      <c r="AR62" s="435">
        <f>'ADJ DETAIL-INPUT'!AS63</f>
        <v>0</v>
      </c>
      <c r="AS62" s="435">
        <f>'ADJ DETAIL-INPUT'!AT63</f>
        <v>0</v>
      </c>
      <c r="AT62" s="435">
        <f>'ADJ DETAIL-INPUT'!AU63</f>
        <v>0</v>
      </c>
      <c r="AU62" s="435">
        <f>'ADJ DETAIL-INPUT'!AV63</f>
        <v>0</v>
      </c>
      <c r="AV62" s="435">
        <f>'ADJ DETAIL-INPUT'!AW63</f>
        <v>0</v>
      </c>
      <c r="AW62" s="435">
        <f>'ADJ DETAIL-INPUT'!AX63</f>
        <v>0</v>
      </c>
      <c r="AX62" s="435">
        <f>'ADJ DETAIL-INPUT'!AY63</f>
        <v>0</v>
      </c>
      <c r="AY62" s="435">
        <f>'ADJ DETAIL-INPUT'!AZ63</f>
        <v>0</v>
      </c>
      <c r="AZ62" s="435">
        <f>'ADJ DETAIL-INPUT'!BG63</f>
        <v>540753.63500000001</v>
      </c>
      <c r="BA62" s="435" t="e">
        <f>'ADJ DETAIL-INPUT'!#REF!</f>
        <v>#REF!</v>
      </c>
      <c r="BB62" s="435" t="e">
        <f>'ADJ DETAIL-INPUT'!#REF!</f>
        <v>#REF!</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0</v>
      </c>
      <c r="AQ63" s="435">
        <f>'ADJ DETAIL-INPUT'!AR64</f>
        <v>0</v>
      </c>
      <c r="AR63" s="435">
        <f>'ADJ DETAIL-INPUT'!AS64</f>
        <v>0</v>
      </c>
      <c r="AS63" s="435">
        <f>'ADJ DETAIL-INPUT'!AT64</f>
        <v>0</v>
      </c>
      <c r="AT63" s="435">
        <f>'ADJ DETAIL-INPUT'!AU64</f>
        <v>-24366.4979475</v>
      </c>
      <c r="AU63" s="435">
        <f>'ADJ DETAIL-INPUT'!AV64</f>
        <v>0</v>
      </c>
      <c r="AV63" s="435">
        <f>'ADJ DETAIL-INPUT'!AW64</f>
        <v>0</v>
      </c>
      <c r="AW63" s="435">
        <f>'ADJ DETAIL-INPUT'!AX64</f>
        <v>0</v>
      </c>
      <c r="AX63" s="435">
        <f>'ADJ DETAIL-INPUT'!AY64</f>
        <v>0</v>
      </c>
      <c r="AY63" s="435">
        <f>'ADJ DETAIL-INPUT'!AZ64</f>
        <v>0</v>
      </c>
      <c r="AZ63" s="435">
        <f>'ADJ DETAIL-INPUT'!BG64</f>
        <v>1189918.5304656019</v>
      </c>
      <c r="BA63" s="435" t="e">
        <f>'ADJ DETAIL-INPUT'!#REF!</f>
        <v>#REF!</v>
      </c>
      <c r="BB63" s="435" t="e">
        <f>'ADJ DETAIL-INPUT'!#REF!</f>
        <v>#REF!</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0</v>
      </c>
      <c r="AP64" s="444">
        <f>'ADJ DETAIL-INPUT'!AQ65</f>
        <v>0</v>
      </c>
      <c r="AQ64" s="444">
        <f>'ADJ DETAIL-INPUT'!AR65</f>
        <v>0</v>
      </c>
      <c r="AR64" s="444">
        <f>'ADJ DETAIL-INPUT'!AS65</f>
        <v>0</v>
      </c>
      <c r="AS64" s="444">
        <f>'ADJ DETAIL-INPUT'!AT65</f>
        <v>0</v>
      </c>
      <c r="AT64" s="444">
        <f>'ADJ DETAIL-INPUT'!AU65</f>
        <v>0</v>
      </c>
      <c r="AU64" s="444">
        <f>'ADJ DETAIL-INPUT'!AV65</f>
        <v>0</v>
      </c>
      <c r="AV64" s="444">
        <f>'ADJ DETAIL-INPUT'!AW65</f>
        <v>0</v>
      </c>
      <c r="AW64" s="444">
        <f>'ADJ DETAIL-INPUT'!AX65</f>
        <v>0</v>
      </c>
      <c r="AX64" s="444">
        <f>'ADJ DETAIL-INPUT'!AY65</f>
        <v>0</v>
      </c>
      <c r="AY64" s="444">
        <f>'ADJ DETAIL-INPUT'!AZ65</f>
        <v>0</v>
      </c>
      <c r="AZ64" s="444">
        <f>'ADJ DETAIL-INPUT'!BG65</f>
        <v>276203.34301991086</v>
      </c>
      <c r="BA64" s="444" t="e">
        <f>'ADJ DETAIL-INPUT'!#REF!</f>
        <v>#REF!</v>
      </c>
      <c r="BB64" s="444" t="e">
        <f>'ADJ DETAIL-INPUT'!#REF!</f>
        <v>#REF!</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37148.28816714498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0</v>
      </c>
      <c r="AP65" s="435">
        <f>'ADJ DETAIL-INPUT'!AQ66</f>
        <v>0</v>
      </c>
      <c r="AQ65" s="435">
        <f>'ADJ DETAIL-INPUT'!AR66</f>
        <v>0</v>
      </c>
      <c r="AR65" s="435">
        <f>'ADJ DETAIL-INPUT'!AS66</f>
        <v>0</v>
      </c>
      <c r="AS65" s="435">
        <f>'ADJ DETAIL-INPUT'!AT66</f>
        <v>0</v>
      </c>
      <c r="AT65" s="435">
        <f>'ADJ DETAIL-INPUT'!AU66</f>
        <v>-24366.4979475</v>
      </c>
      <c r="AU65" s="435">
        <f>'ADJ DETAIL-INPUT'!AV66</f>
        <v>0</v>
      </c>
      <c r="AV65" s="435">
        <f>'ADJ DETAIL-INPUT'!AW66</f>
        <v>13908</v>
      </c>
      <c r="AW65" s="435">
        <f>'ADJ DETAIL-INPUT'!AX66</f>
        <v>0</v>
      </c>
      <c r="AX65" s="435">
        <f>'ADJ DETAIL-INPUT'!AY66</f>
        <v>0</v>
      </c>
      <c r="AY65" s="435">
        <f>'ADJ DETAIL-INPUT'!AZ66</f>
        <v>0</v>
      </c>
      <c r="AZ65" s="435">
        <f>'ADJ DETAIL-INPUT'!BG66</f>
        <v>3139054.3363863118</v>
      </c>
      <c r="BA65" s="435" t="e">
        <f>'ADJ DETAIL-INPUT'!#REF!</f>
        <v>#REF!</v>
      </c>
      <c r="BB65" s="435" t="e">
        <f>'ADJ DETAIL-INPUT'!#REF!</f>
        <v>#REF!</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0</v>
      </c>
      <c r="AP67" s="435">
        <f>'ADJ DETAIL-INPUT'!AQ68</f>
        <v>0</v>
      </c>
      <c r="AQ67" s="435">
        <f>'ADJ DETAIL-INPUT'!AR68</f>
        <v>0</v>
      </c>
      <c r="AR67" s="435">
        <f>'ADJ DETAIL-INPUT'!AS68</f>
        <v>0</v>
      </c>
      <c r="AS67" s="435">
        <f>'ADJ DETAIL-INPUT'!AT68</f>
        <v>0</v>
      </c>
      <c r="AT67" s="435">
        <f>'ADJ DETAIL-INPUT'!AU68</f>
        <v>0</v>
      </c>
      <c r="AU67" s="435">
        <f>'ADJ DETAIL-INPUT'!AV68</f>
        <v>0</v>
      </c>
      <c r="AV67" s="435">
        <f>'ADJ DETAIL-INPUT'!AW68</f>
        <v>0</v>
      </c>
      <c r="AW67" s="435">
        <f>'ADJ DETAIL-INPUT'!AX68</f>
        <v>0</v>
      </c>
      <c r="AX67" s="435">
        <f>'ADJ DETAIL-INPUT'!AY68</f>
        <v>0</v>
      </c>
      <c r="AY67" s="435">
        <f>'ADJ DETAIL-INPUT'!AZ68</f>
        <v>0</v>
      </c>
      <c r="AZ67" s="435">
        <f>'ADJ DETAIL-INPUT'!BG68</f>
        <v>-63268.277258932103</v>
      </c>
      <c r="BA67" s="435" t="e">
        <f>'ADJ DETAIL-INPUT'!#REF!</f>
        <v>#REF!</v>
      </c>
      <c r="BB67" s="435" t="e">
        <f>'ADJ DETAIL-INPUT'!#REF!</f>
        <v>#REF!</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0</v>
      </c>
      <c r="AQ68" s="435">
        <f>'ADJ DETAIL-INPUT'!AR69</f>
        <v>0</v>
      </c>
      <c r="AR68" s="435">
        <f>'ADJ DETAIL-INPUT'!AS69</f>
        <v>0</v>
      </c>
      <c r="AS68" s="435">
        <f>'ADJ DETAIL-INPUT'!AT69</f>
        <v>0</v>
      </c>
      <c r="AT68" s="435">
        <f>'ADJ DETAIL-INPUT'!AU69</f>
        <v>0</v>
      </c>
      <c r="AU68" s="435">
        <f>'ADJ DETAIL-INPUT'!AV69</f>
        <v>0</v>
      </c>
      <c r="AV68" s="435">
        <f>'ADJ DETAIL-INPUT'!AW69</f>
        <v>-1150</v>
      </c>
      <c r="AW68" s="435">
        <f>'ADJ DETAIL-INPUT'!AX69</f>
        <v>0</v>
      </c>
      <c r="AX68" s="435">
        <f>'ADJ DETAIL-INPUT'!AY69</f>
        <v>0</v>
      </c>
      <c r="AY68" s="435">
        <f>'ADJ DETAIL-INPUT'!AZ69</f>
        <v>0</v>
      </c>
      <c r="AZ68" s="435">
        <f>'ADJ DETAIL-INPUT'!BG69</f>
        <v>-403913.72200000001</v>
      </c>
      <c r="BA68" s="435" t="e">
        <f>'ADJ DETAIL-INPUT'!#REF!</f>
        <v>#REF!</v>
      </c>
      <c r="BB68" s="435" t="e">
        <f>'ADJ DETAIL-INPUT'!#REF!</f>
        <v>#REF!</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0</v>
      </c>
      <c r="AQ69" s="435">
        <f>'ADJ DETAIL-INPUT'!AR70</f>
        <v>0</v>
      </c>
      <c r="AR69" s="435">
        <f>'ADJ DETAIL-INPUT'!AS70</f>
        <v>0</v>
      </c>
      <c r="AS69" s="435">
        <f>'ADJ DETAIL-INPUT'!AT70</f>
        <v>0</v>
      </c>
      <c r="AT69" s="435">
        <f>'ADJ DETAIL-INPUT'!AU70</f>
        <v>0</v>
      </c>
      <c r="AU69" s="435">
        <f>'ADJ DETAIL-INPUT'!AV70</f>
        <v>0</v>
      </c>
      <c r="AV69" s="435">
        <f>'ADJ DETAIL-INPUT'!AW70</f>
        <v>0</v>
      </c>
      <c r="AW69" s="435">
        <f>'ADJ DETAIL-INPUT'!AX70</f>
        <v>0</v>
      </c>
      <c r="AX69" s="435">
        <f>'ADJ DETAIL-INPUT'!AY70</f>
        <v>0</v>
      </c>
      <c r="AY69" s="435">
        <f>'ADJ DETAIL-INPUT'!AZ70</f>
        <v>0</v>
      </c>
      <c r="AZ69" s="435">
        <f>'ADJ DETAIL-INPUT'!BG70</f>
        <v>-153938.147</v>
      </c>
      <c r="BA69" s="435" t="e">
        <f>'ADJ DETAIL-INPUT'!#REF!</f>
        <v>#REF!</v>
      </c>
      <c r="BB69" s="435" t="e">
        <f>'ADJ DETAIL-INPUT'!#REF!</f>
        <v>#REF!</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0</v>
      </c>
      <c r="AQ70" s="435">
        <f>'ADJ DETAIL-INPUT'!AR71</f>
        <v>0</v>
      </c>
      <c r="AR70" s="435">
        <f>'ADJ DETAIL-INPUT'!AS71</f>
        <v>0</v>
      </c>
      <c r="AS70" s="435">
        <f>'ADJ DETAIL-INPUT'!AT71</f>
        <v>0</v>
      </c>
      <c r="AT70" s="435">
        <f>'ADJ DETAIL-INPUT'!AU71</f>
        <v>2631.8186745833332</v>
      </c>
      <c r="AU70" s="435">
        <f>'ADJ DETAIL-INPUT'!AV71</f>
        <v>0</v>
      </c>
      <c r="AV70" s="435">
        <f>'ADJ DETAIL-INPUT'!AW71</f>
        <v>0</v>
      </c>
      <c r="AW70" s="435">
        <f>'ADJ DETAIL-INPUT'!AX71</f>
        <v>0</v>
      </c>
      <c r="AX70" s="435">
        <f>'ADJ DETAIL-INPUT'!AY71</f>
        <v>0</v>
      </c>
      <c r="AY70" s="435">
        <f>'ADJ DETAIL-INPUT'!AZ71</f>
        <v>0</v>
      </c>
      <c r="AZ70" s="435">
        <f>'ADJ DETAIL-INPUT'!BG71</f>
        <v>-361902.36061440542</v>
      </c>
      <c r="BA70" s="435" t="e">
        <f>'ADJ DETAIL-INPUT'!#REF!</f>
        <v>#REF!</v>
      </c>
      <c r="BB70" s="435" t="e">
        <f>'ADJ DETAIL-INPUT'!#REF!</f>
        <v>#REF!</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0</v>
      </c>
      <c r="AP71" s="435">
        <f>'ADJ DETAIL-INPUT'!AQ72</f>
        <v>0</v>
      </c>
      <c r="AQ71" s="435">
        <f>'ADJ DETAIL-INPUT'!AR72</f>
        <v>0</v>
      </c>
      <c r="AR71" s="435">
        <f>'ADJ DETAIL-INPUT'!AS72</f>
        <v>0</v>
      </c>
      <c r="AS71" s="435">
        <f>'ADJ DETAIL-INPUT'!AT72</f>
        <v>0</v>
      </c>
      <c r="AT71" s="435">
        <f>'ADJ DETAIL-INPUT'!AU72</f>
        <v>0</v>
      </c>
      <c r="AU71" s="435">
        <f>'ADJ DETAIL-INPUT'!AV72</f>
        <v>0</v>
      </c>
      <c r="AV71" s="435">
        <f>'ADJ DETAIL-INPUT'!AW72</f>
        <v>0</v>
      </c>
      <c r="AW71" s="435">
        <f>'ADJ DETAIL-INPUT'!AX72</f>
        <v>0</v>
      </c>
      <c r="AX71" s="435">
        <f>'ADJ DETAIL-INPUT'!AY72</f>
        <v>0</v>
      </c>
      <c r="AY71" s="435">
        <f>'ADJ DETAIL-INPUT'!AZ72</f>
        <v>0</v>
      </c>
      <c r="AZ71" s="435">
        <f>'ADJ DETAIL-INPUT'!BG72</f>
        <v>-92917.637133818382</v>
      </c>
      <c r="BA71" s="435" t="e">
        <f>'ADJ DETAIL-INPUT'!#REF!</f>
        <v>#REF!</v>
      </c>
      <c r="BB71" s="435" t="e">
        <f>'ADJ DETAIL-INPUT'!#REF!</f>
        <v>#REF!</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-15582.259181739204</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0</v>
      </c>
      <c r="AP72" s="453">
        <f>'ADJ DETAIL-INPUT'!AQ73</f>
        <v>0</v>
      </c>
      <c r="AQ72" s="453">
        <f>'ADJ DETAIL-INPUT'!AR73</f>
        <v>0</v>
      </c>
      <c r="AR72" s="453">
        <f>'ADJ DETAIL-INPUT'!AS73</f>
        <v>0</v>
      </c>
      <c r="AS72" s="453">
        <f>'ADJ DETAIL-INPUT'!AT73</f>
        <v>0</v>
      </c>
      <c r="AT72" s="453">
        <f>'ADJ DETAIL-INPUT'!AU73</f>
        <v>2631.8186745833332</v>
      </c>
      <c r="AU72" s="453">
        <f>'ADJ DETAIL-INPUT'!AV73</f>
        <v>0</v>
      </c>
      <c r="AV72" s="453">
        <f>'ADJ DETAIL-INPUT'!AW73</f>
        <v>-1150</v>
      </c>
      <c r="AW72" s="453">
        <f>'ADJ DETAIL-INPUT'!AX73</f>
        <v>0</v>
      </c>
      <c r="AX72" s="453">
        <f>'ADJ DETAIL-INPUT'!AY73</f>
        <v>0</v>
      </c>
      <c r="AY72" s="453">
        <f>'ADJ DETAIL-INPUT'!AZ73</f>
        <v>0</v>
      </c>
      <c r="AZ72" s="453">
        <f>'ADJ DETAIL-INPUT'!BG73</f>
        <v>-1075940.1440071559</v>
      </c>
      <c r="BA72" s="453" t="e">
        <f>'ADJ DETAIL-INPUT'!#REF!</f>
        <v>#REF!</v>
      </c>
      <c r="BB72" s="453" t="e">
        <f>'ADJ DETAIL-INPUT'!#REF!</f>
        <v>#REF!</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21566.028985405777</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0</v>
      </c>
      <c r="AP73" s="453">
        <f>'ADJ DETAIL-INPUT'!AQ74</f>
        <v>0</v>
      </c>
      <c r="AQ73" s="453">
        <f>'ADJ DETAIL-INPUT'!AR74</f>
        <v>0</v>
      </c>
      <c r="AR73" s="453">
        <f>'ADJ DETAIL-INPUT'!AS74</f>
        <v>0</v>
      </c>
      <c r="AS73" s="453">
        <f>'ADJ DETAIL-INPUT'!AT74</f>
        <v>0</v>
      </c>
      <c r="AT73" s="453">
        <f>'ADJ DETAIL-INPUT'!AU74</f>
        <v>-21734.679272916666</v>
      </c>
      <c r="AU73" s="453">
        <f>'ADJ DETAIL-INPUT'!AV74</f>
        <v>0</v>
      </c>
      <c r="AV73" s="453">
        <f>'ADJ DETAIL-INPUT'!AW74</f>
        <v>12758</v>
      </c>
      <c r="AW73" s="453">
        <f>'ADJ DETAIL-INPUT'!AX74</f>
        <v>0</v>
      </c>
      <c r="AX73" s="453">
        <f>'ADJ DETAIL-INPUT'!AY74</f>
        <v>0</v>
      </c>
      <c r="AY73" s="453">
        <f>'ADJ DETAIL-INPUT'!AZ74</f>
        <v>0</v>
      </c>
      <c r="AZ73" s="453">
        <f>'ADJ DETAIL-INPUT'!BG74</f>
        <v>2063114.1923791559</v>
      </c>
      <c r="BA73" s="453" t="e">
        <f>'ADJ DETAIL-INPUT'!#REF!</f>
        <v>#REF!</v>
      </c>
      <c r="BB73" s="453" t="e">
        <f>'ADJ DETAIL-INPUT'!#REF!</f>
        <v>#REF!</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0</v>
      </c>
      <c r="AP75" s="444">
        <f>'ADJ DETAIL-INPUT'!AQ76</f>
        <v>0</v>
      </c>
      <c r="AQ75" s="444">
        <f>'ADJ DETAIL-INPUT'!AR76</f>
        <v>0</v>
      </c>
      <c r="AR75" s="444">
        <f>'ADJ DETAIL-INPUT'!AS76</f>
        <v>0</v>
      </c>
      <c r="AS75" s="444">
        <f>'ADJ DETAIL-INPUT'!AT76</f>
        <v>0</v>
      </c>
      <c r="AT75" s="444">
        <f>'ADJ DETAIL-INPUT'!AU76</f>
        <v>0</v>
      </c>
      <c r="AU75" s="444">
        <f>'ADJ DETAIL-INPUT'!AV76</f>
        <v>0</v>
      </c>
      <c r="AV75" s="444">
        <f>'ADJ DETAIL-INPUT'!AW76</f>
        <v>-181</v>
      </c>
      <c r="AW75" s="444">
        <f>'ADJ DETAIL-INPUT'!AX76</f>
        <v>0</v>
      </c>
      <c r="AX75" s="444">
        <f>'ADJ DETAIL-INPUT'!AY76</f>
        <v>0</v>
      </c>
      <c r="AY75" s="444">
        <f>'ADJ DETAIL-INPUT'!AZ76</f>
        <v>-30542</v>
      </c>
      <c r="AZ75" s="444">
        <f>'ADJ DETAIL-INPUT'!BG76</f>
        <v>-449323.16829277028</v>
      </c>
      <c r="BA75" s="444" t="e">
        <f>'ADJ DETAIL-INPUT'!#REF!</f>
        <v>#REF!</v>
      </c>
      <c r="BB75" s="444" t="e">
        <f>'ADJ DETAIL-INPUT'!#REF!</f>
        <v>#REF!</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21049.028985405777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0</v>
      </c>
      <c r="AP76" s="442">
        <f>'ADJ DETAIL-INPUT'!AQ77</f>
        <v>0</v>
      </c>
      <c r="AQ76" s="442">
        <f>'ADJ DETAIL-INPUT'!AR77</f>
        <v>0</v>
      </c>
      <c r="AR76" s="442">
        <f>'ADJ DETAIL-INPUT'!AS77</f>
        <v>0</v>
      </c>
      <c r="AS76" s="442">
        <f>'ADJ DETAIL-INPUT'!AT77</f>
        <v>0</v>
      </c>
      <c r="AT76" s="442">
        <f>'ADJ DETAIL-INPUT'!AU77</f>
        <v>-21734.679272916666</v>
      </c>
      <c r="AU76" s="442">
        <f>'ADJ DETAIL-INPUT'!AV77</f>
        <v>0</v>
      </c>
      <c r="AV76" s="442">
        <f>'ADJ DETAIL-INPUT'!AW77</f>
        <v>12577</v>
      </c>
      <c r="AW76" s="442">
        <f>'ADJ DETAIL-INPUT'!AX77</f>
        <v>0</v>
      </c>
      <c r="AX76" s="442">
        <f>'ADJ DETAIL-INPUT'!AY77</f>
        <v>0</v>
      </c>
      <c r="AY76" s="442">
        <f>'ADJ DETAIL-INPUT'!AZ77</f>
        <v>-30542</v>
      </c>
      <c r="AZ76" s="442">
        <f>'ADJ DETAIL-INPUT'!BG77</f>
        <v>1613791.0240863855</v>
      </c>
      <c r="BA76" s="442" t="e">
        <f>'ADJ DETAIL-INPUT'!#REF!</f>
        <v>#REF!</v>
      </c>
      <c r="BB76" s="442" t="e">
        <f>'ADJ DETAIL-INPUT'!#REF!</f>
        <v>#REF!</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0</v>
      </c>
      <c r="AU77" s="435">
        <f>'ADJ DETAIL-INPUT'!AV78</f>
        <v>0</v>
      </c>
      <c r="AV77" s="435">
        <f>'ADJ DETAIL-INPUT'!AW78</f>
        <v>0</v>
      </c>
      <c r="AW77" s="435">
        <f>'ADJ DETAIL-INPUT'!AX78</f>
        <v>-4266.1127130142186</v>
      </c>
      <c r="AX77" s="435">
        <f>'ADJ DETAIL-INPUT'!AY78</f>
        <v>0</v>
      </c>
      <c r="AY77" s="435">
        <f>'ADJ DETAIL-INPUT'!AZ78</f>
        <v>0</v>
      </c>
      <c r="AZ77" s="435">
        <f>'ADJ DETAIL-INPUT'!BG78</f>
        <v>-7309.1127130142186</v>
      </c>
      <c r="BA77" s="435" t="e">
        <f>'ADJ DETAIL-INPUT'!#REF!</f>
        <v>#REF!</v>
      </c>
      <c r="BB77" s="435" t="e">
        <f>'ADJ DETAIL-INPUT'!#REF!</f>
        <v>#REF!</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DETAIL-INPUT'!BG79</f>
        <v>40710</v>
      </c>
      <c r="BA78" s="444" t="e">
        <f>'ADJ DETAIL-INPUT'!#REF!</f>
        <v>#REF!</v>
      </c>
      <c r="BB78" s="444" t="e">
        <f>'ADJ DETAIL-INPUT'!#REF!</f>
        <v>#REF!</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DETAIL-INPUT'!BG80</f>
        <v>0</v>
      </c>
      <c r="BA79" s="435" t="e">
        <f>'ADJ DETAIL-INPUT'!#REF!</f>
        <v>#REF!</v>
      </c>
      <c r="BB79" s="435" t="e">
        <f>'ADJ DETAIL-INPUT'!#REF!</f>
        <v>#REF!</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21049.028985405777</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0</v>
      </c>
      <c r="AP80" s="455">
        <f>'ADJ DETAIL-INPUT'!AQ81</f>
        <v>0</v>
      </c>
      <c r="AQ80" s="455">
        <f>'ADJ DETAIL-INPUT'!AR81</f>
        <v>0</v>
      </c>
      <c r="AR80" s="455">
        <f>'ADJ DETAIL-INPUT'!AS81</f>
        <v>0</v>
      </c>
      <c r="AS80" s="455">
        <f>'ADJ DETAIL-INPUT'!AT81</f>
        <v>0</v>
      </c>
      <c r="AT80" s="455">
        <f>'ADJ DETAIL-INPUT'!AU81</f>
        <v>-21734.679272916666</v>
      </c>
      <c r="AU80" s="455">
        <f>'ADJ DETAIL-INPUT'!AV81</f>
        <v>0</v>
      </c>
      <c r="AV80" s="455">
        <f>'ADJ DETAIL-INPUT'!AW81</f>
        <v>12577</v>
      </c>
      <c r="AW80" s="455">
        <f>'ADJ DETAIL-INPUT'!AX81</f>
        <v>-4266.1127130142186</v>
      </c>
      <c r="AX80" s="455">
        <f>'ADJ DETAIL-INPUT'!AY81</f>
        <v>0</v>
      </c>
      <c r="AY80" s="455">
        <f>'ADJ DETAIL-INPUT'!AZ81</f>
        <v>-30542</v>
      </c>
      <c r="AZ80" s="455">
        <f>'ADJ DETAIL-INPUT'!BG81</f>
        <v>1647191.9113733713</v>
      </c>
      <c r="BA80" s="455" t="e">
        <f>'ADJ DETAIL-INPUT'!#REF!</f>
        <v>#REF!</v>
      </c>
      <c r="BB80" s="455" t="e">
        <f>'ADJ DETAIL-INPUT'!#REF!</f>
        <v>#REF!</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workbookViewId="0"/>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735</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546</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693</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546</v>
      </c>
      <c r="E32" s="276">
        <f>F32+G32</f>
        <v>31132</v>
      </c>
      <c r="F32" s="276">
        <f>SUM(F257:F258)</f>
        <v>31132</v>
      </c>
      <c r="G32" s="276">
        <f>SUM(G257:G258)</f>
        <v>0</v>
      </c>
      <c r="H32" s="271" t="str">
        <f>IF(E32=F32+G32," ","ERROR")</f>
        <v xml:space="preserve"> </v>
      </c>
      <c r="I32" s="276" t="e">
        <f>J32+K32</f>
        <v>#REF!</v>
      </c>
      <c r="J32" s="276" t="e">
        <f>#REF!</f>
        <v>#REF!</v>
      </c>
      <c r="K32" s="276"/>
    </row>
    <row r="33" spans="1:11">
      <c r="B33" s="267" t="s">
        <v>717</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546</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693</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555</v>
      </c>
      <c r="D53" s="280"/>
      <c r="E53" s="276"/>
      <c r="F53" s="276"/>
      <c r="G53" s="276"/>
      <c r="H53" s="271"/>
      <c r="I53" s="276"/>
      <c r="J53" s="276"/>
      <c r="K53" s="276"/>
    </row>
    <row r="54" spans="1:16">
      <c r="A54" s="265">
        <v>29</v>
      </c>
      <c r="B54" s="267" t="s">
        <v>106</v>
      </c>
      <c r="E54" s="276">
        <f>F54+G54</f>
        <v>7830</v>
      </c>
      <c r="F54" s="276">
        <f>SUM(F320)</f>
        <v>7830</v>
      </c>
      <c r="G54" s="276">
        <f>SUM(G320)</f>
        <v>0</v>
      </c>
      <c r="H54" s="271" t="str">
        <f>IF(E54=F54+G54," ","ERROR")</f>
        <v xml:space="preserve"> </v>
      </c>
      <c r="I54" s="276" t="e">
        <f>J54+K54</f>
        <v>#REF!</v>
      </c>
      <c r="J54" s="276" t="e">
        <f>#REF!</f>
        <v>#REF!</v>
      </c>
      <c r="K54" s="276"/>
    </row>
    <row r="55" spans="1:16">
      <c r="A55" s="265">
        <v>30</v>
      </c>
      <c r="B55" s="267" t="s">
        <v>107</v>
      </c>
      <c r="E55" s="275">
        <f>F55+G55</f>
        <v>-318</v>
      </c>
      <c r="F55" s="275">
        <f>SUM(F321)</f>
        <v>-318</v>
      </c>
      <c r="G55" s="275">
        <f>SUM(G321)</f>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1">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1"/>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1"/>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1"/>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1"/>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1"/>
        <v xml:space="preserve"> </v>
      </c>
      <c r="I66" s="278" t="e">
        <f>I61+I62+I63+I64+I65</f>
        <v>#REF!</v>
      </c>
      <c r="J66" s="278" t="e">
        <f>J61+J62+J63+J64+J65</f>
        <v>#REF!</v>
      </c>
      <c r="K66" s="278"/>
    </row>
    <row r="67" spans="1:16">
      <c r="B67" s="267" t="s">
        <v>549</v>
      </c>
      <c r="E67" s="276"/>
      <c r="F67" s="276"/>
      <c r="G67" s="276"/>
      <c r="H67" s="271" t="str">
        <f t="shared" si="1"/>
        <v xml:space="preserve"> </v>
      </c>
      <c r="I67" s="276" t="e">
        <f>J67+K67</f>
        <v>#REF!</v>
      </c>
      <c r="J67" s="276" t="e">
        <f>#REF!</f>
        <v>#REF!</v>
      </c>
      <c r="K67" s="276"/>
    </row>
    <row r="68" spans="1:16">
      <c r="A68" s="265">
        <v>38</v>
      </c>
      <c r="B68" s="273" t="s">
        <v>108</v>
      </c>
      <c r="E68" s="276">
        <f>F68+G68</f>
        <v>-57078</v>
      </c>
      <c r="F68" s="276">
        <f>SUM(F430:F433)</f>
        <v>-57078</v>
      </c>
      <c r="G68" s="561">
        <f>SUM(G431:G432)</f>
        <v>0</v>
      </c>
      <c r="H68" s="271"/>
      <c r="I68" s="276"/>
      <c r="J68" s="276"/>
      <c r="K68" s="276"/>
    </row>
    <row r="69" spans="1:16">
      <c r="A69" s="265">
        <v>39</v>
      </c>
      <c r="B69" s="267" t="s">
        <v>109</v>
      </c>
      <c r="E69" s="276">
        <f>F69+G69</f>
        <v>-382437</v>
      </c>
      <c r="F69" s="276">
        <f>SUM(F421:F423)</f>
        <v>-382437</v>
      </c>
      <c r="G69" s="561">
        <f>SUM(G422:G424)</f>
        <v>0</v>
      </c>
      <c r="H69" s="271"/>
      <c r="I69" s="276"/>
      <c r="J69" s="276"/>
      <c r="K69" s="276"/>
    </row>
    <row r="70" spans="1:16">
      <c r="A70" s="265">
        <v>40</v>
      </c>
      <c r="B70" s="267" t="s">
        <v>110</v>
      </c>
      <c r="E70" s="276">
        <f>F70+G70</f>
        <v>-147016</v>
      </c>
      <c r="F70" s="276">
        <f>SUM(F424)</f>
        <v>-147016</v>
      </c>
      <c r="G70" s="561">
        <f>SUM(G425)</f>
        <v>0</v>
      </c>
      <c r="H70" s="271"/>
      <c r="I70" s="276"/>
      <c r="J70" s="276"/>
      <c r="K70" s="276"/>
    </row>
    <row r="71" spans="1:16">
      <c r="A71" s="265">
        <v>41</v>
      </c>
      <c r="B71" s="267" t="s">
        <v>111</v>
      </c>
      <c r="E71" s="276">
        <f>F71+G71</f>
        <v>-358989</v>
      </c>
      <c r="F71" s="276">
        <f>SUM(F425)</f>
        <v>-358989</v>
      </c>
      <c r="G71" s="561">
        <f>SUM(G426)</f>
        <v>0</v>
      </c>
      <c r="H71" s="271"/>
      <c r="I71" s="276"/>
      <c r="J71" s="276"/>
      <c r="K71" s="276"/>
    </row>
    <row r="72" spans="1:16">
      <c r="A72" s="265">
        <v>42</v>
      </c>
      <c r="B72" s="267" t="s">
        <v>112</v>
      </c>
      <c r="E72" s="275">
        <f>F72+G72</f>
        <v>-92865</v>
      </c>
      <c r="F72" s="275">
        <f>SUM(F426,F434)</f>
        <v>-92865</v>
      </c>
      <c r="G72" s="562">
        <f>SUM(G427,G433,G434,G435)</f>
        <v>0</v>
      </c>
    </row>
    <row r="73" spans="1:16">
      <c r="A73" s="265">
        <v>43</v>
      </c>
      <c r="B73" s="267" t="s">
        <v>270</v>
      </c>
      <c r="E73" s="387">
        <f>SUM(E68:E72)</f>
        <v>-1038385</v>
      </c>
      <c r="F73" s="387">
        <f>SUM(F68:F72)</f>
        <v>-1038385</v>
      </c>
      <c r="G73" s="264">
        <f>SUM(G68:G72)</f>
        <v>0</v>
      </c>
    </row>
    <row r="74" spans="1:16" ht="3.75" customHeight="1">
      <c r="A74" s="265">
        <v>44</v>
      </c>
      <c r="B74" s="264" t="s">
        <v>552</v>
      </c>
      <c r="E74" s="319">
        <f>E66+E73</f>
        <v>2086740</v>
      </c>
      <c r="F74" s="319">
        <f>F66+F73</f>
        <v>2086740</v>
      </c>
      <c r="G74" s="319">
        <f>G66+G73</f>
        <v>0</v>
      </c>
    </row>
    <row r="75" spans="1:16">
      <c r="B75" s="267"/>
      <c r="E75" s="278"/>
      <c r="F75" s="278"/>
      <c r="G75" s="278"/>
      <c r="H75" s="271"/>
      <c r="I75" s="278"/>
      <c r="J75" s="278"/>
      <c r="K75" s="278"/>
    </row>
    <row r="76" spans="1:16">
      <c r="A76" s="265">
        <v>45</v>
      </c>
      <c r="B76" s="267" t="s">
        <v>550</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551</v>
      </c>
      <c r="E77" s="277">
        <f>SUM(E74:E76)</f>
        <v>1667769</v>
      </c>
      <c r="F77" s="277">
        <f>SUM(F74:F76)</f>
        <v>1667769</v>
      </c>
      <c r="G77" s="277">
        <f>SUM(G74-G76)</f>
        <v>0</v>
      </c>
      <c r="H77" s="271"/>
      <c r="I77" s="277"/>
      <c r="J77" s="277"/>
      <c r="K77" s="277"/>
    </row>
    <row r="78" spans="1:16">
      <c r="A78" s="265">
        <v>47</v>
      </c>
      <c r="B78" s="267" t="s">
        <v>269</v>
      </c>
      <c r="E78" s="276">
        <f>F78+G78</f>
        <v>-2096</v>
      </c>
      <c r="F78" s="278">
        <f>SUM(F502)-F79</f>
        <v>-2096</v>
      </c>
      <c r="G78" s="278">
        <f>SUM(G459:G502)-G79</f>
        <v>0</v>
      </c>
      <c r="H78" s="271"/>
      <c r="I78" s="278"/>
      <c r="J78" s="278"/>
      <c r="K78" s="278"/>
    </row>
    <row r="79" spans="1:16">
      <c r="A79" s="265">
        <v>48</v>
      </c>
      <c r="B79" s="267" t="s">
        <v>255</v>
      </c>
      <c r="E79" s="275">
        <f>F79+G79</f>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273</v>
      </c>
      <c r="C84" s="296"/>
      <c r="M84" s="397"/>
      <c r="N84" s="397"/>
    </row>
    <row r="85" spans="1:16" ht="15.75">
      <c r="A85" s="295"/>
      <c r="B85" s="297" t="s">
        <v>274</v>
      </c>
      <c r="C85" s="296"/>
      <c r="M85" s="393"/>
      <c r="N85" s="397"/>
    </row>
    <row r="86" spans="1:16" ht="15.75">
      <c r="A86" s="298">
        <v>440000</v>
      </c>
      <c r="B86" s="297" t="s">
        <v>275</v>
      </c>
      <c r="C86" s="296"/>
      <c r="F86" s="264">
        <f>ROUND(H86/1000,0)</f>
        <v>250058</v>
      </c>
      <c r="G86" s="264">
        <v>0</v>
      </c>
      <c r="H86" s="264">
        <v>250057929</v>
      </c>
      <c r="M86" s="393"/>
      <c r="N86" s="397"/>
    </row>
    <row r="87" spans="1:16" ht="15.75">
      <c r="A87" s="298">
        <v>442200</v>
      </c>
      <c r="B87" s="297" t="s">
        <v>276</v>
      </c>
      <c r="C87" s="296"/>
      <c r="F87" s="264">
        <f t="shared" ref="F87:F153" si="2">ROUND(H87/1000,0)</f>
        <v>227718</v>
      </c>
      <c r="G87" s="264">
        <v>0</v>
      </c>
      <c r="H87" s="264">
        <v>227718244</v>
      </c>
      <c r="M87" s="393"/>
      <c r="N87" s="397"/>
    </row>
    <row r="88" spans="1:16" ht="15.75">
      <c r="A88" s="298">
        <v>442300</v>
      </c>
      <c r="B88" s="297" t="s">
        <v>277</v>
      </c>
      <c r="C88" s="296"/>
      <c r="F88" s="264">
        <f t="shared" si="2"/>
        <v>64131</v>
      </c>
      <c r="G88" s="264">
        <v>0</v>
      </c>
      <c r="H88" s="264">
        <v>64131309</v>
      </c>
      <c r="M88" s="393"/>
      <c r="N88" s="397"/>
    </row>
    <row r="89" spans="1:16" ht="15.75">
      <c r="A89" s="298">
        <v>444000</v>
      </c>
      <c r="B89" s="297" t="s">
        <v>278</v>
      </c>
      <c r="C89" s="296"/>
      <c r="F89" s="264">
        <f t="shared" si="2"/>
        <v>4778</v>
      </c>
      <c r="G89" s="264">
        <v>0</v>
      </c>
      <c r="H89" s="264">
        <v>4777963</v>
      </c>
      <c r="M89" s="393"/>
      <c r="N89" s="397"/>
    </row>
    <row r="90" spans="1:16" ht="15.75">
      <c r="A90" s="298">
        <v>448000</v>
      </c>
      <c r="B90" s="297" t="s">
        <v>281</v>
      </c>
      <c r="E90" s="296"/>
      <c r="F90" s="264">
        <f t="shared" si="2"/>
        <v>1228</v>
      </c>
      <c r="G90" s="264">
        <v>0</v>
      </c>
      <c r="H90" s="264">
        <v>1227642</v>
      </c>
      <c r="M90" s="393"/>
      <c r="N90" s="397"/>
    </row>
    <row r="91" spans="1:16" ht="15.75">
      <c r="A91" s="295" t="s">
        <v>279</v>
      </c>
      <c r="B91" s="297" t="s">
        <v>280</v>
      </c>
      <c r="C91" s="296"/>
      <c r="F91" s="264">
        <f t="shared" si="2"/>
        <v>-136</v>
      </c>
      <c r="G91" s="264">
        <v>0</v>
      </c>
      <c r="H91" s="264">
        <v>-136201</v>
      </c>
      <c r="M91" s="393"/>
      <c r="N91" s="397"/>
    </row>
    <row r="92" spans="1:16" ht="15.75">
      <c r="A92" s="298"/>
      <c r="B92" s="297" t="s">
        <v>282</v>
      </c>
      <c r="C92" s="296"/>
      <c r="F92" s="264">
        <f t="shared" si="2"/>
        <v>547777</v>
      </c>
      <c r="G92" s="264">
        <v>0</v>
      </c>
      <c r="H92" s="264">
        <v>547776886</v>
      </c>
      <c r="M92" s="393"/>
      <c r="N92" s="397"/>
    </row>
    <row r="93" spans="1:16" ht="15.75">
      <c r="A93" s="298"/>
      <c r="B93" s="297"/>
      <c r="C93" s="296"/>
      <c r="F93" s="264">
        <f t="shared" si="2"/>
        <v>0</v>
      </c>
      <c r="G93" s="264">
        <v>0</v>
      </c>
      <c r="M93" s="393"/>
      <c r="N93" s="397"/>
    </row>
    <row r="94" spans="1:16" ht="15.75">
      <c r="A94" s="298" t="s">
        <v>283</v>
      </c>
      <c r="B94" s="297" t="s">
        <v>43</v>
      </c>
      <c r="C94" s="296"/>
      <c r="F94" s="264">
        <f t="shared" si="2"/>
        <v>53430</v>
      </c>
      <c r="G94" s="264">
        <v>0</v>
      </c>
      <c r="H94" s="264">
        <v>53429830</v>
      </c>
      <c r="M94" s="393"/>
      <c r="N94" s="397"/>
    </row>
    <row r="95" spans="1:16" ht="15.75">
      <c r="A95" s="298"/>
      <c r="B95" s="297" t="s">
        <v>284</v>
      </c>
      <c r="C95" s="296"/>
      <c r="F95" s="264">
        <f t="shared" si="2"/>
        <v>601207</v>
      </c>
      <c r="G95" s="264">
        <v>0</v>
      </c>
      <c r="H95" s="264">
        <v>601206716</v>
      </c>
      <c r="M95" s="393"/>
      <c r="N95" s="397"/>
    </row>
    <row r="96" spans="1:16" ht="15.75">
      <c r="A96" s="298"/>
      <c r="B96" s="297"/>
      <c r="C96" s="296"/>
      <c r="F96" s="264">
        <f t="shared" si="2"/>
        <v>0</v>
      </c>
      <c r="G96" s="264">
        <v>0</v>
      </c>
      <c r="M96" s="393"/>
      <c r="N96" s="397"/>
    </row>
    <row r="97" spans="1:14" ht="15.75">
      <c r="A97" s="298"/>
      <c r="B97" s="297" t="s">
        <v>285</v>
      </c>
      <c r="C97" s="296"/>
      <c r="F97" s="264">
        <f t="shared" si="2"/>
        <v>0</v>
      </c>
      <c r="G97" s="264">
        <v>0</v>
      </c>
      <c r="M97" s="393"/>
      <c r="N97" s="397"/>
    </row>
    <row r="98" spans="1:14" ht="15.75">
      <c r="A98" s="394">
        <v>449100</v>
      </c>
      <c r="B98" s="393" t="s">
        <v>631</v>
      </c>
      <c r="C98" s="296"/>
      <c r="F98" s="264">
        <f t="shared" si="2"/>
        <v>0</v>
      </c>
      <c r="G98" s="264">
        <v>0</v>
      </c>
      <c r="H98" s="264">
        <v>0</v>
      </c>
      <c r="M98" s="393"/>
      <c r="N98" s="397"/>
    </row>
    <row r="99" spans="1:14" ht="15.75">
      <c r="A99" s="394">
        <v>449110</v>
      </c>
      <c r="B99" s="393" t="s">
        <v>694</v>
      </c>
      <c r="C99" s="296"/>
      <c r="F99" s="264">
        <f t="shared" si="2"/>
        <v>-181</v>
      </c>
      <c r="G99" s="264">
        <v>0</v>
      </c>
      <c r="H99" s="264">
        <v>-180672</v>
      </c>
      <c r="M99" s="393"/>
      <c r="N99" s="397"/>
    </row>
    <row r="100" spans="1:14" ht="15.75">
      <c r="A100" s="298">
        <v>451000</v>
      </c>
      <c r="B100" s="297" t="s">
        <v>286</v>
      </c>
      <c r="C100" s="296"/>
      <c r="F100" s="264">
        <f t="shared" si="2"/>
        <v>214</v>
      </c>
      <c r="G100" s="264">
        <v>0</v>
      </c>
      <c r="H100" s="264">
        <v>214204</v>
      </c>
      <c r="M100" s="393"/>
      <c r="N100" s="397"/>
    </row>
    <row r="101" spans="1:14" ht="15.75">
      <c r="A101" s="298">
        <v>453000</v>
      </c>
      <c r="B101" s="297" t="s">
        <v>287</v>
      </c>
      <c r="C101" s="296"/>
      <c r="F101" s="264">
        <f t="shared" si="2"/>
        <v>226</v>
      </c>
      <c r="G101" s="264">
        <v>0</v>
      </c>
      <c r="H101" s="264">
        <v>226020</v>
      </c>
      <c r="M101" s="393"/>
      <c r="N101" s="397"/>
    </row>
    <row r="102" spans="1:14" ht="15.75">
      <c r="A102" s="298">
        <v>454000</v>
      </c>
      <c r="B102" s="297" t="s">
        <v>288</v>
      </c>
      <c r="C102" s="296"/>
      <c r="F102" s="264">
        <f t="shared" si="2"/>
        <v>1523</v>
      </c>
      <c r="G102" s="264">
        <v>0</v>
      </c>
      <c r="H102" s="264">
        <v>1523176</v>
      </c>
      <c r="M102" s="393"/>
      <c r="N102" s="397"/>
    </row>
    <row r="103" spans="1:14" ht="15.75">
      <c r="A103" s="394">
        <v>454100</v>
      </c>
      <c r="B103" s="393" t="s">
        <v>695</v>
      </c>
      <c r="C103" s="296"/>
      <c r="F103" s="264">
        <f t="shared" si="2"/>
        <v>5</v>
      </c>
      <c r="G103" s="264">
        <v>0</v>
      </c>
      <c r="H103" s="264">
        <v>5216</v>
      </c>
      <c r="M103" s="393"/>
      <c r="N103" s="397"/>
    </row>
    <row r="104" spans="1:14" ht="15.75">
      <c r="A104" s="295" t="s">
        <v>289</v>
      </c>
      <c r="B104" s="297" t="s">
        <v>290</v>
      </c>
      <c r="C104" s="296"/>
      <c r="F104" s="264">
        <f t="shared" si="2"/>
        <v>58463</v>
      </c>
      <c r="G104" s="264">
        <v>0</v>
      </c>
      <c r="H104" s="264">
        <v>58463320</v>
      </c>
      <c r="M104" s="393"/>
      <c r="N104" s="397"/>
    </row>
    <row r="105" spans="1:14" ht="15.75">
      <c r="A105" s="295"/>
      <c r="B105" s="297" t="s">
        <v>291</v>
      </c>
      <c r="C105" s="296"/>
      <c r="F105" s="264">
        <f t="shared" si="2"/>
        <v>60251</v>
      </c>
      <c r="G105" s="264">
        <v>0</v>
      </c>
      <c r="H105" s="264">
        <v>60251264</v>
      </c>
      <c r="M105" s="393"/>
      <c r="N105" s="397"/>
    </row>
    <row r="106" spans="1:14" ht="15.75">
      <c r="A106" s="295"/>
      <c r="B106" s="297" t="s">
        <v>292</v>
      </c>
      <c r="C106" s="296"/>
      <c r="F106" s="264">
        <f t="shared" si="2"/>
        <v>661458</v>
      </c>
      <c r="G106" s="264">
        <v>0</v>
      </c>
      <c r="H106" s="264">
        <v>661457980</v>
      </c>
      <c r="M106" s="393"/>
      <c r="N106" s="397"/>
    </row>
    <row r="107" spans="1:14" ht="15.75">
      <c r="A107" s="295"/>
      <c r="B107" s="297"/>
      <c r="C107" s="296"/>
      <c r="F107" s="264">
        <f t="shared" si="2"/>
        <v>0</v>
      </c>
      <c r="G107" s="264">
        <v>0</v>
      </c>
      <c r="M107" s="393"/>
      <c r="N107" s="397"/>
    </row>
    <row r="108" spans="1:14" ht="15.75">
      <c r="A108" s="295"/>
      <c r="B108" s="297" t="s">
        <v>293</v>
      </c>
      <c r="C108" s="296"/>
      <c r="F108" s="264">
        <f t="shared" si="2"/>
        <v>0</v>
      </c>
      <c r="G108" s="264">
        <v>0</v>
      </c>
      <c r="M108" s="393"/>
      <c r="N108" s="397"/>
    </row>
    <row r="109" spans="1:14" ht="15.75">
      <c r="A109" s="295"/>
      <c r="B109" s="297" t="s">
        <v>294</v>
      </c>
      <c r="C109" s="296"/>
      <c r="F109" s="264">
        <f t="shared" si="2"/>
        <v>0</v>
      </c>
      <c r="G109" s="264">
        <v>0</v>
      </c>
      <c r="M109" s="393"/>
      <c r="N109" s="397"/>
    </row>
    <row r="110" spans="1:14" ht="15.75">
      <c r="A110" s="295"/>
      <c r="B110" s="297" t="s">
        <v>295</v>
      </c>
      <c r="C110" s="296"/>
      <c r="F110" s="264">
        <f t="shared" si="2"/>
        <v>0</v>
      </c>
      <c r="G110" s="264">
        <v>0</v>
      </c>
      <c r="M110" s="393"/>
      <c r="N110" s="397"/>
    </row>
    <row r="111" spans="1:14" ht="15.75">
      <c r="A111" s="298">
        <v>500000</v>
      </c>
      <c r="B111" s="297" t="s">
        <v>296</v>
      </c>
      <c r="C111" s="296"/>
      <c r="F111" s="264">
        <f t="shared" si="2"/>
        <v>298</v>
      </c>
      <c r="G111" s="264">
        <v>0</v>
      </c>
      <c r="H111" s="264">
        <v>297973</v>
      </c>
      <c r="M111" s="393"/>
      <c r="N111" s="397"/>
    </row>
    <row r="112" spans="1:14" ht="15.75">
      <c r="A112" s="298">
        <v>501000</v>
      </c>
      <c r="B112" s="297" t="s">
        <v>297</v>
      </c>
      <c r="C112" s="296"/>
      <c r="F112" s="264">
        <f t="shared" si="2"/>
        <v>20251</v>
      </c>
      <c r="G112" s="264">
        <v>0</v>
      </c>
      <c r="H112" s="264">
        <v>20250836</v>
      </c>
      <c r="M112" s="393"/>
      <c r="N112" s="397"/>
    </row>
    <row r="113" spans="1:14" ht="15.75">
      <c r="A113" s="298">
        <v>502000</v>
      </c>
      <c r="B113" s="297" t="s">
        <v>298</v>
      </c>
      <c r="C113" s="296"/>
      <c r="F113" s="264">
        <f t="shared" si="2"/>
        <v>2575</v>
      </c>
      <c r="G113" s="264">
        <v>0</v>
      </c>
      <c r="H113" s="264">
        <v>2574532</v>
      </c>
      <c r="M113" s="393"/>
      <c r="N113" s="397"/>
    </row>
    <row r="114" spans="1:14" ht="15.75">
      <c r="A114" s="298">
        <v>505000</v>
      </c>
      <c r="B114" s="297" t="s">
        <v>299</v>
      </c>
      <c r="C114" s="296"/>
      <c r="F114" s="264">
        <f t="shared" si="2"/>
        <v>699</v>
      </c>
      <c r="G114" s="264">
        <v>0</v>
      </c>
      <c r="H114" s="264">
        <v>698805</v>
      </c>
      <c r="M114" s="393"/>
      <c r="N114" s="397"/>
    </row>
    <row r="115" spans="1:14" ht="15.75">
      <c r="A115" s="298">
        <v>506000</v>
      </c>
      <c r="B115" s="297" t="s">
        <v>300</v>
      </c>
      <c r="C115" s="296"/>
      <c r="F115" s="264">
        <f t="shared" si="2"/>
        <v>2098</v>
      </c>
      <c r="G115" s="264">
        <v>0</v>
      </c>
      <c r="H115" s="264">
        <v>2097717</v>
      </c>
      <c r="M115" s="393"/>
      <c r="N115" s="397"/>
    </row>
    <row r="116" spans="1:14" ht="15.75">
      <c r="A116" s="298">
        <v>507000</v>
      </c>
      <c r="B116" s="297" t="s">
        <v>301</v>
      </c>
      <c r="C116" s="296"/>
      <c r="F116" s="264">
        <f t="shared" si="2"/>
        <v>10</v>
      </c>
      <c r="G116" s="264">
        <v>0</v>
      </c>
      <c r="H116" s="264">
        <v>9898</v>
      </c>
      <c r="M116" s="393"/>
      <c r="N116" s="397"/>
    </row>
    <row r="117" spans="1:14" ht="15.75">
      <c r="A117" s="298"/>
      <c r="B117" s="297"/>
      <c r="C117" s="296"/>
      <c r="F117" s="264">
        <f t="shared" si="2"/>
        <v>0</v>
      </c>
      <c r="G117" s="264">
        <v>0</v>
      </c>
      <c r="M117" s="393"/>
      <c r="N117" s="397"/>
    </row>
    <row r="118" spans="1:14" ht="15.75">
      <c r="A118" s="298"/>
      <c r="B118" s="297" t="s">
        <v>302</v>
      </c>
      <c r="C118" s="296"/>
      <c r="F118" s="264">
        <f t="shared" si="2"/>
        <v>0</v>
      </c>
      <c r="G118" s="264">
        <v>0</v>
      </c>
      <c r="M118" s="393"/>
      <c r="N118" s="397"/>
    </row>
    <row r="119" spans="1:14" ht="15.75">
      <c r="A119" s="298">
        <v>510000</v>
      </c>
      <c r="B119" s="297" t="s">
        <v>296</v>
      </c>
      <c r="C119" s="296"/>
      <c r="F119" s="264">
        <f t="shared" si="2"/>
        <v>357</v>
      </c>
      <c r="G119" s="264">
        <v>0</v>
      </c>
      <c r="H119" s="264">
        <v>356549</v>
      </c>
      <c r="M119" s="393"/>
      <c r="N119" s="397"/>
    </row>
    <row r="120" spans="1:14" ht="15.75">
      <c r="A120" s="298">
        <v>511000</v>
      </c>
      <c r="B120" s="297" t="s">
        <v>303</v>
      </c>
      <c r="C120" s="296"/>
      <c r="F120" s="264">
        <f t="shared" si="2"/>
        <v>504</v>
      </c>
      <c r="G120" s="264">
        <v>0</v>
      </c>
      <c r="H120" s="264">
        <v>503766</v>
      </c>
      <c r="M120" s="393"/>
      <c r="N120" s="397"/>
    </row>
    <row r="121" spans="1:14" ht="15.75">
      <c r="A121" s="298">
        <v>512000</v>
      </c>
      <c r="B121" s="297" t="s">
        <v>304</v>
      </c>
      <c r="C121" s="296"/>
      <c r="F121" s="264">
        <f t="shared" si="2"/>
        <v>4002</v>
      </c>
      <c r="G121" s="264">
        <v>0</v>
      </c>
      <c r="H121" s="264">
        <v>4001813</v>
      </c>
      <c r="M121" s="393"/>
      <c r="N121" s="397"/>
    </row>
    <row r="122" spans="1:14" ht="15.75">
      <c r="A122" s="298">
        <v>513000</v>
      </c>
      <c r="B122" s="297" t="s">
        <v>305</v>
      </c>
      <c r="C122" s="296"/>
      <c r="F122" s="264">
        <f t="shared" si="2"/>
        <v>452</v>
      </c>
      <c r="G122" s="264">
        <v>0</v>
      </c>
      <c r="H122" s="264">
        <v>452131</v>
      </c>
      <c r="M122" s="393"/>
      <c r="N122" s="397"/>
    </row>
    <row r="123" spans="1:14" ht="15.75">
      <c r="A123" s="298" t="s">
        <v>696</v>
      </c>
      <c r="B123" s="297" t="s">
        <v>306</v>
      </c>
      <c r="C123" s="296"/>
      <c r="F123" s="264">
        <f t="shared" si="2"/>
        <v>825</v>
      </c>
      <c r="G123" s="264">
        <v>0</v>
      </c>
      <c r="H123" s="264">
        <v>825475</v>
      </c>
      <c r="M123" s="393"/>
      <c r="N123" s="397"/>
    </row>
    <row r="124" spans="1:14" ht="15.75">
      <c r="A124" s="295"/>
      <c r="B124" s="297" t="s">
        <v>307</v>
      </c>
      <c r="C124" s="296"/>
      <c r="F124" s="264">
        <f t="shared" si="2"/>
        <v>32069</v>
      </c>
      <c r="G124" s="264">
        <v>0</v>
      </c>
      <c r="H124" s="264">
        <v>32069495</v>
      </c>
      <c r="M124" s="393"/>
      <c r="N124" s="397"/>
    </row>
    <row r="125" spans="1:14" ht="15.75">
      <c r="A125" s="295"/>
      <c r="B125" s="297"/>
      <c r="C125" s="296"/>
      <c r="F125" s="264">
        <f t="shared" si="2"/>
        <v>0</v>
      </c>
      <c r="G125" s="264">
        <v>0</v>
      </c>
      <c r="M125" s="393"/>
      <c r="N125" s="397"/>
    </row>
    <row r="126" spans="1:14" ht="15.75">
      <c r="A126" s="295"/>
      <c r="B126" s="297" t="s">
        <v>308</v>
      </c>
      <c r="C126" s="296"/>
      <c r="F126" s="264">
        <f t="shared" si="2"/>
        <v>0</v>
      </c>
      <c r="G126" s="264">
        <v>0</v>
      </c>
      <c r="M126" s="393"/>
      <c r="N126" s="397"/>
    </row>
    <row r="127" spans="1:14" ht="15.75">
      <c r="A127" s="295"/>
      <c r="B127" s="297" t="s">
        <v>295</v>
      </c>
      <c r="C127" s="296"/>
      <c r="F127" s="264">
        <f t="shared" si="2"/>
        <v>0</v>
      </c>
      <c r="G127" s="264">
        <v>0</v>
      </c>
      <c r="M127" s="393"/>
      <c r="N127" s="397"/>
    </row>
    <row r="128" spans="1:14" ht="15.75">
      <c r="A128" s="298">
        <v>535000</v>
      </c>
      <c r="B128" s="297" t="s">
        <v>296</v>
      </c>
      <c r="C128" s="296"/>
      <c r="F128" s="264">
        <f t="shared" si="2"/>
        <v>2247</v>
      </c>
      <c r="G128" s="264">
        <v>0</v>
      </c>
      <c r="H128" s="264">
        <v>2246828</v>
      </c>
      <c r="M128" s="393"/>
      <c r="N128" s="397"/>
    </row>
    <row r="129" spans="1:14" ht="15.75">
      <c r="A129" s="298">
        <v>536000</v>
      </c>
      <c r="B129" s="297" t="s">
        <v>309</v>
      </c>
      <c r="C129" s="296"/>
      <c r="F129" s="264">
        <f t="shared" si="2"/>
        <v>614</v>
      </c>
      <c r="G129" s="264">
        <v>0</v>
      </c>
      <c r="H129" s="264">
        <v>613940</v>
      </c>
      <c r="M129" s="393"/>
      <c r="N129" s="397"/>
    </row>
    <row r="130" spans="1:14" ht="15.75">
      <c r="A130" s="298">
        <v>537000</v>
      </c>
      <c r="B130" s="297" t="s">
        <v>310</v>
      </c>
      <c r="C130" s="296"/>
      <c r="F130" s="264">
        <f t="shared" si="2"/>
        <v>6448</v>
      </c>
      <c r="G130" s="264">
        <v>0</v>
      </c>
      <c r="H130" s="264">
        <v>6448040</v>
      </c>
      <c r="M130" s="393"/>
      <c r="N130" s="397"/>
    </row>
    <row r="131" spans="1:14" ht="15.75">
      <c r="A131" s="298">
        <v>538000</v>
      </c>
      <c r="B131" s="297" t="s">
        <v>299</v>
      </c>
      <c r="C131" s="296"/>
      <c r="F131" s="264">
        <f t="shared" si="2"/>
        <v>5046</v>
      </c>
      <c r="G131" s="264">
        <v>0</v>
      </c>
      <c r="H131" s="264">
        <v>5045825</v>
      </c>
      <c r="M131" s="393"/>
      <c r="N131" s="397"/>
    </row>
    <row r="132" spans="1:14" ht="15.75">
      <c r="A132" s="298">
        <v>539000</v>
      </c>
      <c r="B132" s="297" t="s">
        <v>311</v>
      </c>
      <c r="C132" s="296"/>
      <c r="F132" s="264">
        <f t="shared" si="2"/>
        <v>738</v>
      </c>
      <c r="G132" s="264">
        <v>0</v>
      </c>
      <c r="H132" s="264">
        <v>738149</v>
      </c>
      <c r="M132" s="393"/>
      <c r="N132" s="397"/>
    </row>
    <row r="133" spans="1:14" ht="15.75">
      <c r="A133" s="298">
        <v>540000</v>
      </c>
      <c r="B133" s="297" t="s">
        <v>301</v>
      </c>
      <c r="C133" s="296"/>
      <c r="F133" s="264">
        <f t="shared" si="2"/>
        <v>948</v>
      </c>
      <c r="G133" s="264">
        <v>0</v>
      </c>
      <c r="H133" s="264">
        <v>948347</v>
      </c>
      <c r="M133" s="393"/>
      <c r="N133" s="397"/>
    </row>
    <row r="134" spans="1:14" ht="15.75">
      <c r="A134" s="299">
        <v>540100</v>
      </c>
      <c r="B134" s="300" t="s">
        <v>312</v>
      </c>
      <c r="C134" s="301"/>
      <c r="F134" s="264">
        <f t="shared" si="2"/>
        <v>3259</v>
      </c>
      <c r="G134" s="264">
        <v>0</v>
      </c>
      <c r="H134" s="264">
        <v>3258748</v>
      </c>
      <c r="M134" s="396"/>
      <c r="N134" s="399"/>
    </row>
    <row r="135" spans="1:14" ht="15.75">
      <c r="A135" s="295"/>
      <c r="B135" s="297"/>
      <c r="C135" s="296"/>
      <c r="F135" s="264">
        <f t="shared" si="2"/>
        <v>0</v>
      </c>
      <c r="G135" s="264">
        <v>0</v>
      </c>
      <c r="M135" s="393"/>
      <c r="N135" s="397"/>
    </row>
    <row r="136" spans="1:14" ht="15.75">
      <c r="A136" s="295"/>
      <c r="B136" s="297" t="s">
        <v>302</v>
      </c>
      <c r="C136" s="296"/>
      <c r="F136" s="264">
        <f t="shared" si="2"/>
        <v>0</v>
      </c>
      <c r="G136" s="264">
        <v>0</v>
      </c>
      <c r="M136" s="393"/>
      <c r="N136" s="397"/>
    </row>
    <row r="137" spans="1:14" ht="15.75">
      <c r="A137" s="298">
        <v>541000</v>
      </c>
      <c r="B137" s="297" t="s">
        <v>296</v>
      </c>
      <c r="C137" s="296"/>
      <c r="F137" s="264">
        <f t="shared" si="2"/>
        <v>662</v>
      </c>
      <c r="G137" s="264">
        <v>0</v>
      </c>
      <c r="H137" s="264">
        <v>662096</v>
      </c>
      <c r="M137" s="393"/>
      <c r="N137" s="397"/>
    </row>
    <row r="138" spans="1:14" ht="15.75">
      <c r="A138" s="298">
        <v>542000</v>
      </c>
      <c r="B138" s="297" t="s">
        <v>303</v>
      </c>
      <c r="C138" s="296"/>
      <c r="F138" s="264">
        <f t="shared" si="2"/>
        <v>486</v>
      </c>
      <c r="G138" s="264">
        <v>0</v>
      </c>
      <c r="H138" s="264">
        <v>485568</v>
      </c>
      <c r="M138" s="393"/>
      <c r="N138" s="397"/>
    </row>
    <row r="139" spans="1:14" ht="15.75">
      <c r="A139" s="298">
        <v>543000</v>
      </c>
      <c r="B139" s="297" t="s">
        <v>313</v>
      </c>
      <c r="C139" s="296"/>
      <c r="F139" s="264">
        <f t="shared" si="2"/>
        <v>1208</v>
      </c>
      <c r="G139" s="264">
        <v>0</v>
      </c>
      <c r="H139" s="264">
        <v>1207958</v>
      </c>
      <c r="M139" s="393"/>
      <c r="N139" s="397"/>
    </row>
    <row r="140" spans="1:14" ht="15.75">
      <c r="A140" s="298">
        <v>544000</v>
      </c>
      <c r="B140" s="297" t="s">
        <v>305</v>
      </c>
      <c r="C140" s="296"/>
      <c r="F140" s="264">
        <f t="shared" si="2"/>
        <v>2324</v>
      </c>
      <c r="G140" s="264">
        <v>0</v>
      </c>
      <c r="H140" s="264">
        <v>2323613</v>
      </c>
      <c r="M140" s="393"/>
      <c r="N140" s="397"/>
    </row>
    <row r="141" spans="1:14" ht="15.75">
      <c r="A141" s="298">
        <v>545000</v>
      </c>
      <c r="B141" s="297" t="s">
        <v>314</v>
      </c>
      <c r="C141" s="296"/>
      <c r="F141" s="264">
        <f t="shared" si="2"/>
        <v>749</v>
      </c>
      <c r="G141" s="264">
        <v>0</v>
      </c>
      <c r="H141" s="264">
        <v>749400</v>
      </c>
      <c r="M141" s="393"/>
      <c r="N141" s="397"/>
    </row>
    <row r="142" spans="1:14" ht="15.75">
      <c r="A142" s="295"/>
      <c r="B142" s="297" t="s">
        <v>315</v>
      </c>
      <c r="C142" s="296"/>
      <c r="F142" s="264">
        <f t="shared" si="2"/>
        <v>24729</v>
      </c>
      <c r="G142" s="264">
        <v>0</v>
      </c>
      <c r="H142" s="264">
        <v>24728512</v>
      </c>
      <c r="M142" s="393"/>
      <c r="N142" s="397"/>
    </row>
    <row r="143" spans="1:14" ht="15.75">
      <c r="A143" s="295"/>
      <c r="B143" s="297"/>
      <c r="C143" s="296"/>
      <c r="F143" s="264">
        <f t="shared" si="2"/>
        <v>0</v>
      </c>
      <c r="G143" s="264">
        <v>0</v>
      </c>
      <c r="M143" s="393"/>
      <c r="N143" s="397"/>
    </row>
    <row r="144" spans="1:14" ht="15.75">
      <c r="A144" s="295"/>
      <c r="B144" s="297" t="s">
        <v>316</v>
      </c>
      <c r="C144" s="296"/>
      <c r="F144" s="264">
        <f t="shared" si="2"/>
        <v>0</v>
      </c>
      <c r="G144" s="264">
        <v>0</v>
      </c>
      <c r="M144" s="393"/>
      <c r="N144" s="397"/>
    </row>
    <row r="145" spans="1:14" ht="15.75">
      <c r="A145" s="295"/>
      <c r="B145" s="297" t="s">
        <v>295</v>
      </c>
      <c r="C145" s="296"/>
      <c r="F145" s="264">
        <f t="shared" si="2"/>
        <v>0</v>
      </c>
      <c r="G145" s="264">
        <v>0</v>
      </c>
      <c r="M145" s="393"/>
      <c r="N145" s="397"/>
    </row>
    <row r="146" spans="1:14" ht="15.75">
      <c r="A146" s="298">
        <v>546000</v>
      </c>
      <c r="B146" s="297" t="s">
        <v>296</v>
      </c>
      <c r="C146" s="296"/>
      <c r="F146" s="264">
        <f t="shared" si="2"/>
        <v>182</v>
      </c>
      <c r="G146" s="264">
        <v>0</v>
      </c>
      <c r="H146" s="264">
        <v>182264</v>
      </c>
      <c r="M146" s="393"/>
      <c r="N146" s="397"/>
    </row>
    <row r="147" spans="1:14" ht="15.75">
      <c r="A147" s="298">
        <v>547000</v>
      </c>
      <c r="B147" s="297" t="s">
        <v>297</v>
      </c>
      <c r="C147" s="296"/>
      <c r="F147" s="264">
        <f t="shared" si="2"/>
        <v>46933</v>
      </c>
      <c r="G147" s="264">
        <v>0</v>
      </c>
      <c r="H147" s="264">
        <v>46933227</v>
      </c>
      <c r="M147" s="393"/>
      <c r="N147" s="397"/>
    </row>
    <row r="148" spans="1:14" ht="15.75">
      <c r="A148" s="298">
        <v>548000</v>
      </c>
      <c r="B148" s="297" t="s">
        <v>317</v>
      </c>
      <c r="C148" s="296"/>
      <c r="F148" s="264">
        <f t="shared" si="2"/>
        <v>1556</v>
      </c>
      <c r="G148" s="264">
        <v>0</v>
      </c>
      <c r="H148" s="264">
        <v>1555904</v>
      </c>
      <c r="M148" s="393"/>
      <c r="N148" s="397"/>
    </row>
    <row r="149" spans="1:14" ht="15.75">
      <c r="A149" s="298">
        <v>549000</v>
      </c>
      <c r="B149" s="297" t="s">
        <v>318</v>
      </c>
      <c r="C149" s="296"/>
      <c r="F149" s="264">
        <f t="shared" si="2"/>
        <v>883</v>
      </c>
      <c r="G149" s="264">
        <v>0</v>
      </c>
      <c r="H149" s="264">
        <v>883484</v>
      </c>
      <c r="M149" s="393"/>
      <c r="N149" s="397"/>
    </row>
    <row r="150" spans="1:14" ht="15.75">
      <c r="A150" s="298">
        <v>550000</v>
      </c>
      <c r="B150" s="297" t="s">
        <v>301</v>
      </c>
      <c r="C150" s="296"/>
      <c r="F150" s="264">
        <f t="shared" si="2"/>
        <v>31</v>
      </c>
      <c r="G150" s="264">
        <v>0</v>
      </c>
      <c r="H150" s="264">
        <v>30880</v>
      </c>
      <c r="M150" s="393"/>
      <c r="N150" s="397"/>
    </row>
    <row r="151" spans="1:14" ht="15.75">
      <c r="A151" s="295"/>
      <c r="B151" s="297"/>
      <c r="C151" s="296"/>
      <c r="F151" s="264">
        <f t="shared" si="2"/>
        <v>0</v>
      </c>
      <c r="G151" s="264">
        <v>0</v>
      </c>
      <c r="M151" s="393"/>
      <c r="N151" s="397"/>
    </row>
    <row r="152" spans="1:14" ht="15.75">
      <c r="A152" s="295"/>
      <c r="B152" s="297" t="s">
        <v>302</v>
      </c>
      <c r="C152" s="296"/>
      <c r="F152" s="264">
        <f t="shared" si="2"/>
        <v>0</v>
      </c>
      <c r="G152" s="264">
        <v>0</v>
      </c>
      <c r="M152" s="393"/>
      <c r="N152" s="397"/>
    </row>
    <row r="153" spans="1:14" ht="15.75">
      <c r="A153" s="298">
        <v>551000</v>
      </c>
      <c r="B153" s="297" t="s">
        <v>296</v>
      </c>
      <c r="C153" s="296"/>
      <c r="F153" s="264">
        <f t="shared" si="2"/>
        <v>523</v>
      </c>
      <c r="G153" s="264">
        <v>0</v>
      </c>
      <c r="H153" s="264">
        <v>523040</v>
      </c>
      <c r="M153" s="393"/>
      <c r="N153" s="397"/>
    </row>
    <row r="154" spans="1:14" ht="15.75">
      <c r="A154" s="298">
        <v>552000</v>
      </c>
      <c r="B154" s="297" t="s">
        <v>303</v>
      </c>
      <c r="C154" s="296"/>
      <c r="F154" s="264">
        <f t="shared" ref="F154:F187" si="3">ROUND(H154/1000,0)</f>
        <v>88</v>
      </c>
      <c r="G154" s="264">
        <v>0</v>
      </c>
      <c r="H154" s="264">
        <v>88315</v>
      </c>
      <c r="M154" s="393"/>
      <c r="N154" s="397"/>
    </row>
    <row r="155" spans="1:14" ht="15.75">
      <c r="A155" s="298">
        <v>553000</v>
      </c>
      <c r="B155" s="297" t="s">
        <v>319</v>
      </c>
      <c r="C155" s="296"/>
      <c r="F155" s="264">
        <f t="shared" si="3"/>
        <v>4746</v>
      </c>
      <c r="G155" s="264">
        <v>0</v>
      </c>
      <c r="H155" s="264">
        <v>4746469</v>
      </c>
      <c r="M155" s="393"/>
      <c r="N155" s="397"/>
    </row>
    <row r="156" spans="1:14" ht="15.75">
      <c r="A156" s="298">
        <v>554000</v>
      </c>
      <c r="B156" s="297" t="s">
        <v>320</v>
      </c>
      <c r="C156" s="296"/>
      <c r="F156" s="264">
        <f t="shared" si="3"/>
        <v>312</v>
      </c>
      <c r="G156" s="264">
        <v>0</v>
      </c>
      <c r="H156" s="264">
        <v>311609</v>
      </c>
      <c r="M156" s="393"/>
      <c r="N156" s="397"/>
    </row>
    <row r="157" spans="1:14" ht="15.75">
      <c r="A157" s="295"/>
      <c r="B157" s="297" t="s">
        <v>321</v>
      </c>
      <c r="C157" s="296"/>
      <c r="F157" s="264">
        <f t="shared" si="3"/>
        <v>55255</v>
      </c>
      <c r="G157" s="264">
        <v>0</v>
      </c>
      <c r="H157" s="264">
        <v>55255192</v>
      </c>
      <c r="M157" s="393"/>
      <c r="N157" s="397"/>
    </row>
    <row r="158" spans="1:14" ht="15.75">
      <c r="A158" s="295"/>
      <c r="B158" s="297"/>
      <c r="C158" s="296"/>
      <c r="F158" s="264">
        <f t="shared" si="3"/>
        <v>0</v>
      </c>
      <c r="G158" s="264">
        <v>0</v>
      </c>
      <c r="M158" s="393"/>
      <c r="N158" s="397"/>
    </row>
    <row r="159" spans="1:14" ht="15.75">
      <c r="A159" s="295"/>
      <c r="B159" s="297" t="s">
        <v>322</v>
      </c>
      <c r="C159" s="296"/>
      <c r="F159" s="264">
        <f t="shared" si="3"/>
        <v>0</v>
      </c>
      <c r="G159" s="264">
        <v>0</v>
      </c>
      <c r="M159" s="393"/>
      <c r="N159" s="397"/>
    </row>
    <row r="160" spans="1:14" ht="15.75">
      <c r="A160" s="295" t="s">
        <v>323</v>
      </c>
      <c r="B160" s="297" t="s">
        <v>50</v>
      </c>
      <c r="C160" s="296"/>
      <c r="F160" s="264">
        <f t="shared" si="3"/>
        <v>89083</v>
      </c>
      <c r="G160" s="264">
        <v>0</v>
      </c>
      <c r="H160" s="264">
        <v>89082886</v>
      </c>
      <c r="M160" s="393"/>
      <c r="N160" s="397"/>
    </row>
    <row r="161" spans="1:14" ht="15.75">
      <c r="A161" s="298">
        <v>556000</v>
      </c>
      <c r="B161" s="297" t="s">
        <v>324</v>
      </c>
      <c r="C161" s="296"/>
      <c r="F161" s="264">
        <f t="shared" si="3"/>
        <v>505</v>
      </c>
      <c r="G161" s="264">
        <v>0</v>
      </c>
      <c r="H161" s="264">
        <v>504846</v>
      </c>
      <c r="M161" s="393"/>
      <c r="N161" s="397"/>
    </row>
    <row r="162" spans="1:14" ht="15.75">
      <c r="A162" s="298" t="s">
        <v>325</v>
      </c>
      <c r="B162" s="297" t="s">
        <v>326</v>
      </c>
      <c r="C162" s="296"/>
      <c r="F162" s="264">
        <f t="shared" si="3"/>
        <v>37440</v>
      </c>
      <c r="G162" s="264">
        <v>0</v>
      </c>
      <c r="H162" s="264">
        <v>37440069</v>
      </c>
      <c r="M162" s="393"/>
      <c r="N162" s="397"/>
    </row>
    <row r="163" spans="1:14" ht="15.75">
      <c r="A163" s="298"/>
      <c r="B163" s="297" t="s">
        <v>327</v>
      </c>
      <c r="C163" s="296"/>
      <c r="F163" s="264">
        <f t="shared" si="3"/>
        <v>127028</v>
      </c>
      <c r="G163" s="264">
        <v>0</v>
      </c>
      <c r="H163" s="264">
        <v>127027801</v>
      </c>
      <c r="M163" s="393"/>
      <c r="N163" s="397"/>
    </row>
    <row r="164" spans="1:14" ht="15.75">
      <c r="A164" s="298"/>
      <c r="B164" s="297" t="s">
        <v>328</v>
      </c>
      <c r="C164" s="296"/>
      <c r="F164" s="264">
        <f t="shared" si="3"/>
        <v>239081</v>
      </c>
      <c r="G164" s="264">
        <v>0</v>
      </c>
      <c r="H164" s="264">
        <v>239081000</v>
      </c>
      <c r="M164" s="393"/>
      <c r="N164" s="397"/>
    </row>
    <row r="165" spans="1:14" ht="15.75">
      <c r="A165" s="298"/>
      <c r="B165" s="297"/>
      <c r="C165" s="296"/>
      <c r="F165" s="264">
        <f t="shared" si="3"/>
        <v>0</v>
      </c>
      <c r="G165" s="264">
        <v>0</v>
      </c>
      <c r="M165" s="393"/>
      <c r="N165" s="397"/>
    </row>
    <row r="166" spans="1:14" ht="15.75">
      <c r="A166" s="298"/>
      <c r="B166" s="297" t="s">
        <v>329</v>
      </c>
      <c r="C166" s="296"/>
      <c r="F166" s="264">
        <f t="shared" si="3"/>
        <v>0</v>
      </c>
      <c r="G166" s="264">
        <v>0</v>
      </c>
      <c r="M166" s="393"/>
      <c r="N166" s="397"/>
    </row>
    <row r="167" spans="1:14" ht="15.75">
      <c r="A167" s="298"/>
      <c r="B167" s="297" t="s">
        <v>295</v>
      </c>
      <c r="C167" s="296"/>
      <c r="F167" s="264">
        <f t="shared" si="3"/>
        <v>0</v>
      </c>
      <c r="G167" s="264">
        <v>0</v>
      </c>
      <c r="M167" s="393"/>
      <c r="N167" s="397"/>
    </row>
    <row r="168" spans="1:14" ht="15.75">
      <c r="A168" s="298">
        <v>560000</v>
      </c>
      <c r="B168" s="297" t="s">
        <v>296</v>
      </c>
      <c r="C168" s="296"/>
      <c r="F168" s="264">
        <f t="shared" si="3"/>
        <v>1651</v>
      </c>
      <c r="G168" s="264">
        <v>0</v>
      </c>
      <c r="H168" s="264">
        <v>1651025</v>
      </c>
      <c r="M168" s="393"/>
      <c r="N168" s="397"/>
    </row>
    <row r="169" spans="1:14" ht="15.75">
      <c r="A169" s="298">
        <v>561000</v>
      </c>
      <c r="B169" s="297" t="s">
        <v>330</v>
      </c>
      <c r="C169" s="296"/>
      <c r="F169" s="264">
        <f t="shared" si="3"/>
        <v>2482</v>
      </c>
      <c r="G169" s="264">
        <v>0</v>
      </c>
      <c r="H169" s="264">
        <v>2482185</v>
      </c>
      <c r="M169" s="393"/>
      <c r="N169" s="397"/>
    </row>
    <row r="170" spans="1:14" ht="15.75">
      <c r="A170" s="298">
        <v>562000</v>
      </c>
      <c r="B170" s="297" t="s">
        <v>331</v>
      </c>
      <c r="C170" s="296"/>
      <c r="F170" s="264">
        <f t="shared" si="3"/>
        <v>379</v>
      </c>
      <c r="G170" s="264">
        <v>0</v>
      </c>
      <c r="H170" s="264">
        <v>379015</v>
      </c>
      <c r="M170" s="393"/>
      <c r="N170" s="397"/>
    </row>
    <row r="171" spans="1:14" ht="15.75">
      <c r="A171" s="394">
        <v>562100</v>
      </c>
      <c r="B171" s="393" t="s">
        <v>632</v>
      </c>
      <c r="C171" s="296"/>
      <c r="F171" s="264">
        <f t="shared" si="3"/>
        <v>0</v>
      </c>
      <c r="G171" s="264">
        <v>0</v>
      </c>
      <c r="H171" s="264">
        <v>0</v>
      </c>
      <c r="M171" s="393"/>
      <c r="N171" s="397"/>
    </row>
    <row r="172" spans="1:14" ht="15.75">
      <c r="A172" s="298">
        <v>563000</v>
      </c>
      <c r="B172" s="297" t="s">
        <v>332</v>
      </c>
      <c r="C172" s="296"/>
      <c r="F172" s="264">
        <f t="shared" si="3"/>
        <v>253</v>
      </c>
      <c r="G172" s="264">
        <v>0</v>
      </c>
      <c r="H172" s="264">
        <v>252932</v>
      </c>
      <c r="M172" s="393"/>
      <c r="N172" s="397"/>
    </row>
    <row r="173" spans="1:14" ht="15.75">
      <c r="A173" s="298">
        <v>565000</v>
      </c>
      <c r="B173" s="297" t="s">
        <v>333</v>
      </c>
      <c r="C173" s="296"/>
      <c r="F173" s="264">
        <f t="shared" si="3"/>
        <v>11325</v>
      </c>
      <c r="G173" s="264">
        <v>0</v>
      </c>
      <c r="H173" s="264">
        <v>11324751</v>
      </c>
      <c r="M173" s="393"/>
      <c r="N173" s="397"/>
    </row>
    <row r="174" spans="1:14" ht="15.75">
      <c r="A174" s="298">
        <v>566000</v>
      </c>
      <c r="B174" s="297" t="s">
        <v>334</v>
      </c>
      <c r="C174" s="296"/>
      <c r="F174" s="264">
        <f t="shared" si="3"/>
        <v>2106</v>
      </c>
      <c r="G174" s="264">
        <v>0</v>
      </c>
      <c r="H174" s="264">
        <v>2105805</v>
      </c>
      <c r="M174" s="393"/>
      <c r="N174" s="397"/>
    </row>
    <row r="175" spans="1:14" ht="15.75">
      <c r="A175" s="298">
        <v>567000</v>
      </c>
      <c r="B175" s="297" t="s">
        <v>301</v>
      </c>
      <c r="C175" s="296"/>
      <c r="F175" s="264">
        <f t="shared" si="3"/>
        <v>117</v>
      </c>
      <c r="G175" s="264">
        <v>0</v>
      </c>
      <c r="H175" s="264">
        <v>116687</v>
      </c>
      <c r="M175" s="393"/>
      <c r="N175" s="397"/>
    </row>
    <row r="176" spans="1:14" ht="15.75">
      <c r="A176" s="295"/>
      <c r="B176" s="297"/>
      <c r="C176" s="296"/>
      <c r="F176" s="264">
        <f t="shared" si="3"/>
        <v>0</v>
      </c>
      <c r="G176" s="264">
        <v>0</v>
      </c>
      <c r="M176" s="393"/>
      <c r="N176" s="397"/>
    </row>
    <row r="177" spans="1:14" ht="15.75">
      <c r="A177" s="295"/>
      <c r="B177" s="297" t="s">
        <v>302</v>
      </c>
      <c r="C177" s="296"/>
      <c r="F177" s="264">
        <f t="shared" si="3"/>
        <v>0</v>
      </c>
      <c r="G177" s="264">
        <v>0</v>
      </c>
      <c r="M177" s="393"/>
      <c r="N177" s="397"/>
    </row>
    <row r="178" spans="1:14" ht="15.75">
      <c r="A178" s="298">
        <v>568000</v>
      </c>
      <c r="B178" s="297" t="s">
        <v>296</v>
      </c>
      <c r="C178" s="296"/>
      <c r="F178" s="264">
        <f t="shared" si="3"/>
        <v>429</v>
      </c>
      <c r="G178" s="264">
        <v>0</v>
      </c>
      <c r="H178" s="264">
        <v>429478</v>
      </c>
      <c r="M178" s="393"/>
      <c r="N178" s="397"/>
    </row>
    <row r="179" spans="1:14" ht="15.75">
      <c r="A179" s="298">
        <v>569000</v>
      </c>
      <c r="B179" s="297" t="s">
        <v>303</v>
      </c>
      <c r="C179" s="296"/>
      <c r="F179" s="264">
        <f t="shared" si="3"/>
        <v>458</v>
      </c>
      <c r="G179" s="264">
        <v>0</v>
      </c>
      <c r="H179" s="264">
        <v>458351</v>
      </c>
      <c r="M179" s="393"/>
      <c r="N179" s="397"/>
    </row>
    <row r="180" spans="1:14" ht="15.75">
      <c r="A180" s="298">
        <v>570000</v>
      </c>
      <c r="B180" s="297" t="s">
        <v>335</v>
      </c>
      <c r="C180" s="296"/>
      <c r="F180" s="264">
        <f t="shared" si="3"/>
        <v>649</v>
      </c>
      <c r="G180" s="264">
        <v>0</v>
      </c>
      <c r="H180" s="264">
        <v>649261</v>
      </c>
      <c r="M180" s="393"/>
      <c r="N180" s="397"/>
    </row>
    <row r="181" spans="1:14" ht="15.75">
      <c r="A181" s="394">
        <v>570100</v>
      </c>
      <c r="B181" s="393" t="s">
        <v>632</v>
      </c>
      <c r="C181" s="296"/>
      <c r="F181" s="264">
        <f t="shared" si="3"/>
        <v>0</v>
      </c>
      <c r="G181" s="264">
        <v>0</v>
      </c>
      <c r="H181" s="264">
        <v>0</v>
      </c>
      <c r="M181" s="393"/>
      <c r="N181" s="397"/>
    </row>
    <row r="182" spans="1:14" ht="15.75">
      <c r="A182" s="298">
        <v>571000</v>
      </c>
      <c r="B182" s="297" t="s">
        <v>336</v>
      </c>
      <c r="C182" s="296"/>
      <c r="F182" s="264">
        <f t="shared" si="3"/>
        <v>654</v>
      </c>
      <c r="G182" s="264">
        <v>0</v>
      </c>
      <c r="H182" s="264">
        <v>653735</v>
      </c>
      <c r="M182" s="393"/>
      <c r="N182" s="397"/>
    </row>
    <row r="183" spans="1:14" ht="15.75">
      <c r="A183" s="298">
        <v>572000</v>
      </c>
      <c r="B183" s="297" t="s">
        <v>337</v>
      </c>
      <c r="C183" s="296"/>
      <c r="F183" s="264">
        <f t="shared" si="3"/>
        <v>0</v>
      </c>
      <c r="G183" s="264">
        <v>0</v>
      </c>
      <c r="H183" s="264">
        <v>46</v>
      </c>
      <c r="M183" s="393"/>
      <c r="N183" s="397"/>
    </row>
    <row r="184" spans="1:14" ht="15.75">
      <c r="A184" s="298">
        <v>573000</v>
      </c>
      <c r="B184" s="297" t="s">
        <v>338</v>
      </c>
      <c r="C184" s="296"/>
      <c r="F184" s="264">
        <f t="shared" si="3"/>
        <v>52</v>
      </c>
      <c r="G184" s="264">
        <v>0</v>
      </c>
      <c r="H184" s="264">
        <v>51550</v>
      </c>
      <c r="M184" s="393"/>
      <c r="N184" s="397"/>
    </row>
    <row r="185" spans="1:14" ht="15.75">
      <c r="A185" s="295"/>
      <c r="B185" s="297" t="s">
        <v>339</v>
      </c>
      <c r="C185" s="296"/>
      <c r="F185" s="264">
        <f t="shared" si="3"/>
        <v>20555</v>
      </c>
      <c r="G185" s="264">
        <v>0</v>
      </c>
      <c r="H185" s="264">
        <v>20554821</v>
      </c>
      <c r="M185" s="393"/>
      <c r="N185" s="397"/>
    </row>
    <row r="186" spans="1:14" ht="15.75">
      <c r="A186" s="295"/>
      <c r="B186" s="297"/>
      <c r="C186" s="296"/>
      <c r="F186" s="264">
        <f t="shared" si="3"/>
        <v>0</v>
      </c>
      <c r="G186" s="264">
        <v>0</v>
      </c>
      <c r="M186" s="393"/>
    </row>
    <row r="187" spans="1:14" ht="15.75">
      <c r="A187" s="295"/>
      <c r="B187" s="297" t="s">
        <v>340</v>
      </c>
      <c r="C187" s="296"/>
      <c r="F187" s="264">
        <f t="shared" si="3"/>
        <v>21925</v>
      </c>
      <c r="G187" s="264">
        <v>0</v>
      </c>
      <c r="H187" s="690">
        <v>21925315</v>
      </c>
      <c r="M187" s="393"/>
    </row>
    <row r="188" spans="1:14" ht="15.75">
      <c r="A188" s="295"/>
      <c r="B188" s="297" t="s">
        <v>341</v>
      </c>
      <c r="C188" s="296"/>
      <c r="F188" s="264">
        <f t="shared" ref="F188:F229" si="4">ROUND(H188/1000,0)</f>
        <v>9925</v>
      </c>
      <c r="G188" s="264">
        <v>0</v>
      </c>
      <c r="H188" s="690">
        <v>9924612</v>
      </c>
      <c r="M188" s="393"/>
    </row>
    <row r="189" spans="1:14" ht="15.75">
      <c r="A189" s="302"/>
      <c r="B189" s="300" t="s">
        <v>342</v>
      </c>
      <c r="C189" s="301"/>
      <c r="F189" s="264">
        <f t="shared" si="4"/>
        <v>749</v>
      </c>
      <c r="G189" s="264">
        <v>0</v>
      </c>
      <c r="H189" s="690">
        <v>749272</v>
      </c>
      <c r="M189" s="396"/>
    </row>
    <row r="190" spans="1:14" ht="15.75">
      <c r="A190" s="302"/>
      <c r="B190" s="297" t="s">
        <v>597</v>
      </c>
      <c r="C190" s="301"/>
      <c r="F190" s="264">
        <f t="shared" si="4"/>
        <v>-152</v>
      </c>
      <c r="G190" s="264">
        <v>0</v>
      </c>
      <c r="H190" s="690">
        <v>-152192</v>
      </c>
      <c r="M190" s="393"/>
    </row>
    <row r="191" spans="1:14" ht="15.75">
      <c r="A191" s="298">
        <v>403027</v>
      </c>
      <c r="B191" s="393" t="s">
        <v>718</v>
      </c>
      <c r="C191" s="301"/>
      <c r="F191" s="264">
        <f t="shared" si="4"/>
        <v>0</v>
      </c>
      <c r="G191" s="264">
        <v>0</v>
      </c>
      <c r="H191" s="690">
        <v>0</v>
      </c>
      <c r="M191" s="393"/>
    </row>
    <row r="192" spans="1:14" ht="15.75">
      <c r="A192" s="298">
        <v>405930</v>
      </c>
      <c r="B192" s="297" t="s">
        <v>343</v>
      </c>
      <c r="C192" s="296"/>
      <c r="F192" s="264">
        <f t="shared" si="4"/>
        <v>1633</v>
      </c>
      <c r="G192" s="264">
        <v>0</v>
      </c>
      <c r="H192" s="690">
        <v>1632961</v>
      </c>
      <c r="M192" s="393"/>
    </row>
    <row r="193" spans="1:13" ht="15.75">
      <c r="A193" s="298">
        <v>406100</v>
      </c>
      <c r="B193" s="297" t="s">
        <v>344</v>
      </c>
      <c r="C193" s="296"/>
      <c r="F193" s="264">
        <f t="shared" si="4"/>
        <v>32</v>
      </c>
      <c r="G193" s="264">
        <v>0</v>
      </c>
      <c r="H193" s="690">
        <v>31743</v>
      </c>
      <c r="M193" s="393"/>
    </row>
    <row r="194" spans="1:13" ht="15.75">
      <c r="A194" s="298">
        <v>407312</v>
      </c>
      <c r="B194" s="297" t="s">
        <v>345</v>
      </c>
      <c r="C194" s="296"/>
      <c r="F194" s="264">
        <f t="shared" si="4"/>
        <v>0</v>
      </c>
      <c r="G194" s="264">
        <v>0</v>
      </c>
      <c r="H194" s="690">
        <v>0</v>
      </c>
      <c r="M194" s="393"/>
    </row>
    <row r="195" spans="1:13" ht="15.75">
      <c r="A195" s="395">
        <v>407320</v>
      </c>
      <c r="B195" s="396" t="s">
        <v>635</v>
      </c>
      <c r="C195" s="296"/>
      <c r="F195" s="264">
        <f t="shared" si="4"/>
        <v>0</v>
      </c>
      <c r="G195" s="264">
        <v>0</v>
      </c>
      <c r="H195" s="690">
        <v>0</v>
      </c>
      <c r="M195" s="396"/>
    </row>
    <row r="196" spans="1:13" ht="15.75">
      <c r="A196" s="299">
        <v>407322</v>
      </c>
      <c r="B196" s="300" t="s">
        <v>346</v>
      </c>
      <c r="C196" s="301"/>
      <c r="F196" s="264">
        <f t="shared" si="4"/>
        <v>73</v>
      </c>
      <c r="G196" s="264">
        <v>0</v>
      </c>
      <c r="H196" s="690">
        <v>72939</v>
      </c>
      <c r="M196" s="396"/>
    </row>
    <row r="197" spans="1:13" ht="15.75">
      <c r="A197" s="299">
        <v>407324</v>
      </c>
      <c r="B197" s="300" t="s">
        <v>347</v>
      </c>
      <c r="C197" s="301"/>
      <c r="F197" s="264">
        <f t="shared" si="4"/>
        <v>142</v>
      </c>
      <c r="G197" s="264">
        <v>0</v>
      </c>
      <c r="H197" s="690">
        <v>142345</v>
      </c>
      <c r="M197" s="396"/>
    </row>
    <row r="198" spans="1:13" ht="15.75">
      <c r="A198" s="299">
        <v>407326</v>
      </c>
      <c r="B198" s="300" t="s">
        <v>639</v>
      </c>
      <c r="C198" s="301"/>
      <c r="F198" s="264">
        <f t="shared" si="4"/>
        <v>0</v>
      </c>
      <c r="G198" s="264">
        <v>0</v>
      </c>
      <c r="H198" s="690">
        <v>0</v>
      </c>
      <c r="M198" s="396"/>
    </row>
    <row r="199" spans="1:13" ht="15.75">
      <c r="A199" s="299">
        <v>407327</v>
      </c>
      <c r="B199" s="396" t="s">
        <v>719</v>
      </c>
      <c r="C199" s="301"/>
      <c r="F199" s="264">
        <f t="shared" si="4"/>
        <v>0</v>
      </c>
      <c r="G199" s="264">
        <v>0</v>
      </c>
      <c r="H199" s="690">
        <v>0</v>
      </c>
      <c r="M199" s="396"/>
    </row>
    <row r="200" spans="1:13" ht="15.75">
      <c r="A200" s="299">
        <v>407331</v>
      </c>
      <c r="B200" s="300" t="s">
        <v>598</v>
      </c>
      <c r="C200" s="301"/>
      <c r="F200" s="264">
        <f t="shared" si="4"/>
        <v>0</v>
      </c>
      <c r="G200" s="264">
        <v>0</v>
      </c>
      <c r="H200" s="690">
        <v>0</v>
      </c>
      <c r="M200" s="396"/>
    </row>
    <row r="201" spans="1:13" ht="15.75">
      <c r="A201" s="299">
        <v>407333</v>
      </c>
      <c r="B201" s="300" t="s">
        <v>599</v>
      </c>
      <c r="C201" s="301"/>
      <c r="F201" s="264">
        <f t="shared" si="4"/>
        <v>21</v>
      </c>
      <c r="G201" s="264">
        <v>0</v>
      </c>
      <c r="H201" s="690">
        <v>21477</v>
      </c>
      <c r="M201" s="396"/>
    </row>
    <row r="202" spans="1:13" ht="15.75">
      <c r="A202" s="299">
        <v>407335</v>
      </c>
      <c r="B202" s="300" t="s">
        <v>348</v>
      </c>
      <c r="C202" s="296"/>
      <c r="F202" s="264">
        <f t="shared" si="4"/>
        <v>0</v>
      </c>
      <c r="G202" s="264">
        <v>0</v>
      </c>
      <c r="H202" s="690">
        <v>0</v>
      </c>
      <c r="M202" s="396"/>
    </row>
    <row r="203" spans="1:13" ht="15.75">
      <c r="A203" s="298">
        <v>407350</v>
      </c>
      <c r="B203" s="297" t="s">
        <v>600</v>
      </c>
      <c r="C203" s="296"/>
      <c r="F203" s="264">
        <f t="shared" si="4"/>
        <v>0</v>
      </c>
      <c r="G203" s="264">
        <v>0</v>
      </c>
      <c r="H203" s="690">
        <v>0</v>
      </c>
      <c r="M203" s="393"/>
    </row>
    <row r="204" spans="1:13" ht="15.75">
      <c r="A204" s="298">
        <v>407351</v>
      </c>
      <c r="B204" s="297" t="s">
        <v>349</v>
      </c>
      <c r="C204" s="301"/>
      <c r="F204" s="264">
        <f t="shared" si="4"/>
        <v>0</v>
      </c>
      <c r="G204" s="264">
        <v>0</v>
      </c>
      <c r="H204" s="690">
        <v>0</v>
      </c>
      <c r="M204" s="393"/>
    </row>
    <row r="205" spans="1:13" ht="15.75">
      <c r="A205" s="298">
        <v>407360</v>
      </c>
      <c r="B205" s="297" t="s">
        <v>601</v>
      </c>
      <c r="C205" s="301"/>
      <c r="F205" s="264">
        <f t="shared" si="4"/>
        <v>0</v>
      </c>
      <c r="G205" s="264">
        <v>0</v>
      </c>
      <c r="H205" s="690">
        <v>0</v>
      </c>
      <c r="M205" s="393"/>
    </row>
    <row r="206" spans="1:13" ht="15.75">
      <c r="A206" s="298">
        <v>407362</v>
      </c>
      <c r="B206" s="297" t="s">
        <v>602</v>
      </c>
      <c r="C206" s="301"/>
      <c r="F206" s="264">
        <f t="shared" si="4"/>
        <v>0</v>
      </c>
      <c r="G206" s="264">
        <v>0</v>
      </c>
      <c r="H206" s="690">
        <v>0</v>
      </c>
      <c r="M206" s="393"/>
    </row>
    <row r="207" spans="1:13" ht="15.75">
      <c r="A207" s="298">
        <v>407365</v>
      </c>
      <c r="B207" s="297" t="s">
        <v>603</v>
      </c>
      <c r="C207" s="301"/>
      <c r="F207" s="264">
        <f t="shared" si="4"/>
        <v>0</v>
      </c>
      <c r="G207" s="264">
        <v>0</v>
      </c>
      <c r="H207" s="690">
        <v>0</v>
      </c>
      <c r="M207" s="393"/>
    </row>
    <row r="208" spans="1:13" ht="15.75">
      <c r="A208" s="298">
        <v>407368</v>
      </c>
      <c r="B208" s="297" t="s">
        <v>659</v>
      </c>
      <c r="C208" s="301"/>
      <c r="F208" s="264">
        <f t="shared" si="4"/>
        <v>0</v>
      </c>
      <c r="H208" s="690">
        <v>0</v>
      </c>
      <c r="M208" s="393"/>
    </row>
    <row r="209" spans="1:13" ht="15.75">
      <c r="A209" s="298">
        <v>407380</v>
      </c>
      <c r="B209" s="297" t="s">
        <v>350</v>
      </c>
      <c r="C209" s="301"/>
      <c r="F209" s="264">
        <f t="shared" si="4"/>
        <v>0</v>
      </c>
      <c r="G209" s="264">
        <v>0</v>
      </c>
      <c r="H209" s="690">
        <v>0</v>
      </c>
      <c r="M209" s="393"/>
    </row>
    <row r="210" spans="1:13" ht="15.75">
      <c r="A210" s="299">
        <v>407382</v>
      </c>
      <c r="B210" s="300" t="s">
        <v>351</v>
      </c>
      <c r="C210" s="301"/>
      <c r="F210" s="264">
        <f t="shared" si="4"/>
        <v>580</v>
      </c>
      <c r="G210" s="264">
        <v>0</v>
      </c>
      <c r="H210" s="690">
        <v>580314</v>
      </c>
      <c r="M210" s="396"/>
    </row>
    <row r="211" spans="1:13" ht="15.75">
      <c r="A211" s="299">
        <v>407382</v>
      </c>
      <c r="B211" s="300" t="s">
        <v>352</v>
      </c>
      <c r="C211" s="301"/>
      <c r="F211" s="264">
        <f t="shared" si="4"/>
        <v>152</v>
      </c>
      <c r="G211" s="264">
        <v>0</v>
      </c>
      <c r="H211" s="690">
        <v>152118</v>
      </c>
      <c r="M211" s="396"/>
    </row>
    <row r="212" spans="1:13" ht="15.75">
      <c r="A212" s="395">
        <v>407391</v>
      </c>
      <c r="B212" s="396" t="s">
        <v>639</v>
      </c>
      <c r="C212" s="301"/>
      <c r="F212" s="264">
        <f t="shared" si="4"/>
        <v>0</v>
      </c>
      <c r="G212" s="264">
        <v>0</v>
      </c>
      <c r="H212" s="690">
        <v>0</v>
      </c>
      <c r="M212" s="396"/>
    </row>
    <row r="213" spans="1:13" ht="15.75">
      <c r="A213" s="299">
        <v>407395</v>
      </c>
      <c r="B213" s="300" t="s">
        <v>353</v>
      </c>
      <c r="C213" s="301"/>
      <c r="F213" s="264">
        <f t="shared" si="4"/>
        <v>156</v>
      </c>
      <c r="G213" s="264">
        <v>0</v>
      </c>
      <c r="H213" s="690">
        <v>156371</v>
      </c>
      <c r="M213" s="396"/>
    </row>
    <row r="214" spans="1:13" ht="15.75">
      <c r="A214" s="298">
        <v>407403</v>
      </c>
      <c r="B214" s="297" t="s">
        <v>354</v>
      </c>
      <c r="C214" s="301"/>
      <c r="F214" s="264">
        <f t="shared" si="4"/>
        <v>-6</v>
      </c>
      <c r="G214" s="264">
        <v>0</v>
      </c>
      <c r="H214" s="690">
        <v>-5609</v>
      </c>
      <c r="M214" s="393"/>
    </row>
    <row r="215" spans="1:13" ht="15.75">
      <c r="A215" s="298">
        <v>407405</v>
      </c>
      <c r="B215" s="297" t="s">
        <v>355</v>
      </c>
      <c r="C215" s="296"/>
      <c r="F215" s="264">
        <f t="shared" si="4"/>
        <v>0</v>
      </c>
      <c r="G215" s="264">
        <v>0</v>
      </c>
      <c r="H215" s="690">
        <v>0</v>
      </c>
      <c r="M215" s="393"/>
    </row>
    <row r="216" spans="1:13" ht="15.75">
      <c r="A216" s="298">
        <v>407420</v>
      </c>
      <c r="B216" s="297" t="s">
        <v>356</v>
      </c>
      <c r="C216" s="296"/>
      <c r="F216" s="264">
        <f t="shared" si="4"/>
        <v>0</v>
      </c>
      <c r="G216" s="264">
        <v>0</v>
      </c>
      <c r="H216" s="690">
        <v>0</v>
      </c>
      <c r="M216" s="393"/>
    </row>
    <row r="217" spans="1:13" ht="15.75">
      <c r="A217" s="298">
        <v>407427</v>
      </c>
      <c r="B217" s="393" t="s">
        <v>720</v>
      </c>
      <c r="C217" s="296"/>
      <c r="F217" s="264">
        <f t="shared" si="4"/>
        <v>0</v>
      </c>
      <c r="G217" s="264">
        <v>0</v>
      </c>
      <c r="H217" s="690">
        <v>0</v>
      </c>
      <c r="M217" s="393"/>
    </row>
    <row r="218" spans="1:13" ht="15.75">
      <c r="A218" s="295" t="s">
        <v>357</v>
      </c>
      <c r="B218" s="297" t="s">
        <v>358</v>
      </c>
      <c r="C218" s="296"/>
      <c r="F218" s="264">
        <f t="shared" si="4"/>
        <v>-3523</v>
      </c>
      <c r="G218" s="264">
        <v>0</v>
      </c>
      <c r="H218" s="690">
        <v>-3522792</v>
      </c>
      <c r="M218" s="393"/>
    </row>
    <row r="219" spans="1:13" ht="15.75">
      <c r="A219" s="395">
        <v>407455</v>
      </c>
      <c r="B219" s="396" t="s">
        <v>660</v>
      </c>
      <c r="C219" s="296"/>
      <c r="F219" s="264">
        <f t="shared" si="4"/>
        <v>0</v>
      </c>
      <c r="G219" s="264">
        <v>0</v>
      </c>
      <c r="H219" s="690">
        <v>0</v>
      </c>
      <c r="M219" s="396"/>
    </row>
    <row r="220" spans="1:13" ht="15.75">
      <c r="A220" s="299">
        <v>407460</v>
      </c>
      <c r="B220" s="300" t="s">
        <v>359</v>
      </c>
      <c r="C220" s="301"/>
      <c r="F220" s="264">
        <f t="shared" si="4"/>
        <v>0</v>
      </c>
      <c r="G220" s="264">
        <v>0</v>
      </c>
      <c r="H220" s="690">
        <v>0</v>
      </c>
      <c r="M220" s="396"/>
    </row>
    <row r="221" spans="1:13" ht="15.75">
      <c r="A221" s="299">
        <v>407462</v>
      </c>
      <c r="B221" s="300" t="s">
        <v>604</v>
      </c>
      <c r="C221" s="296"/>
      <c r="F221" s="264">
        <f t="shared" si="4"/>
        <v>0</v>
      </c>
      <c r="G221" s="264">
        <v>0</v>
      </c>
      <c r="H221" s="690">
        <v>0</v>
      </c>
      <c r="M221" s="396"/>
    </row>
    <row r="222" spans="1:13" ht="15.75">
      <c r="A222" s="395">
        <v>407494</v>
      </c>
      <c r="B222" s="396" t="s">
        <v>640</v>
      </c>
      <c r="C222" s="296"/>
      <c r="F222" s="264">
        <f t="shared" si="4"/>
        <v>34</v>
      </c>
      <c r="G222" s="264">
        <v>0</v>
      </c>
      <c r="H222" s="690">
        <v>34085</v>
      </c>
      <c r="M222" s="396"/>
    </row>
    <row r="223" spans="1:13" ht="15.75">
      <c r="A223" s="299">
        <v>407495</v>
      </c>
      <c r="B223" s="300" t="s">
        <v>605</v>
      </c>
      <c r="C223" s="301"/>
      <c r="F223" s="264">
        <f t="shared" si="4"/>
        <v>-6</v>
      </c>
      <c r="G223" s="264">
        <v>0</v>
      </c>
      <c r="H223" s="690">
        <v>-5524</v>
      </c>
      <c r="M223" s="396"/>
    </row>
    <row r="224" spans="1:13" ht="15.75">
      <c r="A224" s="299">
        <v>407496</v>
      </c>
      <c r="B224" s="300" t="s">
        <v>606</v>
      </c>
      <c r="C224" s="301"/>
      <c r="F224" s="264">
        <f t="shared" si="4"/>
        <v>0</v>
      </c>
      <c r="G224" s="264">
        <v>0</v>
      </c>
      <c r="H224" s="690">
        <v>0</v>
      </c>
      <c r="M224" s="396"/>
    </row>
    <row r="225" spans="1:13" ht="15.75">
      <c r="A225" s="395">
        <v>407497</v>
      </c>
      <c r="B225" s="396" t="s">
        <v>633</v>
      </c>
      <c r="C225" s="301"/>
      <c r="F225" s="264">
        <f t="shared" si="4"/>
        <v>0</v>
      </c>
      <c r="G225" s="264">
        <v>0</v>
      </c>
      <c r="H225" s="690">
        <v>0</v>
      </c>
      <c r="M225" s="396"/>
    </row>
    <row r="226" spans="1:13" ht="15.75">
      <c r="A226" s="295"/>
      <c r="B226" s="297" t="s">
        <v>360</v>
      </c>
      <c r="C226" s="296"/>
      <c r="F226" s="264">
        <f t="shared" si="4"/>
        <v>16489</v>
      </c>
      <c r="G226" s="264">
        <v>0</v>
      </c>
      <c r="H226" s="690">
        <v>16488877</v>
      </c>
      <c r="M226" s="393"/>
    </row>
    <row r="227" spans="1:13" ht="15.75">
      <c r="A227" s="295"/>
      <c r="B227" s="297" t="s">
        <v>361</v>
      </c>
      <c r="C227" s="296"/>
      <c r="F227" s="264">
        <f t="shared" si="4"/>
        <v>48226</v>
      </c>
      <c r="G227" s="264">
        <v>0</v>
      </c>
      <c r="H227" s="690">
        <v>48226312</v>
      </c>
      <c r="M227" s="393"/>
    </row>
    <row r="228" spans="1:13" ht="15.75">
      <c r="A228" s="295"/>
      <c r="B228" s="297"/>
      <c r="C228" s="296"/>
      <c r="F228" s="264">
        <f t="shared" si="4"/>
        <v>0</v>
      </c>
      <c r="G228" s="264">
        <v>0</v>
      </c>
      <c r="H228" s="690"/>
      <c r="M228" s="393"/>
    </row>
    <row r="229" spans="1:13" ht="15.75">
      <c r="A229" s="295"/>
      <c r="B229" s="297" t="s">
        <v>362</v>
      </c>
      <c r="C229" s="296"/>
      <c r="F229" s="264">
        <f t="shared" si="4"/>
        <v>307862</v>
      </c>
      <c r="G229" s="264">
        <v>0</v>
      </c>
      <c r="H229" s="690">
        <v>307862133</v>
      </c>
      <c r="M229" s="397"/>
    </row>
    <row r="230" spans="1:13" ht="15.75">
      <c r="A230" s="295"/>
      <c r="B230" s="297"/>
      <c r="C230" s="296"/>
      <c r="F230" s="264">
        <f>ROUND(H230/1000,0)</f>
        <v>0</v>
      </c>
      <c r="G230" s="264">
        <v>0</v>
      </c>
      <c r="H230" s="690"/>
      <c r="M230" s="393"/>
    </row>
    <row r="231" spans="1:13" ht="15.75">
      <c r="A231" s="295"/>
      <c r="B231" s="297" t="s">
        <v>363</v>
      </c>
      <c r="C231" s="296"/>
      <c r="F231" s="264">
        <f>ROUND(H231/1000,0)</f>
        <v>0</v>
      </c>
      <c r="G231" s="264">
        <v>0</v>
      </c>
      <c r="H231" s="690"/>
      <c r="M231" s="397"/>
    </row>
    <row r="232" spans="1:13" ht="15.75">
      <c r="A232" s="295"/>
      <c r="B232" s="296" t="s">
        <v>364</v>
      </c>
      <c r="C232" s="296"/>
      <c r="F232" s="264">
        <f>ROUND(H232/1000,0)</f>
        <v>0</v>
      </c>
      <c r="G232" s="264">
        <v>0</v>
      </c>
      <c r="H232" s="690"/>
      <c r="M232" s="393"/>
    </row>
    <row r="233" spans="1:13" ht="15.75">
      <c r="A233" s="298">
        <v>580000</v>
      </c>
      <c r="B233" s="297" t="s">
        <v>296</v>
      </c>
      <c r="C233" s="296"/>
      <c r="F233" s="264">
        <f>ROUND(H233/1000,0)</f>
        <v>3144</v>
      </c>
      <c r="G233" s="264">
        <v>0</v>
      </c>
      <c r="H233" s="690">
        <v>3143735</v>
      </c>
      <c r="M233" s="393"/>
    </row>
    <row r="234" spans="1:13" ht="15.75">
      <c r="A234" s="298">
        <v>582000</v>
      </c>
      <c r="B234" s="296" t="s">
        <v>331</v>
      </c>
      <c r="C234" s="296"/>
      <c r="F234" s="264">
        <f>ROUND(H234/1000,0)</f>
        <v>543</v>
      </c>
      <c r="G234" s="264">
        <v>0</v>
      </c>
      <c r="H234" s="690">
        <v>543467</v>
      </c>
      <c r="M234" s="393"/>
    </row>
    <row r="235" spans="1:13" ht="15.75">
      <c r="A235" s="298">
        <v>583000</v>
      </c>
      <c r="B235" s="297" t="s">
        <v>332</v>
      </c>
      <c r="C235" s="296"/>
      <c r="F235" s="264">
        <f t="shared" ref="F235:F300" si="5">ROUND(H235/1000,0)</f>
        <v>1606</v>
      </c>
      <c r="G235" s="264">
        <v>0</v>
      </c>
      <c r="H235" s="690">
        <v>1605630</v>
      </c>
      <c r="M235" s="393"/>
    </row>
    <row r="236" spans="1:13" ht="15.75">
      <c r="A236" s="298">
        <v>584000</v>
      </c>
      <c r="B236" s="297" t="s">
        <v>365</v>
      </c>
      <c r="C236" s="296"/>
      <c r="F236" s="264">
        <f t="shared" si="5"/>
        <v>1036</v>
      </c>
      <c r="G236" s="264">
        <v>0</v>
      </c>
      <c r="H236" s="690">
        <v>1036015</v>
      </c>
      <c r="M236" s="393"/>
    </row>
    <row r="237" spans="1:13" ht="15.75">
      <c r="A237" s="394">
        <v>584100</v>
      </c>
      <c r="B237" s="393" t="s">
        <v>632</v>
      </c>
      <c r="C237" s="296"/>
      <c r="F237" s="264">
        <f t="shared" si="5"/>
        <v>0</v>
      </c>
      <c r="G237" s="264">
        <v>0</v>
      </c>
      <c r="H237" s="690">
        <v>0</v>
      </c>
      <c r="M237" s="393"/>
    </row>
    <row r="238" spans="1:13" ht="15.75">
      <c r="A238" s="298">
        <v>585000</v>
      </c>
      <c r="B238" s="297" t="s">
        <v>366</v>
      </c>
      <c r="C238" s="296"/>
      <c r="F238" s="264">
        <f t="shared" si="5"/>
        <v>7</v>
      </c>
      <c r="G238" s="264">
        <v>0</v>
      </c>
      <c r="H238" s="690">
        <v>6884</v>
      </c>
      <c r="M238" s="393"/>
    </row>
    <row r="239" spans="1:13" ht="15.75">
      <c r="A239" s="298">
        <v>586000</v>
      </c>
      <c r="B239" s="297" t="s">
        <v>367</v>
      </c>
      <c r="C239" s="296"/>
      <c r="F239" s="264">
        <f t="shared" si="5"/>
        <v>1869</v>
      </c>
      <c r="G239" s="264">
        <v>0</v>
      </c>
      <c r="H239" s="690">
        <v>1869273</v>
      </c>
      <c r="M239" s="393"/>
    </row>
    <row r="240" spans="1:13" ht="15.75">
      <c r="A240" s="298">
        <v>587000</v>
      </c>
      <c r="B240" s="297" t="s">
        <v>368</v>
      </c>
      <c r="C240" s="296"/>
      <c r="F240" s="264">
        <f t="shared" si="5"/>
        <v>671</v>
      </c>
      <c r="G240" s="264">
        <v>0</v>
      </c>
      <c r="H240" s="690">
        <v>671049</v>
      </c>
      <c r="M240" s="393"/>
    </row>
    <row r="241" spans="1:13" ht="15.75">
      <c r="A241" s="298">
        <v>588000</v>
      </c>
      <c r="B241" s="297" t="s">
        <v>369</v>
      </c>
      <c r="C241" s="296"/>
      <c r="F241" s="264">
        <f t="shared" si="5"/>
        <v>6025</v>
      </c>
      <c r="G241" s="264">
        <v>0</v>
      </c>
      <c r="H241" s="690">
        <v>6024882</v>
      </c>
      <c r="M241" s="397"/>
    </row>
    <row r="242" spans="1:13" ht="15.75">
      <c r="A242" s="298">
        <v>589000</v>
      </c>
      <c r="B242" s="297" t="s">
        <v>301</v>
      </c>
      <c r="C242" s="296"/>
      <c r="F242" s="264">
        <f t="shared" si="5"/>
        <v>251</v>
      </c>
      <c r="G242" s="264">
        <v>0</v>
      </c>
      <c r="H242" s="690">
        <v>251264</v>
      </c>
      <c r="M242" s="393"/>
    </row>
    <row r="243" spans="1:13" ht="15.75">
      <c r="A243" s="303"/>
      <c r="B243" s="297"/>
      <c r="C243" s="296"/>
      <c r="F243" s="264">
        <f t="shared" si="5"/>
        <v>0</v>
      </c>
      <c r="G243" s="264">
        <v>0</v>
      </c>
      <c r="H243" s="690"/>
      <c r="M243" s="393"/>
    </row>
    <row r="244" spans="1:13" ht="15.75">
      <c r="A244" s="295"/>
      <c r="B244" s="296" t="s">
        <v>370</v>
      </c>
      <c r="C244" s="296"/>
      <c r="F244" s="264">
        <f t="shared" si="5"/>
        <v>0</v>
      </c>
      <c r="G244" s="264">
        <v>0</v>
      </c>
      <c r="H244" s="690"/>
      <c r="M244" s="397"/>
    </row>
    <row r="245" spans="1:13" ht="15.75">
      <c r="A245" s="298">
        <v>590000</v>
      </c>
      <c r="B245" s="297" t="s">
        <v>296</v>
      </c>
      <c r="C245" s="296"/>
      <c r="F245" s="264">
        <f t="shared" si="5"/>
        <v>1063</v>
      </c>
      <c r="G245" s="264">
        <v>0</v>
      </c>
      <c r="H245" s="690">
        <v>1062515</v>
      </c>
      <c r="M245" s="393"/>
    </row>
    <row r="246" spans="1:13" ht="15.75">
      <c r="A246" s="298">
        <v>591000</v>
      </c>
      <c r="B246" s="297" t="s">
        <v>303</v>
      </c>
      <c r="C246" s="296"/>
      <c r="F246" s="264">
        <f t="shared" si="5"/>
        <v>401</v>
      </c>
      <c r="G246" s="264">
        <v>0</v>
      </c>
      <c r="H246" s="690">
        <v>401277</v>
      </c>
      <c r="M246" s="393"/>
    </row>
    <row r="247" spans="1:13" ht="15.75">
      <c r="A247" s="298">
        <v>592000</v>
      </c>
      <c r="B247" s="296" t="s">
        <v>335</v>
      </c>
      <c r="C247" s="296"/>
      <c r="F247" s="264">
        <f t="shared" si="5"/>
        <v>685</v>
      </c>
      <c r="G247" s="264">
        <v>0</v>
      </c>
      <c r="H247" s="690">
        <v>685033</v>
      </c>
      <c r="M247" s="393"/>
    </row>
    <row r="248" spans="1:13" ht="15.75">
      <c r="A248" s="394">
        <v>592200</v>
      </c>
      <c r="B248" s="393" t="s">
        <v>632</v>
      </c>
      <c r="C248" s="296"/>
      <c r="F248" s="264">
        <f t="shared" si="5"/>
        <v>0</v>
      </c>
      <c r="G248" s="264">
        <v>0</v>
      </c>
      <c r="H248" s="690">
        <v>0</v>
      </c>
      <c r="M248" s="393"/>
    </row>
    <row r="249" spans="1:13" ht="15.75">
      <c r="A249" s="298">
        <v>593000</v>
      </c>
      <c r="B249" s="297" t="s">
        <v>336</v>
      </c>
      <c r="C249" s="296"/>
      <c r="F249" s="264">
        <f t="shared" si="5"/>
        <v>7914</v>
      </c>
      <c r="G249" s="264">
        <v>0</v>
      </c>
      <c r="H249" s="690">
        <v>7914136</v>
      </c>
      <c r="M249" s="393"/>
    </row>
    <row r="250" spans="1:13" ht="15.75">
      <c r="A250" s="298">
        <v>594000</v>
      </c>
      <c r="B250" s="297" t="s">
        <v>337</v>
      </c>
      <c r="C250" s="296"/>
      <c r="F250" s="264">
        <f t="shared" si="5"/>
        <v>603</v>
      </c>
      <c r="G250" s="264">
        <v>0</v>
      </c>
      <c r="H250" s="690">
        <v>602770</v>
      </c>
      <c r="M250" s="393"/>
    </row>
    <row r="251" spans="1:13" ht="15.75">
      <c r="A251" s="298">
        <v>595000</v>
      </c>
      <c r="B251" s="297" t="s">
        <v>371</v>
      </c>
      <c r="C251" s="296"/>
      <c r="F251" s="264">
        <f t="shared" si="5"/>
        <v>316</v>
      </c>
      <c r="G251" s="264">
        <v>0</v>
      </c>
      <c r="H251" s="690">
        <v>316235</v>
      </c>
      <c r="M251" s="393"/>
    </row>
    <row r="252" spans="1:13" ht="15.75">
      <c r="A252" s="298">
        <v>596000</v>
      </c>
      <c r="B252" s="297" t="s">
        <v>372</v>
      </c>
      <c r="C252" s="296"/>
      <c r="F252" s="264">
        <f t="shared" si="5"/>
        <v>167</v>
      </c>
      <c r="G252" s="264">
        <v>0</v>
      </c>
      <c r="H252" s="690">
        <v>167362</v>
      </c>
      <c r="M252" s="393"/>
    </row>
    <row r="253" spans="1:13" ht="15.75">
      <c r="A253" s="298">
        <v>597000</v>
      </c>
      <c r="B253" s="297" t="s">
        <v>373</v>
      </c>
      <c r="C253" s="296"/>
      <c r="F253" s="264">
        <f t="shared" si="5"/>
        <v>37</v>
      </c>
      <c r="G253" s="264">
        <v>0</v>
      </c>
      <c r="H253" s="690">
        <v>37495</v>
      </c>
      <c r="M253" s="393"/>
    </row>
    <row r="254" spans="1:13" ht="15.75">
      <c r="A254" s="298">
        <v>598000</v>
      </c>
      <c r="B254" s="297" t="s">
        <v>369</v>
      </c>
      <c r="C254" s="296"/>
      <c r="F254" s="264">
        <f t="shared" si="5"/>
        <v>408</v>
      </c>
      <c r="G254" s="264">
        <v>0</v>
      </c>
      <c r="H254" s="690">
        <v>407521</v>
      </c>
      <c r="M254" s="393"/>
    </row>
    <row r="255" spans="1:13" ht="15.75">
      <c r="A255" s="303"/>
      <c r="B255" s="297" t="s">
        <v>374</v>
      </c>
      <c r="C255" s="296"/>
      <c r="F255" s="264">
        <f t="shared" si="5"/>
        <v>26747</v>
      </c>
      <c r="G255" s="264">
        <v>0</v>
      </c>
      <c r="H255" s="690">
        <v>26746543</v>
      </c>
      <c r="M255" s="396"/>
    </row>
    <row r="256" spans="1:13" ht="15.75">
      <c r="A256" s="303"/>
      <c r="B256" s="297"/>
      <c r="C256" s="296"/>
      <c r="F256" s="264">
        <f t="shared" si="5"/>
        <v>0</v>
      </c>
      <c r="G256" s="264">
        <v>0</v>
      </c>
      <c r="H256" s="690"/>
      <c r="M256" s="393"/>
    </row>
    <row r="257" spans="1:13" ht="15.75">
      <c r="A257" s="295"/>
      <c r="B257" s="297" t="s">
        <v>375</v>
      </c>
      <c r="C257" s="296"/>
      <c r="F257" s="264">
        <f t="shared" si="5"/>
        <v>31102</v>
      </c>
      <c r="G257" s="264">
        <v>0</v>
      </c>
      <c r="H257" s="690">
        <v>31102442</v>
      </c>
      <c r="M257" s="393"/>
    </row>
    <row r="258" spans="1:13" ht="15.75">
      <c r="A258" s="302"/>
      <c r="B258" s="300" t="s">
        <v>342</v>
      </c>
      <c r="C258" s="301"/>
      <c r="F258" s="264">
        <f t="shared" si="5"/>
        <v>30</v>
      </c>
      <c r="G258" s="264">
        <v>0</v>
      </c>
      <c r="H258" s="690">
        <v>30019</v>
      </c>
      <c r="M258" s="393"/>
    </row>
    <row r="259" spans="1:13" ht="15.75">
      <c r="A259" s="295"/>
      <c r="B259" s="297" t="s">
        <v>376</v>
      </c>
      <c r="C259" s="296"/>
      <c r="F259" s="264">
        <f t="shared" si="5"/>
        <v>47422</v>
      </c>
      <c r="G259" s="264">
        <v>0</v>
      </c>
      <c r="H259" s="690">
        <v>47422214</v>
      </c>
      <c r="M259" s="393"/>
    </row>
    <row r="260" spans="1:13" ht="15.75">
      <c r="A260" s="295"/>
      <c r="B260" s="297" t="s">
        <v>377</v>
      </c>
      <c r="C260" s="296"/>
      <c r="F260" s="264">
        <f t="shared" si="5"/>
        <v>78555</v>
      </c>
      <c r="G260" s="264">
        <v>0</v>
      </c>
      <c r="H260" s="690">
        <v>78554675</v>
      </c>
      <c r="M260" s="397"/>
    </row>
    <row r="261" spans="1:13" ht="15.75">
      <c r="A261" s="295"/>
      <c r="B261" s="297"/>
      <c r="C261" s="296"/>
      <c r="F261" s="264">
        <f t="shared" si="5"/>
        <v>0</v>
      </c>
      <c r="G261" s="264">
        <v>0</v>
      </c>
      <c r="H261" s="690"/>
      <c r="M261" s="393"/>
    </row>
    <row r="262" spans="1:13" ht="15.75">
      <c r="A262" s="295"/>
      <c r="B262" s="297" t="s">
        <v>378</v>
      </c>
      <c r="C262" s="296"/>
      <c r="F262" s="264">
        <f t="shared" si="5"/>
        <v>105301</v>
      </c>
      <c r="G262" s="264">
        <v>0</v>
      </c>
      <c r="H262" s="690">
        <v>105301218</v>
      </c>
      <c r="M262" s="393"/>
    </row>
    <row r="263" spans="1:13" ht="15.75">
      <c r="A263" s="295"/>
      <c r="B263" s="296"/>
      <c r="C263" s="296"/>
      <c r="F263" s="264">
        <f t="shared" si="5"/>
        <v>0</v>
      </c>
      <c r="G263" s="264">
        <v>0</v>
      </c>
      <c r="H263" s="690"/>
      <c r="M263" s="393"/>
    </row>
    <row r="264" spans="1:13" ht="15.75">
      <c r="A264" s="295"/>
      <c r="B264" s="297" t="s">
        <v>379</v>
      </c>
      <c r="C264" s="296"/>
      <c r="F264" s="264">
        <f t="shared" si="5"/>
        <v>0</v>
      </c>
      <c r="G264" s="264">
        <v>0</v>
      </c>
      <c r="H264" s="690"/>
      <c r="M264" s="393"/>
    </row>
    <row r="265" spans="1:13" ht="15.75">
      <c r="A265" s="298">
        <v>901000</v>
      </c>
      <c r="B265" s="297" t="s">
        <v>380</v>
      </c>
      <c r="C265" s="296"/>
      <c r="F265" s="264">
        <f t="shared" si="5"/>
        <v>118</v>
      </c>
      <c r="G265" s="264">
        <v>0</v>
      </c>
      <c r="H265" s="690">
        <v>118193</v>
      </c>
      <c r="M265" s="393"/>
    </row>
    <row r="266" spans="1:13" ht="15.75">
      <c r="A266" s="298">
        <v>902000</v>
      </c>
      <c r="B266" s="297" t="s">
        <v>381</v>
      </c>
      <c r="C266" s="296"/>
      <c r="F266" s="264">
        <f t="shared" si="5"/>
        <v>2558</v>
      </c>
      <c r="G266" s="264">
        <v>0</v>
      </c>
      <c r="H266" s="690">
        <v>2557608</v>
      </c>
      <c r="M266" s="393"/>
    </row>
    <row r="267" spans="1:13" ht="15.75">
      <c r="A267" s="298" t="s">
        <v>382</v>
      </c>
      <c r="B267" s="297" t="s">
        <v>383</v>
      </c>
      <c r="C267" s="296"/>
      <c r="F267" s="264">
        <f t="shared" si="5"/>
        <v>6962</v>
      </c>
      <c r="G267" s="264">
        <v>0</v>
      </c>
      <c r="H267" s="690">
        <v>6961785</v>
      </c>
      <c r="M267" s="393"/>
    </row>
    <row r="268" spans="1:13" ht="15.75">
      <c r="A268" s="298">
        <v>904000</v>
      </c>
      <c r="B268" s="297" t="s">
        <v>384</v>
      </c>
      <c r="C268" s="296"/>
      <c r="F268" s="264">
        <f t="shared" si="5"/>
        <v>137</v>
      </c>
      <c r="G268" s="264">
        <v>0</v>
      </c>
      <c r="H268" s="690">
        <v>136838</v>
      </c>
      <c r="M268" s="393"/>
    </row>
    <row r="269" spans="1:13" ht="15.75">
      <c r="A269" s="298">
        <v>905000</v>
      </c>
      <c r="B269" s="297" t="s">
        <v>385</v>
      </c>
      <c r="C269" s="296"/>
      <c r="F269" s="264">
        <f t="shared" si="5"/>
        <v>141</v>
      </c>
      <c r="G269" s="264">
        <v>0</v>
      </c>
      <c r="H269" s="690">
        <v>141196</v>
      </c>
      <c r="M269" s="393"/>
    </row>
    <row r="270" spans="1:13" ht="15.75">
      <c r="A270" s="295"/>
      <c r="B270" s="297" t="s">
        <v>386</v>
      </c>
      <c r="C270" s="296"/>
      <c r="F270" s="264">
        <f t="shared" si="5"/>
        <v>9916</v>
      </c>
      <c r="G270" s="264">
        <v>0</v>
      </c>
      <c r="H270" s="690">
        <v>9915620</v>
      </c>
      <c r="M270" s="393"/>
    </row>
    <row r="271" spans="1:13" ht="15.75">
      <c r="A271" s="295"/>
      <c r="B271" s="297"/>
      <c r="C271" s="296"/>
      <c r="F271" s="264">
        <f t="shared" si="5"/>
        <v>0</v>
      </c>
      <c r="G271" s="264">
        <v>0</v>
      </c>
      <c r="H271" s="690"/>
      <c r="M271" s="393"/>
    </row>
    <row r="272" spans="1:13" ht="15.75">
      <c r="A272" s="295"/>
      <c r="B272" s="297" t="s">
        <v>387</v>
      </c>
      <c r="C272" s="296"/>
      <c r="F272" s="264">
        <f t="shared" si="5"/>
        <v>0</v>
      </c>
      <c r="G272" s="264">
        <v>0</v>
      </c>
      <c r="H272" s="690"/>
      <c r="M272" s="393"/>
    </row>
    <row r="273" spans="1:13" ht="15.75">
      <c r="A273" s="295" t="s">
        <v>388</v>
      </c>
      <c r="B273" s="297" t="s">
        <v>389</v>
      </c>
      <c r="C273" s="296"/>
      <c r="F273" s="264">
        <f t="shared" si="5"/>
        <v>0</v>
      </c>
      <c r="G273" s="264">
        <v>0</v>
      </c>
      <c r="H273" s="690">
        <v>0</v>
      </c>
      <c r="M273" s="393"/>
    </row>
    <row r="274" spans="1:13" ht="15.75">
      <c r="A274" s="298">
        <v>909000</v>
      </c>
      <c r="B274" s="297" t="s">
        <v>390</v>
      </c>
      <c r="C274" s="296"/>
      <c r="F274" s="264">
        <f t="shared" si="5"/>
        <v>847</v>
      </c>
      <c r="G274" s="264">
        <v>0</v>
      </c>
      <c r="H274" s="690">
        <v>846610</v>
      </c>
      <c r="M274" s="393"/>
    </row>
    <row r="275" spans="1:13" ht="15.75">
      <c r="A275" s="298">
        <v>910000</v>
      </c>
      <c r="B275" s="297" t="s">
        <v>391</v>
      </c>
      <c r="C275" s="296"/>
      <c r="F275" s="264">
        <f t="shared" si="5"/>
        <v>180</v>
      </c>
      <c r="G275" s="264">
        <v>0</v>
      </c>
      <c r="H275" s="690">
        <v>179962</v>
      </c>
      <c r="M275" s="393"/>
    </row>
    <row r="276" spans="1:13" ht="15.75">
      <c r="A276" s="298"/>
      <c r="B276" s="297" t="s">
        <v>392</v>
      </c>
      <c r="C276" s="296"/>
      <c r="F276" s="264">
        <f t="shared" si="5"/>
        <v>28425</v>
      </c>
      <c r="G276" s="264">
        <v>0</v>
      </c>
      <c r="H276" s="690">
        <v>28424538</v>
      </c>
      <c r="M276" s="393"/>
    </row>
    <row r="277" spans="1:13" ht="15.75">
      <c r="A277" s="298"/>
      <c r="B277" s="297"/>
      <c r="C277" s="296"/>
      <c r="F277" s="264">
        <f t="shared" si="5"/>
        <v>0</v>
      </c>
      <c r="G277" s="264">
        <v>0</v>
      </c>
      <c r="H277" s="690"/>
      <c r="M277" s="393"/>
    </row>
    <row r="278" spans="1:13" ht="15.75">
      <c r="A278" s="298"/>
      <c r="B278" s="297" t="s">
        <v>393</v>
      </c>
      <c r="C278" s="296"/>
      <c r="F278" s="264">
        <f t="shared" si="5"/>
        <v>0</v>
      </c>
      <c r="G278" s="264">
        <v>0</v>
      </c>
      <c r="H278" s="690"/>
      <c r="M278" s="393"/>
    </row>
    <row r="279" spans="1:13" ht="15.75">
      <c r="A279" s="298">
        <v>912000</v>
      </c>
      <c r="B279" s="297" t="s">
        <v>394</v>
      </c>
      <c r="C279" s="296"/>
      <c r="F279" s="264">
        <f t="shared" si="5"/>
        <v>0</v>
      </c>
      <c r="G279" s="264">
        <v>0</v>
      </c>
      <c r="H279" s="690">
        <v>0</v>
      </c>
      <c r="M279" s="393"/>
    </row>
    <row r="280" spans="1:13" ht="15.75">
      <c r="A280" s="298">
        <v>913000</v>
      </c>
      <c r="B280" s="297" t="s">
        <v>390</v>
      </c>
      <c r="C280" s="296"/>
      <c r="F280" s="264">
        <f t="shared" si="5"/>
        <v>0</v>
      </c>
      <c r="G280" s="264">
        <v>0</v>
      </c>
      <c r="H280" s="690">
        <v>0</v>
      </c>
      <c r="M280" s="393"/>
    </row>
    <row r="281" spans="1:13" ht="15.75">
      <c r="A281" s="298">
        <v>916000</v>
      </c>
      <c r="B281" s="297" t="s">
        <v>395</v>
      </c>
      <c r="C281" s="296"/>
      <c r="F281" s="264">
        <f t="shared" si="5"/>
        <v>0</v>
      </c>
      <c r="G281" s="264">
        <v>0</v>
      </c>
      <c r="H281" s="690">
        <v>0</v>
      </c>
      <c r="M281" s="393"/>
    </row>
    <row r="282" spans="1:13" ht="15.75">
      <c r="A282" s="298"/>
      <c r="B282" s="297" t="s">
        <v>396</v>
      </c>
      <c r="C282" s="296"/>
      <c r="F282" s="264">
        <f t="shared" si="5"/>
        <v>0</v>
      </c>
      <c r="G282" s="264">
        <v>0</v>
      </c>
      <c r="H282" s="690">
        <v>0</v>
      </c>
      <c r="M282" s="393"/>
    </row>
    <row r="283" spans="1:13" ht="15.75">
      <c r="A283" s="298"/>
      <c r="B283" s="297"/>
      <c r="C283" s="296"/>
      <c r="F283" s="264">
        <f t="shared" si="5"/>
        <v>0</v>
      </c>
      <c r="G283" s="264">
        <v>0</v>
      </c>
      <c r="H283" s="690"/>
      <c r="M283" s="393"/>
    </row>
    <row r="284" spans="1:13" ht="15.75">
      <c r="A284" s="298"/>
      <c r="B284" s="297" t="s">
        <v>397</v>
      </c>
      <c r="C284" s="296"/>
      <c r="F284" s="264">
        <f t="shared" si="5"/>
        <v>0</v>
      </c>
      <c r="G284" s="264">
        <v>0</v>
      </c>
      <c r="H284" s="690"/>
      <c r="M284" s="393"/>
    </row>
    <row r="285" spans="1:13" ht="15.75">
      <c r="A285" s="298">
        <v>920000</v>
      </c>
      <c r="B285" s="297" t="s">
        <v>398</v>
      </c>
      <c r="C285" s="296"/>
      <c r="F285" s="264">
        <f t="shared" si="5"/>
        <v>23838</v>
      </c>
      <c r="G285" s="264">
        <v>0</v>
      </c>
      <c r="H285" s="690">
        <v>23838413</v>
      </c>
      <c r="M285" s="393"/>
    </row>
    <row r="286" spans="1:13" ht="15.75">
      <c r="A286" s="298">
        <v>921000</v>
      </c>
      <c r="B286" s="297" t="s">
        <v>399</v>
      </c>
      <c r="C286" s="296"/>
      <c r="F286" s="264">
        <f t="shared" si="5"/>
        <v>3389</v>
      </c>
      <c r="G286" s="264">
        <v>0</v>
      </c>
      <c r="H286" s="690">
        <v>3388581</v>
      </c>
      <c r="M286" s="393"/>
    </row>
    <row r="287" spans="1:13" ht="15.75">
      <c r="A287" s="298">
        <v>922000</v>
      </c>
      <c r="B287" s="297" t="s">
        <v>400</v>
      </c>
      <c r="C287" s="296"/>
      <c r="F287" s="264">
        <f t="shared" si="5"/>
        <v>-71</v>
      </c>
      <c r="G287" s="264">
        <v>0</v>
      </c>
      <c r="H287" s="690">
        <v>-70811</v>
      </c>
      <c r="M287" s="393"/>
    </row>
    <row r="288" spans="1:13" ht="15.75">
      <c r="A288" s="298">
        <v>923000</v>
      </c>
      <c r="B288" s="297" t="s">
        <v>401</v>
      </c>
      <c r="C288" s="296"/>
      <c r="F288" s="264">
        <f t="shared" si="5"/>
        <v>7107</v>
      </c>
      <c r="G288" s="264">
        <v>0</v>
      </c>
      <c r="H288" s="690">
        <v>7106610</v>
      </c>
      <c r="M288" s="393"/>
    </row>
    <row r="289" spans="1:18" ht="15.75">
      <c r="A289" s="298">
        <v>924000</v>
      </c>
      <c r="B289" s="297" t="s">
        <v>402</v>
      </c>
      <c r="C289" s="296"/>
      <c r="F289" s="264">
        <f t="shared" si="5"/>
        <v>1005</v>
      </c>
      <c r="G289" s="264">
        <v>0</v>
      </c>
      <c r="H289" s="690">
        <v>1004544</v>
      </c>
      <c r="M289" s="393"/>
    </row>
    <row r="290" spans="1:18" ht="15.75">
      <c r="A290" s="295" t="s">
        <v>403</v>
      </c>
      <c r="B290" s="297" t="s">
        <v>404</v>
      </c>
      <c r="C290" s="296"/>
      <c r="F290" s="264">
        <f t="shared" si="5"/>
        <v>2206</v>
      </c>
      <c r="G290" s="264">
        <v>0</v>
      </c>
      <c r="H290" s="690">
        <v>2206305</v>
      </c>
      <c r="M290" s="393"/>
    </row>
    <row r="291" spans="1:18" ht="15.75">
      <c r="A291" s="295" t="s">
        <v>405</v>
      </c>
      <c r="B291" s="297" t="s">
        <v>406</v>
      </c>
      <c r="C291" s="296"/>
      <c r="F291" s="264">
        <f t="shared" si="5"/>
        <v>1189</v>
      </c>
      <c r="G291" s="264">
        <v>0</v>
      </c>
      <c r="H291" s="690">
        <v>1188548</v>
      </c>
      <c r="M291" s="393"/>
    </row>
    <row r="292" spans="1:18" ht="15.75">
      <c r="A292" s="298">
        <v>927000</v>
      </c>
      <c r="B292" s="297" t="s">
        <v>407</v>
      </c>
      <c r="C292" s="296"/>
      <c r="F292" s="264">
        <f t="shared" si="5"/>
        <v>0</v>
      </c>
      <c r="G292" s="264">
        <v>0</v>
      </c>
      <c r="H292" s="690">
        <v>0</v>
      </c>
      <c r="M292" s="393"/>
      <c r="Q292" s="264">
        <v>10137303</v>
      </c>
    </row>
    <row r="293" spans="1:18" ht="15.75">
      <c r="A293" s="298">
        <v>928000</v>
      </c>
      <c r="B293" s="297" t="s">
        <v>408</v>
      </c>
      <c r="C293" s="296"/>
      <c r="F293" s="264">
        <f t="shared" si="5"/>
        <v>4566</v>
      </c>
      <c r="G293" s="264">
        <v>0</v>
      </c>
      <c r="H293" s="690">
        <v>4566182</v>
      </c>
      <c r="M293" s="393"/>
      <c r="Q293" s="264">
        <v>192090</v>
      </c>
    </row>
    <row r="294" spans="1:18" ht="15.75">
      <c r="A294" s="298">
        <v>930000</v>
      </c>
      <c r="B294" s="297" t="s">
        <v>409</v>
      </c>
      <c r="C294" s="296"/>
      <c r="F294" s="264">
        <f t="shared" si="5"/>
        <v>3567</v>
      </c>
      <c r="G294" s="264">
        <v>0</v>
      </c>
      <c r="H294" s="690">
        <v>3567363</v>
      </c>
      <c r="M294" s="393"/>
      <c r="Q294" s="264">
        <v>5865595</v>
      </c>
      <c r="R294" s="264" t="s">
        <v>649</v>
      </c>
    </row>
    <row r="295" spans="1:18" ht="15.75">
      <c r="A295" s="298">
        <v>931000</v>
      </c>
      <c r="B295" s="297" t="s">
        <v>410</v>
      </c>
      <c r="C295" s="296"/>
      <c r="F295" s="264">
        <f t="shared" si="5"/>
        <v>213</v>
      </c>
      <c r="G295" s="264">
        <v>0</v>
      </c>
      <c r="H295" s="690">
        <v>213159</v>
      </c>
      <c r="M295" s="393"/>
      <c r="Q295" s="264">
        <v>20485</v>
      </c>
    </row>
    <row r="296" spans="1:18" ht="15.75">
      <c r="A296" s="298">
        <v>935000</v>
      </c>
      <c r="B296" s="297" t="s">
        <v>411</v>
      </c>
      <c r="C296" s="296"/>
      <c r="F296" s="264">
        <f t="shared" si="5"/>
        <v>8871</v>
      </c>
      <c r="G296" s="264">
        <v>0</v>
      </c>
      <c r="H296" s="690">
        <v>8871294</v>
      </c>
      <c r="M296" s="393"/>
    </row>
    <row r="297" spans="1:18" ht="15.75">
      <c r="A297" s="295"/>
      <c r="B297" s="297" t="s">
        <v>412</v>
      </c>
      <c r="C297" s="296"/>
      <c r="F297" s="264">
        <f t="shared" si="5"/>
        <v>55880</v>
      </c>
      <c r="G297" s="264">
        <v>0</v>
      </c>
      <c r="H297" s="690">
        <v>55880188</v>
      </c>
      <c r="M297" s="393"/>
    </row>
    <row r="298" spans="1:18" ht="15.75">
      <c r="A298" s="295"/>
      <c r="B298" s="297"/>
      <c r="C298" s="296"/>
      <c r="F298" s="264">
        <f t="shared" si="5"/>
        <v>0</v>
      </c>
      <c r="G298" s="264">
        <v>0</v>
      </c>
      <c r="M298" s="393"/>
      <c r="Q298" s="264">
        <f>SUM(Q292:Q297)</f>
        <v>16215473</v>
      </c>
    </row>
    <row r="299" spans="1:18" ht="15.75">
      <c r="A299" s="295"/>
      <c r="B299" s="297" t="s">
        <v>413</v>
      </c>
      <c r="C299" s="296"/>
      <c r="F299" s="264">
        <f t="shared" si="5"/>
        <v>15583</v>
      </c>
      <c r="G299" s="264">
        <v>0</v>
      </c>
      <c r="H299" s="264">
        <v>15582519</v>
      </c>
      <c r="M299" s="393"/>
    </row>
    <row r="300" spans="1:18" ht="15.75">
      <c r="A300" s="295"/>
      <c r="B300" s="297" t="s">
        <v>414</v>
      </c>
      <c r="C300" s="296"/>
      <c r="F300" s="264">
        <f t="shared" si="5"/>
        <v>326</v>
      </c>
      <c r="G300" s="264">
        <v>0</v>
      </c>
      <c r="H300" s="264">
        <v>326011</v>
      </c>
      <c r="M300" s="393"/>
    </row>
    <row r="301" spans="1:18" ht="15.75">
      <c r="A301" s="295"/>
      <c r="B301" s="297" t="s">
        <v>415</v>
      </c>
      <c r="C301" s="296"/>
      <c r="F301" s="264">
        <f t="shared" ref="F301:F364" si="6">ROUND(H301/1000,0)</f>
        <v>19653</v>
      </c>
      <c r="G301" s="264">
        <v>0</v>
      </c>
      <c r="H301" s="264">
        <v>19653025</v>
      </c>
      <c r="M301" s="393"/>
    </row>
    <row r="302" spans="1:18" ht="15.75">
      <c r="A302" s="295"/>
      <c r="B302" s="297" t="s">
        <v>416</v>
      </c>
      <c r="C302" s="296"/>
      <c r="F302" s="264">
        <f t="shared" si="6"/>
        <v>33</v>
      </c>
      <c r="G302" s="264">
        <v>0</v>
      </c>
      <c r="H302" s="264">
        <v>32822</v>
      </c>
      <c r="M302" s="393"/>
    </row>
    <row r="303" spans="1:18" ht="15.75">
      <c r="A303" s="394">
        <v>407229</v>
      </c>
      <c r="B303" s="393" t="s">
        <v>634</v>
      </c>
      <c r="C303" s="296"/>
      <c r="F303" s="264">
        <f t="shared" si="6"/>
        <v>0</v>
      </c>
      <c r="G303" s="264">
        <v>0</v>
      </c>
      <c r="H303" s="264">
        <v>0</v>
      </c>
      <c r="M303" s="393"/>
    </row>
    <row r="304" spans="1:18" ht="15.75">
      <c r="A304" s="394">
        <v>407230</v>
      </c>
      <c r="B304" s="393" t="s">
        <v>697</v>
      </c>
      <c r="C304" s="296"/>
      <c r="F304" s="264">
        <f t="shared" si="6"/>
        <v>-3914</v>
      </c>
      <c r="G304" s="264">
        <v>0</v>
      </c>
      <c r="H304" s="264">
        <v>-3914140</v>
      </c>
      <c r="M304" s="393"/>
    </row>
    <row r="305" spans="1:13" ht="15.75">
      <c r="A305" s="394">
        <v>407311</v>
      </c>
      <c r="B305" s="393" t="s">
        <v>698</v>
      </c>
      <c r="C305" s="296"/>
      <c r="F305" s="264">
        <f t="shared" si="6"/>
        <v>774</v>
      </c>
      <c r="G305" s="264">
        <v>0</v>
      </c>
      <c r="H305" s="264">
        <v>774191</v>
      </c>
      <c r="M305" s="393"/>
    </row>
    <row r="306" spans="1:13" ht="15.75">
      <c r="A306" s="394">
        <v>407319</v>
      </c>
      <c r="B306" s="393" t="s">
        <v>699</v>
      </c>
      <c r="C306" s="296"/>
      <c r="F306" s="264">
        <f t="shared" si="6"/>
        <v>779</v>
      </c>
      <c r="G306" s="264">
        <v>0</v>
      </c>
      <c r="H306" s="264">
        <v>778866</v>
      </c>
      <c r="M306" s="393"/>
    </row>
    <row r="307" spans="1:13" ht="15.75">
      <c r="A307" s="394">
        <v>407332</v>
      </c>
      <c r="B307" s="393" t="s">
        <v>700</v>
      </c>
      <c r="C307" s="296"/>
      <c r="F307" s="264">
        <f t="shared" si="6"/>
        <v>753</v>
      </c>
      <c r="G307" s="264">
        <v>0</v>
      </c>
      <c r="H307" s="264">
        <v>752825</v>
      </c>
      <c r="M307" s="393"/>
    </row>
    <row r="308" spans="1:13" ht="15.75">
      <c r="A308" s="394">
        <v>407414</v>
      </c>
      <c r="B308" s="393" t="s">
        <v>701</v>
      </c>
      <c r="C308" s="296"/>
      <c r="F308" s="264">
        <f t="shared" si="6"/>
        <v>-712</v>
      </c>
      <c r="G308" s="264">
        <v>0</v>
      </c>
      <c r="H308" s="264">
        <v>-711613</v>
      </c>
      <c r="M308" s="393"/>
    </row>
    <row r="309" spans="1:13" ht="15.75">
      <c r="A309" s="394">
        <v>407436</v>
      </c>
      <c r="B309" s="393" t="s">
        <v>721</v>
      </c>
      <c r="C309" s="296"/>
      <c r="F309" s="264">
        <f t="shared" si="6"/>
        <v>-6698</v>
      </c>
      <c r="G309" s="264">
        <v>0</v>
      </c>
      <c r="H309" s="264">
        <v>-6697703</v>
      </c>
      <c r="M309" s="393"/>
    </row>
    <row r="310" spans="1:13" ht="15.75">
      <c r="A310" s="394">
        <v>407468</v>
      </c>
      <c r="B310" s="393" t="s">
        <v>641</v>
      </c>
      <c r="C310" s="296"/>
      <c r="F310" s="264">
        <f t="shared" si="6"/>
        <v>0</v>
      </c>
      <c r="G310" s="264">
        <v>0</v>
      </c>
      <c r="H310" s="264">
        <v>0</v>
      </c>
      <c r="M310" s="393"/>
    </row>
    <row r="311" spans="1:13" ht="15.75">
      <c r="A311" s="295"/>
      <c r="B311" s="297" t="s">
        <v>417</v>
      </c>
      <c r="C311" s="296"/>
      <c r="F311" s="264">
        <f t="shared" si="6"/>
        <v>26577</v>
      </c>
      <c r="G311" s="264">
        <v>0</v>
      </c>
      <c r="H311" s="264">
        <v>26576803</v>
      </c>
      <c r="M311" s="393"/>
    </row>
    <row r="312" spans="1:13" ht="15.75">
      <c r="A312" s="295"/>
      <c r="B312" s="297"/>
      <c r="C312" s="296"/>
      <c r="F312" s="264">
        <f t="shared" si="6"/>
        <v>0</v>
      </c>
      <c r="G312" s="264">
        <v>0</v>
      </c>
      <c r="M312" s="393"/>
    </row>
    <row r="313" spans="1:13" ht="15.75">
      <c r="A313" s="298"/>
      <c r="B313" s="297" t="s">
        <v>418</v>
      </c>
      <c r="C313" s="296"/>
      <c r="F313" s="264">
        <f t="shared" si="6"/>
        <v>82457</v>
      </c>
      <c r="G313" s="264">
        <v>0</v>
      </c>
      <c r="H313" s="264">
        <v>82456991</v>
      </c>
      <c r="M313" s="393"/>
    </row>
    <row r="314" spans="1:13" ht="15.75">
      <c r="A314" s="298"/>
      <c r="B314" s="297"/>
      <c r="C314" s="296"/>
      <c r="F314" s="264">
        <f t="shared" si="6"/>
        <v>0</v>
      </c>
      <c r="G314" s="264">
        <v>0</v>
      </c>
      <c r="M314" s="393"/>
    </row>
    <row r="315" spans="1:13" ht="15.75">
      <c r="A315" s="298"/>
      <c r="B315" s="297" t="s">
        <v>419</v>
      </c>
      <c r="C315" s="296"/>
      <c r="F315" s="264">
        <f t="shared" si="6"/>
        <v>533961</v>
      </c>
      <c r="G315" s="264">
        <v>0</v>
      </c>
      <c r="H315" s="264">
        <v>533960500</v>
      </c>
      <c r="M315" s="393"/>
    </row>
    <row r="316" spans="1:13" ht="15.75">
      <c r="A316" s="298"/>
      <c r="B316" s="297"/>
      <c r="C316" s="296"/>
      <c r="F316" s="264">
        <f t="shared" si="6"/>
        <v>0</v>
      </c>
      <c r="G316" s="264">
        <v>0</v>
      </c>
      <c r="M316" s="393"/>
    </row>
    <row r="317" spans="1:13" ht="15.75">
      <c r="A317" s="298"/>
      <c r="B317" s="297" t="s">
        <v>420</v>
      </c>
      <c r="C317" s="296"/>
      <c r="F317" s="264">
        <f t="shared" si="6"/>
        <v>127497</v>
      </c>
      <c r="G317" s="264">
        <v>0</v>
      </c>
      <c r="H317" s="264">
        <v>127497480</v>
      </c>
      <c r="M317" s="393"/>
    </row>
    <row r="318" spans="1:13" ht="15.75">
      <c r="A318" s="298"/>
      <c r="B318" s="297"/>
      <c r="C318" s="296"/>
      <c r="F318" s="264">
        <f t="shared" si="6"/>
        <v>0</v>
      </c>
      <c r="G318" s="264">
        <v>0</v>
      </c>
      <c r="M318" s="393"/>
    </row>
    <row r="319" spans="1:13" ht="15.75">
      <c r="A319" s="298"/>
      <c r="B319" s="297" t="s">
        <v>421</v>
      </c>
      <c r="C319" s="296"/>
      <c r="F319" s="264">
        <f t="shared" si="6"/>
        <v>4963</v>
      </c>
      <c r="G319" s="264">
        <v>0</v>
      </c>
      <c r="H319" s="264">
        <v>4962740</v>
      </c>
      <c r="M319" s="393"/>
    </row>
    <row r="320" spans="1:13" ht="12.75">
      <c r="A320" s="298"/>
      <c r="B320" s="297" t="s">
        <v>422</v>
      </c>
      <c r="C320" s="296"/>
      <c r="F320" s="264">
        <f t="shared" si="6"/>
        <v>7830</v>
      </c>
      <c r="G320" s="264">
        <v>0</v>
      </c>
      <c r="H320" s="264">
        <v>7830166</v>
      </c>
    </row>
    <row r="321" spans="1:13" ht="15.75">
      <c r="A321" s="298"/>
      <c r="B321" s="297" t="s">
        <v>423</v>
      </c>
      <c r="C321" s="301"/>
      <c r="F321" s="264">
        <f t="shared" si="6"/>
        <v>-318</v>
      </c>
      <c r="G321" s="264">
        <v>0</v>
      </c>
      <c r="H321" s="264">
        <v>-318215</v>
      </c>
      <c r="M321" s="393"/>
    </row>
    <row r="322" spans="1:13" ht="15.75">
      <c r="A322" s="295"/>
      <c r="B322" s="297" t="s">
        <v>424</v>
      </c>
      <c r="C322" s="296"/>
      <c r="F322" s="264">
        <f t="shared" si="6"/>
        <v>115023</v>
      </c>
      <c r="G322" s="264">
        <v>0</v>
      </c>
      <c r="H322" s="264">
        <v>115022789</v>
      </c>
      <c r="M322" s="393"/>
    </row>
    <row r="323" spans="1:13" ht="15.75">
      <c r="F323" s="264">
        <f t="shared" si="6"/>
        <v>0</v>
      </c>
      <c r="G323" s="264">
        <v>0</v>
      </c>
      <c r="M323" s="396"/>
    </row>
    <row r="324" spans="1:13" ht="15.75">
      <c r="A324" s="304"/>
      <c r="B324" s="297" t="s">
        <v>67</v>
      </c>
      <c r="F324" s="264">
        <f t="shared" si="6"/>
        <v>0</v>
      </c>
      <c r="G324" s="264">
        <v>0</v>
      </c>
      <c r="M324" s="396"/>
    </row>
    <row r="325" spans="1:13" ht="15.75">
      <c r="A325" s="304"/>
      <c r="B325" s="297" t="s">
        <v>425</v>
      </c>
      <c r="F325" s="264">
        <f t="shared" si="6"/>
        <v>0</v>
      </c>
      <c r="G325" s="264">
        <v>0</v>
      </c>
      <c r="M325" s="396"/>
    </row>
    <row r="326" spans="1:13" ht="15.75">
      <c r="A326" s="305">
        <v>182324</v>
      </c>
      <c r="B326" s="300" t="s">
        <v>607</v>
      </c>
      <c r="F326" s="264">
        <f t="shared" si="6"/>
        <v>5284</v>
      </c>
      <c r="G326" s="264">
        <v>0</v>
      </c>
      <c r="H326" s="264">
        <v>5284020</v>
      </c>
      <c r="M326" s="396"/>
    </row>
    <row r="327" spans="1:13" ht="15.75">
      <c r="A327" s="305">
        <v>182325</v>
      </c>
      <c r="B327" s="300" t="s">
        <v>608</v>
      </c>
      <c r="F327" s="264">
        <f t="shared" si="6"/>
        <v>1313</v>
      </c>
      <c r="G327" s="264">
        <v>0</v>
      </c>
      <c r="H327" s="264">
        <v>1312800</v>
      </c>
      <c r="M327" s="393"/>
    </row>
    <row r="328" spans="1:13" ht="15.75">
      <c r="A328" s="305">
        <v>182333</v>
      </c>
      <c r="B328" s="300" t="s">
        <v>609</v>
      </c>
      <c r="F328" s="264">
        <f t="shared" si="6"/>
        <v>742</v>
      </c>
      <c r="G328" s="264">
        <v>0</v>
      </c>
      <c r="H328" s="264">
        <v>741853</v>
      </c>
      <c r="M328" s="396"/>
    </row>
    <row r="329" spans="1:13" ht="15.75">
      <c r="A329" s="305">
        <v>182381</v>
      </c>
      <c r="B329" s="300" t="s">
        <v>610</v>
      </c>
      <c r="F329" s="264">
        <f t="shared" si="6"/>
        <v>20045</v>
      </c>
      <c r="G329" s="264">
        <v>0</v>
      </c>
      <c r="H329" s="264">
        <v>20045006</v>
      </c>
      <c r="M329" s="393"/>
    </row>
    <row r="330" spans="1:13" ht="15.75">
      <c r="A330" s="306">
        <v>302000</v>
      </c>
      <c r="B330" s="297" t="s">
        <v>426</v>
      </c>
      <c r="F330" s="264">
        <f t="shared" si="6"/>
        <v>29505</v>
      </c>
      <c r="G330" s="264">
        <v>0</v>
      </c>
      <c r="H330" s="264">
        <v>29505025</v>
      </c>
      <c r="M330" s="393"/>
    </row>
    <row r="331" spans="1:13" ht="15.75">
      <c r="A331" s="306">
        <v>303000</v>
      </c>
      <c r="B331" s="300" t="s">
        <v>427</v>
      </c>
      <c r="F331" s="264">
        <f t="shared" si="6"/>
        <v>12285</v>
      </c>
      <c r="G331" s="264">
        <v>0</v>
      </c>
      <c r="H331" s="264">
        <v>12284944</v>
      </c>
      <c r="M331" s="393"/>
    </row>
    <row r="332" spans="1:13" ht="15.75">
      <c r="A332" s="306">
        <v>303100</v>
      </c>
      <c r="B332" s="297" t="s">
        <v>428</v>
      </c>
      <c r="F332" s="264">
        <f t="shared" si="6"/>
        <v>62178</v>
      </c>
      <c r="G332" s="264">
        <v>0</v>
      </c>
      <c r="H332" s="264">
        <v>62177877</v>
      </c>
      <c r="M332" s="393"/>
    </row>
    <row r="333" spans="1:13" ht="15.75">
      <c r="A333" s="306">
        <v>303110</v>
      </c>
      <c r="B333" s="297" t="s">
        <v>429</v>
      </c>
      <c r="F333" s="264">
        <f t="shared" si="6"/>
        <v>221</v>
      </c>
      <c r="G333" s="264">
        <v>0</v>
      </c>
      <c r="H333" s="264">
        <v>220888</v>
      </c>
      <c r="M333" s="393"/>
    </row>
    <row r="334" spans="1:13" ht="15.75">
      <c r="A334" s="398">
        <v>303115</v>
      </c>
      <c r="B334" s="393" t="s">
        <v>642</v>
      </c>
      <c r="F334" s="264">
        <f t="shared" si="6"/>
        <v>49238</v>
      </c>
      <c r="G334" s="264">
        <v>0</v>
      </c>
      <c r="H334" s="264">
        <v>49238107</v>
      </c>
      <c r="M334" s="393"/>
    </row>
    <row r="335" spans="1:13" ht="15.75">
      <c r="A335" s="398">
        <v>303120</v>
      </c>
      <c r="B335" s="393" t="s">
        <v>702</v>
      </c>
      <c r="F335" s="264">
        <f t="shared" si="6"/>
        <v>14785</v>
      </c>
      <c r="G335" s="264">
        <v>0</v>
      </c>
      <c r="H335" s="264">
        <v>14784796</v>
      </c>
      <c r="M335" s="393"/>
    </row>
    <row r="336" spans="1:13" ht="15.75">
      <c r="A336" s="398">
        <v>303121</v>
      </c>
      <c r="B336" s="393" t="s">
        <v>703</v>
      </c>
      <c r="F336" s="264">
        <f t="shared" si="6"/>
        <v>15440</v>
      </c>
      <c r="G336" s="264">
        <v>0</v>
      </c>
      <c r="H336" s="264">
        <v>15439973</v>
      </c>
      <c r="M336" s="393"/>
    </row>
    <row r="337" spans="1:13" ht="15.75">
      <c r="A337" s="307"/>
      <c r="B337" s="297" t="s">
        <v>430</v>
      </c>
      <c r="F337" s="264">
        <f t="shared" si="6"/>
        <v>211035</v>
      </c>
      <c r="G337" s="264">
        <v>0</v>
      </c>
      <c r="H337" s="264">
        <v>211035289</v>
      </c>
      <c r="M337" s="393"/>
    </row>
    <row r="338" spans="1:13" ht="15.75">
      <c r="A338" s="304"/>
      <c r="B338" s="297"/>
      <c r="F338" s="264">
        <f t="shared" si="6"/>
        <v>0</v>
      </c>
      <c r="G338" s="264">
        <v>0</v>
      </c>
      <c r="M338" s="393"/>
    </row>
    <row r="339" spans="1:13" ht="15.75">
      <c r="A339" s="304"/>
      <c r="B339" s="297" t="s">
        <v>431</v>
      </c>
      <c r="F339" s="264">
        <f t="shared" si="6"/>
        <v>0</v>
      </c>
      <c r="G339" s="264">
        <v>0</v>
      </c>
      <c r="M339" s="393"/>
    </row>
    <row r="340" spans="1:13" ht="15.75">
      <c r="A340" s="306" t="s">
        <v>432</v>
      </c>
      <c r="B340" s="297" t="s">
        <v>433</v>
      </c>
      <c r="F340" s="264">
        <f t="shared" si="6"/>
        <v>2349</v>
      </c>
      <c r="G340" s="264">
        <v>0</v>
      </c>
      <c r="H340" s="264">
        <v>2348909</v>
      </c>
      <c r="M340" s="393"/>
    </row>
    <row r="341" spans="1:13" ht="15.75">
      <c r="A341" s="306" t="s">
        <v>434</v>
      </c>
      <c r="B341" s="297" t="s">
        <v>435</v>
      </c>
      <c r="F341" s="264">
        <f t="shared" si="6"/>
        <v>91434</v>
      </c>
      <c r="G341" s="264">
        <v>0</v>
      </c>
      <c r="H341" s="264">
        <v>91434009</v>
      </c>
      <c r="M341" s="393"/>
    </row>
    <row r="342" spans="1:13" ht="15.75">
      <c r="A342" s="306">
        <v>312000</v>
      </c>
      <c r="B342" s="297" t="s">
        <v>304</v>
      </c>
      <c r="F342" s="264">
        <f t="shared" si="6"/>
        <v>125127</v>
      </c>
      <c r="G342" s="264">
        <v>0</v>
      </c>
      <c r="H342" s="264">
        <v>125127119</v>
      </c>
      <c r="M342" s="393"/>
    </row>
    <row r="343" spans="1:13" ht="15.75">
      <c r="A343" s="306">
        <v>313000</v>
      </c>
      <c r="B343" s="297" t="s">
        <v>436</v>
      </c>
      <c r="F343" s="264">
        <f t="shared" si="6"/>
        <v>5</v>
      </c>
      <c r="G343" s="264">
        <v>0</v>
      </c>
      <c r="H343" s="264">
        <v>4755</v>
      </c>
      <c r="M343" s="393"/>
    </row>
    <row r="344" spans="1:13" ht="15.75">
      <c r="A344" s="306">
        <v>314000</v>
      </c>
      <c r="B344" s="297" t="s">
        <v>437</v>
      </c>
      <c r="F344" s="264">
        <f t="shared" si="6"/>
        <v>37265</v>
      </c>
      <c r="G344" s="264">
        <v>0</v>
      </c>
      <c r="H344" s="264">
        <v>37264693</v>
      </c>
      <c r="M344" s="393"/>
    </row>
    <row r="345" spans="1:13" ht="15.75">
      <c r="A345" s="306">
        <v>315000</v>
      </c>
      <c r="B345" s="297" t="s">
        <v>438</v>
      </c>
      <c r="F345" s="264">
        <f t="shared" si="6"/>
        <v>19291</v>
      </c>
      <c r="G345" s="264">
        <v>0</v>
      </c>
      <c r="H345" s="264">
        <v>19290852</v>
      </c>
      <c r="M345" s="393"/>
    </row>
    <row r="346" spans="1:13" ht="15.75">
      <c r="A346" s="306">
        <v>316000</v>
      </c>
      <c r="B346" s="297" t="s">
        <v>439</v>
      </c>
      <c r="F346" s="264">
        <f t="shared" si="6"/>
        <v>11075</v>
      </c>
      <c r="G346" s="264">
        <v>0</v>
      </c>
      <c r="H346" s="264">
        <v>11074999</v>
      </c>
      <c r="M346" s="393"/>
    </row>
    <row r="347" spans="1:13" ht="15.75">
      <c r="A347" s="308"/>
      <c r="B347" s="297" t="s">
        <v>440</v>
      </c>
      <c r="F347" s="264">
        <f t="shared" si="6"/>
        <v>286545</v>
      </c>
      <c r="G347" s="264">
        <v>0</v>
      </c>
      <c r="H347" s="264">
        <v>286545336</v>
      </c>
      <c r="M347" s="393"/>
    </row>
    <row r="348" spans="1:13" ht="15.75">
      <c r="A348" s="309"/>
      <c r="B348" s="297"/>
      <c r="F348" s="264">
        <f t="shared" si="6"/>
        <v>0</v>
      </c>
      <c r="G348" s="264">
        <v>0</v>
      </c>
      <c r="M348" s="393"/>
    </row>
    <row r="349" spans="1:13" ht="15.75">
      <c r="A349" s="304"/>
      <c r="B349" s="297" t="s">
        <v>441</v>
      </c>
      <c r="F349" s="264">
        <f t="shared" si="6"/>
        <v>0</v>
      </c>
      <c r="G349" s="264">
        <v>0</v>
      </c>
      <c r="M349" s="393"/>
    </row>
    <row r="350" spans="1:13" ht="15.75">
      <c r="A350" s="306" t="s">
        <v>442</v>
      </c>
      <c r="B350" s="297" t="s">
        <v>433</v>
      </c>
      <c r="F350" s="264">
        <f t="shared" si="6"/>
        <v>41968</v>
      </c>
      <c r="G350" s="264">
        <v>0</v>
      </c>
      <c r="H350" s="264">
        <v>41968046</v>
      </c>
      <c r="M350" s="393"/>
    </row>
    <row r="351" spans="1:13" ht="15.75">
      <c r="A351" s="306" t="s">
        <v>443</v>
      </c>
      <c r="B351" s="297" t="s">
        <v>435</v>
      </c>
      <c r="F351" s="264">
        <f t="shared" si="6"/>
        <v>60117</v>
      </c>
      <c r="G351" s="264">
        <v>0</v>
      </c>
      <c r="H351" s="264">
        <v>60116564</v>
      </c>
      <c r="M351" s="393"/>
    </row>
    <row r="352" spans="1:13" ht="15.75">
      <c r="A352" s="306" t="s">
        <v>444</v>
      </c>
      <c r="B352" s="297" t="s">
        <v>313</v>
      </c>
      <c r="F352" s="264">
        <f t="shared" si="6"/>
        <v>127556</v>
      </c>
      <c r="G352" s="264">
        <v>0</v>
      </c>
      <c r="H352" s="264">
        <v>127555852</v>
      </c>
      <c r="M352" s="393"/>
    </row>
    <row r="353" spans="1:16384" ht="15.75">
      <c r="A353" s="306">
        <v>333000</v>
      </c>
      <c r="B353" s="297" t="s">
        <v>445</v>
      </c>
      <c r="F353" s="264">
        <f t="shared" si="6"/>
        <v>154417</v>
      </c>
      <c r="G353" s="264">
        <v>0</v>
      </c>
      <c r="H353" s="264">
        <v>154416812</v>
      </c>
      <c r="M353" s="393"/>
    </row>
    <row r="354" spans="1:16384" ht="15.75">
      <c r="A354" s="306">
        <v>334000</v>
      </c>
      <c r="B354" s="297" t="s">
        <v>438</v>
      </c>
      <c r="F354" s="264">
        <f t="shared" si="6"/>
        <v>45658</v>
      </c>
      <c r="G354" s="264">
        <v>0</v>
      </c>
      <c r="H354" s="264">
        <v>45658296</v>
      </c>
      <c r="M354" s="393"/>
    </row>
    <row r="355" spans="1:16384" ht="15.75">
      <c r="A355" s="306" t="s">
        <v>446</v>
      </c>
      <c r="B355" s="297" t="s">
        <v>439</v>
      </c>
      <c r="F355" s="264">
        <f t="shared" si="6"/>
        <v>9508</v>
      </c>
      <c r="G355" s="264">
        <v>0</v>
      </c>
      <c r="H355" s="264">
        <v>9508078</v>
      </c>
      <c r="M355" s="393"/>
    </row>
    <row r="356" spans="1:16384" ht="15.75">
      <c r="A356" s="306">
        <v>336000</v>
      </c>
      <c r="B356" s="297" t="s">
        <v>447</v>
      </c>
      <c r="F356" s="264">
        <f t="shared" si="6"/>
        <v>2832</v>
      </c>
      <c r="G356" s="264">
        <v>0</v>
      </c>
      <c r="H356" s="264">
        <v>2832212</v>
      </c>
      <c r="M356" s="393"/>
    </row>
    <row r="357" spans="1:16384" ht="15.75">
      <c r="A357" s="308"/>
      <c r="B357" s="297" t="s">
        <v>448</v>
      </c>
      <c r="F357" s="264">
        <f t="shared" si="6"/>
        <v>442056</v>
      </c>
      <c r="G357" s="264">
        <v>0</v>
      </c>
      <c r="H357" s="264">
        <v>442055860</v>
      </c>
      <c r="M357" s="393"/>
    </row>
    <row r="358" spans="1:16384" ht="15.75">
      <c r="A358" s="309"/>
      <c r="B358" s="297"/>
      <c r="F358" s="264">
        <f t="shared" si="6"/>
        <v>0</v>
      </c>
      <c r="G358" s="264">
        <v>0</v>
      </c>
      <c r="M358" s="393"/>
    </row>
    <row r="359" spans="1:16384" ht="15.75">
      <c r="A359" s="304"/>
      <c r="B359" s="297" t="s">
        <v>449</v>
      </c>
      <c r="F359" s="264">
        <f t="shared" si="6"/>
        <v>0</v>
      </c>
      <c r="G359" s="264">
        <v>0</v>
      </c>
      <c r="M359" s="393"/>
    </row>
    <row r="360" spans="1:16384" ht="15.75">
      <c r="A360" s="306">
        <v>340200</v>
      </c>
      <c r="B360" s="297" t="s">
        <v>433</v>
      </c>
      <c r="F360" s="264">
        <f t="shared" si="6"/>
        <v>594</v>
      </c>
      <c r="G360" s="264">
        <v>0</v>
      </c>
      <c r="H360" s="264">
        <v>594152</v>
      </c>
      <c r="M360" s="393"/>
    </row>
    <row r="361" spans="1:16384" ht="15.75">
      <c r="A361" s="306">
        <v>341000</v>
      </c>
      <c r="B361" s="297" t="s">
        <v>435</v>
      </c>
      <c r="F361" s="264">
        <f t="shared" si="6"/>
        <v>11249</v>
      </c>
      <c r="G361" s="264">
        <v>0</v>
      </c>
      <c r="H361" s="264">
        <v>11248979</v>
      </c>
      <c r="M361" s="393"/>
    </row>
    <row r="362" spans="1:16384" ht="15.75">
      <c r="A362" s="306">
        <v>342000</v>
      </c>
      <c r="B362" s="297" t="s">
        <v>450</v>
      </c>
      <c r="F362" s="264">
        <f t="shared" si="6"/>
        <v>14040</v>
      </c>
      <c r="G362" s="264">
        <v>0</v>
      </c>
      <c r="H362" s="264">
        <v>14039580</v>
      </c>
      <c r="M362" s="393"/>
    </row>
    <row r="363" spans="1:16384" ht="15.75">
      <c r="A363" s="306">
        <v>343000</v>
      </c>
      <c r="B363" s="297" t="s">
        <v>451</v>
      </c>
      <c r="F363" s="264">
        <f t="shared" si="6"/>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436</v>
      </c>
      <c r="F364" s="264">
        <f t="shared" si="6"/>
        <v>144394</v>
      </c>
      <c r="G364" s="264">
        <v>0</v>
      </c>
      <c r="H364" s="264">
        <v>144394475</v>
      </c>
      <c r="I364" s="398"/>
      <c r="J364" s="393"/>
      <c r="K364" s="398"/>
      <c r="M364" s="393"/>
    </row>
    <row r="365" spans="1:16384" ht="15.75">
      <c r="A365" s="306">
        <v>344010</v>
      </c>
      <c r="B365" s="297" t="s">
        <v>611</v>
      </c>
      <c r="F365" s="264">
        <f t="shared" ref="F365:F383" si="7">ROUND(H365/1000,0)</f>
        <v>110</v>
      </c>
      <c r="G365" s="264">
        <v>0</v>
      </c>
      <c r="H365" s="264">
        <v>109926</v>
      </c>
      <c r="M365" s="393"/>
    </row>
    <row r="366" spans="1:16384" ht="15.75">
      <c r="A366" s="306">
        <v>345000</v>
      </c>
      <c r="B366" s="297" t="s">
        <v>438</v>
      </c>
      <c r="F366" s="264">
        <f t="shared" si="7"/>
        <v>14596</v>
      </c>
      <c r="G366" s="264">
        <v>0</v>
      </c>
      <c r="H366" s="264">
        <v>14596380</v>
      </c>
      <c r="M366" s="393"/>
    </row>
    <row r="367" spans="1:16384" ht="15.75">
      <c r="A367" s="306">
        <v>345010</v>
      </c>
      <c r="B367" s="297" t="s">
        <v>612</v>
      </c>
      <c r="F367" s="264">
        <f t="shared" si="7"/>
        <v>22</v>
      </c>
      <c r="G367" s="264">
        <v>0</v>
      </c>
      <c r="H367" s="264">
        <v>21799</v>
      </c>
      <c r="L367" s="393"/>
      <c r="M367" s="393"/>
      <c r="N367" s="393"/>
      <c r="O367" s="398"/>
      <c r="P367" s="393"/>
    </row>
    <row r="368" spans="1:16384" ht="15.75">
      <c r="A368" s="306">
        <v>346000</v>
      </c>
      <c r="B368" s="297" t="s">
        <v>439</v>
      </c>
      <c r="F368" s="264">
        <f t="shared" si="7"/>
        <v>1123</v>
      </c>
      <c r="G368" s="264">
        <v>0</v>
      </c>
      <c r="H368" s="264">
        <v>1122991</v>
      </c>
      <c r="M368" s="393"/>
    </row>
    <row r="369" spans="1:13" ht="15.75">
      <c r="A369" s="308"/>
      <c r="B369" s="297" t="s">
        <v>452</v>
      </c>
      <c r="F369" s="264">
        <f t="shared" si="7"/>
        <v>201559</v>
      </c>
      <c r="G369" s="264">
        <v>0</v>
      </c>
      <c r="H369" s="264">
        <v>201558954</v>
      </c>
      <c r="M369" s="393"/>
    </row>
    <row r="370" spans="1:13" ht="15.75">
      <c r="A370" s="306"/>
      <c r="B370" s="297" t="s">
        <v>453</v>
      </c>
      <c r="F370" s="264">
        <f t="shared" si="7"/>
        <v>930160</v>
      </c>
      <c r="G370" s="264">
        <v>0</v>
      </c>
      <c r="H370" s="691">
        <v>930160150</v>
      </c>
      <c r="M370" s="393"/>
    </row>
    <row r="371" spans="1:13" ht="15.75">
      <c r="A371" s="306"/>
      <c r="B371" s="297"/>
      <c r="F371" s="264">
        <f t="shared" si="7"/>
        <v>0</v>
      </c>
      <c r="G371" s="264">
        <v>0</v>
      </c>
      <c r="M371" s="393"/>
    </row>
    <row r="372" spans="1:13" ht="15.75">
      <c r="A372" s="310"/>
      <c r="B372" s="297" t="s">
        <v>454</v>
      </c>
      <c r="F372" s="264">
        <f t="shared" si="7"/>
        <v>0</v>
      </c>
      <c r="G372" s="264">
        <v>0</v>
      </c>
      <c r="M372" s="393"/>
    </row>
    <row r="373" spans="1:13" ht="15.75">
      <c r="A373" s="306" t="s">
        <v>455</v>
      </c>
      <c r="B373" s="297" t="s">
        <v>433</v>
      </c>
      <c r="F373" s="264">
        <f t="shared" si="7"/>
        <v>18838</v>
      </c>
      <c r="G373" s="264">
        <v>0</v>
      </c>
      <c r="H373" s="264">
        <v>18838216</v>
      </c>
      <c r="M373" s="393"/>
    </row>
    <row r="374" spans="1:13" ht="15.75">
      <c r="A374" s="398" t="s">
        <v>636</v>
      </c>
      <c r="B374" s="393" t="s">
        <v>637</v>
      </c>
      <c r="C374" s="398"/>
      <c r="D374" s="393"/>
      <c r="E374" s="398"/>
      <c r="F374" s="264">
        <f t="shared" si="7"/>
        <v>0</v>
      </c>
      <c r="G374" s="264">
        <v>0</v>
      </c>
      <c r="H374" s="264">
        <v>0</v>
      </c>
      <c r="M374" s="393"/>
    </row>
    <row r="375" spans="1:13" ht="15.75">
      <c r="A375" s="306" t="s">
        <v>456</v>
      </c>
      <c r="B375" s="297" t="s">
        <v>435</v>
      </c>
      <c r="F375" s="264">
        <f t="shared" si="7"/>
        <v>16957</v>
      </c>
      <c r="G375" s="264">
        <v>0</v>
      </c>
      <c r="H375" s="264">
        <v>16957184</v>
      </c>
      <c r="M375" s="393"/>
    </row>
    <row r="376" spans="1:13" ht="15.75">
      <c r="A376" s="306">
        <v>353000</v>
      </c>
      <c r="B376" s="297" t="s">
        <v>335</v>
      </c>
      <c r="F376" s="264">
        <f t="shared" si="7"/>
        <v>181282</v>
      </c>
      <c r="G376" s="264">
        <v>0</v>
      </c>
      <c r="H376" s="264">
        <v>181282161</v>
      </c>
      <c r="M376" s="393"/>
    </row>
    <row r="377" spans="1:13" ht="15.75">
      <c r="A377" s="306">
        <v>354000</v>
      </c>
      <c r="B377" s="297" t="s">
        <v>457</v>
      </c>
      <c r="F377" s="264">
        <f t="shared" si="7"/>
        <v>11245</v>
      </c>
      <c r="G377" s="264">
        <v>0</v>
      </c>
      <c r="H377" s="264">
        <v>11245122</v>
      </c>
      <c r="M377" s="393"/>
    </row>
    <row r="378" spans="1:13" ht="15.75">
      <c r="A378" s="306">
        <v>355000</v>
      </c>
      <c r="B378" s="297" t="s">
        <v>458</v>
      </c>
      <c r="F378" s="264">
        <f t="shared" si="7"/>
        <v>177116</v>
      </c>
      <c r="G378" s="264">
        <v>0</v>
      </c>
      <c r="H378" s="264">
        <v>177115896</v>
      </c>
      <c r="M378" s="393"/>
    </row>
    <row r="379" spans="1:13" ht="15.75">
      <c r="A379" s="306">
        <v>356000</v>
      </c>
      <c r="B379" s="297" t="s">
        <v>459</v>
      </c>
      <c r="F379" s="264">
        <f t="shared" si="7"/>
        <v>99445</v>
      </c>
      <c r="G379" s="264">
        <v>0</v>
      </c>
      <c r="H379" s="264">
        <v>99444995</v>
      </c>
      <c r="M379" s="393"/>
    </row>
    <row r="380" spans="1:13" ht="15.75">
      <c r="A380" s="306">
        <v>357000</v>
      </c>
      <c r="B380" s="297" t="s">
        <v>460</v>
      </c>
      <c r="F380" s="264">
        <f t="shared" si="7"/>
        <v>2028</v>
      </c>
      <c r="G380" s="264">
        <v>0</v>
      </c>
      <c r="H380" s="264">
        <v>2028210</v>
      </c>
      <c r="M380" s="393"/>
    </row>
    <row r="381" spans="1:13" ht="15.75">
      <c r="A381" s="306">
        <v>358000</v>
      </c>
      <c r="B381" s="297" t="s">
        <v>461</v>
      </c>
      <c r="F381" s="264">
        <f t="shared" si="7"/>
        <v>1601</v>
      </c>
      <c r="G381" s="264">
        <v>0</v>
      </c>
      <c r="H381" s="264">
        <v>1600777</v>
      </c>
      <c r="M381" s="393"/>
    </row>
    <row r="382" spans="1:13" ht="15.75">
      <c r="A382" s="306">
        <v>359000</v>
      </c>
      <c r="B382" s="297" t="s">
        <v>462</v>
      </c>
      <c r="F382" s="264">
        <f t="shared" si="7"/>
        <v>1384</v>
      </c>
      <c r="G382" s="264">
        <v>0</v>
      </c>
      <c r="H382" s="264">
        <v>1384351</v>
      </c>
      <c r="M382" s="393"/>
    </row>
    <row r="383" spans="1:13" ht="15.75">
      <c r="A383" s="308"/>
      <c r="B383" s="297" t="s">
        <v>463</v>
      </c>
      <c r="F383" s="264">
        <f t="shared" si="7"/>
        <v>509897</v>
      </c>
      <c r="G383" s="264">
        <v>0</v>
      </c>
      <c r="H383" s="264">
        <v>509896912</v>
      </c>
      <c r="M383" s="396"/>
    </row>
    <row r="384" spans="1:13" ht="15.75">
      <c r="A384" s="309"/>
      <c r="B384" s="297"/>
      <c r="G384" s="264">
        <v>0</v>
      </c>
      <c r="M384" s="396"/>
    </row>
    <row r="385" spans="1:13" ht="15.75">
      <c r="A385" s="309"/>
      <c r="B385" s="297" t="s">
        <v>464</v>
      </c>
      <c r="F385" s="264">
        <f>ROUND(H385/1000,0)</f>
        <v>0</v>
      </c>
      <c r="M385" s="393"/>
    </row>
    <row r="386" spans="1:13" ht="15.75">
      <c r="A386" s="306">
        <v>360200</v>
      </c>
      <c r="B386" s="297" t="s">
        <v>433</v>
      </c>
      <c r="F386" s="264">
        <f>ROUND(H386/1000,0)</f>
        <v>6249</v>
      </c>
      <c r="G386" s="264">
        <v>0</v>
      </c>
      <c r="H386" s="264">
        <v>6249478</v>
      </c>
      <c r="M386" s="397"/>
    </row>
    <row r="387" spans="1:13" ht="15.75">
      <c r="A387" s="305">
        <v>360400</v>
      </c>
      <c r="B387" s="300" t="s">
        <v>465</v>
      </c>
      <c r="F387" s="264">
        <f>ROUND(H387/1000,0)</f>
        <v>539</v>
      </c>
      <c r="G387" s="264">
        <v>0</v>
      </c>
      <c r="H387" s="264">
        <v>538580</v>
      </c>
      <c r="M387" s="393"/>
    </row>
    <row r="388" spans="1:13" ht="15.75">
      <c r="A388" s="513">
        <v>360500</v>
      </c>
      <c r="B388" s="396" t="s">
        <v>661</v>
      </c>
      <c r="F388" s="264">
        <f>ROUND(H388/1000,0)</f>
        <v>0</v>
      </c>
      <c r="H388" s="264">
        <v>0</v>
      </c>
      <c r="M388" s="393"/>
    </row>
    <row r="389" spans="1:13" ht="15.75">
      <c r="A389" s="306">
        <v>361000</v>
      </c>
      <c r="B389" s="297" t="s">
        <v>435</v>
      </c>
      <c r="F389" s="264">
        <f>ROUND(H389/1000,0)</f>
        <v>27284</v>
      </c>
      <c r="G389" s="264">
        <v>0</v>
      </c>
      <c r="H389" s="264">
        <v>27284016</v>
      </c>
      <c r="M389" s="393"/>
    </row>
    <row r="390" spans="1:13" ht="15.75">
      <c r="A390" s="306">
        <v>362000</v>
      </c>
      <c r="B390" s="296" t="s">
        <v>335</v>
      </c>
      <c r="F390" s="264">
        <f t="shared" ref="F390:F397" si="8">ROUND(H390/1000,0)</f>
        <v>94951</v>
      </c>
      <c r="G390" s="264">
        <v>0</v>
      </c>
      <c r="H390" s="264">
        <v>94950686</v>
      </c>
      <c r="M390" s="393"/>
    </row>
    <row r="391" spans="1:13" ht="15.75">
      <c r="A391" s="398">
        <v>363000</v>
      </c>
      <c r="B391" s="393" t="s">
        <v>632</v>
      </c>
      <c r="F391" s="264">
        <f t="shared" si="8"/>
        <v>2592</v>
      </c>
      <c r="G391" s="264">
        <v>0</v>
      </c>
      <c r="H391" s="264">
        <v>2592393</v>
      </c>
      <c r="M391" s="393"/>
    </row>
    <row r="392" spans="1:13" ht="15.75">
      <c r="A392" s="306">
        <v>364000</v>
      </c>
      <c r="B392" s="297" t="s">
        <v>466</v>
      </c>
      <c r="F392" s="264">
        <f t="shared" si="8"/>
        <v>274387</v>
      </c>
      <c r="G392" s="264">
        <v>0</v>
      </c>
      <c r="H392" s="264">
        <v>274387139</v>
      </c>
      <c r="M392" s="393"/>
    </row>
    <row r="393" spans="1:13" ht="15.75">
      <c r="A393" s="306">
        <v>365000</v>
      </c>
      <c r="B393" s="297" t="s">
        <v>459</v>
      </c>
      <c r="F393" s="264">
        <f t="shared" si="8"/>
        <v>174751</v>
      </c>
      <c r="G393" s="264">
        <v>0</v>
      </c>
      <c r="H393" s="264">
        <v>174751064</v>
      </c>
      <c r="M393" s="393"/>
    </row>
    <row r="394" spans="1:13" ht="15.75">
      <c r="A394" s="306">
        <v>366000</v>
      </c>
      <c r="B394" s="297" t="s">
        <v>460</v>
      </c>
      <c r="F394" s="264">
        <f t="shared" si="8"/>
        <v>79249</v>
      </c>
      <c r="G394" s="264">
        <v>0</v>
      </c>
      <c r="H394" s="264">
        <v>79249261</v>
      </c>
      <c r="M394" s="393"/>
    </row>
    <row r="395" spans="1:13" ht="15.75">
      <c r="A395" s="306">
        <v>367000</v>
      </c>
      <c r="B395" s="297" t="s">
        <v>461</v>
      </c>
      <c r="F395" s="264">
        <f t="shared" si="8"/>
        <v>141800</v>
      </c>
      <c r="G395" s="264">
        <v>0</v>
      </c>
      <c r="H395" s="264">
        <v>141799870</v>
      </c>
      <c r="M395" s="396"/>
    </row>
    <row r="396" spans="1:13" ht="15.75">
      <c r="A396" s="306">
        <v>368000</v>
      </c>
      <c r="B396" s="297" t="s">
        <v>371</v>
      </c>
      <c r="F396" s="264">
        <f t="shared" si="8"/>
        <v>189938</v>
      </c>
      <c r="G396" s="264">
        <v>0</v>
      </c>
      <c r="H396" s="264">
        <v>189938121</v>
      </c>
      <c r="M396" s="393"/>
    </row>
    <row r="397" spans="1:13" ht="15.75">
      <c r="A397" s="306" t="s">
        <v>467</v>
      </c>
      <c r="B397" s="297" t="s">
        <v>468</v>
      </c>
      <c r="F397" s="264">
        <f t="shared" si="8"/>
        <v>116033</v>
      </c>
      <c r="G397" s="264">
        <v>0</v>
      </c>
      <c r="H397" s="264">
        <v>116033074</v>
      </c>
      <c r="M397" s="393"/>
    </row>
    <row r="398" spans="1:13" ht="15.75">
      <c r="A398" s="513" t="s">
        <v>662</v>
      </c>
      <c r="B398" s="396" t="s">
        <v>663</v>
      </c>
      <c r="F398" s="264">
        <f>ROUND(H398/1000,0)</f>
        <v>1716</v>
      </c>
      <c r="G398" s="264">
        <v>0</v>
      </c>
      <c r="H398" s="264">
        <v>1716016</v>
      </c>
      <c r="M398" s="393"/>
    </row>
    <row r="399" spans="1:13" ht="15.75">
      <c r="A399" s="305">
        <v>370000</v>
      </c>
      <c r="B399" s="300" t="s">
        <v>373</v>
      </c>
      <c r="F399" s="264">
        <f>ROUND(H399/1000,0)</f>
        <v>43512</v>
      </c>
      <c r="G399" s="264">
        <v>0</v>
      </c>
      <c r="H399" s="264">
        <v>43512208</v>
      </c>
      <c r="M399" s="393"/>
    </row>
    <row r="400" spans="1:13" ht="15.75">
      <c r="A400" s="306" t="s">
        <v>469</v>
      </c>
      <c r="B400" s="297" t="s">
        <v>470</v>
      </c>
      <c r="F400" s="264">
        <f>ROUND(H400/1000,0)</f>
        <v>41475</v>
      </c>
      <c r="G400" s="264">
        <v>0</v>
      </c>
      <c r="H400" s="264">
        <v>41474507</v>
      </c>
      <c r="M400" s="393"/>
    </row>
    <row r="401" spans="1:13" ht="15.75">
      <c r="A401" s="308"/>
      <c r="B401" s="297" t="s">
        <v>471</v>
      </c>
      <c r="F401" s="264">
        <f>ROUND(H401/1000,0)</f>
        <v>1194476</v>
      </c>
      <c r="G401" s="264">
        <v>0</v>
      </c>
      <c r="H401" s="264">
        <v>1194476413</v>
      </c>
      <c r="M401" s="393"/>
    </row>
    <row r="402" spans="1:13" ht="15.75">
      <c r="A402" s="309"/>
      <c r="B402" s="297"/>
      <c r="M402" s="393"/>
    </row>
    <row r="403" spans="1:13" ht="15.75">
      <c r="A403" s="309"/>
      <c r="B403" s="297" t="s">
        <v>472</v>
      </c>
      <c r="F403" s="264">
        <f t="shared" ref="F403:F447" si="9">ROUND(H403/1000,0)</f>
        <v>0</v>
      </c>
      <c r="G403" s="264">
        <v>0</v>
      </c>
      <c r="M403" s="393"/>
    </row>
    <row r="404" spans="1:13" ht="15.75">
      <c r="A404" s="306" t="s">
        <v>473</v>
      </c>
      <c r="B404" s="297" t="s">
        <v>433</v>
      </c>
      <c r="F404" s="264">
        <f t="shared" si="9"/>
        <v>6168</v>
      </c>
      <c r="G404" s="264">
        <v>0</v>
      </c>
      <c r="H404" s="264">
        <v>6168368</v>
      </c>
      <c r="M404" s="393"/>
    </row>
    <row r="405" spans="1:13" ht="15.75">
      <c r="A405" s="306" t="s">
        <v>474</v>
      </c>
      <c r="B405" s="297" t="s">
        <v>435</v>
      </c>
      <c r="F405" s="264">
        <f t="shared" si="9"/>
        <v>74868</v>
      </c>
      <c r="G405" s="264">
        <v>0</v>
      </c>
      <c r="H405" s="264">
        <v>74868142</v>
      </c>
      <c r="M405" s="393"/>
    </row>
    <row r="406" spans="1:13" ht="15.75">
      <c r="A406" s="306" t="s">
        <v>475</v>
      </c>
      <c r="B406" s="297" t="s">
        <v>476</v>
      </c>
      <c r="F406" s="264">
        <f t="shared" si="9"/>
        <v>47863</v>
      </c>
      <c r="G406" s="264">
        <v>0</v>
      </c>
      <c r="H406" s="264">
        <v>47863071</v>
      </c>
      <c r="M406" s="393"/>
    </row>
    <row r="407" spans="1:13" ht="15.75">
      <c r="A407" s="306" t="s">
        <v>477</v>
      </c>
      <c r="B407" s="297" t="s">
        <v>478</v>
      </c>
      <c r="F407" s="264">
        <f t="shared" si="9"/>
        <v>40505</v>
      </c>
      <c r="G407" s="264">
        <v>0</v>
      </c>
      <c r="H407" s="264">
        <v>40505302</v>
      </c>
      <c r="M407" s="393"/>
    </row>
    <row r="408" spans="1:13" ht="15.75">
      <c r="A408" s="306">
        <v>393000</v>
      </c>
      <c r="B408" s="297" t="s">
        <v>479</v>
      </c>
      <c r="F408" s="264">
        <f t="shared" si="9"/>
        <v>2919</v>
      </c>
      <c r="G408" s="264">
        <v>0</v>
      </c>
      <c r="H408" s="264">
        <v>2918909</v>
      </c>
      <c r="M408" s="393"/>
    </row>
    <row r="409" spans="1:13" ht="15.75">
      <c r="A409" s="306">
        <v>394000</v>
      </c>
      <c r="B409" s="297" t="s">
        <v>480</v>
      </c>
      <c r="F409" s="264">
        <f t="shared" si="9"/>
        <v>10554</v>
      </c>
      <c r="G409" s="264">
        <v>0</v>
      </c>
      <c r="H409" s="264">
        <v>10554167</v>
      </c>
      <c r="M409" s="393"/>
    </row>
    <row r="410" spans="1:13" ht="15.75">
      <c r="A410" s="398">
        <v>394100</v>
      </c>
      <c r="B410" s="393" t="s">
        <v>664</v>
      </c>
      <c r="F410" s="264">
        <f t="shared" si="9"/>
        <v>80</v>
      </c>
      <c r="G410" s="264">
        <v>0</v>
      </c>
      <c r="H410" s="264">
        <v>80023</v>
      </c>
      <c r="M410" s="393"/>
    </row>
    <row r="411" spans="1:13" ht="15.75">
      <c r="A411" s="306">
        <v>395000</v>
      </c>
      <c r="B411" s="297" t="s">
        <v>481</v>
      </c>
      <c r="F411" s="264">
        <f t="shared" si="9"/>
        <v>1923</v>
      </c>
      <c r="G411" s="264">
        <v>0</v>
      </c>
      <c r="H411" s="264">
        <v>1923153</v>
      </c>
      <c r="M411" s="393"/>
    </row>
    <row r="412" spans="1:13" ht="15.75">
      <c r="A412" s="306" t="s">
        <v>482</v>
      </c>
      <c r="B412" s="297" t="s">
        <v>483</v>
      </c>
      <c r="F412" s="264">
        <f t="shared" si="9"/>
        <v>20715</v>
      </c>
      <c r="G412" s="264">
        <v>0</v>
      </c>
      <c r="H412" s="264">
        <v>20714670</v>
      </c>
      <c r="M412" s="393"/>
    </row>
    <row r="413" spans="1:13" ht="15.75">
      <c r="A413" s="306" t="s">
        <v>484</v>
      </c>
      <c r="B413" s="297" t="s">
        <v>485</v>
      </c>
      <c r="F413" s="264">
        <f t="shared" si="9"/>
        <v>73541</v>
      </c>
      <c r="G413" s="264">
        <v>0</v>
      </c>
      <c r="H413" s="264">
        <v>73540856</v>
      </c>
      <c r="M413" s="393"/>
    </row>
    <row r="414" spans="1:13" ht="15.75">
      <c r="A414" s="306">
        <v>398000</v>
      </c>
      <c r="B414" s="297" t="s">
        <v>486</v>
      </c>
      <c r="F414" s="264">
        <f t="shared" si="9"/>
        <v>420</v>
      </c>
      <c r="G414" s="264">
        <v>0</v>
      </c>
      <c r="H414" s="264">
        <v>419588</v>
      </c>
      <c r="M414" s="393"/>
    </row>
    <row r="415" spans="1:13" ht="15.75">
      <c r="A415" s="308"/>
      <c r="B415" s="297" t="s">
        <v>487</v>
      </c>
      <c r="F415" s="264">
        <f t="shared" si="9"/>
        <v>279556</v>
      </c>
      <c r="G415" s="264">
        <v>0</v>
      </c>
      <c r="H415" s="264">
        <v>279556249</v>
      </c>
      <c r="M415" s="393"/>
    </row>
    <row r="416" spans="1:13" ht="15.75">
      <c r="A416" s="309"/>
      <c r="B416" s="297"/>
      <c r="F416" s="264">
        <f t="shared" si="9"/>
        <v>0</v>
      </c>
      <c r="G416" s="264">
        <v>0</v>
      </c>
      <c r="M416" s="393"/>
    </row>
    <row r="417" spans="1:13" ht="15.75">
      <c r="A417" s="309"/>
      <c r="B417" s="297" t="s">
        <v>488</v>
      </c>
      <c r="F417" s="264">
        <f t="shared" si="9"/>
        <v>3125125</v>
      </c>
      <c r="G417" s="264">
        <v>0</v>
      </c>
      <c r="H417" s="264">
        <v>3125125013</v>
      </c>
      <c r="M417" s="393"/>
    </row>
    <row r="418" spans="1:13" ht="15.75">
      <c r="A418" s="309"/>
      <c r="B418" s="297"/>
      <c r="F418" s="264">
        <f t="shared" si="9"/>
        <v>0</v>
      </c>
      <c r="G418" s="264">
        <v>0</v>
      </c>
      <c r="M418" s="393"/>
    </row>
    <row r="419" spans="1:13" ht="15.75">
      <c r="A419" s="309"/>
      <c r="B419" s="297"/>
      <c r="F419" s="264">
        <f t="shared" si="9"/>
        <v>0</v>
      </c>
      <c r="G419" s="264">
        <v>0</v>
      </c>
      <c r="M419" s="393"/>
    </row>
    <row r="420" spans="1:13" ht="15.75">
      <c r="A420" s="309"/>
      <c r="B420" s="297" t="s">
        <v>73</v>
      </c>
      <c r="F420" s="264">
        <f t="shared" si="9"/>
        <v>0</v>
      </c>
      <c r="G420" s="264">
        <v>0</v>
      </c>
      <c r="M420" s="393"/>
    </row>
    <row r="421" spans="1:13" ht="15.75">
      <c r="A421" s="309"/>
      <c r="B421" s="297" t="s">
        <v>489</v>
      </c>
      <c r="F421" s="264">
        <f t="shared" si="9"/>
        <v>-202373</v>
      </c>
      <c r="G421" s="264">
        <v>0</v>
      </c>
      <c r="H421" s="264">
        <v>-202373415</v>
      </c>
      <c r="M421" s="393"/>
    </row>
    <row r="422" spans="1:13" ht="15.75">
      <c r="A422" s="306"/>
      <c r="B422" s="297" t="s">
        <v>490</v>
      </c>
      <c r="F422" s="264">
        <f t="shared" si="9"/>
        <v>-92485</v>
      </c>
      <c r="G422" s="264">
        <v>0</v>
      </c>
      <c r="H422" s="264">
        <v>-92485466</v>
      </c>
      <c r="M422" s="393"/>
    </row>
    <row r="423" spans="1:13" ht="15.75">
      <c r="A423" s="309"/>
      <c r="B423" s="297" t="s">
        <v>491</v>
      </c>
      <c r="F423" s="264">
        <f t="shared" si="9"/>
        <v>-87579</v>
      </c>
      <c r="G423" s="264">
        <v>0</v>
      </c>
      <c r="H423" s="264">
        <v>-87578970</v>
      </c>
      <c r="M423" s="393"/>
    </row>
    <row r="424" spans="1:13" ht="15.75">
      <c r="A424" s="309"/>
      <c r="B424" s="297" t="s">
        <v>492</v>
      </c>
      <c r="F424" s="264">
        <f t="shared" si="9"/>
        <v>-147016</v>
      </c>
      <c r="G424" s="264">
        <v>0</v>
      </c>
      <c r="H424" s="264">
        <v>-147015726</v>
      </c>
      <c r="M424" s="393"/>
    </row>
    <row r="425" spans="1:13" ht="15.75">
      <c r="A425" s="309"/>
      <c r="B425" s="297" t="s">
        <v>493</v>
      </c>
      <c r="F425" s="264">
        <f t="shared" si="9"/>
        <v>-358989</v>
      </c>
      <c r="G425" s="264">
        <v>0</v>
      </c>
      <c r="H425" s="264">
        <v>-358988795</v>
      </c>
      <c r="M425" s="393"/>
    </row>
    <row r="426" spans="1:13" ht="15.75">
      <c r="A426" s="309"/>
      <c r="B426" s="297" t="s">
        <v>494</v>
      </c>
      <c r="F426" s="264">
        <f t="shared" si="9"/>
        <v>-92748</v>
      </c>
      <c r="G426" s="264">
        <v>0</v>
      </c>
      <c r="H426" s="264">
        <v>-92747703</v>
      </c>
      <c r="M426" s="393"/>
    </row>
    <row r="427" spans="1:13" ht="15.75">
      <c r="A427" s="304"/>
      <c r="B427" s="297" t="s">
        <v>495</v>
      </c>
      <c r="F427" s="264">
        <f t="shared" si="9"/>
        <v>-981190</v>
      </c>
      <c r="G427" s="264">
        <v>0</v>
      </c>
      <c r="H427" s="264">
        <v>-981190075</v>
      </c>
      <c r="M427" s="393"/>
    </row>
    <row r="428" spans="1:13" ht="15.75">
      <c r="A428" s="304"/>
      <c r="B428" s="297"/>
      <c r="F428" s="264">
        <f t="shared" si="9"/>
        <v>0</v>
      </c>
      <c r="G428" s="264">
        <v>0</v>
      </c>
      <c r="M428" s="393"/>
    </row>
    <row r="429" spans="1:13" ht="15.75">
      <c r="A429" s="304"/>
      <c r="B429" s="297" t="s">
        <v>115</v>
      </c>
      <c r="F429" s="264">
        <f t="shared" si="9"/>
        <v>0</v>
      </c>
      <c r="G429" s="264">
        <v>0</v>
      </c>
      <c r="M429" s="393"/>
    </row>
    <row r="430" spans="1:13" ht="15.75">
      <c r="A430" s="309"/>
      <c r="B430" s="297" t="s">
        <v>496</v>
      </c>
      <c r="F430" s="264">
        <f t="shared" si="9"/>
        <v>-9454</v>
      </c>
      <c r="G430" s="264">
        <v>0</v>
      </c>
      <c r="H430" s="264">
        <v>-9454377</v>
      </c>
      <c r="M430" s="393"/>
    </row>
    <row r="431" spans="1:13" ht="15.75">
      <c r="A431" s="309"/>
      <c r="B431" s="297" t="s">
        <v>497</v>
      </c>
      <c r="F431" s="264">
        <f t="shared" si="9"/>
        <v>-274</v>
      </c>
      <c r="G431" s="264">
        <v>0</v>
      </c>
      <c r="H431" s="264">
        <v>-274217</v>
      </c>
      <c r="M431" s="393"/>
    </row>
    <row r="432" spans="1:13" ht="15.75">
      <c r="A432" s="309"/>
      <c r="B432" s="297" t="s">
        <v>498</v>
      </c>
      <c r="F432" s="264">
        <f t="shared" si="9"/>
        <v>-1767</v>
      </c>
      <c r="G432" s="264">
        <v>0</v>
      </c>
      <c r="H432" s="264">
        <v>-1767061</v>
      </c>
      <c r="M432" s="393"/>
    </row>
    <row r="433" spans="1:13" ht="15.75">
      <c r="A433" s="309"/>
      <c r="B433" s="297" t="s">
        <v>499</v>
      </c>
      <c r="F433" s="264">
        <f t="shared" si="9"/>
        <v>-45583</v>
      </c>
      <c r="G433" s="264">
        <v>0</v>
      </c>
      <c r="H433" s="264">
        <v>-45582816</v>
      </c>
      <c r="M433" s="393"/>
    </row>
    <row r="434" spans="1:13" ht="15.75">
      <c r="A434" s="309"/>
      <c r="B434" s="297" t="s">
        <v>500</v>
      </c>
      <c r="F434" s="264">
        <f t="shared" si="9"/>
        <v>-117</v>
      </c>
      <c r="G434" s="264">
        <v>0</v>
      </c>
      <c r="H434" s="264">
        <v>-116774</v>
      </c>
      <c r="M434" s="393"/>
    </row>
    <row r="435" spans="1:13" ht="15.75">
      <c r="A435" s="309"/>
      <c r="B435" s="297" t="s">
        <v>501</v>
      </c>
      <c r="F435" s="264">
        <f t="shared" si="9"/>
        <v>-57195</v>
      </c>
      <c r="G435" s="264">
        <v>0</v>
      </c>
      <c r="H435" s="264">
        <v>-57195245</v>
      </c>
      <c r="M435" s="393"/>
    </row>
    <row r="436" spans="1:13" ht="15.75">
      <c r="A436" s="309"/>
      <c r="B436" s="297"/>
      <c r="F436" s="264">
        <f t="shared" si="9"/>
        <v>0</v>
      </c>
      <c r="G436" s="264">
        <v>0</v>
      </c>
      <c r="M436" s="393"/>
    </row>
    <row r="437" spans="1:13" ht="15.75">
      <c r="A437" s="309"/>
      <c r="B437" s="297" t="s">
        <v>502</v>
      </c>
      <c r="F437" s="264">
        <f t="shared" si="9"/>
        <v>-1038385</v>
      </c>
      <c r="G437" s="264">
        <v>0</v>
      </c>
      <c r="H437" s="264">
        <v>-1038385320</v>
      </c>
      <c r="M437" s="400"/>
    </row>
    <row r="438" spans="1:13" ht="15.75">
      <c r="A438" s="309"/>
      <c r="B438" s="297"/>
      <c r="F438" s="264">
        <f t="shared" si="9"/>
        <v>0</v>
      </c>
      <c r="G438" s="264">
        <v>0</v>
      </c>
      <c r="M438" s="401"/>
    </row>
    <row r="439" spans="1:13" ht="15.75">
      <c r="A439" s="304"/>
      <c r="B439" s="297" t="s">
        <v>503</v>
      </c>
      <c r="F439" s="264">
        <f t="shared" si="9"/>
        <v>2086740</v>
      </c>
      <c r="G439" s="264">
        <v>0</v>
      </c>
      <c r="H439" s="264">
        <v>2086739693</v>
      </c>
      <c r="M439" s="400"/>
    </row>
    <row r="440" spans="1:13" ht="15.75">
      <c r="A440" s="304"/>
      <c r="B440" s="297"/>
      <c r="F440" s="264">
        <f t="shared" si="9"/>
        <v>0</v>
      </c>
      <c r="G440" s="264">
        <v>0</v>
      </c>
      <c r="M440" s="400"/>
    </row>
    <row r="441" spans="1:13" ht="15.75">
      <c r="A441" s="311"/>
      <c r="B441" s="312" t="s">
        <v>504</v>
      </c>
      <c r="F441" s="264">
        <f t="shared" si="9"/>
        <v>0</v>
      </c>
      <c r="G441" s="264">
        <v>0</v>
      </c>
      <c r="M441" s="400"/>
    </row>
    <row r="442" spans="1:13" ht="15.75">
      <c r="A442" s="313"/>
      <c r="B442" s="311" t="s">
        <v>505</v>
      </c>
      <c r="F442" s="264">
        <f t="shared" si="9"/>
        <v>0</v>
      </c>
      <c r="G442" s="264">
        <v>0</v>
      </c>
      <c r="H442" s="264">
        <v>0</v>
      </c>
      <c r="M442" s="400"/>
    </row>
    <row r="443" spans="1:13" ht="15.75">
      <c r="A443" s="313"/>
      <c r="B443" s="312" t="s">
        <v>506</v>
      </c>
      <c r="F443" s="264">
        <f t="shared" si="9"/>
        <v>59</v>
      </c>
      <c r="G443" s="264">
        <v>0</v>
      </c>
      <c r="H443" s="264">
        <v>58755</v>
      </c>
      <c r="M443" s="400"/>
    </row>
    <row r="444" spans="1:13" ht="15.75">
      <c r="A444" s="313"/>
      <c r="B444" s="312" t="s">
        <v>507</v>
      </c>
      <c r="F444" s="264">
        <f t="shared" si="9"/>
        <v>-370761</v>
      </c>
      <c r="G444" s="264">
        <v>0</v>
      </c>
      <c r="H444" s="264">
        <v>-370760698</v>
      </c>
      <c r="M444" s="400"/>
    </row>
    <row r="445" spans="1:13" ht="15.75">
      <c r="A445" s="313"/>
      <c r="B445" s="312" t="s">
        <v>508</v>
      </c>
      <c r="F445" s="264">
        <f t="shared" si="9"/>
        <v>-42552</v>
      </c>
      <c r="G445" s="264">
        <v>0</v>
      </c>
      <c r="H445" s="264">
        <v>-42552351</v>
      </c>
      <c r="M445" s="400"/>
    </row>
    <row r="446" spans="1:13" ht="15.75">
      <c r="A446" s="313"/>
      <c r="B446" s="400" t="s">
        <v>704</v>
      </c>
      <c r="F446" s="264">
        <f t="shared" si="9"/>
        <v>-716</v>
      </c>
      <c r="G446" s="264">
        <v>0</v>
      </c>
      <c r="H446" s="264">
        <v>-716236</v>
      </c>
      <c r="M446" s="400"/>
    </row>
    <row r="447" spans="1:13" ht="15.75">
      <c r="A447" s="313"/>
      <c r="B447" s="312" t="s">
        <v>613</v>
      </c>
      <c r="F447" s="264">
        <f t="shared" si="9"/>
        <v>-110</v>
      </c>
      <c r="G447" s="264">
        <v>0</v>
      </c>
      <c r="H447" s="264">
        <v>-110149</v>
      </c>
      <c r="M447" s="400"/>
    </row>
    <row r="448" spans="1:13" ht="15.75">
      <c r="A448" s="313"/>
      <c r="B448" s="312" t="s">
        <v>509</v>
      </c>
      <c r="F448" s="264">
        <f>ROUND(H448/1000,0)</f>
        <v>0</v>
      </c>
      <c r="G448" s="264">
        <v>0</v>
      </c>
      <c r="H448" s="264">
        <v>0</v>
      </c>
      <c r="M448" s="400"/>
    </row>
    <row r="449" spans="1:13" ht="15.75">
      <c r="A449" s="313"/>
      <c r="B449" s="312" t="s">
        <v>510</v>
      </c>
      <c r="F449" s="264">
        <f>ROUND(H449/1000,0)</f>
        <v>0</v>
      </c>
      <c r="G449" s="264">
        <v>0</v>
      </c>
      <c r="H449" s="264">
        <v>0</v>
      </c>
      <c r="M449" s="393"/>
    </row>
    <row r="450" spans="1:13" ht="15.75">
      <c r="A450" s="313"/>
      <c r="B450" s="312" t="s">
        <v>511</v>
      </c>
      <c r="F450" s="264">
        <f>ROUND(H450/1000,0)</f>
        <v>-4209</v>
      </c>
      <c r="G450" s="264">
        <v>0</v>
      </c>
      <c r="H450" s="264">
        <v>-4209451</v>
      </c>
      <c r="M450" s="393"/>
    </row>
    <row r="451" spans="1:13" ht="15.75">
      <c r="A451" s="313"/>
      <c r="B451" s="312" t="s">
        <v>614</v>
      </c>
      <c r="F451" s="264">
        <f>ROUND(H451/1000,0)</f>
        <v>166</v>
      </c>
      <c r="G451" s="264">
        <v>0</v>
      </c>
      <c r="H451" s="264">
        <v>165854</v>
      </c>
      <c r="M451" s="393"/>
    </row>
    <row r="452" spans="1:13" ht="12.75">
      <c r="A452" s="313"/>
      <c r="B452" s="312" t="s">
        <v>512</v>
      </c>
      <c r="F452" s="264">
        <f t="shared" ref="F452:F504" si="10">ROUND(H452/1000,0)</f>
        <v>-847</v>
      </c>
      <c r="G452" s="264">
        <v>0</v>
      </c>
      <c r="H452" s="264">
        <v>-846593</v>
      </c>
    </row>
    <row r="453" spans="1:13" ht="15.75">
      <c r="A453" s="309"/>
      <c r="B453" s="297" t="s">
        <v>513</v>
      </c>
      <c r="F453" s="264">
        <f t="shared" si="10"/>
        <v>-418971</v>
      </c>
      <c r="G453" s="264">
        <v>0</v>
      </c>
      <c r="H453" s="264">
        <v>-418970869</v>
      </c>
      <c r="M453" s="393"/>
    </row>
    <row r="454" spans="1:13" ht="15.75">
      <c r="A454" s="304"/>
      <c r="B454" s="297"/>
      <c r="F454" s="264">
        <f t="shared" si="10"/>
        <v>0</v>
      </c>
      <c r="G454" s="264">
        <v>0</v>
      </c>
      <c r="M454" s="393"/>
    </row>
    <row r="455" spans="1:13" ht="15.75">
      <c r="A455" s="304"/>
      <c r="B455" s="297" t="s">
        <v>514</v>
      </c>
      <c r="F455" s="264">
        <f t="shared" si="10"/>
        <v>1667769</v>
      </c>
      <c r="G455" s="264">
        <v>0</v>
      </c>
      <c r="H455" s="264">
        <v>1667768824</v>
      </c>
      <c r="M455" s="393"/>
    </row>
    <row r="456" spans="1:13" ht="15.75">
      <c r="F456" s="264">
        <f t="shared" si="10"/>
        <v>0</v>
      </c>
      <c r="G456" s="264">
        <v>0</v>
      </c>
      <c r="M456" s="402"/>
    </row>
    <row r="457" spans="1:13" ht="15.75">
      <c r="A457" s="296"/>
      <c r="B457" s="297" t="s">
        <v>515</v>
      </c>
      <c r="C457" s="296"/>
      <c r="F457" s="264">
        <f t="shared" si="10"/>
        <v>0</v>
      </c>
      <c r="G457" s="264">
        <v>0</v>
      </c>
      <c r="M457" s="402"/>
    </row>
    <row r="458" spans="1:13" ht="15.75">
      <c r="A458" s="314"/>
      <c r="B458" s="393" t="s">
        <v>705</v>
      </c>
      <c r="C458" s="297"/>
      <c r="F458" s="264">
        <f t="shared" si="10"/>
        <v>2498</v>
      </c>
      <c r="G458" s="264">
        <v>0</v>
      </c>
      <c r="H458" s="264">
        <v>2498264</v>
      </c>
      <c r="M458" s="393" t="s">
        <v>734</v>
      </c>
    </row>
    <row r="459" spans="1:13" ht="15.75">
      <c r="A459" s="314"/>
      <c r="B459" s="393" t="s">
        <v>706</v>
      </c>
      <c r="C459" s="297"/>
      <c r="F459" s="264">
        <f t="shared" si="10"/>
        <v>-192</v>
      </c>
      <c r="G459" s="264">
        <v>0</v>
      </c>
      <c r="H459" s="264">
        <v>-191882</v>
      </c>
      <c r="M459" s="393" t="s">
        <v>706</v>
      </c>
    </row>
    <row r="460" spans="1:13" ht="15.75">
      <c r="A460" s="314"/>
      <c r="B460" s="304" t="s">
        <v>516</v>
      </c>
      <c r="C460" s="297"/>
      <c r="F460" s="264">
        <f t="shared" si="10"/>
        <v>-65</v>
      </c>
      <c r="G460" s="264">
        <v>0</v>
      </c>
      <c r="H460" s="264">
        <v>-65332</v>
      </c>
      <c r="M460" s="402" t="s">
        <v>516</v>
      </c>
    </row>
    <row r="461" spans="1:13" ht="15.75">
      <c r="A461" s="314"/>
      <c r="B461" s="304" t="s">
        <v>517</v>
      </c>
      <c r="C461" s="297"/>
      <c r="F461" s="264">
        <f t="shared" si="10"/>
        <v>1111</v>
      </c>
      <c r="G461" s="264">
        <v>0</v>
      </c>
      <c r="H461" s="264">
        <v>1110999</v>
      </c>
      <c r="M461" s="402" t="s">
        <v>517</v>
      </c>
    </row>
    <row r="462" spans="1:13" ht="15.75">
      <c r="A462" s="314"/>
      <c r="B462" s="304" t="s">
        <v>518</v>
      </c>
      <c r="C462" s="297"/>
      <c r="F462" s="264">
        <f t="shared" si="10"/>
        <v>-1032</v>
      </c>
      <c r="G462" s="264">
        <v>0</v>
      </c>
      <c r="H462" s="264">
        <v>-1031642</v>
      </c>
      <c r="M462" s="402" t="s">
        <v>518</v>
      </c>
    </row>
    <row r="463" spans="1:13" ht="15.75">
      <c r="A463" s="314"/>
      <c r="B463" s="304" t="s">
        <v>615</v>
      </c>
      <c r="C463" s="297"/>
      <c r="F463" s="264">
        <f t="shared" si="10"/>
        <v>-1968</v>
      </c>
      <c r="G463" s="264">
        <v>0</v>
      </c>
      <c r="H463" s="264">
        <v>-1967897</v>
      </c>
      <c r="M463" s="402" t="s">
        <v>615</v>
      </c>
    </row>
    <row r="464" spans="1:13" ht="15.75">
      <c r="A464" s="314"/>
      <c r="B464" s="304" t="s">
        <v>519</v>
      </c>
      <c r="C464" s="297"/>
      <c r="F464" s="264">
        <f t="shared" si="10"/>
        <v>1968</v>
      </c>
      <c r="G464" s="264">
        <v>0</v>
      </c>
      <c r="H464" s="264">
        <v>1967897</v>
      </c>
      <c r="M464" s="402" t="s">
        <v>519</v>
      </c>
    </row>
    <row r="465" spans="1:13" ht="15.75">
      <c r="A465" s="314"/>
      <c r="B465" s="297" t="s">
        <v>520</v>
      </c>
      <c r="C465" s="297"/>
      <c r="F465" s="264">
        <f t="shared" si="10"/>
        <v>0</v>
      </c>
      <c r="G465" s="264">
        <v>0</v>
      </c>
      <c r="H465" s="264">
        <v>0</v>
      </c>
      <c r="M465" s="393" t="s">
        <v>520</v>
      </c>
    </row>
    <row r="466" spans="1:13" ht="15.75">
      <c r="A466" s="314"/>
      <c r="B466" s="304" t="s">
        <v>521</v>
      </c>
      <c r="C466" s="297"/>
      <c r="F466" s="264">
        <f t="shared" si="10"/>
        <v>0</v>
      </c>
      <c r="G466" s="264">
        <v>0</v>
      </c>
      <c r="H466" s="264">
        <v>0</v>
      </c>
      <c r="M466" s="402" t="s">
        <v>521</v>
      </c>
    </row>
    <row r="467" spans="1:13" ht="15.75">
      <c r="A467" s="314"/>
      <c r="B467" s="304" t="s">
        <v>522</v>
      </c>
      <c r="C467" s="297"/>
      <c r="F467" s="264">
        <f t="shared" si="10"/>
        <v>0</v>
      </c>
      <c r="G467" s="264">
        <v>0</v>
      </c>
      <c r="H467" s="264">
        <v>0</v>
      </c>
      <c r="M467" s="402" t="s">
        <v>522</v>
      </c>
    </row>
    <row r="468" spans="1:13" ht="15.75">
      <c r="A468" s="314"/>
      <c r="B468" s="297" t="s">
        <v>523</v>
      </c>
      <c r="C468" s="297"/>
      <c r="F468" s="264">
        <f t="shared" si="10"/>
        <v>0</v>
      </c>
      <c r="G468" s="264">
        <v>0</v>
      </c>
      <c r="H468" s="264">
        <v>0</v>
      </c>
      <c r="M468" s="393" t="s">
        <v>523</v>
      </c>
    </row>
    <row r="469" spans="1:13" ht="15.75">
      <c r="A469" s="314"/>
      <c r="B469" s="304" t="s">
        <v>524</v>
      </c>
      <c r="C469" s="297"/>
      <c r="F469" s="264">
        <f t="shared" si="10"/>
        <v>544</v>
      </c>
      <c r="G469" s="264">
        <v>0</v>
      </c>
      <c r="H469" s="264">
        <v>544173</v>
      </c>
      <c r="M469" s="402" t="s">
        <v>524</v>
      </c>
    </row>
    <row r="470" spans="1:13" ht="15.75">
      <c r="A470" s="315"/>
      <c r="B470" s="300" t="s">
        <v>525</v>
      </c>
      <c r="C470" s="300"/>
      <c r="F470" s="264">
        <f t="shared" si="10"/>
        <v>-98</v>
      </c>
      <c r="G470" s="264">
        <v>0</v>
      </c>
      <c r="H470" s="264">
        <v>-97837</v>
      </c>
      <c r="M470" s="396" t="s">
        <v>525</v>
      </c>
    </row>
    <row r="471" spans="1:13" ht="15.75">
      <c r="A471" s="315"/>
      <c r="B471" s="300" t="s">
        <v>526</v>
      </c>
      <c r="C471" s="300"/>
      <c r="F471" s="264">
        <f t="shared" si="10"/>
        <v>216</v>
      </c>
      <c r="G471" s="264">
        <v>0</v>
      </c>
      <c r="H471" s="264">
        <v>215500</v>
      </c>
      <c r="M471" s="396" t="s">
        <v>526</v>
      </c>
    </row>
    <row r="472" spans="1:13" ht="15.75">
      <c r="A472" s="315"/>
      <c r="B472" s="396" t="s">
        <v>722</v>
      </c>
      <c r="C472" s="300"/>
      <c r="F472" s="264">
        <f t="shared" si="10"/>
        <v>-2243</v>
      </c>
      <c r="G472" s="264">
        <v>0</v>
      </c>
      <c r="H472" s="264">
        <v>-2243369</v>
      </c>
      <c r="M472" s="396" t="s">
        <v>722</v>
      </c>
    </row>
    <row r="473" spans="1:13" ht="15.75">
      <c r="A473" s="316"/>
      <c r="B473" s="300" t="s">
        <v>527</v>
      </c>
      <c r="C473" s="300"/>
      <c r="F473" s="264">
        <f t="shared" si="10"/>
        <v>0</v>
      </c>
      <c r="G473" s="264">
        <v>0</v>
      </c>
      <c r="H473" s="264">
        <v>0</v>
      </c>
      <c r="M473" s="396" t="s">
        <v>527</v>
      </c>
    </row>
    <row r="474" spans="1:13" ht="15.75">
      <c r="A474" s="315"/>
      <c r="B474" s="312" t="s">
        <v>528</v>
      </c>
      <c r="C474" s="312"/>
      <c r="F474" s="264">
        <f t="shared" si="10"/>
        <v>-45</v>
      </c>
      <c r="G474" s="264">
        <v>0</v>
      </c>
      <c r="H474" s="264">
        <v>-45256</v>
      </c>
      <c r="M474" s="400" t="s">
        <v>528</v>
      </c>
    </row>
    <row r="475" spans="1:13" ht="15.75">
      <c r="A475" s="316"/>
      <c r="B475" s="300" t="s">
        <v>616</v>
      </c>
      <c r="C475" s="300"/>
      <c r="F475" s="264">
        <f t="shared" si="10"/>
        <v>16</v>
      </c>
      <c r="G475" s="264">
        <v>0</v>
      </c>
      <c r="H475" s="264">
        <v>15676</v>
      </c>
      <c r="M475" s="396" t="s">
        <v>616</v>
      </c>
    </row>
    <row r="476" spans="1:13" ht="15.75">
      <c r="A476" s="315"/>
      <c r="B476" s="312" t="s">
        <v>529</v>
      </c>
      <c r="C476" s="312"/>
      <c r="F476" s="264">
        <f t="shared" si="10"/>
        <v>0</v>
      </c>
      <c r="G476" s="264">
        <v>0</v>
      </c>
      <c r="H476" s="264">
        <v>0</v>
      </c>
      <c r="M476" s="400" t="s">
        <v>529</v>
      </c>
    </row>
    <row r="477" spans="1:13" ht="15.75">
      <c r="A477" s="315"/>
      <c r="B477" s="300" t="s">
        <v>530</v>
      </c>
      <c r="C477" s="300"/>
      <c r="F477" s="264">
        <f t="shared" si="10"/>
        <v>103</v>
      </c>
      <c r="G477" s="264">
        <v>0</v>
      </c>
      <c r="H477" s="264">
        <v>103331</v>
      </c>
      <c r="M477" s="396" t="s">
        <v>530</v>
      </c>
    </row>
    <row r="478" spans="1:13" ht="15.75">
      <c r="A478" s="315"/>
      <c r="B478" s="300" t="s">
        <v>531</v>
      </c>
      <c r="C478" s="300"/>
      <c r="F478" s="264">
        <f t="shared" si="10"/>
        <v>-22</v>
      </c>
      <c r="G478" s="264">
        <v>0</v>
      </c>
      <c r="H478" s="264">
        <v>-21688</v>
      </c>
      <c r="M478" s="396" t="s">
        <v>531</v>
      </c>
    </row>
    <row r="479" spans="1:13" ht="15.75">
      <c r="A479" s="315"/>
      <c r="B479" s="300" t="s">
        <v>532</v>
      </c>
      <c r="C479" s="300"/>
      <c r="F479" s="264">
        <f t="shared" si="10"/>
        <v>66</v>
      </c>
      <c r="G479" s="264">
        <v>0</v>
      </c>
      <c r="H479" s="264">
        <v>65615</v>
      </c>
      <c r="M479" s="396" t="s">
        <v>532</v>
      </c>
    </row>
    <row r="480" spans="1:13" ht="15.75">
      <c r="A480" s="315"/>
      <c r="B480" s="300" t="s">
        <v>533</v>
      </c>
      <c r="C480" s="300"/>
      <c r="F480" s="264">
        <f t="shared" si="10"/>
        <v>-14</v>
      </c>
      <c r="G480" s="264">
        <v>0</v>
      </c>
      <c r="H480" s="264">
        <v>-13794</v>
      </c>
      <c r="M480" s="396" t="s">
        <v>533</v>
      </c>
    </row>
    <row r="481" spans="1:13" ht="15.75">
      <c r="A481" s="315"/>
      <c r="B481" s="317" t="s">
        <v>534</v>
      </c>
      <c r="C481" s="300"/>
      <c r="F481" s="264">
        <f t="shared" si="10"/>
        <v>0</v>
      </c>
      <c r="G481" s="264">
        <v>0</v>
      </c>
      <c r="H481" s="264">
        <v>0</v>
      </c>
      <c r="M481" s="403" t="s">
        <v>534</v>
      </c>
    </row>
    <row r="482" spans="1:13" ht="15.75">
      <c r="A482" s="315"/>
      <c r="B482" s="300" t="s">
        <v>535</v>
      </c>
      <c r="C482" s="300"/>
      <c r="F482" s="264">
        <f t="shared" si="10"/>
        <v>0</v>
      </c>
      <c r="G482" s="264">
        <v>0</v>
      </c>
      <c r="H482" s="264">
        <v>0</v>
      </c>
      <c r="M482" s="396" t="s">
        <v>535</v>
      </c>
    </row>
    <row r="483" spans="1:13" ht="15.75">
      <c r="A483" s="315"/>
      <c r="B483" s="304" t="s">
        <v>536</v>
      </c>
      <c r="C483" s="300"/>
      <c r="F483" s="264">
        <f t="shared" si="10"/>
        <v>0</v>
      </c>
      <c r="G483" s="264">
        <v>0</v>
      </c>
      <c r="H483" s="264">
        <v>0</v>
      </c>
      <c r="M483" s="402" t="s">
        <v>536</v>
      </c>
    </row>
    <row r="484" spans="1:13" ht="15.75">
      <c r="A484" s="315"/>
      <c r="B484" s="300" t="s">
        <v>537</v>
      </c>
      <c r="C484" s="300"/>
      <c r="F484" s="264">
        <f t="shared" si="10"/>
        <v>0</v>
      </c>
      <c r="G484" s="264">
        <v>0</v>
      </c>
      <c r="H484" s="264">
        <v>0</v>
      </c>
      <c r="M484" s="396" t="s">
        <v>537</v>
      </c>
    </row>
    <row r="485" spans="1:13" ht="15.75">
      <c r="A485" s="315"/>
      <c r="B485" s="304" t="s">
        <v>538</v>
      </c>
      <c r="C485" s="300"/>
      <c r="F485" s="264">
        <f t="shared" si="10"/>
        <v>0</v>
      </c>
      <c r="G485" s="264">
        <v>0</v>
      </c>
      <c r="H485" s="264">
        <v>0</v>
      </c>
      <c r="M485" s="402" t="s">
        <v>538</v>
      </c>
    </row>
    <row r="486" spans="1:13" ht="15.75">
      <c r="A486" s="315"/>
      <c r="B486" s="304" t="s">
        <v>539</v>
      </c>
      <c r="C486" s="300"/>
      <c r="F486" s="264">
        <f t="shared" si="10"/>
        <v>-940</v>
      </c>
      <c r="G486" s="264">
        <v>0</v>
      </c>
      <c r="H486" s="264">
        <v>-940445</v>
      </c>
      <c r="M486" s="402" t="s">
        <v>539</v>
      </c>
    </row>
    <row r="487" spans="1:13" ht="15.75">
      <c r="A487" s="315"/>
      <c r="B487" s="402" t="s">
        <v>707</v>
      </c>
      <c r="C487" s="300"/>
      <c r="F487" s="264">
        <f t="shared" si="10"/>
        <v>0</v>
      </c>
      <c r="G487" s="264">
        <v>0</v>
      </c>
      <c r="H487" s="264">
        <v>0</v>
      </c>
      <c r="M487" s="402" t="s">
        <v>707</v>
      </c>
    </row>
    <row r="488" spans="1:13" ht="15.75">
      <c r="A488" s="315"/>
      <c r="B488" s="403" t="s">
        <v>723</v>
      </c>
      <c r="C488" s="300"/>
      <c r="F488" s="264">
        <f t="shared" si="10"/>
        <v>0</v>
      </c>
      <c r="G488" s="264">
        <v>0</v>
      </c>
      <c r="H488" s="264">
        <v>0</v>
      </c>
      <c r="M488" s="403" t="s">
        <v>723</v>
      </c>
    </row>
    <row r="489" spans="1:13" ht="15.75">
      <c r="A489" s="315"/>
      <c r="B489" s="396" t="s">
        <v>724</v>
      </c>
      <c r="C489" s="300"/>
      <c r="F489" s="264">
        <f t="shared" si="10"/>
        <v>0</v>
      </c>
      <c r="G489" s="264">
        <v>0</v>
      </c>
      <c r="H489" s="264">
        <v>0</v>
      </c>
      <c r="M489" s="396" t="s">
        <v>724</v>
      </c>
    </row>
    <row r="490" spans="1:13" ht="15.75">
      <c r="A490" s="314"/>
      <c r="B490" s="402" t="s">
        <v>725</v>
      </c>
      <c r="C490" s="300"/>
      <c r="F490" s="264">
        <f t="shared" si="10"/>
        <v>0</v>
      </c>
      <c r="G490" s="264">
        <v>0</v>
      </c>
      <c r="H490" s="264">
        <v>0</v>
      </c>
      <c r="M490" s="402" t="s">
        <v>725</v>
      </c>
    </row>
    <row r="491" spans="1:13" ht="15.75">
      <c r="A491" s="314"/>
      <c r="B491" s="396" t="s">
        <v>726</v>
      </c>
      <c r="C491" s="300"/>
      <c r="F491" s="264">
        <f t="shared" si="10"/>
        <v>0</v>
      </c>
      <c r="G491" s="264">
        <v>0</v>
      </c>
      <c r="H491" s="264">
        <v>0</v>
      </c>
      <c r="M491" s="396" t="s">
        <v>726</v>
      </c>
    </row>
    <row r="492" spans="1:13" ht="15.75">
      <c r="A492" s="314"/>
      <c r="B492" s="402" t="s">
        <v>727</v>
      </c>
      <c r="C492" s="300"/>
      <c r="F492" s="264">
        <f t="shared" si="10"/>
        <v>0</v>
      </c>
      <c r="G492" s="264">
        <v>0</v>
      </c>
      <c r="H492" s="264">
        <v>0</v>
      </c>
      <c r="M492" s="402" t="s">
        <v>727</v>
      </c>
    </row>
    <row r="493" spans="1:13" ht="15.75">
      <c r="B493" s="402" t="s">
        <v>728</v>
      </c>
      <c r="C493" s="300"/>
      <c r="F493" s="264">
        <f t="shared" si="10"/>
        <v>0</v>
      </c>
      <c r="G493" s="264">
        <v>0</v>
      </c>
      <c r="H493" s="264">
        <v>0</v>
      </c>
      <c r="M493" s="402" t="s">
        <v>728</v>
      </c>
    </row>
    <row r="494" spans="1:13" ht="15.75">
      <c r="B494" s="402" t="s">
        <v>729</v>
      </c>
      <c r="C494" s="300"/>
      <c r="F494" s="264">
        <f t="shared" si="10"/>
        <v>0</v>
      </c>
      <c r="G494" s="264">
        <v>0</v>
      </c>
      <c r="H494" s="264">
        <v>0</v>
      </c>
      <c r="M494" s="402" t="s">
        <v>729</v>
      </c>
    </row>
    <row r="495" spans="1:13" ht="15.75">
      <c r="B495" s="402" t="s">
        <v>730</v>
      </c>
      <c r="C495" s="300"/>
      <c r="F495" s="264">
        <f t="shared" si="10"/>
        <v>0</v>
      </c>
      <c r="G495" s="264">
        <v>0</v>
      </c>
      <c r="H495" s="264">
        <v>0</v>
      </c>
      <c r="M495" s="402" t="s">
        <v>730</v>
      </c>
    </row>
    <row r="496" spans="1:13" ht="15.75">
      <c r="B496" s="402" t="s">
        <v>731</v>
      </c>
      <c r="C496" s="300"/>
      <c r="F496" s="264">
        <f t="shared" si="10"/>
        <v>0</v>
      </c>
      <c r="G496" s="264">
        <v>0</v>
      </c>
      <c r="H496" s="264">
        <v>0</v>
      </c>
      <c r="M496" s="402" t="s">
        <v>731</v>
      </c>
    </row>
    <row r="497" spans="2:13" ht="15.75">
      <c r="B497" s="402" t="s">
        <v>732</v>
      </c>
      <c r="C497" s="300"/>
      <c r="F497" s="264">
        <f t="shared" si="10"/>
        <v>0</v>
      </c>
      <c r="G497" s="264">
        <v>0</v>
      </c>
      <c r="H497" s="264">
        <v>0</v>
      </c>
      <c r="M497" s="402" t="s">
        <v>732</v>
      </c>
    </row>
    <row r="498" spans="2:13" ht="15.75">
      <c r="B498" s="402" t="s">
        <v>733</v>
      </c>
      <c r="C498" s="300"/>
      <c r="F498" s="264">
        <f t="shared" si="10"/>
        <v>0</v>
      </c>
      <c r="G498" s="264">
        <v>0</v>
      </c>
      <c r="H498" s="264">
        <v>0</v>
      </c>
      <c r="M498" s="402" t="s">
        <v>733</v>
      </c>
    </row>
    <row r="499" spans="2:13" ht="15.75">
      <c r="B499" s="304" t="s">
        <v>540</v>
      </c>
      <c r="C499" s="300"/>
      <c r="F499" s="264">
        <f t="shared" si="10"/>
        <v>-1999</v>
      </c>
      <c r="G499" s="264">
        <v>0</v>
      </c>
      <c r="H499" s="264">
        <v>-1998549</v>
      </c>
      <c r="M499" s="402" t="s">
        <v>540</v>
      </c>
    </row>
    <row r="500" spans="2:13" ht="15.75">
      <c r="B500" s="304" t="s">
        <v>541</v>
      </c>
      <c r="C500" s="300"/>
      <c r="F500" s="264">
        <f t="shared" si="10"/>
        <v>44462</v>
      </c>
      <c r="G500" s="264">
        <v>0</v>
      </c>
      <c r="H500" s="264">
        <v>44462479</v>
      </c>
      <c r="M500" s="402" t="s">
        <v>541</v>
      </c>
    </row>
    <row r="501" spans="2:13" ht="15.75">
      <c r="B501" s="304" t="s">
        <v>542</v>
      </c>
      <c r="C501" s="300"/>
      <c r="F501" s="264">
        <f t="shared" si="10"/>
        <v>0</v>
      </c>
      <c r="G501" s="264">
        <v>0</v>
      </c>
      <c r="H501" s="264">
        <v>0</v>
      </c>
      <c r="M501" s="402" t="s">
        <v>542</v>
      </c>
    </row>
    <row r="502" spans="2:13" ht="12.75">
      <c r="B502" s="297" t="s">
        <v>543</v>
      </c>
      <c r="C502" s="297"/>
      <c r="F502" s="264">
        <f t="shared" si="10"/>
        <v>42366</v>
      </c>
      <c r="G502" s="264">
        <v>0</v>
      </c>
      <c r="H502" s="264">
        <v>42366243</v>
      </c>
    </row>
    <row r="503" spans="2:13" ht="12.75">
      <c r="B503" s="297"/>
      <c r="C503" s="297"/>
      <c r="F503" s="264">
        <f t="shared" si="10"/>
        <v>0</v>
      </c>
      <c r="G503" s="264">
        <v>0</v>
      </c>
    </row>
    <row r="504" spans="2:13" ht="12.75">
      <c r="B504" s="297" t="s">
        <v>544</v>
      </c>
      <c r="C504" s="297"/>
      <c r="F504" s="264">
        <f t="shared" si="10"/>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sqref="A1:H1"/>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944" t="s">
        <v>116</v>
      </c>
      <c r="B1" s="944"/>
      <c r="C1" s="944"/>
      <c r="D1" s="944"/>
      <c r="E1" s="944"/>
      <c r="F1" s="944"/>
      <c r="G1" s="944"/>
      <c r="H1" s="944"/>
    </row>
    <row r="2" spans="1:9">
      <c r="A2" s="944" t="s">
        <v>557</v>
      </c>
      <c r="B2" s="944"/>
      <c r="C2" s="944"/>
      <c r="D2" s="944"/>
      <c r="E2" s="944"/>
      <c r="F2" s="944"/>
      <c r="G2" s="944"/>
      <c r="H2" s="944"/>
    </row>
    <row r="3" spans="1:9">
      <c r="A3" s="944" t="s">
        <v>164</v>
      </c>
      <c r="B3" s="944"/>
      <c r="C3" s="944"/>
      <c r="D3" s="944"/>
      <c r="E3" s="944"/>
      <c r="F3" s="944"/>
      <c r="G3" s="944"/>
      <c r="H3" s="944"/>
    </row>
    <row r="4" spans="1:9">
      <c r="A4" s="945" t="str">
        <f>'ADJ DETAIL-INPUT'!A4</f>
        <v>TWELVE MONTHS ENDED DECEMBER 31, 2019</v>
      </c>
      <c r="B4" s="945"/>
      <c r="C4" s="945"/>
      <c r="D4" s="945"/>
      <c r="E4" s="945"/>
      <c r="F4" s="945"/>
      <c r="G4" s="945"/>
      <c r="H4" s="945"/>
    </row>
    <row r="5" spans="1:9">
      <c r="A5" s="946" t="s">
        <v>143</v>
      </c>
      <c r="B5" s="946"/>
      <c r="C5" s="946"/>
      <c r="D5" s="946"/>
      <c r="E5" s="946"/>
      <c r="F5" s="946"/>
      <c r="G5" s="946"/>
      <c r="H5" s="946"/>
    </row>
    <row r="6" spans="1:9" ht="13.5" thickBot="1">
      <c r="A6" s="340"/>
      <c r="B6" s="347"/>
      <c r="C6" s="64"/>
      <c r="D6" s="65"/>
      <c r="E6" s="65"/>
      <c r="F6" s="65"/>
      <c r="I6" s="67" t="s">
        <v>558</v>
      </c>
    </row>
    <row r="7" spans="1:9" ht="13.5" thickBot="1">
      <c r="C7" s="66"/>
      <c r="D7" s="66"/>
      <c r="E7" s="941" t="s">
        <v>557</v>
      </c>
      <c r="F7" s="942"/>
      <c r="G7" s="943"/>
      <c r="I7" s="67" t="s">
        <v>559</v>
      </c>
    </row>
    <row r="8" spans="1:9">
      <c r="C8" s="66"/>
      <c r="D8" s="66"/>
      <c r="E8" s="341">
        <f>'ADJ DETAIL-INPUT'!W10</f>
        <v>2.139999999999997</v>
      </c>
      <c r="F8" s="369"/>
      <c r="G8" s="369"/>
      <c r="I8" s="67"/>
    </row>
    <row r="9" spans="1:9">
      <c r="C9" s="66"/>
      <c r="D9" s="66"/>
      <c r="E9" s="68" t="s">
        <v>25</v>
      </c>
      <c r="F9" s="67" t="s">
        <v>588</v>
      </c>
      <c r="I9" s="67" t="s">
        <v>560</v>
      </c>
    </row>
    <row r="10" spans="1:9">
      <c r="B10" s="348" t="s">
        <v>144</v>
      </c>
      <c r="C10" s="66"/>
      <c r="D10" s="66"/>
      <c r="E10" s="352" t="s">
        <v>263</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1041.1800000000003</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19</v>
      </c>
    </row>
    <row r="15" spans="1:9">
      <c r="A15" s="341">
        <f>'ADJ SUMMARY'!A14</f>
        <v>1.04</v>
      </c>
      <c r="B15" s="349" t="str">
        <f>'ADJ SUMMARY'!C14</f>
        <v>Remove AMI Rate Base</v>
      </c>
      <c r="C15" s="66"/>
      <c r="D15" s="66"/>
      <c r="E15" s="70"/>
      <c r="F15" s="351">
        <f>'ADJ SUMMARY'!E14</f>
        <v>-48288</v>
      </c>
      <c r="G15" s="63">
        <f t="shared" si="1"/>
        <v>-48288</v>
      </c>
      <c r="I15" s="351">
        <f t="shared" si="0"/>
        <v>248</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21049.028985405777</v>
      </c>
      <c r="G34" s="63">
        <f t="shared" si="1"/>
        <v>21049.028985405777</v>
      </c>
      <c r="I34" s="351">
        <f t="shared" si="0"/>
        <v>-108</v>
      </c>
    </row>
    <row r="35" spans="1:9">
      <c r="A35" s="341" t="str">
        <f>'ADJ SUMMARY'!A37</f>
        <v>3.00P</v>
      </c>
      <c r="B35" s="349" t="str">
        <f>'ADJ SUMMARY'!C37</f>
        <v>Pro Forma Power Supply</v>
      </c>
      <c r="C35" s="66"/>
      <c r="D35" s="66"/>
      <c r="E35" s="70"/>
      <c r="F35" s="351">
        <f>'ADJ SUMMARY'!E37</f>
        <v>0</v>
      </c>
      <c r="G35" s="63">
        <f>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2">SUM(E36:F36)</f>
        <v>0</v>
      </c>
      <c r="I36" s="351">
        <f t="shared" si="0"/>
        <v>0</v>
      </c>
    </row>
    <row r="37" spans="1:9">
      <c r="A37" s="341">
        <f>'ADJ SUMMARY'!A39</f>
        <v>3.01</v>
      </c>
      <c r="B37" s="349" t="str">
        <f>'ADJ SUMMARY'!C39</f>
        <v>Pro Forma Revenue Normalization</v>
      </c>
      <c r="C37" s="66"/>
      <c r="D37" s="66"/>
      <c r="E37" s="70"/>
      <c r="F37" s="351">
        <f>'ADJ SUMMARY'!E39</f>
        <v>0</v>
      </c>
      <c r="G37" s="63">
        <f t="shared" si="2"/>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2"/>
        <v>-766</v>
      </c>
      <c r="I38" s="351">
        <f t="shared" si="0"/>
        <v>4</v>
      </c>
    </row>
    <row r="39" spans="1:9">
      <c r="A39" s="341">
        <f>'ADJ SUMMARY'!A41</f>
        <v>3.0299999999999994</v>
      </c>
      <c r="B39" s="349" t="str">
        <f>'ADJ SUMMARY'!C41</f>
        <v>Pro Forma ARAM DFIT</v>
      </c>
      <c r="C39" s="66"/>
      <c r="D39" s="66"/>
      <c r="E39" s="70"/>
      <c r="F39" s="351">
        <f>'ADJ SUMMARY'!E41</f>
        <v>0</v>
      </c>
      <c r="G39" s="63">
        <f>SUM(E39:F39)</f>
        <v>0</v>
      </c>
      <c r="I39" s="351">
        <f t="shared" si="0"/>
        <v>0</v>
      </c>
    </row>
    <row r="40" spans="1:9">
      <c r="A40" s="341">
        <f>'ADJ SUMMARY'!A42</f>
        <v>3.0399999999999991</v>
      </c>
      <c r="B40" s="349" t="str">
        <f>'ADJ SUMMARY'!C42</f>
        <v>Pro Forma Labor Non-Exec</v>
      </c>
      <c r="C40" s="66"/>
      <c r="D40" s="66"/>
      <c r="E40" s="70"/>
      <c r="F40" s="351">
        <f>'ADJ SUMMARY'!E42</f>
        <v>0</v>
      </c>
      <c r="G40" s="63">
        <f t="shared" si="2"/>
        <v>0</v>
      </c>
      <c r="I40" s="351">
        <f t="shared" si="0"/>
        <v>0</v>
      </c>
    </row>
    <row r="41" spans="1:9">
      <c r="A41" s="341">
        <f>'ADJ SUMMARY'!A43</f>
        <v>3.0499999999999989</v>
      </c>
      <c r="B41" s="349" t="str">
        <f>'ADJ SUMMARY'!C43</f>
        <v>Pro Forma Labor Exec</v>
      </c>
      <c r="C41" s="66"/>
      <c r="D41" s="66"/>
      <c r="E41" s="70"/>
      <c r="F41" s="351">
        <f>'ADJ SUMMARY'!E43</f>
        <v>0</v>
      </c>
      <c r="G41" s="63">
        <f t="shared" si="2"/>
        <v>0</v>
      </c>
      <c r="I41" s="351">
        <f t="shared" si="0"/>
        <v>0</v>
      </c>
    </row>
    <row r="42" spans="1:9">
      <c r="A42" s="341">
        <f>'ADJ SUMMARY'!A44</f>
        <v>3.0599999999999987</v>
      </c>
      <c r="B42" s="349" t="str">
        <f>'ADJ SUMMARY'!C44</f>
        <v>Pro Forma Employee Benefits</v>
      </c>
      <c r="C42" s="66"/>
      <c r="D42" s="66"/>
      <c r="E42" s="70"/>
      <c r="F42" s="351">
        <f>'ADJ SUMMARY'!E44</f>
        <v>0</v>
      </c>
      <c r="G42" s="63">
        <f t="shared" si="2"/>
        <v>0</v>
      </c>
      <c r="I42" s="351">
        <f t="shared" si="0"/>
        <v>0</v>
      </c>
    </row>
    <row r="43" spans="1:9">
      <c r="A43" s="341">
        <f>'ADJ SUMMARY'!A45</f>
        <v>3.0699999999999985</v>
      </c>
      <c r="B43" s="349" t="str">
        <f>'ADJ SUMMARY'!C45</f>
        <v>Pro Forma Insurance Expense</v>
      </c>
      <c r="C43" s="66"/>
      <c r="D43" s="66"/>
      <c r="E43" s="70"/>
      <c r="F43" s="351">
        <f>'ADJ SUMMARY'!E45</f>
        <v>0</v>
      </c>
      <c r="G43" s="63">
        <f t="shared" si="2"/>
        <v>0</v>
      </c>
      <c r="I43" s="351">
        <f t="shared" si="0"/>
        <v>0</v>
      </c>
    </row>
    <row r="44" spans="1:9">
      <c r="A44" s="341">
        <f>'ADJ SUMMARY'!A46</f>
        <v>3.0799999999999983</v>
      </c>
      <c r="B44" s="349" t="str">
        <f>'ADJ SUMMARY'!C46</f>
        <v>Pro Forma IS/IT Expense</v>
      </c>
      <c r="C44" s="66"/>
      <c r="D44" s="66"/>
      <c r="E44" s="70"/>
      <c r="F44" s="351">
        <f>'ADJ SUMMARY'!E46</f>
        <v>0</v>
      </c>
      <c r="G44" s="63">
        <f t="shared" si="2"/>
        <v>0</v>
      </c>
      <c r="I44" s="351">
        <f t="shared" si="0"/>
        <v>0</v>
      </c>
    </row>
    <row r="45" spans="1:9">
      <c r="A45" s="341">
        <f>'ADJ SUMMARY'!A47</f>
        <v>3.0899999999999981</v>
      </c>
      <c r="B45" s="349" t="str">
        <f>'ADJ SUMMARY'!C47</f>
        <v>Pro Forma Property Tax</v>
      </c>
      <c r="C45" s="66"/>
      <c r="D45" s="66"/>
      <c r="E45" s="70"/>
      <c r="F45" s="351">
        <f>'ADJ SUMMARY'!E47</f>
        <v>0</v>
      </c>
      <c r="G45" s="63">
        <f t="shared" si="2"/>
        <v>0</v>
      </c>
      <c r="I45" s="351">
        <f t="shared" si="0"/>
        <v>0</v>
      </c>
    </row>
    <row r="46" spans="1:9">
      <c r="A46" s="341">
        <f>'ADJ SUMMARY'!A48</f>
        <v>3.0999999999999979</v>
      </c>
      <c r="B46" s="349" t="str">
        <f>'ADJ SUMMARY'!C48</f>
        <v>Pro Forma Fee Free Amortization</v>
      </c>
      <c r="C46" s="66"/>
      <c r="D46" s="66"/>
      <c r="E46" s="70"/>
      <c r="F46" s="351">
        <f>'ADJ SUMMARY'!E48</f>
        <v>0</v>
      </c>
      <c r="G46" s="63">
        <f t="shared" si="2"/>
        <v>0</v>
      </c>
      <c r="I46" s="351">
        <f t="shared" si="0"/>
        <v>0</v>
      </c>
    </row>
    <row r="47" spans="1:9">
      <c r="A47" s="341">
        <f>'ADJ SUMMARY'!A49</f>
        <v>3.1099999999999977</v>
      </c>
      <c r="B47" s="349" t="str">
        <f>'ADJ SUMMARY'!C49</f>
        <v>Pro Forma 2020 Customer At Center</v>
      </c>
      <c r="C47" s="66"/>
      <c r="D47" s="66"/>
      <c r="E47" s="70"/>
      <c r="F47" s="351">
        <f>'ADJ SUMMARY'!E49</f>
        <v>0</v>
      </c>
      <c r="G47" s="63">
        <f t="shared" si="2"/>
        <v>0</v>
      </c>
      <c r="I47" s="351">
        <f t="shared" si="0"/>
        <v>0</v>
      </c>
    </row>
    <row r="48" spans="1:9">
      <c r="A48" s="341">
        <f>'ADJ SUMMARY'!A50</f>
        <v>3.1199999999999974</v>
      </c>
      <c r="B48" s="349" t="str">
        <f>'ADJ SUMMARY'!C50</f>
        <v>Pro Forma 2020 Large &amp; Distinct</v>
      </c>
      <c r="C48" s="66"/>
      <c r="D48" s="66"/>
      <c r="E48" s="70"/>
      <c r="F48" s="351">
        <f>'ADJ SUMMARY'!E50</f>
        <v>0</v>
      </c>
      <c r="G48" s="63">
        <f t="shared" si="2"/>
        <v>0</v>
      </c>
      <c r="I48" s="351">
        <f t="shared" si="0"/>
        <v>0</v>
      </c>
    </row>
    <row r="49" spans="1:16">
      <c r="A49" s="341">
        <f>'ADJ SUMMARY'!A51</f>
        <v>3.1299999999999972</v>
      </c>
      <c r="B49" s="349" t="str">
        <f>'ADJ SUMMARY'!C51</f>
        <v>Pro Forma 2020 Programmatic</v>
      </c>
      <c r="C49" s="66"/>
      <c r="D49" s="66"/>
      <c r="E49" s="70"/>
      <c r="F49" s="351">
        <f>'ADJ SUMMARY'!E51</f>
        <v>0</v>
      </c>
      <c r="G49" s="63">
        <f t="shared" si="2"/>
        <v>0</v>
      </c>
      <c r="I49" s="351">
        <f t="shared" si="0"/>
        <v>0</v>
      </c>
    </row>
    <row r="50" spans="1:16">
      <c r="A50" s="341">
        <f>'ADJ SUMMARY'!A52</f>
        <v>3.139999999999997</v>
      </c>
      <c r="B50" s="349" t="str">
        <f>'ADJ SUMMARY'!C52</f>
        <v>Pro Forma 2020 Mandatory &amp; Compliance</v>
      </c>
      <c r="C50" s="66"/>
      <c r="D50" s="66"/>
      <c r="E50" s="70"/>
      <c r="F50" s="351">
        <f>'ADJ SUMMARY'!E52</f>
        <v>0</v>
      </c>
      <c r="G50" s="63">
        <f>SUM(E50:F50)</f>
        <v>0</v>
      </c>
      <c r="I50" s="351">
        <f t="shared" si="0"/>
        <v>0</v>
      </c>
    </row>
    <row r="51" spans="1:16">
      <c r="A51" s="341">
        <f>'ADJ SUMMARY'!A53</f>
        <v>3.1499999999999968</v>
      </c>
      <c r="B51" s="349" t="str">
        <f>'ADJ SUMMARY'!C53</f>
        <v>Pro Forma 2020 Short Lived</v>
      </c>
      <c r="C51" s="66"/>
      <c r="D51" s="66"/>
      <c r="E51" s="70"/>
      <c r="F51" s="351">
        <f>'ADJ SUMMARY'!E53</f>
        <v>0</v>
      </c>
      <c r="G51" s="63">
        <f>SUM(E51:F51)</f>
        <v>0</v>
      </c>
      <c r="I51" s="351">
        <f t="shared" si="0"/>
        <v>0</v>
      </c>
    </row>
    <row r="52" spans="1:16">
      <c r="A52" s="341">
        <f>'ADJ SUMMARY'!A54</f>
        <v>3.1599999999999966</v>
      </c>
      <c r="B52" s="349" t="str">
        <f>'ADJ SUMMARY'!C54</f>
        <v>Pro Forma AMI Capital</v>
      </c>
      <c r="C52" s="66"/>
      <c r="D52" s="66"/>
      <c r="E52" s="70"/>
      <c r="F52" s="351">
        <f>'ADJ SUMMARY'!E54</f>
        <v>-21734.679272916666</v>
      </c>
      <c r="G52" s="63">
        <f t="shared" si="2"/>
        <v>-21734.679272916666</v>
      </c>
      <c r="I52" s="351">
        <f t="shared" si="0"/>
        <v>112</v>
      </c>
    </row>
    <row r="53" spans="1:16">
      <c r="A53" s="341">
        <f>'ADJ SUMMARY'!A55</f>
        <v>3.1699999999999964</v>
      </c>
      <c r="B53" s="349" t="str">
        <f>'ADJ SUMMARY'!C55</f>
        <v>Pro Forma WildFire Plan</v>
      </c>
      <c r="C53" s="66"/>
      <c r="D53" s="66"/>
      <c r="E53" s="70"/>
      <c r="F53" s="351">
        <f>'ADJ SUMMARY'!E55</f>
        <v>0</v>
      </c>
      <c r="G53" s="63">
        <f t="shared" si="2"/>
        <v>0</v>
      </c>
      <c r="I53" s="351">
        <f t="shared" si="0"/>
        <v>0</v>
      </c>
    </row>
    <row r="54" spans="1:16">
      <c r="A54" s="341">
        <f>'ADJ SUMMARY'!A56</f>
        <v>3.1799999999999962</v>
      </c>
      <c r="B54" s="349" t="str">
        <f>'ADJ SUMMARY'!C56</f>
        <v>Pro Forma EIM Expenditures</v>
      </c>
      <c r="C54" s="66"/>
      <c r="D54" s="66"/>
      <c r="E54" s="70"/>
      <c r="F54" s="351">
        <f>'ADJ SUMMARY'!E56</f>
        <v>12577</v>
      </c>
      <c r="G54" s="63">
        <f>SUM(E54:F54)</f>
        <v>12577</v>
      </c>
      <c r="I54" s="351">
        <f t="shared" si="0"/>
        <v>-65</v>
      </c>
    </row>
    <row r="55" spans="1:16">
      <c r="A55" s="341">
        <f>'ADJ SUMMARY'!A57</f>
        <v>3.1899999999999959</v>
      </c>
      <c r="B55" s="349" t="str">
        <f>'ADJ SUMMARY'!C57</f>
        <v>Pro Forma Colstrip Cap &amp; Amortization</v>
      </c>
      <c r="C55" s="66"/>
      <c r="D55" s="66"/>
      <c r="E55" s="70"/>
      <c r="F55" s="351">
        <f>'ADJ SUMMARY'!E57</f>
        <v>-4266.1127130142186</v>
      </c>
      <c r="G55" s="63">
        <f>SUM(E55:F55)</f>
        <v>-4266.1127130142186</v>
      </c>
      <c r="I55" s="351">
        <f t="shared" si="0"/>
        <v>22</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8"/>
      <c r="F57" s="694">
        <f>'ADJ SUMMARY'!E59</f>
        <v>-30542</v>
      </c>
      <c r="G57" s="479">
        <f>SUM(E57:F57)</f>
        <v>-30542</v>
      </c>
      <c r="H57" s="479"/>
      <c r="I57" s="694">
        <f t="shared" si="0"/>
        <v>157</v>
      </c>
    </row>
    <row r="58" spans="1:16">
      <c r="A58" s="341">
        <f>'ADJ SUMMARY'!A60</f>
        <v>7.01</v>
      </c>
      <c r="B58" s="349" t="str">
        <f>'ADJ SUMMARY'!C60</f>
        <v>2020 AMA Capital</v>
      </c>
      <c r="C58" s="66"/>
      <c r="D58" s="66"/>
      <c r="E58" s="478"/>
      <c r="F58" s="694">
        <f>'ADJ SUMMARY'!E60</f>
        <v>12731.674373896392</v>
      </c>
      <c r="G58" s="479">
        <f>SUM(E58:F58)</f>
        <v>12731.674373896392</v>
      </c>
      <c r="H58" s="479"/>
      <c r="I58" s="694">
        <f>ROUND(F58*$E$61*-$F$68,0)</f>
        <v>-66</v>
      </c>
    </row>
    <row r="59" spans="1:16">
      <c r="B59" s="349" t="s">
        <v>593</v>
      </c>
      <c r="C59" s="66"/>
      <c r="D59" s="66"/>
      <c r="E59" s="99">
        <f>SUM(E11:E58)</f>
        <v>1710135</v>
      </c>
      <c r="F59" s="99">
        <f>SUM(F11:F58)</f>
        <v>-62943.088626628705</v>
      </c>
      <c r="G59" s="99">
        <f>SUM(G11:G58)</f>
        <v>1647191.9113733713</v>
      </c>
      <c r="H59" s="70"/>
      <c r="I59" s="99"/>
      <c r="K59" s="480">
        <f>G59-'ADJ SUMMARY'!E62</f>
        <v>0</v>
      </c>
      <c r="L59" s="367" t="s">
        <v>585</v>
      </c>
      <c r="P59" s="147"/>
    </row>
    <row r="60" spans="1:16" ht="5.25" customHeight="1">
      <c r="C60" s="66"/>
      <c r="D60" s="66"/>
      <c r="E60" s="99"/>
      <c r="F60" s="99"/>
      <c r="G60" s="99"/>
    </row>
    <row r="61" spans="1:16">
      <c r="B61" s="85" t="s">
        <v>165</v>
      </c>
      <c r="C61" s="66"/>
      <c r="D61" s="66"/>
      <c r="E61" s="260">
        <f>'RR SUMMARY'!M12</f>
        <v>2.4500000000000001E-2</v>
      </c>
      <c r="F61" s="260">
        <f>E61-I61</f>
        <v>2.4500000000000001E-2</v>
      </c>
      <c r="G61" s="106"/>
      <c r="I61" s="260"/>
    </row>
    <row r="62" spans="1:16" ht="6" customHeight="1">
      <c r="C62" s="66"/>
      <c r="D62" s="66"/>
      <c r="E62" s="99"/>
      <c r="F62" s="99"/>
      <c r="G62" s="99"/>
    </row>
    <row r="63" spans="1:16">
      <c r="B63" s="85" t="s">
        <v>146</v>
      </c>
      <c r="C63" s="66"/>
      <c r="D63" s="66"/>
      <c r="E63" s="99">
        <f>E59*E61</f>
        <v>41898.307500000003</v>
      </c>
      <c r="F63" s="99">
        <f>F59*F61</f>
        <v>-1542.1056713524033</v>
      </c>
      <c r="G63" s="99">
        <f>SUM(E63:F63)</f>
        <v>40356.201828647601</v>
      </c>
      <c r="I63" s="99">
        <f>SUM(I11:I58)</f>
        <v>1364.1800000000003</v>
      </c>
    </row>
    <row r="64" spans="1:16">
      <c r="C64" s="66"/>
      <c r="D64" s="66"/>
      <c r="E64" s="99"/>
      <c r="F64" s="99"/>
      <c r="G64" s="99"/>
      <c r="I64" s="99"/>
    </row>
    <row r="65" spans="1:11">
      <c r="B65" s="85" t="s">
        <v>556</v>
      </c>
      <c r="C65" s="66"/>
      <c r="D65" s="66"/>
      <c r="E65" s="558">
        <v>46858</v>
      </c>
      <c r="F65" s="353"/>
      <c r="G65" s="106">
        <f>SUM(E65:F65)</f>
        <v>46858</v>
      </c>
      <c r="I65" s="353"/>
    </row>
    <row r="66" spans="1:11" ht="5.25" customHeight="1">
      <c r="C66" s="66"/>
      <c r="D66" s="66"/>
      <c r="E66" s="99"/>
      <c r="F66" s="99"/>
      <c r="G66" s="99"/>
      <c r="I66" s="99"/>
    </row>
    <row r="67" spans="1:11">
      <c r="B67" s="85" t="s">
        <v>148</v>
      </c>
      <c r="C67" s="66"/>
      <c r="D67" s="66"/>
      <c r="E67" s="99">
        <f>E63-E65</f>
        <v>-4959.6924999999974</v>
      </c>
      <c r="F67" s="99">
        <f>F63-F65</f>
        <v>-1542.1056713524033</v>
      </c>
      <c r="G67" s="99">
        <f>SUM(E67:F67)</f>
        <v>-6501.7981713524005</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1042</v>
      </c>
      <c r="F70" s="132">
        <f>ROUND(F67*-F68,0)</f>
        <v>324</v>
      </c>
      <c r="G70" s="132">
        <f>SUM(E70:F70)</f>
        <v>1366</v>
      </c>
      <c r="I70" s="132">
        <f>I63</f>
        <v>1364.1800000000003</v>
      </c>
      <c r="J70" s="370" t="s">
        <v>589</v>
      </c>
      <c r="K70" s="63">
        <f>'ADJ DETAIL-INPUT'!BG53+'ADJ DETAIL-INPUT'!W52-I70</f>
        <v>1.6621909840043827</v>
      </c>
    </row>
    <row r="71" spans="1:11" ht="13.5" thickTop="1">
      <c r="D71" s="66"/>
      <c r="E71" s="372">
        <f>E8</f>
        <v>2.139999999999997</v>
      </c>
      <c r="F71" s="105"/>
      <c r="G71" s="105"/>
      <c r="I71" s="105"/>
    </row>
    <row r="72" spans="1:11" ht="13.5" thickBot="1">
      <c r="E72" s="373" t="s">
        <v>25</v>
      </c>
      <c r="F72" s="354"/>
    </row>
    <row r="73" spans="1:11" hidden="1">
      <c r="A73" s="342" t="s">
        <v>232</v>
      </c>
      <c r="B73" s="350" t="s">
        <v>231</v>
      </c>
    </row>
    <row r="74" spans="1:11" hidden="1">
      <c r="B74" s="348" t="s">
        <v>147</v>
      </c>
    </row>
    <row r="75" spans="1:11" hidden="1">
      <c r="B75" s="85" t="s">
        <v>151</v>
      </c>
      <c r="C75" s="118">
        <v>2430</v>
      </c>
      <c r="H75" s="63" t="s">
        <v>225</v>
      </c>
    </row>
    <row r="76" spans="1:11" hidden="1">
      <c r="B76" s="85" t="s">
        <v>152</v>
      </c>
      <c r="C76" s="117">
        <v>2935</v>
      </c>
      <c r="H76" s="63" t="s">
        <v>225</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229</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233</v>
      </c>
      <c r="C144" s="66"/>
      <c r="D144" s="66"/>
      <c r="F144" s="140">
        <v>21469</v>
      </c>
      <c r="H144" s="142" t="s">
        <v>236</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zoomScale="85" zoomScaleNormal="85" workbookViewId="0">
      <selection sqref="A1:N1"/>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948" t="s">
        <v>89</v>
      </c>
      <c r="B1" s="948"/>
      <c r="C1" s="948"/>
      <c r="D1" s="948"/>
      <c r="E1" s="948"/>
      <c r="F1" s="948"/>
      <c r="G1" s="948"/>
      <c r="H1" s="948"/>
      <c r="I1" s="948"/>
      <c r="J1" s="948"/>
      <c r="K1" s="948"/>
      <c r="L1" s="948"/>
      <c r="M1" s="948"/>
      <c r="N1" s="948"/>
    </row>
    <row r="2" spans="1:22" ht="21.75" customHeight="1">
      <c r="A2" s="948" t="s">
        <v>116</v>
      </c>
      <c r="B2" s="948"/>
      <c r="C2" s="948"/>
      <c r="D2" s="948"/>
      <c r="E2" s="948"/>
      <c r="F2" s="948"/>
      <c r="G2" s="948"/>
      <c r="H2" s="948"/>
      <c r="I2" s="948"/>
      <c r="J2" s="948"/>
      <c r="K2" s="948"/>
      <c r="L2" s="948"/>
      <c r="M2" s="948"/>
      <c r="N2" s="948"/>
      <c r="O2" s="226"/>
    </row>
    <row r="3" spans="1:22" ht="15.75" customHeight="1">
      <c r="A3" s="948" t="s">
        <v>250</v>
      </c>
      <c r="B3" s="948"/>
      <c r="C3" s="948"/>
      <c r="D3" s="948"/>
      <c r="E3" s="948"/>
      <c r="F3" s="948"/>
      <c r="G3" s="948"/>
      <c r="H3" s="948"/>
      <c r="I3" s="948"/>
      <c r="J3" s="948"/>
      <c r="K3" s="948"/>
      <c r="L3" s="948"/>
      <c r="M3" s="948"/>
      <c r="N3" s="948"/>
      <c r="O3" s="226"/>
    </row>
    <row r="4" spans="1:22" ht="15.75" customHeight="1">
      <c r="A4" s="948" t="s">
        <v>246</v>
      </c>
      <c r="B4" s="948"/>
      <c r="C4" s="948"/>
      <c r="D4" s="948"/>
      <c r="E4" s="948"/>
      <c r="F4" s="948"/>
      <c r="G4" s="948"/>
      <c r="H4" s="948"/>
      <c r="I4" s="948"/>
      <c r="J4" s="948"/>
      <c r="K4" s="948"/>
      <c r="L4" s="948"/>
      <c r="M4" s="948"/>
      <c r="N4" s="948"/>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938" t="s">
        <v>241</v>
      </c>
      <c r="N6" s="938"/>
      <c r="O6" s="225"/>
    </row>
    <row r="7" spans="1:22">
      <c r="B7" s="49"/>
      <c r="C7" s="49"/>
      <c r="D7" s="950" t="s">
        <v>242</v>
      </c>
      <c r="E7" s="950"/>
      <c r="G7" s="950"/>
      <c r="H7" s="950"/>
      <c r="I7" s="29"/>
      <c r="J7" s="938" t="s">
        <v>243</v>
      </c>
      <c r="K7" s="938"/>
      <c r="L7" s="27"/>
      <c r="M7" s="938" t="s">
        <v>244</v>
      </c>
      <c r="N7" s="938"/>
      <c r="O7" s="225"/>
    </row>
    <row r="8" spans="1:22">
      <c r="B8" s="49"/>
      <c r="C8" s="49"/>
      <c r="D8" s="949" t="s">
        <v>78</v>
      </c>
      <c r="E8" s="949"/>
      <c r="G8" s="949" t="s">
        <v>78</v>
      </c>
      <c r="H8" s="949"/>
      <c r="I8" s="29"/>
      <c r="J8" s="949" t="s">
        <v>78</v>
      </c>
      <c r="K8" s="949"/>
      <c r="L8" s="27"/>
      <c r="M8" s="28" t="s">
        <v>245</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SUMMARY'!L15</f>
        <v>7.0099999999999996E-2</v>
      </c>
      <c r="O9" s="39"/>
      <c r="Q9" s="146" t="s">
        <v>678</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 t="shared" ref="J10:K14" si="0">G10-D10</f>
        <v>0</v>
      </c>
      <c r="K10" s="51">
        <f t="shared" si="0"/>
        <v>0</v>
      </c>
      <c r="L10" s="44"/>
      <c r="M10" s="174">
        <f>J10/$M$9*-1</f>
        <v>0</v>
      </c>
      <c r="N10" s="174">
        <f>K10*$N$9/$M$9</f>
        <v>0</v>
      </c>
      <c r="O10" s="174">
        <f>(H10*$N$9/$M$9)-(G10/$M$9)</f>
        <v>6431.222146607819</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0.24181499999999997</v>
      </c>
      <c r="H11" s="52">
        <f>'ADJ DETAIL-INPUT'!F$81</f>
        <v>47</v>
      </c>
      <c r="I11" s="129"/>
      <c r="J11" s="51">
        <f t="shared" si="0"/>
        <v>-2.9610000000000192E-3</v>
      </c>
      <c r="K11" s="51">
        <f t="shared" si="0"/>
        <v>0</v>
      </c>
      <c r="L11" s="44"/>
      <c r="M11" s="174">
        <f>J11/$M$9*-1</f>
        <v>3.9203277134467092E-3</v>
      </c>
      <c r="N11" s="174">
        <f>K11*$N$9/$M$9</f>
        <v>0</v>
      </c>
      <c r="O11" s="174">
        <f>(H11*$N$9/$M$9)-(G11/$M$9)</f>
        <v>4.0419823274115769</v>
      </c>
      <c r="P11" s="222">
        <f>SUM(M11:N11)</f>
        <v>3.9203277134467092E-3</v>
      </c>
      <c r="Q11" s="175">
        <f>SUM(M11:N11)</f>
        <v>3.9203277134467092E-3</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-45.024855000000002</v>
      </c>
      <c r="H12" s="52">
        <f>'ADJ DETAIL-INPUT'!G$81</f>
        <v>1</v>
      </c>
      <c r="I12" s="129"/>
      <c r="J12" s="51">
        <f t="shared" si="0"/>
        <v>-6.2999999997259692E-5</v>
      </c>
      <c r="K12" s="51">
        <f t="shared" si="0"/>
        <v>0</v>
      </c>
      <c r="L12" s="182"/>
      <c r="M12" s="174">
        <f>J12/$M$9*-1</f>
        <v>8.3411227942045994E-5</v>
      </c>
      <c r="N12" s="174">
        <f>K12*$N$9/$M$9</f>
        <v>0</v>
      </c>
      <c r="O12" s="174">
        <f t="shared" ref="O12:O38" si="1">(H12*$N$9/$M$9)-(G12/$M$9)</f>
        <v>59.705167788966946</v>
      </c>
      <c r="P12" s="222">
        <f>SUM(M12:N12)</f>
        <v>8.3411227942045994E-5</v>
      </c>
      <c r="Q12" s="175">
        <f>SUM(M12:N12)</f>
        <v>8.3411227942045994E-5</v>
      </c>
      <c r="R12" s="134"/>
      <c r="S12" s="149"/>
    </row>
    <row r="13" spans="1:22" ht="12.75" customHeight="1">
      <c r="A13" s="327">
        <f>'ADJ DETAIL-INPUT'!H$10</f>
        <v>1.03</v>
      </c>
      <c r="B13" s="947" t="str">
        <f>TRIM(CONCATENATE('ADJ DETAIL-INPUT'!H$7," ",'ADJ DETAIL-INPUT'!H$8," ",'ADJ DETAIL-INPUT'!H$9))</f>
        <v>Working Capital</v>
      </c>
      <c r="C13" s="947"/>
      <c r="D13" s="52">
        <v>-19.540416</v>
      </c>
      <c r="E13" s="52">
        <v>-3752</v>
      </c>
      <c r="F13" s="50"/>
      <c r="G13" s="52">
        <f>'ADJ DETAIL-INPUT'!H$57</f>
        <v>-19.304040000000001</v>
      </c>
      <c r="H13" s="52">
        <f>'ADJ DETAIL-INPUT'!H$81</f>
        <v>-3752</v>
      </c>
      <c r="I13" s="59"/>
      <c r="J13" s="51">
        <f t="shared" si="0"/>
        <v>0.23637599999999992</v>
      </c>
      <c r="K13" s="51">
        <f t="shared" si="0"/>
        <v>0</v>
      </c>
      <c r="M13" s="174">
        <f>J13/$M$9*-1</f>
        <v>-0.31295892725216923</v>
      </c>
      <c r="N13" s="174">
        <f>K13*$N$9/$M$9</f>
        <v>0</v>
      </c>
      <c r="O13" s="174">
        <f t="shared" si="1"/>
        <v>-322.6705892010263</v>
      </c>
      <c r="P13" s="222">
        <f>SUM(M13:N13)</f>
        <v>-0.31295892725216923</v>
      </c>
      <c r="Q13" s="175">
        <f>SUM(M13:N13)</f>
        <v>-0.31295892725216923</v>
      </c>
      <c r="R13" s="227"/>
      <c r="S13" s="687"/>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-248.44175999999999</v>
      </c>
      <c r="H14" s="52">
        <f>'ADJ DETAIL-INPUT'!I$81</f>
        <v>-48288</v>
      </c>
      <c r="I14" s="59"/>
      <c r="J14" s="51">
        <f t="shared" si="0"/>
        <v>3.0421440000000075</v>
      </c>
      <c r="K14" s="51">
        <f t="shared" si="0"/>
        <v>0</v>
      </c>
      <c r="M14" s="174">
        <f>J14/$M$9*-1</f>
        <v>-4.0277613750407228</v>
      </c>
      <c r="N14" s="174">
        <f>K14*$N$9/$M$9</f>
        <v>0</v>
      </c>
      <c r="O14" s="174">
        <f>(H14*$N$9/$M$9)-(G14/$M$9)</f>
        <v>-4152.7498431074519</v>
      </c>
      <c r="P14" s="222">
        <f>SUM(M14:N14)</f>
        <v>-4.0277613750407228</v>
      </c>
      <c r="Q14" s="175">
        <f>SUM(M14:N14)</f>
        <v>-4.0277613750407228</v>
      </c>
      <c r="R14" s="227"/>
      <c r="S14" s="687"/>
      <c r="V14" s="36"/>
    </row>
    <row r="15" spans="1:22">
      <c r="A15" s="328"/>
      <c r="B15" s="25" t="s">
        <v>83</v>
      </c>
      <c r="D15" s="37">
        <f>SUM(D10:D14)</f>
        <v>114707.19566400001</v>
      </c>
      <c r="E15" s="37">
        <f>SUM(E10:E14)</f>
        <v>1658143</v>
      </c>
      <c r="G15" s="37">
        <f>SUM(G10:G14)</f>
        <v>114710.47116</v>
      </c>
      <c r="H15" s="37">
        <f>SUM(H10:H14)</f>
        <v>1658143</v>
      </c>
      <c r="I15" s="57"/>
      <c r="J15" s="37">
        <f>SUM(J10:J14)</f>
        <v>3.2754960000000102</v>
      </c>
      <c r="K15" s="37">
        <f>SUM(K10:K14)</f>
        <v>0</v>
      </c>
      <c r="L15" s="28"/>
      <c r="M15" s="37">
        <f>SUM(M10:M14)</f>
        <v>-4.3367165633515032</v>
      </c>
      <c r="N15" s="37">
        <f>SUM(N10:N14)</f>
        <v>0</v>
      </c>
      <c r="O15" s="174">
        <f t="shared" si="1"/>
        <v>2019.5488644157012</v>
      </c>
      <c r="S15" s="146"/>
    </row>
    <row r="16" spans="1:22">
      <c r="A16" s="326"/>
      <c r="G16" s="38"/>
      <c r="H16" s="38"/>
      <c r="I16" s="59"/>
      <c r="J16" s="34"/>
      <c r="K16" s="168"/>
      <c r="L16" s="28"/>
      <c r="O16" s="174">
        <f t="shared" si="1"/>
        <v>0</v>
      </c>
      <c r="S16" s="688"/>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2">G17-D17</f>
        <v>0</v>
      </c>
      <c r="K17" s="51">
        <f t="shared" ref="K17:K32" si="3">H17-E17</f>
        <v>0</v>
      </c>
      <c r="L17" s="183"/>
      <c r="M17" s="174">
        <f t="shared" ref="M17:M32" si="4">J17/$M$9*-1</f>
        <v>0</v>
      </c>
      <c r="N17" s="174">
        <f t="shared" ref="N17:N32" si="5">K17*$N$9/$M$9</f>
        <v>0</v>
      </c>
      <c r="O17" s="174">
        <f t="shared" si="1"/>
        <v>83.676025494708028</v>
      </c>
      <c r="P17" s="222">
        <f t="shared" ref="P17:P26" si="6">SUM(M17:N17)</f>
        <v>0</v>
      </c>
      <c r="Q17" s="175">
        <f t="shared" ref="Q17:Q35" si="7">SUM(M17:N17)</f>
        <v>0</v>
      </c>
      <c r="R17" s="203"/>
      <c r="S17" s="689"/>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2"/>
        <v>0</v>
      </c>
      <c r="K18" s="51">
        <f t="shared" si="3"/>
        <v>0</v>
      </c>
      <c r="L18" s="183"/>
      <c r="M18" s="174">
        <f t="shared" si="4"/>
        <v>0</v>
      </c>
      <c r="N18" s="174">
        <f t="shared" si="5"/>
        <v>0</v>
      </c>
      <c r="O18" s="174">
        <f>(H18*$N$9/$M$9)-(G18/$M$9)</f>
        <v>1046.9962690025341</v>
      </c>
      <c r="P18" s="222">
        <f>SUM(M18:N18)</f>
        <v>0</v>
      </c>
      <c r="Q18" s="175">
        <f t="shared" si="7"/>
        <v>0</v>
      </c>
      <c r="R18" s="203"/>
      <c r="S18" s="689"/>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2"/>
        <v>0</v>
      </c>
      <c r="K19" s="51">
        <f t="shared" si="3"/>
        <v>0</v>
      </c>
      <c r="L19" s="183"/>
      <c r="M19" s="174">
        <f t="shared" si="4"/>
        <v>0</v>
      </c>
      <c r="N19" s="174">
        <f t="shared" si="5"/>
        <v>0</v>
      </c>
      <c r="O19" s="174">
        <f t="shared" si="1"/>
        <v>1503.0306079486927</v>
      </c>
      <c r="P19" s="222">
        <f t="shared" si="6"/>
        <v>0</v>
      </c>
      <c r="Q19" s="175">
        <f t="shared" si="7"/>
        <v>0</v>
      </c>
      <c r="R19" s="203"/>
      <c r="S19" s="687"/>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293.88</v>
      </c>
      <c r="H20" s="52">
        <f>'ADJ DETAIL-INPUT'!M$81</f>
        <v>0</v>
      </c>
      <c r="I20" s="59"/>
      <c r="J20" s="51">
        <f t="shared" si="2"/>
        <v>0</v>
      </c>
      <c r="K20" s="51">
        <f t="shared" si="3"/>
        <v>0</v>
      </c>
      <c r="L20" s="183"/>
      <c r="M20" s="174">
        <f t="shared" si="4"/>
        <v>0</v>
      </c>
      <c r="N20" s="174">
        <f t="shared" si="5"/>
        <v>0</v>
      </c>
      <c r="O20" s="174">
        <f t="shared" si="1"/>
        <v>-389.09351855039228</v>
      </c>
      <c r="P20" s="222">
        <f t="shared" si="6"/>
        <v>0</v>
      </c>
      <c r="Q20" s="175">
        <f t="shared" si="7"/>
        <v>0</v>
      </c>
      <c r="R20" s="203"/>
      <c r="S20" s="687"/>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2"/>
        <v>0</v>
      </c>
      <c r="K21" s="51">
        <f t="shared" si="3"/>
        <v>0</v>
      </c>
      <c r="L21" s="183"/>
      <c r="M21" s="174">
        <f t="shared" si="4"/>
        <v>0</v>
      </c>
      <c r="N21" s="174">
        <f t="shared" si="5"/>
        <v>0</v>
      </c>
      <c r="O21" s="174">
        <f t="shared" si="1"/>
        <v>53.343466252876361</v>
      </c>
      <c r="P21" s="222">
        <f t="shared" si="6"/>
        <v>0</v>
      </c>
      <c r="Q21" s="175">
        <f t="shared" si="7"/>
        <v>0</v>
      </c>
      <c r="R21" s="203"/>
      <c r="S21" s="687"/>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2"/>
        <v>0</v>
      </c>
      <c r="K22" s="51">
        <f t="shared" si="3"/>
        <v>0</v>
      </c>
      <c r="L22" s="126"/>
      <c r="M22" s="174">
        <f t="shared" si="4"/>
        <v>0</v>
      </c>
      <c r="N22" s="174">
        <f t="shared" si="5"/>
        <v>0</v>
      </c>
      <c r="O22" s="174">
        <f t="shared" si="1"/>
        <v>-3.9719632355082921</v>
      </c>
      <c r="P22" s="222">
        <f t="shared" si="6"/>
        <v>0</v>
      </c>
      <c r="Q22" s="175">
        <f t="shared" si="7"/>
        <v>0</v>
      </c>
      <c r="R22" s="204"/>
      <c r="S22" s="687"/>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2"/>
        <v>0</v>
      </c>
      <c r="K23" s="51">
        <f t="shared" si="3"/>
        <v>0</v>
      </c>
      <c r="L23" s="28"/>
      <c r="M23" s="174">
        <f t="shared" si="4"/>
        <v>0</v>
      </c>
      <c r="N23" s="174">
        <f t="shared" si="5"/>
        <v>0</v>
      </c>
      <c r="O23" s="174">
        <f t="shared" si="1"/>
        <v>-54.389416571560211</v>
      </c>
      <c r="P23" s="222">
        <f t="shared" si="6"/>
        <v>0</v>
      </c>
      <c r="Q23" s="175">
        <f t="shared" si="7"/>
        <v>0</v>
      </c>
      <c r="S23" s="687"/>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2"/>
        <v>0</v>
      </c>
      <c r="K24" s="51">
        <f t="shared" si="3"/>
        <v>0</v>
      </c>
      <c r="L24" s="126"/>
      <c r="M24" s="174">
        <f t="shared" si="4"/>
        <v>0</v>
      </c>
      <c r="N24" s="174">
        <f t="shared" si="5"/>
        <v>0</v>
      </c>
      <c r="O24" s="174">
        <f t="shared" si="1"/>
        <v>35.562310835250905</v>
      </c>
      <c r="P24" s="222">
        <f t="shared" si="6"/>
        <v>0</v>
      </c>
      <c r="Q24" s="175">
        <f t="shared" si="7"/>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2"/>
        <v>0</v>
      </c>
      <c r="K25" s="51">
        <f t="shared" si="3"/>
        <v>0</v>
      </c>
      <c r="L25" s="126"/>
      <c r="M25" s="174">
        <f t="shared" si="4"/>
        <v>0</v>
      </c>
      <c r="N25" s="174">
        <f t="shared" si="5"/>
        <v>0</v>
      </c>
      <c r="O25" s="174">
        <f t="shared" si="1"/>
        <v>-60.665118483663313</v>
      </c>
      <c r="P25" s="222">
        <f t="shared" si="6"/>
        <v>0</v>
      </c>
      <c r="Q25" s="175">
        <f t="shared" si="7"/>
        <v>0</v>
      </c>
      <c r="R25" s="204"/>
      <c r="S25" s="687"/>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2"/>
        <v>0</v>
      </c>
      <c r="K26" s="51">
        <f t="shared" si="3"/>
        <v>0</v>
      </c>
      <c r="L26" s="28"/>
      <c r="M26" s="174">
        <f t="shared" si="4"/>
        <v>0</v>
      </c>
      <c r="N26" s="174">
        <f t="shared" si="5"/>
        <v>0</v>
      </c>
      <c r="O26" s="174">
        <f t="shared" si="1"/>
        <v>820.02504984813856</v>
      </c>
      <c r="P26" s="222">
        <f t="shared" si="6"/>
        <v>0</v>
      </c>
      <c r="Q26" s="175">
        <f t="shared" si="7"/>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2"/>
        <v>0</v>
      </c>
      <c r="K27" s="51">
        <f t="shared" si="3"/>
        <v>0</v>
      </c>
      <c r="M27" s="174">
        <f t="shared" si="4"/>
        <v>0</v>
      </c>
      <c r="N27" s="174">
        <f t="shared" si="5"/>
        <v>0</v>
      </c>
      <c r="O27" s="174">
        <f t="shared" ref="O27:O35" si="8">(H27*$N$9/$M$9)-(G27/$M$9)</f>
        <v>1461.1925952013389</v>
      </c>
      <c r="P27" s="222">
        <f t="shared" ref="P27:P35" si="9">SUM(M27:N27)</f>
        <v>0</v>
      </c>
      <c r="Q27" s="175">
        <f t="shared" si="7"/>
        <v>0</v>
      </c>
      <c r="R27" s="204"/>
      <c r="S27" s="687"/>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2"/>
        <v>0</v>
      </c>
      <c r="K28" s="51">
        <f t="shared" si="3"/>
        <v>0</v>
      </c>
      <c r="M28" s="174">
        <f t="shared" si="4"/>
        <v>0</v>
      </c>
      <c r="N28" s="174">
        <f t="shared" si="5"/>
        <v>0</v>
      </c>
      <c r="O28" s="174">
        <f t="shared" si="8"/>
        <v>-1280.2431900690328</v>
      </c>
      <c r="P28" s="222">
        <f t="shared" si="9"/>
        <v>0</v>
      </c>
      <c r="Q28" s="175">
        <f t="shared" si="7"/>
        <v>0</v>
      </c>
      <c r="R28" s="204"/>
      <c r="S28" s="687"/>
      <c r="T28" s="686"/>
      <c r="U28" s="540"/>
      <c r="V28" s="540"/>
      <c r="W28" s="540"/>
      <c r="X28" s="540"/>
      <c r="Y28" s="540"/>
      <c r="Z28" s="540"/>
      <c r="AA28" s="540"/>
      <c r="AB28" s="540"/>
      <c r="AC28" s="540"/>
      <c r="AD28" s="540"/>
      <c r="AE28" s="540"/>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G29-D29</f>
        <v>0</v>
      </c>
      <c r="K29" s="51">
        <f>H29-E29</f>
        <v>0</v>
      </c>
      <c r="L29" s="183"/>
      <c r="M29" s="174">
        <f>J29/$M$9*-1</f>
        <v>0</v>
      </c>
      <c r="N29" s="174">
        <f>K29*$N$9/$M$9</f>
        <v>0</v>
      </c>
      <c r="O29" s="174">
        <f t="shared" si="8"/>
        <v>787.60058996893918</v>
      </c>
      <c r="P29" s="222">
        <f t="shared" si="9"/>
        <v>0</v>
      </c>
      <c r="Q29" s="175">
        <f>SUM(M29:N29)</f>
        <v>0</v>
      </c>
      <c r="R29" s="203"/>
      <c r="S29" s="687"/>
      <c r="T29" s="686"/>
      <c r="U29" s="540"/>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-1042</v>
      </c>
      <c r="H30" s="135">
        <f>'ADJ DETAIL-INPUT'!W$81</f>
        <v>0</v>
      </c>
      <c r="I30" s="172"/>
      <c r="J30" s="51">
        <f>G30-D30</f>
        <v>-108</v>
      </c>
      <c r="K30" s="51">
        <f>H30-E30</f>
        <v>0</v>
      </c>
      <c r="L30" s="184"/>
      <c r="M30" s="174">
        <f>J30/$M$9*-1</f>
        <v>142.99067647829852</v>
      </c>
      <c r="N30" s="174">
        <f>K30*$N$9/$M$9</f>
        <v>0</v>
      </c>
      <c r="O30" s="174">
        <f t="shared" si="8"/>
        <v>1379.5952304665468</v>
      </c>
      <c r="P30" s="222">
        <f t="shared" si="9"/>
        <v>142.99067647829852</v>
      </c>
      <c r="Q30" s="175">
        <f>SUM(M30:N30)</f>
        <v>142.99067647829852</v>
      </c>
      <c r="R30" s="162"/>
      <c r="S30" s="687"/>
      <c r="T30" s="686"/>
      <c r="U30" s="540"/>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2"/>
        <v>0</v>
      </c>
      <c r="K31" s="51">
        <f t="shared" si="3"/>
        <v>0</v>
      </c>
      <c r="L31" s="183"/>
      <c r="M31" s="174">
        <f t="shared" si="4"/>
        <v>0</v>
      </c>
      <c r="N31" s="174">
        <f t="shared" si="5"/>
        <v>0</v>
      </c>
      <c r="O31" s="174">
        <f t="shared" si="8"/>
        <v>-1421.9628383119687</v>
      </c>
      <c r="P31" s="222">
        <f t="shared" si="9"/>
        <v>0</v>
      </c>
      <c r="Q31" s="175">
        <f t="shared" si="7"/>
        <v>0</v>
      </c>
      <c r="R31" s="203"/>
      <c r="S31" s="159"/>
      <c r="T31" s="686"/>
      <c r="U31" s="540"/>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2"/>
        <v>0</v>
      </c>
      <c r="K32" s="51">
        <f t="shared" si="3"/>
        <v>0</v>
      </c>
      <c r="L32" s="183"/>
      <c r="M32" s="174">
        <f t="shared" si="4"/>
        <v>0</v>
      </c>
      <c r="N32" s="174">
        <f t="shared" si="5"/>
        <v>0</v>
      </c>
      <c r="O32" s="174">
        <f t="shared" si="8"/>
        <v>-5.2297515934192518</v>
      </c>
      <c r="P32" s="222">
        <f t="shared" si="9"/>
        <v>0</v>
      </c>
      <c r="Q32" s="175">
        <f t="shared" si="7"/>
        <v>0</v>
      </c>
      <c r="R32" s="203"/>
      <c r="S32" s="687"/>
      <c r="T32" s="686"/>
      <c r="U32" s="540"/>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 t="shared" ref="J33:K35" si="10">G33-D33</f>
        <v>0</v>
      </c>
      <c r="K33" s="51">
        <f t="shared" si="10"/>
        <v>0</v>
      </c>
      <c r="L33" s="29"/>
      <c r="M33" s="174">
        <f>J33/$M$9*-1</f>
        <v>0</v>
      </c>
      <c r="N33" s="174">
        <f>K33*$N$9/$M$9</f>
        <v>0</v>
      </c>
      <c r="O33" s="174">
        <f t="shared" si="8"/>
        <v>-968.54999510124526</v>
      </c>
      <c r="P33" s="222">
        <f t="shared" si="9"/>
        <v>0</v>
      </c>
      <c r="Q33" s="175">
        <f t="shared" si="7"/>
        <v>0</v>
      </c>
      <c r="R33" s="162"/>
      <c r="S33" s="687"/>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si="10"/>
        <v>0</v>
      </c>
      <c r="K34" s="51">
        <f t="shared" si="10"/>
        <v>0</v>
      </c>
      <c r="L34" s="184"/>
      <c r="M34" s="174">
        <f>J34/$M$9*-1</f>
        <v>0</v>
      </c>
      <c r="N34" s="174">
        <f>K34*$N$9/$M$9</f>
        <v>0</v>
      </c>
      <c r="O34" s="174">
        <f t="shared" si="8"/>
        <v>6134.4986190807822</v>
      </c>
      <c r="P34" s="222">
        <f t="shared" si="9"/>
        <v>0</v>
      </c>
      <c r="Q34" s="175">
        <f t="shared" si="7"/>
        <v>0</v>
      </c>
      <c r="R34" s="429"/>
      <c r="S34" s="687"/>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-1357.9427458700873</v>
      </c>
      <c r="H35" s="135">
        <f>'ADJ DETAIL-INPUT'!AB$81</f>
        <v>21049.028985405777</v>
      </c>
      <c r="I35" s="172"/>
      <c r="J35" s="51">
        <f t="shared" si="10"/>
        <v>-1.3260888260804222</v>
      </c>
      <c r="K35" s="51">
        <f t="shared" si="10"/>
        <v>0</v>
      </c>
      <c r="L35" s="184"/>
      <c r="M35" s="174">
        <f>J35/$M$9*-1</f>
        <v>1.7557253547365956</v>
      </c>
      <c r="N35" s="174">
        <f>K35*$N$9/$M$9</f>
        <v>0</v>
      </c>
      <c r="O35" s="174">
        <f t="shared" si="8"/>
        <v>3751.492369523698</v>
      </c>
      <c r="P35" s="222">
        <f t="shared" si="9"/>
        <v>1.7557253547365956</v>
      </c>
      <c r="Q35" s="175">
        <f t="shared" si="7"/>
        <v>1.7557253547365956</v>
      </c>
      <c r="R35" s="429"/>
      <c r="S35" s="687"/>
      <c r="U35" s="408"/>
      <c r="V35" s="541"/>
      <c r="W35" s="138"/>
      <c r="X35" s="541"/>
      <c r="Y35" s="138"/>
      <c r="Z35" s="542"/>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87"/>
      <c r="U36" s="27"/>
      <c r="V36" s="535"/>
      <c r="W36" s="27"/>
      <c r="X36" s="535"/>
      <c r="Y36" s="27"/>
      <c r="Z36" s="535"/>
      <c r="AA36" s="27"/>
      <c r="AB36" s="27"/>
      <c r="AC36" s="543"/>
      <c r="AD36" s="543"/>
      <c r="AE36" s="543"/>
    </row>
    <row r="37" spans="1:31" ht="13.5" thickBot="1">
      <c r="A37" s="331"/>
      <c r="B37" s="25" t="s">
        <v>84</v>
      </c>
      <c r="D37" s="42">
        <f>SUM(D15:D36)</f>
        <v>106569.22900695603</v>
      </c>
      <c r="E37" s="42">
        <f>SUM(E15:E36)</f>
        <v>1679192.0289854058</v>
      </c>
      <c r="G37" s="42">
        <f>SUM(G15:G36)</f>
        <v>106463.17841412994</v>
      </c>
      <c r="H37" s="42">
        <f>SUM(H15:H36)</f>
        <v>1679192.0289854058</v>
      </c>
      <c r="I37" s="57"/>
      <c r="J37" s="42">
        <f>SUM(J15:J36)</f>
        <v>-106.05059282608042</v>
      </c>
      <c r="K37" s="42">
        <f>SUM(K15:K36)</f>
        <v>0</v>
      </c>
      <c r="L37" s="28"/>
      <c r="M37" s="42">
        <f>SUM(M15:M36)</f>
        <v>140.40968526968362</v>
      </c>
      <c r="N37" s="42">
        <f>SUM(N15:N36)</f>
        <v>0</v>
      </c>
      <c r="O37" s="174">
        <f t="shared" si="1"/>
        <v>14892.456206122384</v>
      </c>
      <c r="R37" s="162"/>
      <c r="S37" s="217"/>
      <c r="U37" s="27"/>
      <c r="V37" s="33"/>
      <c r="W37" s="27"/>
      <c r="X37" s="33"/>
      <c r="Y37" s="27"/>
      <c r="Z37" s="535"/>
      <c r="AA37" s="27"/>
      <c r="AB37" s="27"/>
      <c r="AC37" s="27"/>
      <c r="AD37" s="27"/>
      <c r="AE37" s="27"/>
    </row>
    <row r="38" spans="1:31" ht="14.25" customHeight="1" thickTop="1">
      <c r="A38" s="482" t="s">
        <v>272</v>
      </c>
      <c r="B38" s="146"/>
      <c r="C38" s="146"/>
      <c r="D38" s="146"/>
      <c r="E38" s="146"/>
      <c r="G38" s="119"/>
      <c r="H38" s="33"/>
      <c r="I38" s="57"/>
      <c r="J38" s="34"/>
      <c r="K38" s="130"/>
      <c r="L38" s="28"/>
      <c r="O38" s="174">
        <f t="shared" si="1"/>
        <v>0</v>
      </c>
      <c r="R38" s="162"/>
      <c r="S38" s="217"/>
      <c r="U38" s="59"/>
      <c r="V38" s="33"/>
      <c r="W38" s="27"/>
      <c r="X38" s="33"/>
      <c r="Y38" s="27"/>
      <c r="Z38" s="535"/>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11520.57</v>
      </c>
      <c r="H39" s="52">
        <f>'ADJ DETAIL-INPUT'!AD$81</f>
        <v>0</v>
      </c>
      <c r="I39" s="59"/>
      <c r="J39" s="51">
        <f t="shared" ref="J39:J52" si="11">G39-D39</f>
        <v>0</v>
      </c>
      <c r="K39" s="51">
        <f t="shared" ref="K39:K52" si="12">H39-E39</f>
        <v>0</v>
      </c>
      <c r="L39" s="28"/>
      <c r="M39" s="174">
        <f t="shared" ref="M39:M52" si="13">J39/$M$9*-1</f>
        <v>0</v>
      </c>
      <c r="N39" s="174">
        <f t="shared" ref="N39:N52" si="14">K39*$N$9/$M$9</f>
        <v>0</v>
      </c>
      <c r="O39" s="174">
        <f t="shared" ref="O39:O46" si="15">(H39*$N$9/$M$9)-(G39/$M$9)</f>
        <v>-15253.093497366588</v>
      </c>
      <c r="P39" s="222">
        <f t="shared" ref="P39:P46" si="16">SUM(M39:N39)</f>
        <v>0</v>
      </c>
      <c r="Q39" s="175">
        <f t="shared" ref="Q39:Q52" si="17">SUM(M39:N39)</f>
        <v>0</v>
      </c>
      <c r="R39" s="162"/>
      <c r="S39" s="217"/>
      <c r="U39" s="27"/>
      <c r="V39" s="27"/>
      <c r="W39" s="27"/>
      <c r="X39" s="33"/>
      <c r="Y39" s="27"/>
      <c r="Z39" s="535"/>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1293.7277000000001</v>
      </c>
      <c r="H40" s="52">
        <f>'ADJ DETAIL-INPUT'!AE$81</f>
        <v>0</v>
      </c>
      <c r="I40" s="59"/>
      <c r="J40" s="51">
        <f t="shared" si="11"/>
        <v>420.7777000000001</v>
      </c>
      <c r="K40" s="51">
        <f t="shared" si="12"/>
        <v>0</v>
      </c>
      <c r="L40" s="798"/>
      <c r="M40" s="174">
        <f t="shared" si="13"/>
        <v>-557.1045182405793</v>
      </c>
      <c r="N40" s="174">
        <f t="shared" si="14"/>
        <v>0</v>
      </c>
      <c r="O40" s="174">
        <f>(H40*$N$9/$M$9)-(G40/$M$9)</f>
        <v>-1712.8796203862339</v>
      </c>
      <c r="P40" s="222">
        <f>SUM(M40:N40)</f>
        <v>-557.1045182405793</v>
      </c>
      <c r="Q40" s="175">
        <f t="shared" si="17"/>
        <v>-557.1045182405793</v>
      </c>
      <c r="R40" s="429"/>
      <c r="S40" s="217"/>
      <c r="U40" s="27"/>
      <c r="V40" s="27"/>
      <c r="W40" s="27"/>
      <c r="X40" s="33"/>
      <c r="Y40" s="27"/>
      <c r="Z40" s="535"/>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11740.19</v>
      </c>
      <c r="H41" s="52">
        <f>'ADJ DETAIL-INPUT'!AF$81</f>
        <v>0</v>
      </c>
      <c r="I41" s="59"/>
      <c r="J41" s="51">
        <f t="shared" si="11"/>
        <v>0</v>
      </c>
      <c r="K41" s="51">
        <f t="shared" si="12"/>
        <v>0</v>
      </c>
      <c r="L41" s="798"/>
      <c r="M41" s="174">
        <f t="shared" si="13"/>
        <v>0</v>
      </c>
      <c r="N41" s="174">
        <f t="shared" si="14"/>
        <v>0</v>
      </c>
      <c r="O41" s="174">
        <f>(H41*$N$9/$M$9)-(G41/$M$9)</f>
        <v>-15543.867685960699</v>
      </c>
      <c r="P41" s="222">
        <f>SUM(M41:N41)</f>
        <v>0</v>
      </c>
      <c r="Q41" s="175">
        <f t="shared" si="17"/>
        <v>0</v>
      </c>
      <c r="R41" s="429"/>
      <c r="S41" s="217"/>
      <c r="U41" s="27"/>
      <c r="V41" s="27"/>
      <c r="W41" s="27"/>
      <c r="X41" s="33"/>
      <c r="Y41" s="27"/>
      <c r="Z41" s="535"/>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1905.48893</v>
      </c>
      <c r="H42" s="52">
        <f>'ADJ DETAIL-INPUT'!AG$81</f>
        <v>-766</v>
      </c>
      <c r="I42" s="59"/>
      <c r="J42" s="51">
        <f t="shared" si="11"/>
        <v>4.8258000000032553E-2</v>
      </c>
      <c r="K42" s="51">
        <f t="shared" si="12"/>
        <v>0</v>
      </c>
      <c r="M42" s="174">
        <f t="shared" si="13"/>
        <v>-6.3893000606429481E-2</v>
      </c>
      <c r="N42" s="174">
        <f t="shared" si="14"/>
        <v>0</v>
      </c>
      <c r="O42" s="174">
        <f>(H42*$N$9/$M$9)-(G42/$M$9)</f>
        <v>-2593.937632233276</v>
      </c>
      <c r="P42" s="222">
        <f>SUM(M42:N42)</f>
        <v>-6.3893000606429481E-2</v>
      </c>
      <c r="Q42" s="175">
        <f t="shared" si="17"/>
        <v>-6.3893000606429481E-2</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500</v>
      </c>
      <c r="H43" s="52">
        <f>'ADJ DETAIL-INPUT'!AH$81</f>
        <v>0</v>
      </c>
      <c r="I43" s="59"/>
      <c r="J43" s="51">
        <f t="shared" si="11"/>
        <v>0</v>
      </c>
      <c r="K43" s="51">
        <f t="shared" si="12"/>
        <v>0</v>
      </c>
      <c r="M43" s="174">
        <f t="shared" si="13"/>
        <v>0</v>
      </c>
      <c r="N43" s="174">
        <f t="shared" si="14"/>
        <v>0</v>
      </c>
      <c r="O43" s="174">
        <f>(H43*$N$9/$M$9)-(G43/$M$9)</f>
        <v>-661.99387258471529</v>
      </c>
      <c r="P43" s="222">
        <f>SUM(M43:N43)</f>
        <v>0</v>
      </c>
      <c r="Q43" s="175">
        <f t="shared" si="17"/>
        <v>0</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11"/>
        <v>0</v>
      </c>
      <c r="K44" s="51">
        <f t="shared" si="12"/>
        <v>0</v>
      </c>
      <c r="L44" s="28"/>
      <c r="M44" s="174">
        <f t="shared" si="13"/>
        <v>0</v>
      </c>
      <c r="N44" s="174">
        <f t="shared" si="14"/>
        <v>0</v>
      </c>
      <c r="O44" s="174">
        <f t="shared" si="15"/>
        <v>3417.1196911401389</v>
      </c>
      <c r="P44" s="222">
        <f t="shared" si="16"/>
        <v>0</v>
      </c>
      <c r="Q44" s="175">
        <f t="shared" si="17"/>
        <v>0</v>
      </c>
      <c r="R44" s="162"/>
      <c r="S44" s="217"/>
      <c r="U44" s="27"/>
      <c r="V44" s="535"/>
      <c r="W44" s="27"/>
      <c r="X44" s="535"/>
      <c r="Y44" s="27"/>
      <c r="Z44" s="535"/>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11"/>
        <v>0</v>
      </c>
      <c r="K45" s="51">
        <f t="shared" si="12"/>
        <v>0</v>
      </c>
      <c r="L45" s="28"/>
      <c r="M45" s="174">
        <f t="shared" si="13"/>
        <v>0</v>
      </c>
      <c r="N45" s="174">
        <f t="shared" si="14"/>
        <v>0</v>
      </c>
      <c r="O45" s="174">
        <f t="shared" si="15"/>
        <v>-332.61220134146436</v>
      </c>
      <c r="P45" s="222">
        <f t="shared" si="16"/>
        <v>0</v>
      </c>
      <c r="Q45" s="175">
        <f t="shared" si="17"/>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-884.8</v>
      </c>
      <c r="H46" s="52">
        <f>'ADJ DETAIL-INPUT'!AK$81</f>
        <v>0</v>
      </c>
      <c r="I46" s="59"/>
      <c r="J46" s="51">
        <f t="shared" si="11"/>
        <v>0</v>
      </c>
      <c r="K46" s="51">
        <f t="shared" si="12"/>
        <v>0</v>
      </c>
      <c r="M46" s="174">
        <f t="shared" si="13"/>
        <v>0</v>
      </c>
      <c r="N46" s="174">
        <f t="shared" si="14"/>
        <v>0</v>
      </c>
      <c r="O46" s="174">
        <f t="shared" si="15"/>
        <v>1171.4643569259122</v>
      </c>
      <c r="P46" s="222">
        <f t="shared" si="16"/>
        <v>0</v>
      </c>
      <c r="Q46" s="175">
        <f t="shared" si="17"/>
        <v>0</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-1981.3200000000002</v>
      </c>
      <c r="H47" s="135">
        <f>'ADJ DETAIL-INPUT'!AL$81</f>
        <v>0</v>
      </c>
      <c r="I47" s="172"/>
      <c r="J47" s="51">
        <f t="shared" si="11"/>
        <v>814.48999999999978</v>
      </c>
      <c r="K47" s="51">
        <f t="shared" si="12"/>
        <v>0</v>
      </c>
      <c r="L47" s="184"/>
      <c r="M47" s="174">
        <f t="shared" si="13"/>
        <v>-1078.3747785630494</v>
      </c>
      <c r="N47" s="174">
        <f t="shared" si="14"/>
        <v>0</v>
      </c>
      <c r="O47" s="174">
        <f t="shared" ref="O47:O52" si="18">(H47*$N$9/$M$9)-(G47/$M$9)</f>
        <v>2623.2433992590968</v>
      </c>
      <c r="P47" s="222">
        <f t="shared" ref="P47:P52" si="19">SUM(M47:N47)</f>
        <v>-1078.3747785630494</v>
      </c>
      <c r="Q47" s="175">
        <f t="shared" si="17"/>
        <v>-1078.3747785630494</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-813.7286454</v>
      </c>
      <c r="H48" s="52">
        <f>'ADJ DETAIL-INPUT'!AM$81</f>
        <v>0</v>
      </c>
      <c r="I48" s="59"/>
      <c r="J48" s="51">
        <f t="shared" si="11"/>
        <v>776.54135459999998</v>
      </c>
      <c r="K48" s="51">
        <f t="shared" si="12"/>
        <v>0</v>
      </c>
      <c r="L48" s="183"/>
      <c r="M48" s="174">
        <f t="shared" si="13"/>
        <v>-1028.1312371076692</v>
      </c>
      <c r="N48" s="174">
        <f t="shared" si="14"/>
        <v>0</v>
      </c>
      <c r="O48" s="174">
        <f t="shared" si="18"/>
        <v>1077.3667544029213</v>
      </c>
      <c r="P48" s="222">
        <f t="shared" si="19"/>
        <v>-1028.1312371076692</v>
      </c>
      <c r="Q48" s="175">
        <f t="shared" si="17"/>
        <v>-1028.1312371076692</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-1349.32</v>
      </c>
      <c r="H49" s="52">
        <f>'ADJ DETAIL-INPUT'!AN$81</f>
        <v>0</v>
      </c>
      <c r="I49" s="59"/>
      <c r="J49" s="51">
        <f t="shared" si="11"/>
        <v>0</v>
      </c>
      <c r="K49" s="51">
        <f t="shared" si="12"/>
        <v>0</v>
      </c>
      <c r="L49" s="183"/>
      <c r="M49" s="174">
        <f t="shared" si="13"/>
        <v>0</v>
      </c>
      <c r="N49" s="174">
        <f t="shared" si="14"/>
        <v>0</v>
      </c>
      <c r="O49" s="174">
        <f t="shared" si="18"/>
        <v>1786.4831443120161</v>
      </c>
      <c r="P49" s="222">
        <f t="shared" si="19"/>
        <v>0</v>
      </c>
      <c r="Q49" s="175">
        <f t="shared" si="17"/>
        <v>0</v>
      </c>
      <c r="R49" s="203"/>
      <c r="S49" s="217"/>
      <c r="U49" s="544"/>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si="11"/>
        <v>0</v>
      </c>
      <c r="K50" s="51">
        <f t="shared" si="12"/>
        <v>0</v>
      </c>
      <c r="L50" s="27"/>
      <c r="M50" s="174">
        <f t="shared" si="13"/>
        <v>0</v>
      </c>
      <c r="N50" s="174">
        <f t="shared" si="14"/>
        <v>0</v>
      </c>
      <c r="O50" s="174">
        <f t="shared" si="18"/>
        <v>1393.2058244868886</v>
      </c>
      <c r="P50" s="222">
        <f t="shared" si="19"/>
        <v>0</v>
      </c>
      <c r="Q50" s="175">
        <f t="shared" si="17"/>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0</v>
      </c>
      <c r="H51" s="109">
        <f>'ADJ DETAIL-INPUT'!AP$81</f>
        <v>0</v>
      </c>
      <c r="I51" s="59"/>
      <c r="J51" s="51">
        <f t="shared" si="11"/>
        <v>1403.5019231731299</v>
      </c>
      <c r="K51" s="51">
        <f t="shared" si="12"/>
        <v>-9316.0669790457214</v>
      </c>
      <c r="L51" s="29"/>
      <c r="M51" s="174">
        <f t="shared" si="13"/>
        <v>-1858.2193466029516</v>
      </c>
      <c r="N51" s="174">
        <f t="shared" si="14"/>
        <v>-864.63853179173282</v>
      </c>
      <c r="O51" s="174">
        <f t="shared" si="18"/>
        <v>0</v>
      </c>
      <c r="P51" s="222">
        <f t="shared" si="19"/>
        <v>-2722.8578783946846</v>
      </c>
      <c r="Q51" s="175">
        <f t="shared" si="17"/>
        <v>-2722.8578783946846</v>
      </c>
      <c r="R51" s="162"/>
      <c r="S51" s="217"/>
      <c r="U51" s="27"/>
      <c r="V51" s="535"/>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0</v>
      </c>
      <c r="H52" s="151">
        <f>'ADJ DETAIL-INPUT'!AQ$81</f>
        <v>0</v>
      </c>
      <c r="I52" s="173"/>
      <c r="J52" s="51">
        <f t="shared" si="11"/>
        <v>237.87314855879669</v>
      </c>
      <c r="K52" s="51">
        <f t="shared" si="12"/>
        <v>-23307.524261841289</v>
      </c>
      <c r="L52" s="40"/>
      <c r="M52" s="174">
        <f t="shared" si="13"/>
        <v>-314.94113359671422</v>
      </c>
      <c r="N52" s="174">
        <f t="shared" si="14"/>
        <v>-2163.2072421534849</v>
      </c>
      <c r="O52" s="174">
        <f t="shared" si="18"/>
        <v>0</v>
      </c>
      <c r="P52" s="222">
        <f t="shared" si="19"/>
        <v>-2478.1483757501992</v>
      </c>
      <c r="Q52" s="175">
        <f t="shared" si="17"/>
        <v>-2478.1483757501992</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0</v>
      </c>
      <c r="H53" s="151">
        <f>'ADJ DETAIL-INPUT'!AR$81</f>
        <v>0</v>
      </c>
      <c r="I53" s="173"/>
      <c r="J53" s="51">
        <f t="shared" ref="J53:J58" si="20">G53-D53</f>
        <v>749.11178108126501</v>
      </c>
      <c r="K53" s="51">
        <f t="shared" ref="K53:K58" si="21">H53-E53</f>
        <v>-51537.676443689525</v>
      </c>
      <c r="L53" s="516"/>
      <c r="M53" s="174">
        <f t="shared" ref="M53:M58" si="22">J53/$M$9*-1</f>
        <v>-991.81481791364024</v>
      </c>
      <c r="N53" s="174">
        <f t="shared" ref="N53:N58" si="23">K53*$N$9/$M$9</f>
        <v>-4783.291167019247</v>
      </c>
      <c r="O53" s="174">
        <f t="shared" ref="O53:O58" si="24">(H53*$N$9/$M$9)-(G53/$M$9)</f>
        <v>0</v>
      </c>
      <c r="P53" s="222">
        <f t="shared" ref="P53:P58" si="25">SUM(M53:N53)</f>
        <v>-5775.1059849328876</v>
      </c>
      <c r="Q53" s="175">
        <f t="shared" ref="Q53:Q58" si="26">SUM(M53:N53)</f>
        <v>-5775.1059849328876</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0</v>
      </c>
      <c r="H54" s="151">
        <f>'ADJ DETAIL-INPUT'!AS$81</f>
        <v>0</v>
      </c>
      <c r="I54" s="173"/>
      <c r="J54" s="51">
        <f t="shared" si="20"/>
        <v>375.20826212708823</v>
      </c>
      <c r="K54" s="51">
        <f t="shared" si="21"/>
        <v>-35583.899668735903</v>
      </c>
      <c r="L54" s="516"/>
      <c r="M54" s="174">
        <f t="shared" si="22"/>
        <v>-496.77114094258422</v>
      </c>
      <c r="N54" s="174">
        <f t="shared" si="23"/>
        <v>-3302.5965607808175</v>
      </c>
      <c r="O54" s="174">
        <f t="shared" si="24"/>
        <v>0</v>
      </c>
      <c r="P54" s="222">
        <f t="shared" si="25"/>
        <v>-3799.3677017234018</v>
      </c>
      <c r="Q54" s="175">
        <f t="shared" si="26"/>
        <v>-3799.3677017234018</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0</v>
      </c>
      <c r="H55" s="151">
        <f>'ADJ DETAIL-INPUT'!AT$81</f>
        <v>0</v>
      </c>
      <c r="I55" s="173"/>
      <c r="J55" s="51">
        <f t="shared" si="20"/>
        <v>1496.0519802474223</v>
      </c>
      <c r="K55" s="51">
        <f t="shared" si="21"/>
        <v>-10885.756480909702</v>
      </c>
      <c r="L55" s="516"/>
      <c r="M55" s="174">
        <f t="shared" si="22"/>
        <v>-1980.7544879840464</v>
      </c>
      <c r="N55" s="174">
        <f t="shared" si="23"/>
        <v>-1010.3238332513829</v>
      </c>
      <c r="O55" s="174">
        <f t="shared" si="24"/>
        <v>0</v>
      </c>
      <c r="P55" s="222">
        <f t="shared" si="25"/>
        <v>-2991.078321235429</v>
      </c>
      <c r="Q55" s="175">
        <f t="shared" si="26"/>
        <v>-2991.078321235429</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-12409.73749705977</v>
      </c>
      <c r="H56" s="151">
        <f>'ADJ DETAIL-INPUT'!AU$81</f>
        <v>-21734.679272916666</v>
      </c>
      <c r="I56" s="173"/>
      <c r="J56" s="51">
        <f t="shared" si="20"/>
        <v>-5256.7424010597697</v>
      </c>
      <c r="K56" s="51">
        <f t="shared" si="21"/>
        <v>-113897.67927291666</v>
      </c>
      <c r="L56" s="516"/>
      <c r="M56" s="174">
        <f t="shared" si="22"/>
        <v>6959.8625185156634</v>
      </c>
      <c r="N56" s="174">
        <f t="shared" si="23"/>
        <v>-10571.019122396652</v>
      </c>
      <c r="O56" s="174">
        <f t="shared" si="24"/>
        <v>14413.111291799367</v>
      </c>
      <c r="P56" s="222">
        <f t="shared" si="25"/>
        <v>-3611.1566038809888</v>
      </c>
      <c r="Q56" s="175">
        <f t="shared" si="26"/>
        <v>-3611.1566038809888</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-1421.21</v>
      </c>
      <c r="H57" s="151">
        <f>'ADJ DETAIL-INPUT'!AV$81</f>
        <v>0</v>
      </c>
      <c r="I57" s="173"/>
      <c r="J57" s="51">
        <f t="shared" si="20"/>
        <v>1937.4497919999999</v>
      </c>
      <c r="K57" s="51">
        <f t="shared" si="21"/>
        <v>-13126</v>
      </c>
      <c r="L57" s="516"/>
      <c r="M57" s="174">
        <f t="shared" si="22"/>
        <v>-2565.1597814890624</v>
      </c>
      <c r="N57" s="174">
        <f t="shared" si="23"/>
        <v>-1218.2442863308856</v>
      </c>
      <c r="O57" s="174">
        <f t="shared" si="24"/>
        <v>1881.6646233122467</v>
      </c>
      <c r="P57" s="222">
        <f t="shared" si="25"/>
        <v>-3783.4040678199481</v>
      </c>
      <c r="Q57" s="175">
        <f t="shared" si="26"/>
        <v>-3783.4040678199481</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-2621.2913349999999</v>
      </c>
      <c r="H58" s="151">
        <f>'ADJ DETAIL-INPUT'!AW$81</f>
        <v>12577</v>
      </c>
      <c r="I58" s="173"/>
      <c r="J58" s="51">
        <f t="shared" si="20"/>
        <v>-461.18779899999981</v>
      </c>
      <c r="K58" s="51">
        <f t="shared" si="21"/>
        <v>3219</v>
      </c>
      <c r="L58" s="516"/>
      <c r="M58" s="174">
        <f t="shared" si="22"/>
        <v>610.60699409766232</v>
      </c>
      <c r="N58" s="174">
        <f t="shared" si="23"/>
        <v>298.76035027419783</v>
      </c>
      <c r="O58" s="174">
        <f t="shared" si="24"/>
        <v>4637.8483544156315</v>
      </c>
      <c r="P58" s="222">
        <f t="shared" si="25"/>
        <v>909.3673443718601</v>
      </c>
      <c r="Q58" s="175">
        <f t="shared" si="26"/>
        <v>909.3673443718601</v>
      </c>
      <c r="R58" s="429"/>
      <c r="S58" s="217"/>
      <c r="U58" s="138"/>
      <c r="V58" s="33"/>
      <c r="W58" s="138"/>
      <c r="X58" s="47"/>
      <c r="Y58" s="138"/>
      <c r="Z58" s="138"/>
      <c r="AA58" s="138"/>
      <c r="AB58" s="138"/>
      <c r="AC58" s="138"/>
      <c r="AD58" s="138"/>
      <c r="AE58" s="138"/>
    </row>
    <row r="59" spans="1:31">
      <c r="A59" s="473">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1972.8094845915409</v>
      </c>
      <c r="H59" s="109">
        <f>'ADJ DETAIL-INPUT'!AX$81</f>
        <v>-4266.1127130142186</v>
      </c>
      <c r="I59" s="59"/>
      <c r="J59" s="51">
        <f t="shared" ref="J59:K61" si="27">G59-D59</f>
        <v>1868.090324591541</v>
      </c>
      <c r="K59" s="51">
        <f t="shared" si="27"/>
        <v>11338.887286985781</v>
      </c>
      <c r="L59" s="27"/>
      <c r="M59" s="174">
        <f>J59/$M$9*-1</f>
        <v>-2473.3286966287842</v>
      </c>
      <c r="N59" s="174">
        <f>K59*$N$9/$M$9</f>
        <v>1052.3796016090464</v>
      </c>
      <c r="O59" s="174">
        <f>(H59*$N$9/$M$9)-(G59/$M$9)</f>
        <v>-3007.9200758563388</v>
      </c>
      <c r="P59" s="222">
        <f>SUM(M59:N59)</f>
        <v>-1420.9490950197378</v>
      </c>
      <c r="Q59" s="175">
        <f>SUM(M59:N59)</f>
        <v>-1420.9490950197378</v>
      </c>
      <c r="R59" s="202"/>
      <c r="S59" s="220"/>
      <c r="V59" s="139"/>
    </row>
    <row r="60" spans="1:31">
      <c r="A60" s="473">
        <f>'ADJ DETAIL-INPUT'!AY$10</f>
        <v>3.1999999999999957</v>
      </c>
      <c r="B60" s="382" t="str">
        <f>TRIM(CONCATENATE('ADJ DETAIL-INPUT'!AY$7," ",'ADJ DETAIL-INPUT'!AY$8," ",'ADJ DETAIL-INPUT'!AY$9))</f>
        <v>PF Normalize CS2/Colstrip Major Maint</v>
      </c>
      <c r="C60" s="169"/>
      <c r="D60" s="52">
        <v>12.64</v>
      </c>
      <c r="E60" s="52">
        <v>0</v>
      </c>
      <c r="F60" s="130"/>
      <c r="G60" s="109">
        <f>'ADJ DETAIL-INPUT'!AY$57</f>
        <v>12.64</v>
      </c>
      <c r="H60" s="109">
        <f>'ADJ DETAIL-INPUT'!AY$81</f>
        <v>0</v>
      </c>
      <c r="I60" s="59"/>
      <c r="J60" s="51">
        <f t="shared" si="27"/>
        <v>0</v>
      </c>
      <c r="K60" s="51">
        <f t="shared" si="27"/>
        <v>0</v>
      </c>
      <c r="L60" s="27"/>
      <c r="M60" s="174">
        <f>J60/$M$9*-1</f>
        <v>0</v>
      </c>
      <c r="N60" s="174">
        <f>K60*$N$9/$M$9</f>
        <v>0</v>
      </c>
      <c r="O60" s="174">
        <f>(H60*$N$9/$M$9)-(G60/$M$9)</f>
        <v>-16.735205098941606</v>
      </c>
      <c r="P60" s="222">
        <f>SUM(M60:N60)</f>
        <v>0</v>
      </c>
      <c r="Q60" s="175">
        <f>SUM(M60:N60)</f>
        <v>0</v>
      </c>
      <c r="R60" s="202"/>
      <c r="S60" s="220"/>
      <c r="V60" s="139"/>
    </row>
    <row r="61" spans="1:31">
      <c r="A61" s="473">
        <f>'ADJ DETAIL-INPUT'!AZ$10</f>
        <v>3.2099999999999955</v>
      </c>
      <c r="B61" s="382" t="str">
        <f>TRIM(CONCATENATE('ADJ DETAIL-INPUT'!AZ$7," ",'ADJ DETAIL-INPUT'!AZ$8," ",'ADJ DETAIL-INPUT'!AZ$9))</f>
        <v>Restate 2019 ADFIT</v>
      </c>
      <c r="C61" s="169"/>
      <c r="D61" s="52">
        <v>-159.062736</v>
      </c>
      <c r="E61" s="52">
        <v>-30542</v>
      </c>
      <c r="F61" s="130"/>
      <c r="G61" s="109">
        <f>'ADJ DETAIL-INPUT'!AZ$57</f>
        <v>-157.13858999999999</v>
      </c>
      <c r="H61" s="109">
        <f>'ADJ DETAIL-INPUT'!AZ$81</f>
        <v>-30542</v>
      </c>
      <c r="I61" s="59"/>
      <c r="J61" s="51">
        <f t="shared" si="27"/>
        <v>1.9241460000000075</v>
      </c>
      <c r="K61" s="51">
        <f t="shared" si="27"/>
        <v>0</v>
      </c>
      <c r="L61" s="27"/>
      <c r="M61" s="174">
        <f>J61/$M$9*-1</f>
        <v>-2.5475457239167891</v>
      </c>
      <c r="N61" s="174">
        <f>K61*$N$9/$M$9</f>
        <v>0</v>
      </c>
      <c r="O61" s="174">
        <f>(H61*$N$9/$M$9)-(G61/$M$9)</f>
        <v>-2626.6005158256257</v>
      </c>
      <c r="P61" s="222">
        <f>SUM(M61:N61)</f>
        <v>-2.5475457239167891</v>
      </c>
      <c r="Q61" s="175">
        <f>SUM(M61:N61)</f>
        <v>-2.5475457239167891</v>
      </c>
      <c r="R61" s="202"/>
      <c r="S61" s="220"/>
      <c r="U61" s="27"/>
      <c r="V61" s="535"/>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110388.06846126172</v>
      </c>
      <c r="H63" s="377">
        <f>SUM(H37:H62)</f>
        <v>1634460.2369994749</v>
      </c>
      <c r="I63" s="57"/>
      <c r="J63" s="170">
        <f>SUM(J37:J62)</f>
        <v>4257.0878774933944</v>
      </c>
      <c r="K63" s="170">
        <f>SUM(K37:K62)</f>
        <v>-243096.71582015301</v>
      </c>
      <c r="L63" s="28"/>
      <c r="M63" s="170">
        <f>SUM(M37:M62)</f>
        <v>-5636.3321799105961</v>
      </c>
      <c r="N63" s="170">
        <f>SUM(N37:N62)</f>
        <v>-22562.180791840961</v>
      </c>
      <c r="O63" s="119"/>
      <c r="P63" s="231">
        <f>SUM(P9:P52)+P30+SUM(P39:P61)</f>
        <v>-35920.202976330038</v>
      </c>
      <c r="Q63" s="222"/>
      <c r="S63" s="220"/>
      <c r="V63" s="509"/>
    </row>
    <row r="64" spans="1:31" ht="13.5" thickTop="1">
      <c r="A64" s="332"/>
      <c r="B64" s="27"/>
      <c r="C64" s="27"/>
      <c r="D64" s="27"/>
      <c r="E64" s="41"/>
      <c r="F64" s="119"/>
      <c r="G64" s="119"/>
      <c r="H64" s="57"/>
      <c r="I64" s="33"/>
      <c r="J64" s="168"/>
      <c r="K64" s="28"/>
      <c r="L64" s="27"/>
      <c r="M64" s="175"/>
      <c r="N64" s="195">
        <f>M63+N63</f>
        <v>-28198.512971751559</v>
      </c>
      <c r="O64" s="195"/>
      <c r="Q64" s="175"/>
      <c r="S64" s="138"/>
      <c r="V64" s="36"/>
      <c r="W64" s="36"/>
    </row>
    <row r="65" spans="1:22">
      <c r="A65" s="332"/>
      <c r="B65" s="27"/>
      <c r="C65" s="27"/>
      <c r="D65" s="27"/>
      <c r="E65" s="41"/>
      <c r="F65" s="119"/>
      <c r="G65" s="119"/>
      <c r="H65" s="57"/>
      <c r="I65" s="33"/>
      <c r="J65" s="168"/>
      <c r="K65" s="28"/>
      <c r="L65" s="143"/>
      <c r="M65" s="176" t="s">
        <v>716</v>
      </c>
      <c r="N65" s="230"/>
      <c r="O65" s="195"/>
      <c r="P65" s="231"/>
      <c r="Q65" s="175"/>
      <c r="S65" s="213"/>
      <c r="T65" s="36"/>
      <c r="V65" s="139"/>
    </row>
    <row r="66" spans="1:22" ht="13.5" thickBot="1">
      <c r="A66" s="332"/>
      <c r="B66" s="27"/>
      <c r="C66" s="27"/>
      <c r="D66" s="27"/>
      <c r="E66" s="41"/>
      <c r="F66" s="119"/>
      <c r="G66" s="119"/>
      <c r="H66" s="57"/>
      <c r="I66" s="33"/>
      <c r="J66" s="168"/>
      <c r="K66" s="28"/>
      <c r="M66" s="176" t="s">
        <v>247</v>
      </c>
      <c r="N66" s="196">
        <f>SUM(N64:P65)</f>
        <v>-28198.512971751559</v>
      </c>
      <c r="O66" s="228"/>
      <c r="S66" s="214"/>
    </row>
    <row r="67" spans="1:22" ht="13.5" thickTop="1">
      <c r="A67" s="332"/>
      <c r="B67" s="138"/>
      <c r="C67" s="27"/>
      <c r="D67" s="27"/>
      <c r="E67" s="41"/>
      <c r="F67" s="119"/>
      <c r="G67" s="119"/>
      <c r="H67" s="57"/>
      <c r="I67" s="33"/>
      <c r="J67" s="168"/>
      <c r="K67" s="28"/>
      <c r="M67" s="177" t="s">
        <v>248</v>
      </c>
      <c r="N67" s="481">
        <v>44183</v>
      </c>
      <c r="O67" s="178"/>
      <c r="Q67" s="175"/>
      <c r="S67" s="210"/>
    </row>
    <row r="68" spans="1:22" ht="13.5" thickBot="1">
      <c r="A68" s="332"/>
      <c r="B68" s="27"/>
      <c r="C68" s="27"/>
      <c r="D68" s="27"/>
      <c r="E68" s="41"/>
      <c r="F68" s="124"/>
      <c r="G68" s="119"/>
      <c r="H68" s="57"/>
      <c r="I68" s="33"/>
      <c r="J68" s="168"/>
      <c r="K68" s="29"/>
      <c r="L68" s="27"/>
      <c r="M68" s="179" t="s">
        <v>249</v>
      </c>
      <c r="N68" s="180">
        <f>N67+N66</f>
        <v>15984.487028248441</v>
      </c>
      <c r="O68" s="229"/>
      <c r="P68" s="222"/>
      <c r="R68" s="99">
        <f>N68-'RR SUMMARY'!E24</f>
        <v>1275.7210191385984</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14708.766009109842</v>
      </c>
      <c r="O127" s="51"/>
      <c r="P127" s="216"/>
      <c r="Q127" s="175">
        <f>N68-N127</f>
        <v>1275.7210191385984</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6"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2021-06-30T07:00:00+00:00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D171765F-7637-4460-B614-A34CF3EF0090}"/>
</file>

<file path=customXml/itemProps2.xml><?xml version="1.0" encoding="utf-8"?>
<ds:datastoreItem xmlns:ds="http://schemas.openxmlformats.org/officeDocument/2006/customXml" ds:itemID="{9DDCCBD4-5617-48B6-926D-844FA950989E}"/>
</file>

<file path=customXml/itemProps3.xml><?xml version="1.0" encoding="utf-8"?>
<ds:datastoreItem xmlns:ds="http://schemas.openxmlformats.org/officeDocument/2006/customXml" ds:itemID="{97E5909F-34B4-41BE-91D7-A0C5BC17FBC6}"/>
</file>

<file path=customXml/itemProps4.xml><?xml version="1.0" encoding="utf-8"?>
<ds:datastoreItem xmlns:ds="http://schemas.openxmlformats.org/officeDocument/2006/customXml" ds:itemID="{4D929BCC-0745-4BCB-90D6-7B6387AEA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Table 1</vt:lpstr>
      <vt:lpstr>Exh. No. BGM-3 (1)</vt:lpstr>
      <vt:lpstr>PROPOSED RATES</vt:lpstr>
      <vt:lpstr>RR SUMMARY</vt:lpstr>
      <vt:lpstr>CF </vt:lpstr>
      <vt:lpstr>ADJ DETAIL-INPUT</vt:lpstr>
      <vt:lpstr>ADJ SUMMARY</vt:lpstr>
      <vt:lpstr>LEAD SHEETS-DO NOT ENTER</vt:lpstr>
      <vt:lpstr>ROO INPUT</vt:lpstr>
      <vt:lpstr>DEBT CALC</vt:lpstr>
      <vt:lpstr>COMPARISON</vt:lpstr>
      <vt:lpstr>'Table 1'!_Toc69648761</vt:lpstr>
      <vt:lpstr>ID_Elec</vt:lpstr>
      <vt:lpstr>'ADJ DETAIL-INPUT'!Print_Area</vt:lpstr>
      <vt:lpstr>'ADJ SUMMARY'!Print_Area</vt:lpstr>
      <vt:lpstr>'CF '!Print_Area</vt:lpstr>
      <vt:lpstr>COMPARISON!Print_Area</vt:lpstr>
      <vt:lpstr>'DEBT CALC'!Print_Area</vt:lpstr>
      <vt:lpstr>'Exh. No. BGM-3 (1)'!Print_Area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'Exh. No. BGM-3 (1)'!Print_Titles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IFG</cp:lastModifiedBy>
  <cp:lastPrinted>2020-10-23T19:16:52Z</cp:lastPrinted>
  <dcterms:created xsi:type="dcterms:W3CDTF">1997-05-15T21:41:44Z</dcterms:created>
  <dcterms:modified xsi:type="dcterms:W3CDTF">2021-06-30T13:16:00Z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