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3040" windowHeight="9390" tabRatio="793" activeTab="2"/>
  </bookViews>
  <sheets>
    <sheet name="Electric staff" sheetId="1" r:id="rId1"/>
    <sheet name="Gas Staff" sheetId="2" r:id="rId2"/>
    <sheet name="Insurance" sheetId="3" r:id="rId3"/>
    <sheet name="UE-140188 IA-1" sheetId="8" r:id="rId4"/>
    <sheet name="UE-140188 IA-2" sheetId="9" r:id="rId5"/>
    <sheet name="UE-150205 IA-1" sheetId="10" r:id="rId6"/>
    <sheet name="UE-150205 IA-2" sheetId="11" r:id="rId7"/>
    <sheet name="UE-160228 IA-1" sheetId="6" r:id="rId8"/>
    <sheet name="UE-160228 IA-2" sheetId="7" r:id="rId9"/>
    <sheet name="Insurance History" sheetId="5" r:id="rId10"/>
    <sheet name="Sheet4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'Electric staff'!$A$3:$G$74</definedName>
    <definedName name="_xlnm.Print_Area" localSheetId="1">'Gas Staff'!$A$1:$G$75</definedName>
    <definedName name="_xlnm.Print_Area" localSheetId="2">Insurance!$A$1:$M$30</definedName>
    <definedName name="_xlnm.Print_Area" localSheetId="3">'UE-140188 IA-1'!$A$1:$H$39</definedName>
    <definedName name="_xlnm.Print_Area" localSheetId="4">'UE-140188 IA-2'!$A$1:$M$24</definedName>
    <definedName name="_xlnm.Print_Area" localSheetId="5">'UE-150205 IA-1'!$A$1:$H$39</definedName>
    <definedName name="_xlnm.Print_Area" localSheetId="6">'UE-150205 IA-2'!$A$1:$I$23</definedName>
    <definedName name="_xlnm.Print_Area" localSheetId="7">'UE-160228 IA-1'!$A$1:$I$40</definedName>
    <definedName name="_xlnm.Print_Area" localSheetId="8">'UE-160228 IA-2'!$A$2:$H$26</definedName>
    <definedName name="Recover">[1]Macro1!$A$69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3" l="1"/>
  <c r="M22" i="3" l="1"/>
  <c r="F15" i="11" l="1"/>
  <c r="D15" i="11"/>
  <c r="B15" i="11"/>
  <c r="F13" i="11"/>
  <c r="D13" i="11"/>
  <c r="B13" i="11"/>
  <c r="F11" i="11"/>
  <c r="D11" i="11"/>
  <c r="B11" i="11"/>
  <c r="A4" i="11"/>
  <c r="A2" i="11"/>
  <c r="A1" i="11"/>
  <c r="A43" i="10"/>
  <c r="A42" i="10"/>
  <c r="A41" i="10"/>
  <c r="A29" i="10"/>
  <c r="A25" i="10"/>
  <c r="F14" i="10"/>
  <c r="F22" i="10" s="1"/>
  <c r="D18" i="11" l="1"/>
  <c r="D9" i="10" s="1"/>
  <c r="B18" i="11"/>
  <c r="D7" i="10" s="1"/>
  <c r="D11" i="10" s="1"/>
  <c r="D14" i="10" s="1"/>
  <c r="F18" i="11"/>
  <c r="H11" i="11" s="1"/>
  <c r="H13" i="11"/>
  <c r="F18" i="10"/>
  <c r="H15" i="11"/>
  <c r="D26" i="10" l="1"/>
  <c r="D33" i="10"/>
  <c r="D22" i="10"/>
  <c r="H22" i="10" s="1"/>
  <c r="H37" i="10" s="1"/>
  <c r="D30" i="10"/>
  <c r="H14" i="10"/>
  <c r="D18" i="10"/>
  <c r="H18" i="10"/>
  <c r="D35" i="10" l="1"/>
  <c r="H38" i="10"/>
  <c r="H39" i="10" s="1"/>
  <c r="D38" i="10"/>
  <c r="D37" i="10"/>
  <c r="D39" i="10" s="1"/>
  <c r="J15" i="9" l="1"/>
  <c r="H15" i="9"/>
  <c r="F15" i="9"/>
  <c r="D15" i="9"/>
  <c r="B15" i="9"/>
  <c r="J13" i="9"/>
  <c r="F14" i="8" s="1"/>
  <c r="F22" i="8" s="1"/>
  <c r="H13" i="9"/>
  <c r="D13" i="9"/>
  <c r="B13" i="9"/>
  <c r="J11" i="9"/>
  <c r="J18" i="9" s="1"/>
  <c r="H11" i="9"/>
  <c r="H18" i="9" s="1"/>
  <c r="D11" i="9"/>
  <c r="B11" i="9"/>
  <c r="B18" i="9" s="1"/>
  <c r="A29" i="8"/>
  <c r="A25" i="8"/>
  <c r="F11" i="9" l="1"/>
  <c r="D18" i="9"/>
  <c r="F18" i="8"/>
  <c r="F13" i="9"/>
  <c r="D9" i="8"/>
  <c r="L13" i="9"/>
  <c r="L15" i="9"/>
  <c r="L11" i="9"/>
  <c r="F18" i="9" l="1"/>
  <c r="D7" i="8" s="1"/>
  <c r="D11" i="8"/>
  <c r="D14" i="8" s="1"/>
  <c r="D30" i="8" s="1"/>
  <c r="D18" i="8"/>
  <c r="D22" i="8"/>
  <c r="H22" i="8" s="1"/>
  <c r="H14" i="8"/>
  <c r="D26" i="8" l="1"/>
  <c r="D33" i="8"/>
  <c r="H38" i="8"/>
  <c r="H37" i="8"/>
  <c r="H39" i="8" s="1"/>
  <c r="D35" i="8"/>
  <c r="H18" i="8"/>
  <c r="D37" i="8" l="1"/>
  <c r="D38" i="8"/>
  <c r="D39" i="8" l="1"/>
  <c r="F15" i="7"/>
  <c r="D15" i="7"/>
  <c r="F13" i="7"/>
  <c r="F21" i="7" s="1"/>
  <c r="D13" i="7"/>
  <c r="D21" i="7" s="1"/>
  <c r="B13" i="7"/>
  <c r="B21" i="7" s="1"/>
  <c r="F11" i="7"/>
  <c r="D11" i="7"/>
  <c r="D18" i="7" s="1"/>
  <c r="B11" i="7"/>
  <c r="B18" i="7" s="1"/>
  <c r="B22" i="7" s="1"/>
  <c r="D7" i="6" s="1"/>
  <c r="F18" i="7" l="1"/>
  <c r="F22" i="7" s="1"/>
  <c r="G9" i="6" s="1"/>
  <c r="D22" i="7"/>
  <c r="D9" i="6" s="1"/>
  <c r="G7" i="6" l="1"/>
  <c r="G11" i="6" s="1"/>
  <c r="G14" i="6" s="1"/>
  <c r="D11" i="6"/>
  <c r="D14" i="6" s="1"/>
  <c r="D26" i="6" l="1"/>
  <c r="D30" i="6"/>
  <c r="D22" i="6"/>
  <c r="D33" i="6"/>
  <c r="D18" i="6"/>
  <c r="G30" i="6"/>
  <c r="G22" i="6"/>
  <c r="G26" i="6"/>
  <c r="G18" i="6"/>
  <c r="G33" i="6"/>
  <c r="D43" i="6" l="1"/>
  <c r="D44" i="6"/>
  <c r="G43" i="6"/>
  <c r="G44" i="6"/>
  <c r="G39" i="6"/>
  <c r="G35" i="6"/>
  <c r="G38" i="6"/>
  <c r="G40" i="6" s="1"/>
  <c r="D38" i="6"/>
  <c r="D40" i="6" s="1"/>
  <c r="D39" i="6"/>
  <c r="D35" i="6"/>
  <c r="G45" i="6" l="1"/>
  <c r="D45" i="6"/>
  <c r="H13" i="5" l="1"/>
  <c r="G13" i="5"/>
  <c r="F13" i="5"/>
  <c r="E13" i="5"/>
  <c r="D13" i="5"/>
  <c r="C13" i="5"/>
  <c r="A5" i="2" l="1"/>
  <c r="A4" i="2"/>
  <c r="A2" i="2"/>
  <c r="E71" i="2"/>
  <c r="E65" i="2"/>
  <c r="E72" i="2" s="1"/>
  <c r="E74" i="2" s="1"/>
  <c r="E81" i="2" s="1"/>
  <c r="E47" i="2"/>
  <c r="E36" i="2"/>
  <c r="E30" i="2"/>
  <c r="E24" i="2"/>
  <c r="E48" i="2" s="1"/>
  <c r="E50" i="2" s="1"/>
  <c r="E17" i="2"/>
  <c r="G73" i="1"/>
  <c r="G66" i="1"/>
  <c r="G74" i="1" s="1"/>
  <c r="G77" i="1" s="1"/>
  <c r="G81" i="1" s="1"/>
  <c r="G47" i="1"/>
  <c r="G46" i="1"/>
  <c r="G35" i="1"/>
  <c r="G29" i="1"/>
  <c r="G20" i="1"/>
  <c r="G49" i="1" s="1"/>
  <c r="G18" i="1"/>
  <c r="E54" i="2" l="1"/>
  <c r="E53" i="2"/>
  <c r="G52" i="1"/>
  <c r="G53" i="1"/>
  <c r="G57" i="1" s="1"/>
  <c r="K30" i="3"/>
  <c r="K18" i="3"/>
  <c r="K14" i="3"/>
  <c r="E58" i="2" l="1"/>
  <c r="K38" i="3"/>
  <c r="M18" i="3"/>
  <c r="M14" i="3"/>
</calcChain>
</file>

<file path=xl/sharedStrings.xml><?xml version="1.0" encoding="utf-8"?>
<sst xmlns="http://schemas.openxmlformats.org/spreadsheetml/2006/main" count="428" uniqueCount="231">
  <si>
    <t xml:space="preserve">AVISTA UTILITIES  </t>
  </si>
  <si>
    <t>TWELVE MONTHS ENDED DECEMBER 31, 2018</t>
  </si>
  <si>
    <t xml:space="preserve">(000'S OF DOLLARS)  </t>
  </si>
  <si>
    <t>Pro Forma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</si>
  <si>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</si>
  <si>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</si>
  <si>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</si>
  <si>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</si>
  <si>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</si>
  <si>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</si>
  <si>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</si>
  <si>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</si>
  <si>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</si>
  <si>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</si>
  <si>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</si>
  <si>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</si>
  <si>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</si>
  <si>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</si>
  <si>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</si>
  <si>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</si>
  <si>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</si>
  <si>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</si>
  <si>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</si>
  <si>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</si>
  <si>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</si>
  <si>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</si>
  <si>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</si>
  <si>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</si>
  <si>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</si>
  <si>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</si>
  <si>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</si>
  <si>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</si>
  <si>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</si>
  <si>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</si>
  <si>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</si>
  <si>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</si>
  <si>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</si>
  <si>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</si>
  <si>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</si>
  <si>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</si>
  <si>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</si>
  <si>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</si>
  <si>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</si>
  <si>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</si>
  <si>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</si>
  <si>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</si>
  <si>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</si>
  <si>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</si>
  <si>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</si>
  <si>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</si>
  <si>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</si>
  <si>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</si>
  <si>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</si>
  <si>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</si>
  <si>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</si>
  <si>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</si>
  <si>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</si>
  <si>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</si>
  <si>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</si>
  <si>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</si>
  <si>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</si>
  <si>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</si>
  <si>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</si>
  <si>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</si>
  <si>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</si>
  <si>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</si>
  <si>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</si>
  <si>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</si>
  <si>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</si>
  <si>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</si>
  <si>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</si>
  <si>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</si>
  <si>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</si>
  <si>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</si>
  <si>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</si>
  <si>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</si>
  <si>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</si>
  <si>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</si>
  <si>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</si>
  <si>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</si>
  <si>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</si>
  <si>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</si>
  <si>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</si>
  <si>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</si>
  <si>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</si>
  <si>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</si>
  <si>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</si>
  <si>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</si>
  <si>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NET PLANT</t>
  </si>
  <si>
    <t>GAS INVENTORY</t>
  </si>
  <si>
    <t>GAIN ON SALE OF BUILDING</t>
  </si>
  <si>
    <t>OTHER</t>
  </si>
  <si>
    <t>TOTAL RATE BASE</t>
  </si>
  <si>
    <t>Before UE-120436 AVA's estimate is pretty stable and reliable.</t>
  </si>
  <si>
    <t xml:space="preserve">Requested </t>
  </si>
  <si>
    <t xml:space="preserve">Overestimated </t>
  </si>
  <si>
    <t>After UE-120436 AVA's estimate tends to overstimate and not reliable.</t>
  </si>
  <si>
    <t>Pro Forma increase</t>
  </si>
  <si>
    <t>UE-140188</t>
  </si>
  <si>
    <t>UE-150205</t>
  </si>
  <si>
    <t>Insurance is before 10% D&amp;O deduction</t>
  </si>
  <si>
    <t>UE-160228</t>
  </si>
  <si>
    <t>This adjustment is included in Avista's Cross Check adjustment 4.06</t>
  </si>
  <si>
    <t>Staff proposed to exclude all Avista's Cross Check adjsutments</t>
  </si>
  <si>
    <t>UE-170485</t>
  </si>
  <si>
    <t>Test year</t>
  </si>
  <si>
    <t>UE-190335</t>
  </si>
  <si>
    <t xml:space="preserve">Conclusion :  AVA's insurance  estimated calculation for the future rate year  tends to overestimate the acutal paid as they file GRC later </t>
  </si>
  <si>
    <t>Note: Insurance has not changed much from 2013-2018.</t>
  </si>
  <si>
    <t>Pro forma increse is to claculated the two yellow boes together.</t>
  </si>
  <si>
    <t>Insurance</t>
  </si>
  <si>
    <t>Expense</t>
  </si>
  <si>
    <t>E-PINS</t>
  </si>
  <si>
    <t xml:space="preserve">Insurance </t>
  </si>
  <si>
    <t>G-PINS</t>
  </si>
  <si>
    <t xml:space="preserve">SYSTEM RESULTS </t>
  </si>
  <si>
    <t>Column A</t>
  </si>
  <si>
    <t>Column B</t>
  </si>
  <si>
    <t>Column E</t>
  </si>
  <si>
    <t>Column F</t>
  </si>
  <si>
    <t>Column G</t>
  </si>
  <si>
    <t>Column H</t>
  </si>
  <si>
    <t>Column I</t>
  </si>
  <si>
    <t xml:space="preserve">Test period actual </t>
  </si>
  <si>
    <t>Rate Year pro forma</t>
  </si>
  <si>
    <t>Adjsutment Number</t>
  </si>
  <si>
    <t>Column J</t>
  </si>
  <si>
    <t>Column K</t>
  </si>
  <si>
    <t>Column L</t>
  </si>
  <si>
    <t xml:space="preserve">WASHINGTON ELECTRIC RESULTS </t>
  </si>
  <si>
    <t xml:space="preserve">RATE OF RETURN  </t>
  </si>
  <si>
    <t xml:space="preserve">REVENUE REQUIREMENT </t>
  </si>
  <si>
    <t>WASHINGTON NATURAL GAS</t>
  </si>
  <si>
    <t>Production Expenses</t>
  </si>
  <si>
    <t>RATE BASE</t>
  </si>
  <si>
    <t>PLANT IN SERVICE</t>
  </si>
  <si>
    <t>Total Accumulated Depreciation/Amortization</t>
  </si>
  <si>
    <t>DEFERRED TAXES</t>
  </si>
  <si>
    <t>Line of Insurance</t>
  </si>
  <si>
    <t>premium with cc (1)</t>
  </si>
  <si>
    <t>General Liability</t>
  </si>
  <si>
    <t>Directors &amp; Officers Liability</t>
  </si>
  <si>
    <t>Property</t>
  </si>
  <si>
    <t>5-Year Average</t>
  </si>
  <si>
    <t>Avista Utilities</t>
  </si>
  <si>
    <t>Washington Jurisdiction</t>
  </si>
  <si>
    <t>Proforma Insurance Adjustment</t>
  </si>
  <si>
    <t>2017 Amount</t>
  </si>
  <si>
    <t>2018 Amount</t>
  </si>
  <si>
    <t>Adjusted Test period Expense 12 ME 09.30.15</t>
  </si>
  <si>
    <t>12 ME 12.31.2017</t>
  </si>
  <si>
    <t>2017 Projected Insurance Expense (@ 90% D &amp; O)</t>
  </si>
  <si>
    <t>12 ME 12.31.2018</t>
  </si>
  <si>
    <t>Adjustment - System</t>
  </si>
  <si>
    <t>Adjust Insurance to 2017 Pro Forma</t>
  </si>
  <si>
    <t>Adjust Insurance to 06.2018 Pro Forma</t>
  </si>
  <si>
    <t xml:space="preserve">Total Adjustment </t>
  </si>
  <si>
    <t>Jan-Jun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</si>
  <si>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</si>
  <si>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</si>
  <si>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</si>
  <si>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</si>
  <si>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</si>
  <si>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</si>
  <si>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</si>
  <si>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Electric</t>
  </si>
  <si>
    <t>FERC 925</t>
  </si>
  <si>
    <t>FERC 924</t>
  </si>
  <si>
    <t>Gas</t>
  </si>
  <si>
    <t>Estimated Insurance Costs for GL, D&amp;O,and Property Lines 2015-18 (1)</t>
  </si>
  <si>
    <t>TOTAL COSTS</t>
  </si>
  <si>
    <t>Test Period Insurance Expense</t>
  </si>
  <si>
    <t>12ME 09.30.2015</t>
  </si>
  <si>
    <r>
      <rPr>
        <b/>
        <sz val="9"/>
        <color rgb="FFFF0000"/>
        <rFont val="Arial"/>
        <family val="2"/>
      </rPr>
      <t>2017</t>
    </r>
    <r>
      <rPr>
        <b/>
        <sz val="9"/>
        <rFont val="Arial"/>
        <family val="2"/>
      </rPr>
      <t xml:space="preserve"> 12me 12/31/17 - Projected</t>
    </r>
  </si>
  <si>
    <r>
      <rPr>
        <b/>
        <sz val="9"/>
        <color rgb="FFFF0000"/>
        <rFont val="Arial"/>
        <family val="2"/>
      </rPr>
      <t>2018</t>
    </r>
    <r>
      <rPr>
        <b/>
        <sz val="9"/>
        <rFont val="Arial"/>
        <family val="2"/>
      </rPr>
      <t xml:space="preserve"> 12me 12/31/18 - Projected</t>
    </r>
  </si>
  <si>
    <t>Actual Cost</t>
  </si>
  <si>
    <t>amount</t>
  </si>
  <si>
    <t>basis</t>
  </si>
  <si>
    <t>Actual</t>
  </si>
  <si>
    <t>estimated</t>
  </si>
  <si>
    <t>TOTAL INSURANCE COSTS</t>
  </si>
  <si>
    <t>G-IA-1</t>
  </si>
  <si>
    <t>Less 10% D &amp; O</t>
  </si>
  <si>
    <t>Adjusted for 10% D &amp; O Removal</t>
  </si>
  <si>
    <t xml:space="preserve"> </t>
  </si>
  <si>
    <t>Notes:</t>
  </si>
  <si>
    <t>(1)  Actual costs are net of any continuity credits received and reflect the allocated portion of total premium to the utility.</t>
  </si>
  <si>
    <t>(Adjustment 4.06)</t>
  </si>
  <si>
    <t>For the Twelve Months ended June 30, 2013</t>
  </si>
  <si>
    <t>Test Period Expense:</t>
  </si>
  <si>
    <t>Amount</t>
  </si>
  <si>
    <t>IA-2</t>
  </si>
  <si>
    <t>2015 Projected Insurance Expense</t>
  </si>
  <si>
    <t>Adjust Insurance to 2014 Pro Forma</t>
  </si>
  <si>
    <t>Remove 10% D&amp;O</t>
  </si>
  <si>
    <t>Net Adjustment</t>
  </si>
  <si>
    <t>Estimated Insurance Costs for GL, D&amp;O,and Property Lines 2014-15 (1)</t>
  </si>
  <si>
    <t>as of</t>
  </si>
  <si>
    <t>12ME062013</t>
  </si>
  <si>
    <t>2014 Projected</t>
  </si>
  <si>
    <t>2015 Projected</t>
  </si>
  <si>
    <t>invoiced</t>
  </si>
  <si>
    <t>IA-3</t>
  </si>
  <si>
    <t>IA-4</t>
  </si>
  <si>
    <t>invoice; estimate for month of 12/13</t>
  </si>
  <si>
    <t>IA-5</t>
  </si>
  <si>
    <t>IA-1</t>
  </si>
  <si>
    <t>(2)  For additional support, please see electronic file.</t>
  </si>
  <si>
    <t>For the Twelve Months ended September 30, 2014</t>
  </si>
  <si>
    <t>2016 Projected Insurance Expense</t>
  </si>
  <si>
    <t>E - Note 7</t>
  </si>
  <si>
    <t>(Results of Operation E-ALL-12A, pg. 2)</t>
  </si>
  <si>
    <t>E - Note 4</t>
  </si>
  <si>
    <t>(Results of Operation E-ALL-12A, pg. 1)</t>
  </si>
  <si>
    <t>G - Note 4</t>
  </si>
  <si>
    <t>(Results of Operation G-ALL-12A, pg. 1)</t>
  </si>
  <si>
    <t xml:space="preserve">as of </t>
  </si>
  <si>
    <t>12ME093014</t>
  </si>
  <si>
    <t>2016 12me 12/31/16 - Projected</t>
  </si>
  <si>
    <t>2017 12me 12/31/17 - Projected</t>
  </si>
  <si>
    <t>Cross Check for 2017</t>
  </si>
  <si>
    <t>Cross Check for 2018</t>
  </si>
  <si>
    <t>(Adjustment 18.06)</t>
  </si>
  <si>
    <t>No pro forma  Adjustment</t>
  </si>
  <si>
    <t>Insurance Expense Analysis</t>
  </si>
  <si>
    <t>Pro Froma</t>
  </si>
  <si>
    <t xml:space="preserve"> Adjustment</t>
  </si>
  <si>
    <t>Cross Check</t>
  </si>
  <si>
    <t xml:space="preserve">Column M </t>
  </si>
  <si>
    <t>Column N</t>
  </si>
  <si>
    <t>Reference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</si>
</sst>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0.00000"/>
    <numFmt numFmtId="168" formatCode="&quot;$&quot;#,##0.00"/>
    <numFmt numFmtId="169" formatCode="0.000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8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3" fontId="17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41" fontId="3" fillId="0" borderId="0" xfId="2" applyNumberFormat="1" applyFont="1" applyFill="1"/>
    <xf numFmtId="41" fontId="3" fillId="0" borderId="0" xfId="2" applyNumberFormat="1" applyFont="1" applyFill="1" applyBorder="1"/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41" fontId="3" fillId="0" borderId="1" xfId="2" applyNumberFormat="1" applyFont="1" applyFill="1" applyBorder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6" applyNumberFormat="1" applyFont="1" applyAlignment="1">
      <alignment horizontal="center"/>
    </xf>
    <xf numFmtId="9" fontId="3" fillId="0" borderId="0" xfId="1" applyFont="1" applyFill="1"/>
    <xf numFmtId="3" fontId="3" fillId="0" borderId="0" xfId="6" applyNumberFormat="1" applyFont="1" applyAlignment="1">
      <alignment horizontal="center"/>
    </xf>
    <xf numFmtId="41" fontId="3" fillId="0" borderId="9" xfId="2" applyNumberFormat="1" applyFont="1" applyFill="1" applyBorder="1"/>
    <xf numFmtId="3" fontId="3" fillId="0" borderId="0" xfId="6" applyNumberFormat="1" applyFont="1" applyFill="1" applyAlignment="1">
      <alignment horizontal="center"/>
    </xf>
    <xf numFmtId="5" fontId="3" fillId="0" borderId="0" xfId="2" applyNumberFormat="1" applyFont="1" applyFill="1" applyBorder="1"/>
    <xf numFmtId="41" fontId="3" fillId="0" borderId="0" xfId="2" applyNumberFormat="1" applyFont="1" applyBorder="1"/>
    <xf numFmtId="41" fontId="3" fillId="0" borderId="1" xfId="2" applyNumberFormat="1" applyFont="1" applyBorder="1"/>
    <xf numFmtId="41" fontId="3" fillId="0" borderId="10" xfId="2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NumberFormat="1" applyFont="1" applyBorder="1" applyAlignment="1">
      <alignment horizontal="center"/>
    </xf>
    <xf numFmtId="0" fontId="3" fillId="0" borderId="0" xfId="2" applyFont="1" applyBorder="1"/>
    <xf numFmtId="3" fontId="3" fillId="0" borderId="0" xfId="3" applyNumberFormat="1" applyFont="1" applyFill="1"/>
    <xf numFmtId="0" fontId="3" fillId="0" borderId="0" xfId="3" applyNumberFormat="1" applyFont="1" applyAlignment="1">
      <alignment horizontal="center"/>
    </xf>
    <xf numFmtId="0" fontId="3" fillId="0" borderId="0" xfId="3" applyFont="1"/>
    <xf numFmtId="5" fontId="3" fillId="0" borderId="0" xfId="3" applyNumberFormat="1" applyFont="1"/>
    <xf numFmtId="42" fontId="3" fillId="0" borderId="0" xfId="4" applyNumberFormat="1" applyFont="1" applyFill="1"/>
    <xf numFmtId="37" fontId="3" fillId="0" borderId="0" xfId="3" applyNumberFormat="1" applyFont="1"/>
    <xf numFmtId="41" fontId="3" fillId="0" borderId="0" xfId="4" applyNumberFormat="1" applyFont="1" applyFill="1"/>
    <xf numFmtId="41" fontId="3" fillId="0" borderId="1" xfId="4" applyNumberFormat="1" applyFont="1" applyFill="1" applyBorder="1"/>
    <xf numFmtId="41" fontId="3" fillId="0" borderId="0" xfId="3" applyNumberFormat="1" applyFont="1" applyFill="1"/>
    <xf numFmtId="0" fontId="3" fillId="0" borderId="0" xfId="3" applyNumberFormat="1" applyFont="1" applyFill="1" applyAlignment="1">
      <alignment horizontal="center"/>
    </xf>
    <xf numFmtId="0" fontId="3" fillId="0" borderId="0" xfId="0" applyFont="1"/>
    <xf numFmtId="41" fontId="3" fillId="0" borderId="1" xfId="3" applyNumberFormat="1" applyFont="1" applyFill="1" applyBorder="1"/>
    <xf numFmtId="42" fontId="3" fillId="0" borderId="9" xfId="3" applyNumberFormat="1" applyFont="1" applyFill="1" applyBorder="1"/>
    <xf numFmtId="41" fontId="3" fillId="0" borderId="10" xfId="3" applyNumberFormat="1" applyFont="1" applyFill="1" applyBorder="1"/>
    <xf numFmtId="41" fontId="3" fillId="0" borderId="0" xfId="3" applyNumberFormat="1" applyFont="1" applyFill="1" applyBorder="1"/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Border="1"/>
    <xf numFmtId="41" fontId="3" fillId="0" borderId="0" xfId="4" applyNumberFormat="1" applyFont="1" applyFill="1" applyBorder="1"/>
    <xf numFmtId="42" fontId="4" fillId="0" borderId="9" xfId="3" applyNumberFormat="1" applyFont="1" applyFill="1" applyBorder="1"/>
    <xf numFmtId="3" fontId="3" fillId="0" borderId="0" xfId="2" applyNumberFormat="1" applyFont="1" applyFill="1"/>
    <xf numFmtId="3" fontId="3" fillId="0" borderId="0" xfId="2" applyNumberFormat="1" applyFont="1" applyFill="1" applyBorder="1"/>
    <xf numFmtId="3" fontId="3" fillId="0" borderId="0" xfId="3" applyNumberFormat="1" applyFont="1" applyFill="1" applyBorder="1"/>
    <xf numFmtId="0" fontId="1" fillId="0" borderId="0" xfId="7"/>
    <xf numFmtId="10" fontId="7" fillId="0" borderId="0" xfId="9" applyNumberFormat="1" applyFont="1"/>
    <xf numFmtId="10" fontId="0" fillId="0" borderId="0" xfId="9" applyNumberFormat="1" applyFont="1"/>
    <xf numFmtId="164" fontId="0" fillId="0" borderId="0" xfId="8" applyNumberFormat="1" applyFont="1" applyFill="1"/>
    <xf numFmtId="164" fontId="0" fillId="0" borderId="0" xfId="8" applyNumberFormat="1" applyFont="1"/>
    <xf numFmtId="164" fontId="1" fillId="0" borderId="0" xfId="7" applyNumberFormat="1"/>
    <xf numFmtId="0" fontId="8" fillId="0" borderId="0" xfId="7" applyFont="1"/>
    <xf numFmtId="0" fontId="0" fillId="0" borderId="0" xfId="0" applyBorder="1"/>
    <xf numFmtId="0" fontId="3" fillId="0" borderId="0" xfId="3" applyFont="1" applyFill="1"/>
    <xf numFmtId="0" fontId="3" fillId="0" borderId="0" xfId="2" applyNumberFormat="1" applyFont="1" applyFill="1" applyAlignment="1">
      <alignment horizontal="center"/>
    </xf>
    <xf numFmtId="0" fontId="3" fillId="0" borderId="0" xfId="2" applyFont="1" applyFill="1"/>
    <xf numFmtId="0" fontId="9" fillId="0" borderId="14" xfId="2" applyNumberFormat="1" applyFont="1" applyBorder="1" applyAlignment="1">
      <alignment horizontal="center"/>
    </xf>
    <xf numFmtId="0" fontId="9" fillId="0" borderId="15" xfId="2" applyNumberFormat="1" applyFont="1" applyBorder="1" applyAlignment="1">
      <alignment horizontal="center"/>
    </xf>
    <xf numFmtId="0" fontId="9" fillId="0" borderId="16" xfId="2" applyNumberFormat="1" applyFont="1" applyBorder="1" applyAlignment="1">
      <alignment horizontal="center"/>
    </xf>
    <xf numFmtId="41" fontId="3" fillId="0" borderId="0" xfId="2" applyNumberFormat="1" applyFont="1"/>
    <xf numFmtId="0" fontId="3" fillId="0" borderId="0" xfId="3" applyFont="1" applyBorder="1"/>
    <xf numFmtId="5" fontId="3" fillId="0" borderId="9" xfId="2" applyNumberFormat="1" applyFont="1" applyFill="1" applyBorder="1"/>
    <xf numFmtId="41" fontId="3" fillId="0" borderId="0" xfId="1" applyNumberFormat="1" applyFont="1" applyFill="1"/>
    <xf numFmtId="42" fontId="3" fillId="0" borderId="0" xfId="3" applyNumberFormat="1" applyFont="1" applyFill="1" applyBorder="1"/>
    <xf numFmtId="42" fontId="3" fillId="0" borderId="0" xfId="4" applyNumberFormat="1" applyFont="1" applyFill="1" applyBorder="1"/>
    <xf numFmtId="42" fontId="4" fillId="0" borderId="0" xfId="3" applyNumberFormat="1" applyFont="1" applyFill="1" applyBorder="1"/>
    <xf numFmtId="0" fontId="3" fillId="0" borderId="0" xfId="2" applyFont="1" applyAlignment="1">
      <alignment vertical="top"/>
    </xf>
    <xf numFmtId="0" fontId="4" fillId="0" borderId="0" xfId="3" applyNumberFormat="1" applyFont="1" applyAlignment="1">
      <alignment horizontal="center"/>
    </xf>
    <xf numFmtId="5" fontId="4" fillId="0" borderId="0" xfId="3" applyNumberFormat="1" applyFont="1"/>
    <xf numFmtId="0" fontId="3" fillId="0" borderId="0" xfId="3" applyNumberFormat="1" applyFont="1" applyFill="1" applyAlignment="1">
      <alignment horizontal="left"/>
    </xf>
    <xf numFmtId="0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0" fontId="3" fillId="0" borderId="0" xfId="2" applyFont="1" applyFill="1" applyBorder="1" applyAlignment="1">
      <alignment horizontal="right"/>
    </xf>
    <xf numFmtId="164" fontId="10" fillId="2" borderId="0" xfId="8" applyNumberFormat="1" applyFont="1" applyFill="1" applyBorder="1"/>
    <xf numFmtId="37" fontId="10" fillId="0" borderId="0" xfId="3" applyNumberFormat="1" applyFont="1" applyBorder="1"/>
    <xf numFmtId="0" fontId="10" fillId="0" borderId="0" xfId="0" applyFont="1"/>
    <xf numFmtId="41" fontId="10" fillId="0" borderId="0" xfId="4" applyNumberFormat="1" applyFont="1" applyFill="1"/>
    <xf numFmtId="37" fontId="10" fillId="0" borderId="0" xfId="2" applyNumberFormat="1" applyFont="1"/>
    <xf numFmtId="164" fontId="10" fillId="3" borderId="0" xfId="8" applyNumberFormat="1" applyFont="1" applyFill="1" applyBorder="1"/>
    <xf numFmtId="0" fontId="10" fillId="0" borderId="0" xfId="0" applyFont="1" applyBorder="1"/>
    <xf numFmtId="41" fontId="10" fillId="0" borderId="0" xfId="2" applyNumberFormat="1" applyFont="1" applyFill="1" applyBorder="1"/>
    <xf numFmtId="3" fontId="10" fillId="3" borderId="0" xfId="7" applyNumberFormat="1" applyFont="1" applyFill="1" applyBorder="1"/>
    <xf numFmtId="164" fontId="10" fillId="0" borderId="22" xfId="8" applyNumberFormat="1" applyFont="1" applyFill="1" applyBorder="1"/>
    <xf numFmtId="164" fontId="10" fillId="0" borderId="22" xfId="7" applyNumberFormat="1" applyFont="1" applyBorder="1"/>
    <xf numFmtId="0" fontId="6" fillId="0" borderId="0" xfId="0" applyFont="1" applyBorder="1"/>
    <xf numFmtId="0" fontId="10" fillId="0" borderId="0" xfId="7" applyFont="1" applyBorder="1"/>
    <xf numFmtId="0" fontId="10" fillId="0" borderId="21" xfId="7" applyFont="1" applyBorder="1"/>
    <xf numFmtId="164" fontId="10" fillId="0" borderId="0" xfId="7" applyNumberFormat="1" applyFont="1" applyBorder="1"/>
    <xf numFmtId="3" fontId="10" fillId="0" borderId="0" xfId="7" applyNumberFormat="1" applyFont="1" applyBorder="1"/>
    <xf numFmtId="164" fontId="10" fillId="0" borderId="21" xfId="7" applyNumberFormat="1" applyFont="1" applyBorder="1"/>
    <xf numFmtId="0" fontId="6" fillId="0" borderId="0" xfId="0" applyFont="1" applyFill="1" applyBorder="1"/>
    <xf numFmtId="164" fontId="9" fillId="0" borderId="0" xfId="9" applyNumberFormat="1" applyFont="1" applyFill="1" applyBorder="1"/>
    <xf numFmtId="3" fontId="9" fillId="0" borderId="21" xfId="8" applyNumberFormat="1" applyFont="1" applyBorder="1"/>
    <xf numFmtId="10" fontId="9" fillId="0" borderId="0" xfId="9" applyNumberFormat="1" applyFont="1" applyFill="1" applyBorder="1"/>
    <xf numFmtId="3" fontId="9" fillId="0" borderId="21" xfId="9" applyNumberFormat="1" applyFont="1" applyBorder="1"/>
    <xf numFmtId="37" fontId="9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7" fontId="9" fillId="0" borderId="0" xfId="0" applyNumberFormat="1" applyFont="1" applyBorder="1"/>
    <xf numFmtId="41" fontId="9" fillId="0" borderId="0" xfId="0" applyNumberFormat="1" applyFont="1" applyBorder="1"/>
    <xf numFmtId="1" fontId="10" fillId="0" borderId="0" xfId="7" applyNumberFormat="1" applyFont="1" applyBorder="1" applyAlignment="1">
      <alignment horizontal="center"/>
    </xf>
    <xf numFmtId="0" fontId="11" fillId="0" borderId="0" xfId="3" applyFont="1"/>
    <xf numFmtId="3" fontId="11" fillId="0" borderId="0" xfId="3" applyNumberFormat="1" applyFont="1" applyFill="1"/>
    <xf numFmtId="37" fontId="11" fillId="0" borderId="0" xfId="3" applyNumberFormat="1" applyFont="1" applyBorder="1"/>
    <xf numFmtId="41" fontId="11" fillId="0" borderId="0" xfId="3" applyNumberFormat="1" applyFont="1" applyFill="1" applyBorder="1"/>
    <xf numFmtId="2" fontId="12" fillId="0" borderId="0" xfId="2" applyNumberFormat="1" applyFont="1" applyAlignment="1">
      <alignment horizontal="center"/>
    </xf>
    <xf numFmtId="37" fontId="11" fillId="0" borderId="0" xfId="2" applyNumberFormat="1" applyFont="1"/>
    <xf numFmtId="0" fontId="6" fillId="0" borderId="0" xfId="0" applyFont="1"/>
    <xf numFmtId="2" fontId="12" fillId="0" borderId="0" xfId="5" applyNumberFormat="1" applyFont="1" applyFill="1" applyBorder="1" applyAlignment="1" applyProtection="1">
      <alignment horizontal="center"/>
    </xf>
    <xf numFmtId="41" fontId="11" fillId="0" borderId="0" xfId="2" applyNumberFormat="1" applyFont="1" applyFill="1" applyBorder="1"/>
    <xf numFmtId="0" fontId="13" fillId="0" borderId="0" xfId="7" applyFont="1"/>
    <xf numFmtId="0" fontId="10" fillId="0" borderId="0" xfId="7" applyFont="1"/>
    <xf numFmtId="0" fontId="6" fillId="0" borderId="0" xfId="2" applyNumberFormat="1" applyFont="1" applyAlignment="1">
      <alignment horizontal="left"/>
    </xf>
    <xf numFmtId="0" fontId="6" fillId="0" borderId="17" xfId="0" applyFont="1" applyBorder="1"/>
    <xf numFmtId="14" fontId="6" fillId="0" borderId="18" xfId="0" applyNumberFormat="1" applyFont="1" applyBorder="1"/>
    <xf numFmtId="0" fontId="6" fillId="0" borderId="18" xfId="0" applyFont="1" applyBorder="1"/>
    <xf numFmtId="0" fontId="10" fillId="0" borderId="18" xfId="7" applyFont="1" applyBorder="1"/>
    <xf numFmtId="0" fontId="10" fillId="0" borderId="19" xfId="7" applyFont="1" applyBorder="1"/>
    <xf numFmtId="0" fontId="6" fillId="0" borderId="20" xfId="0" applyFont="1" applyBorder="1"/>
    <xf numFmtId="14" fontId="6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24" xfId="7" applyFont="1" applyFill="1" applyBorder="1"/>
    <xf numFmtId="14" fontId="14" fillId="0" borderId="22" xfId="0" applyNumberFormat="1" applyFont="1" applyBorder="1" applyAlignment="1">
      <alignment horizontal="center"/>
    </xf>
    <xf numFmtId="14" fontId="10" fillId="0" borderId="22" xfId="7" applyNumberFormat="1" applyFont="1" applyFill="1" applyBorder="1"/>
    <xf numFmtId="0" fontId="14" fillId="0" borderId="22" xfId="0" applyFont="1" applyBorder="1" applyAlignment="1">
      <alignment horizontal="center"/>
    </xf>
    <xf numFmtId="164" fontId="6" fillId="0" borderId="22" xfId="8" applyNumberFormat="1" applyFont="1" applyFill="1" applyBorder="1"/>
    <xf numFmtId="0" fontId="10" fillId="0" borderId="22" xfId="7" applyFont="1" applyFill="1" applyBorder="1"/>
    <xf numFmtId="0" fontId="14" fillId="0" borderId="23" xfId="0" applyFont="1" applyBorder="1" applyAlignment="1">
      <alignment horizontal="center"/>
    </xf>
    <xf numFmtId="0" fontId="10" fillId="0" borderId="20" xfId="7" applyFont="1" applyBorder="1"/>
    <xf numFmtId="0" fontId="10" fillId="0" borderId="0" xfId="7" applyFont="1" applyFill="1" applyBorder="1"/>
    <xf numFmtId="14" fontId="10" fillId="0" borderId="0" xfId="7" applyNumberFormat="1" applyFont="1" applyBorder="1"/>
    <xf numFmtId="164" fontId="6" fillId="0" borderId="0" xfId="8" applyNumberFormat="1" applyFont="1" applyFill="1" applyBorder="1"/>
    <xf numFmtId="164" fontId="6" fillId="0" borderId="0" xfId="8" applyNumberFormat="1" applyFont="1" applyBorder="1"/>
    <xf numFmtId="14" fontId="10" fillId="0" borderId="0" xfId="7" applyNumberFormat="1" applyFont="1" applyFill="1" applyBorder="1"/>
    <xf numFmtId="0" fontId="10" fillId="0" borderId="0" xfId="7" applyNumberFormat="1" applyFont="1" applyFill="1" applyBorder="1" applyAlignment="1">
      <alignment horizontal="center"/>
    </xf>
    <xf numFmtId="0" fontId="10" fillId="0" borderId="0" xfId="7" applyNumberFormat="1" applyFont="1" applyBorder="1" applyAlignment="1">
      <alignment horizontal="center"/>
    </xf>
    <xf numFmtId="164" fontId="6" fillId="0" borderId="0" xfId="8" applyNumberFormat="1" applyFont="1" applyBorder="1" applyAlignment="1">
      <alignment horizontal="center"/>
    </xf>
    <xf numFmtId="0" fontId="10" fillId="0" borderId="24" xfId="7" applyFont="1" applyBorder="1"/>
    <xf numFmtId="0" fontId="10" fillId="0" borderId="22" xfId="7" applyFont="1" applyBorder="1"/>
    <xf numFmtId="0" fontId="10" fillId="0" borderId="23" xfId="7" applyFont="1" applyBorder="1"/>
    <xf numFmtId="0" fontId="11" fillId="0" borderId="0" xfId="3" applyNumberFormat="1" applyFont="1" applyAlignment="1">
      <alignment horizontal="center"/>
    </xf>
    <xf numFmtId="3" fontId="11" fillId="0" borderId="0" xfId="3" applyNumberFormat="1" applyFont="1" applyFill="1" applyBorder="1"/>
    <xf numFmtId="0" fontId="11" fillId="0" borderId="0" xfId="3" applyNumberFormat="1" applyFont="1" applyAlignment="1">
      <alignment horizontal="left"/>
    </xf>
    <xf numFmtId="3" fontId="12" fillId="0" borderId="0" xfId="3" applyNumberFormat="1" applyFont="1" applyFill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3" fontId="15" fillId="0" borderId="0" xfId="0" applyNumberFormat="1" applyFont="1" applyFill="1" applyAlignment="1"/>
    <xf numFmtId="0" fontId="12" fillId="0" borderId="2" xfId="3" applyNumberFormat="1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1" fillId="0" borderId="11" xfId="3" applyFont="1" applyBorder="1"/>
    <xf numFmtId="3" fontId="12" fillId="0" borderId="2" xfId="3" applyNumberFormat="1" applyFont="1" applyFill="1" applyBorder="1" applyAlignment="1">
      <alignment horizontal="center"/>
    </xf>
    <xf numFmtId="0" fontId="12" fillId="0" borderId="5" xfId="3" applyNumberFormat="1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1" fillId="0" borderId="12" xfId="3" applyFont="1" applyBorder="1"/>
    <xf numFmtId="3" fontId="12" fillId="0" borderId="5" xfId="3" applyNumberFormat="1" applyFont="1" applyFill="1" applyBorder="1" applyAlignment="1">
      <alignment horizontal="center"/>
    </xf>
    <xf numFmtId="0" fontId="12" fillId="0" borderId="7" xfId="3" applyNumberFormat="1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13" xfId="3" applyFont="1" applyBorder="1" applyAlignment="1">
      <alignment horizontal="center"/>
    </xf>
    <xf numFmtId="3" fontId="12" fillId="0" borderId="7" xfId="3" applyNumberFormat="1" applyFont="1" applyFill="1" applyBorder="1" applyAlignment="1">
      <alignment horizontal="center"/>
    </xf>
    <xf numFmtId="0" fontId="11" fillId="0" borderId="0" xfId="3" applyFont="1" applyAlignment="1">
      <alignment horizontal="left"/>
    </xf>
    <xf numFmtId="4" fontId="12" fillId="0" borderId="0" xfId="3" applyNumberFormat="1" applyFont="1" applyFill="1" applyBorder="1" applyAlignment="1">
      <alignment horizontal="center"/>
    </xf>
    <xf numFmtId="41" fontId="11" fillId="0" borderId="0" xfId="4" applyNumberFormat="1" applyFont="1" applyFill="1" applyBorder="1"/>
    <xf numFmtId="5" fontId="11" fillId="0" borderId="0" xfId="3" applyNumberFormat="1" applyFont="1"/>
    <xf numFmtId="42" fontId="11" fillId="0" borderId="0" xfId="4" applyNumberFormat="1" applyFont="1" applyFill="1"/>
    <xf numFmtId="37" fontId="11" fillId="0" borderId="0" xfId="3" applyNumberFormat="1" applyFont="1"/>
    <xf numFmtId="41" fontId="11" fillId="0" borderId="0" xfId="4" applyNumberFormat="1" applyFont="1" applyFill="1"/>
    <xf numFmtId="41" fontId="11" fillId="0" borderId="1" xfId="4" applyNumberFormat="1" applyFont="1" applyFill="1" applyBorder="1"/>
    <xf numFmtId="41" fontId="11" fillId="0" borderId="0" xfId="3" applyNumberFormat="1" applyFont="1" applyFill="1"/>
    <xf numFmtId="0" fontId="11" fillId="0" borderId="0" xfId="2" applyNumberFormat="1" applyFont="1" applyAlignment="1">
      <alignment horizontal="center"/>
    </xf>
    <xf numFmtId="0" fontId="11" fillId="0" borderId="0" xfId="2" applyFont="1"/>
    <xf numFmtId="41" fontId="11" fillId="0" borderId="0" xfId="2" applyNumberFormat="1" applyFont="1" applyFill="1"/>
    <xf numFmtId="41" fontId="16" fillId="0" borderId="0" xfId="2" applyNumberFormat="1" applyFont="1" applyFill="1" applyBorder="1" applyAlignment="1"/>
    <xf numFmtId="0" fontId="11" fillId="0" borderId="0" xfId="2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NumberFormat="1" applyFont="1" applyAlignment="1">
      <alignment horizontal="center"/>
    </xf>
    <xf numFmtId="3" fontId="12" fillId="0" borderId="1" xfId="3" applyNumberFormat="1" applyFont="1" applyFill="1" applyBorder="1" applyAlignment="1">
      <alignment horizontal="center"/>
    </xf>
    <xf numFmtId="0" fontId="12" fillId="0" borderId="2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41" fontId="12" fillId="0" borderId="0" xfId="2" applyNumberFormat="1" applyFont="1" applyFill="1" applyBorder="1" applyAlignment="1">
      <alignment horizontal="center"/>
    </xf>
    <xf numFmtId="41" fontId="12" fillId="0" borderId="12" xfId="2" applyNumberFormat="1" applyFont="1" applyFill="1" applyBorder="1" applyAlignment="1">
      <alignment horizontal="center"/>
    </xf>
    <xf numFmtId="41" fontId="12" fillId="0" borderId="2" xfId="4" applyNumberFormat="1" applyFont="1" applyFill="1" applyBorder="1" applyAlignment="1">
      <alignment horizontal="center"/>
    </xf>
    <xf numFmtId="0" fontId="12" fillId="0" borderId="5" xfId="2" applyNumberFormat="1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41" fontId="11" fillId="0" borderId="0" xfId="2" applyNumberFormat="1" applyFont="1"/>
    <xf numFmtId="41" fontId="12" fillId="0" borderId="5" xfId="2" applyNumberFormat="1" applyFont="1" applyFill="1" applyBorder="1" applyAlignment="1">
      <alignment horizontal="center"/>
    </xf>
    <xf numFmtId="0" fontId="12" fillId="0" borderId="7" xfId="2" applyNumberFormat="1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41" fontId="12" fillId="0" borderId="7" xfId="2" applyNumberFormat="1" applyFont="1" applyFill="1" applyBorder="1" applyAlignment="1">
      <alignment horizontal="center"/>
    </xf>
    <xf numFmtId="2" fontId="11" fillId="0" borderId="0" xfId="2" applyNumberFormat="1" applyFont="1" applyAlignment="1">
      <alignment horizontal="left"/>
    </xf>
    <xf numFmtId="0" fontId="6" fillId="0" borderId="0" xfId="0" applyFont="1" applyFill="1"/>
    <xf numFmtId="2" fontId="12" fillId="0" borderId="0" xfId="5" applyNumberFormat="1" applyFont="1" applyFill="1" applyAlignment="1" applyProtection="1">
      <alignment horizontal="center"/>
    </xf>
    <xf numFmtId="41" fontId="11" fillId="0" borderId="0" xfId="2" applyNumberFormat="1" applyFont="1" applyBorder="1"/>
    <xf numFmtId="37" fontId="11" fillId="0" borderId="0" xfId="2" applyNumberFormat="1" applyFont="1" applyAlignment="1">
      <alignment horizontal="center"/>
    </xf>
    <xf numFmtId="5" fontId="11" fillId="0" borderId="0" xfId="2" applyNumberFormat="1" applyFont="1"/>
    <xf numFmtId="5" fontId="11" fillId="0" borderId="0" xfId="4" applyNumberFormat="1" applyFont="1" applyFill="1" applyBorder="1"/>
    <xf numFmtId="41" fontId="11" fillId="0" borderId="1" xfId="2" applyNumberFormat="1" applyFont="1" applyFill="1" applyBorder="1"/>
    <xf numFmtId="37" fontId="11" fillId="0" borderId="0" xfId="2" applyNumberFormat="1" applyFont="1" applyFill="1"/>
    <xf numFmtId="164" fontId="9" fillId="0" borderId="0" xfId="8" applyNumberFormat="1" applyFont="1" applyFill="1" applyBorder="1"/>
    <xf numFmtId="164" fontId="9" fillId="4" borderId="0" xfId="8" applyNumberFormat="1" applyFont="1" applyFill="1" applyBorder="1"/>
    <xf numFmtId="164" fontId="10" fillId="4" borderId="22" xfId="8" applyNumberFormat="1" applyFont="1" applyFill="1" applyBorder="1"/>
    <xf numFmtId="41" fontId="9" fillId="4" borderId="0" xfId="4" applyNumberFormat="1" applyFont="1" applyFill="1" applyBorder="1"/>
    <xf numFmtId="0" fontId="10" fillId="4" borderId="0" xfId="0" applyFont="1" applyFill="1" applyBorder="1"/>
    <xf numFmtId="41" fontId="9" fillId="4" borderId="0" xfId="2" applyNumberFormat="1" applyFont="1" applyFill="1" applyBorder="1"/>
    <xf numFmtId="5" fontId="9" fillId="0" borderId="0" xfId="3" applyNumberFormat="1" applyFont="1"/>
    <xf numFmtId="0" fontId="9" fillId="0" borderId="0" xfId="2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44" fontId="0" fillId="0" borderId="0" xfId="0" applyNumberFormat="1" applyBorder="1"/>
    <xf numFmtId="44" fontId="0" fillId="0" borderId="1" xfId="0" applyNumberFormat="1" applyBorder="1"/>
    <xf numFmtId="44" fontId="0" fillId="0" borderId="0" xfId="0" applyNumberFormat="1"/>
    <xf numFmtId="165" fontId="0" fillId="0" borderId="0" xfId="0" applyNumberFormat="1" applyBorder="1"/>
    <xf numFmtId="44" fontId="0" fillId="0" borderId="0" xfId="0" applyNumberFormat="1" applyFill="1" applyBorder="1"/>
    <xf numFmtId="0" fontId="15" fillId="0" borderId="0" xfId="10" applyFont="1" applyAlignment="1">
      <alignment wrapText="1"/>
    </xf>
    <xf numFmtId="0" fontId="19" fillId="0" borderId="0" xfId="11" applyFont="1"/>
    <xf numFmtId="0" fontId="20" fillId="0" borderId="0" xfId="11" applyFont="1"/>
    <xf numFmtId="0" fontId="20" fillId="0" borderId="0" xfId="11" applyFont="1" applyAlignment="1">
      <alignment horizontal="center"/>
    </xf>
    <xf numFmtId="0" fontId="19" fillId="0" borderId="0" xfId="11" applyFont="1" applyAlignment="1">
      <alignment horizontal="center"/>
    </xf>
    <xf numFmtId="0" fontId="20" fillId="0" borderId="0" xfId="11" applyFont="1" applyAlignment="1">
      <alignment vertical="center"/>
    </xf>
    <xf numFmtId="164" fontId="20" fillId="0" borderId="0" xfId="12" applyNumberFormat="1" applyFont="1"/>
    <xf numFmtId="164" fontId="19" fillId="0" borderId="0" xfId="12" applyNumberFormat="1" applyFont="1" applyAlignment="1">
      <alignment horizontal="center" vertical="center" wrapText="1"/>
    </xf>
    <xf numFmtId="166" fontId="19" fillId="0" borderId="0" xfId="13" applyNumberFormat="1" applyFont="1"/>
    <xf numFmtId="0" fontId="19" fillId="5" borderId="0" xfId="11" applyFont="1" applyFill="1"/>
    <xf numFmtId="164" fontId="19" fillId="0" borderId="0" xfId="12" applyNumberFormat="1" applyFont="1" applyAlignment="1">
      <alignment horizontal="center" wrapText="1"/>
    </xf>
    <xf numFmtId="166" fontId="19" fillId="0" borderId="0" xfId="11" applyNumberFormat="1" applyFont="1"/>
    <xf numFmtId="44" fontId="19" fillId="0" borderId="0" xfId="11" applyNumberFormat="1" applyFont="1"/>
    <xf numFmtId="164" fontId="19" fillId="0" borderId="0" xfId="12" applyNumberFormat="1" applyFont="1"/>
    <xf numFmtId="166" fontId="19" fillId="0" borderId="0" xfId="13" applyNumberFormat="1" applyFont="1" applyBorder="1"/>
    <xf numFmtId="166" fontId="19" fillId="0" borderId="22" xfId="13" applyNumberFormat="1" applyFont="1" applyBorder="1"/>
    <xf numFmtId="0" fontId="21" fillId="0" borderId="0" xfId="11" applyFont="1" applyAlignment="1">
      <alignment wrapText="1"/>
    </xf>
    <xf numFmtId="0" fontId="19" fillId="0" borderId="0" xfId="11" applyFont="1" applyAlignment="1">
      <alignment horizontal="center" wrapText="1"/>
    </xf>
    <xf numFmtId="0" fontId="19" fillId="0" borderId="22" xfId="11" applyFont="1" applyBorder="1" applyAlignment="1">
      <alignment horizontal="center" wrapText="1"/>
    </xf>
    <xf numFmtId="0" fontId="21" fillId="5" borderId="0" xfId="11" applyFont="1" applyFill="1" applyAlignment="1">
      <alignment wrapText="1"/>
    </xf>
    <xf numFmtId="9" fontId="11" fillId="0" borderId="0" xfId="12" applyNumberFormat="1" applyFont="1" applyBorder="1"/>
    <xf numFmtId="0" fontId="11" fillId="0" borderId="0" xfId="0" applyFont="1" applyBorder="1"/>
    <xf numFmtId="0" fontId="21" fillId="0" borderId="0" xfId="11" applyFont="1" applyAlignment="1">
      <alignment horizontal="right"/>
    </xf>
    <xf numFmtId="0" fontId="21" fillId="0" borderId="0" xfId="11" applyFont="1"/>
    <xf numFmtId="0" fontId="21" fillId="5" borderId="0" xfId="11" applyFont="1" applyFill="1"/>
    <xf numFmtId="164" fontId="11" fillId="0" borderId="0" xfId="12" applyNumberFormat="1" applyFont="1" applyBorder="1"/>
    <xf numFmtId="0" fontId="22" fillId="0" borderId="0" xfId="11" applyFont="1" applyAlignment="1">
      <alignment horizontal="right"/>
    </xf>
    <xf numFmtId="0" fontId="21" fillId="6" borderId="0" xfId="11" applyFont="1" applyFill="1" applyAlignment="1">
      <alignment horizontal="right"/>
    </xf>
    <xf numFmtId="167" fontId="21" fillId="6" borderId="0" xfId="11" applyNumberFormat="1" applyFont="1" applyFill="1" applyAlignment="1">
      <alignment horizontal="right"/>
    </xf>
    <xf numFmtId="166" fontId="21" fillId="0" borderId="9" xfId="13" applyNumberFormat="1" applyFont="1" applyBorder="1"/>
    <xf numFmtId="0" fontId="21" fillId="0" borderId="0" xfId="11" applyFont="1" applyBorder="1"/>
    <xf numFmtId="166" fontId="21" fillId="0" borderId="0" xfId="13" applyNumberFormat="1" applyFont="1" applyBorder="1"/>
    <xf numFmtId="0" fontId="22" fillId="0" borderId="0" xfId="11" applyFont="1" applyBorder="1" applyAlignment="1">
      <alignment horizontal="right"/>
    </xf>
    <xf numFmtId="0" fontId="21" fillId="5" borderId="0" xfId="11" applyFont="1" applyFill="1" applyBorder="1"/>
    <xf numFmtId="0" fontId="21" fillId="0" borderId="0" xfId="11" applyFont="1" applyBorder="1" applyAlignment="1">
      <alignment horizontal="right"/>
    </xf>
    <xf numFmtId="164" fontId="23" fillId="0" borderId="0" xfId="12" applyNumberFormat="1" applyFont="1" applyBorder="1"/>
    <xf numFmtId="164" fontId="23" fillId="0" borderId="0" xfId="12" applyNumberFormat="1" applyFont="1" applyBorder="1" applyAlignment="1">
      <alignment horizontal="center"/>
    </xf>
    <xf numFmtId="0" fontId="21" fillId="5" borderId="0" xfId="11" applyFont="1" applyFill="1" applyBorder="1" applyAlignment="1">
      <alignment horizontal="center"/>
    </xf>
    <xf numFmtId="0" fontId="21" fillId="0" borderId="0" xfId="11" applyFont="1" applyBorder="1" applyAlignment="1">
      <alignment horizontal="center"/>
    </xf>
    <xf numFmtId="9" fontId="21" fillId="0" borderId="0" xfId="11" applyNumberFormat="1" applyFont="1"/>
    <xf numFmtId="166" fontId="21" fillId="0" borderId="0" xfId="11" applyNumberFormat="1" applyFont="1"/>
    <xf numFmtId="166" fontId="21" fillId="0" borderId="25" xfId="13" applyNumberFormat="1" applyFont="1" applyBorder="1"/>
    <xf numFmtId="0" fontId="12" fillId="0" borderId="0" xfId="0" applyFont="1"/>
    <xf numFmtId="164" fontId="11" fillId="0" borderId="0" xfId="12" applyNumberFormat="1" applyFont="1"/>
    <xf numFmtId="0" fontId="11" fillId="0" borderId="0" xfId="0" applyFont="1"/>
    <xf numFmtId="164" fontId="12" fillId="0" borderId="0" xfId="12" applyNumberFormat="1" applyFont="1"/>
    <xf numFmtId="164" fontId="12" fillId="0" borderId="0" xfId="12" applyNumberFormat="1" applyFont="1" applyFill="1"/>
    <xf numFmtId="0" fontId="24" fillId="0" borderId="26" xfId="0" applyFont="1" applyFill="1" applyBorder="1"/>
    <xf numFmtId="14" fontId="24" fillId="0" borderId="27" xfId="12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164" fontId="11" fillId="0" borderId="28" xfId="12" applyNumberFormat="1" applyFont="1" applyBorder="1" applyAlignment="1">
      <alignment horizontal="center"/>
    </xf>
    <xf numFmtId="164" fontId="11" fillId="0" borderId="28" xfId="12" applyNumberFormat="1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center" wrapText="1"/>
    </xf>
    <xf numFmtId="0" fontId="11" fillId="0" borderId="0" xfId="0" quotePrefix="1" applyFont="1" applyBorder="1" applyAlignment="1">
      <alignment wrapText="1"/>
    </xf>
    <xf numFmtId="164" fontId="11" fillId="0" borderId="6" xfId="12" applyNumberFormat="1" applyFont="1" applyBorder="1"/>
    <xf numFmtId="164" fontId="11" fillId="0" borderId="12" xfId="12" applyNumberFormat="1" applyFont="1" applyFill="1" applyBorder="1"/>
    <xf numFmtId="0" fontId="11" fillId="0" borderId="6" xfId="0" applyFont="1" applyFill="1" applyBorder="1"/>
    <xf numFmtId="5" fontId="11" fillId="6" borderId="26" xfId="12" applyNumberFormat="1" applyFont="1" applyFill="1" applyBorder="1"/>
    <xf numFmtId="164" fontId="11" fillId="0" borderId="27" xfId="12" applyNumberFormat="1" applyFont="1" applyFill="1" applyBorder="1" applyAlignment="1">
      <alignment wrapText="1"/>
    </xf>
    <xf numFmtId="164" fontId="11" fillId="0" borderId="27" xfId="12" applyNumberFormat="1" applyFont="1" applyFill="1" applyBorder="1"/>
    <xf numFmtId="9" fontId="11" fillId="0" borderId="0" xfId="1" applyFont="1" applyBorder="1"/>
    <xf numFmtId="168" fontId="11" fillId="0" borderId="0" xfId="0" applyNumberFormat="1" applyFont="1" applyBorder="1"/>
    <xf numFmtId="10" fontId="11" fillId="0" borderId="0" xfId="0" applyNumberFormat="1" applyFont="1" applyBorder="1"/>
    <xf numFmtId="5" fontId="11" fillId="0" borderId="26" xfId="12" applyNumberFormat="1" applyFont="1" applyFill="1" applyBorder="1"/>
    <xf numFmtId="0" fontId="11" fillId="0" borderId="27" xfId="0" applyFont="1" applyFill="1" applyBorder="1"/>
    <xf numFmtId="164" fontId="11" fillId="6" borderId="26" xfId="12" applyNumberFormat="1" applyFont="1" applyFill="1" applyBorder="1"/>
    <xf numFmtId="164" fontId="11" fillId="0" borderId="13" xfId="12" applyNumberFormat="1" applyFont="1" applyFill="1" applyBorder="1"/>
    <xf numFmtId="164" fontId="26" fillId="0" borderId="8" xfId="12" applyNumberFormat="1" applyFont="1" applyBorder="1" applyAlignment="1">
      <alignment horizontal="center"/>
    </xf>
    <xf numFmtId="164" fontId="11" fillId="0" borderId="13" xfId="12" applyNumberFormat="1" applyFont="1" applyBorder="1"/>
    <xf numFmtId="164" fontId="26" fillId="0" borderId="1" xfId="12" applyNumberFormat="1" applyFont="1" applyBorder="1" applyAlignment="1">
      <alignment horizontal="center"/>
    </xf>
    <xf numFmtId="164" fontId="11" fillId="0" borderId="1" xfId="12" applyNumberFormat="1" applyFont="1" applyBorder="1"/>
    <xf numFmtId="164" fontId="11" fillId="0" borderId="27" xfId="12" applyNumberFormat="1" applyFont="1" applyBorder="1"/>
    <xf numFmtId="164" fontId="11" fillId="6" borderId="28" xfId="12" applyNumberFormat="1" applyFont="1" applyFill="1" applyBorder="1"/>
    <xf numFmtId="0" fontId="11" fillId="0" borderId="0" xfId="0" quotePrefix="1" applyFont="1"/>
    <xf numFmtId="5" fontId="11" fillId="0" borderId="0" xfId="0" applyNumberFormat="1" applyFont="1"/>
    <xf numFmtId="10" fontId="11" fillId="0" borderId="0" xfId="0" applyNumberFormat="1" applyFont="1"/>
    <xf numFmtId="164" fontId="27" fillId="0" borderId="0" xfId="12" applyNumberFormat="1" applyFont="1" applyAlignment="1">
      <alignment horizontal="right"/>
    </xf>
    <xf numFmtId="167" fontId="21" fillId="0" borderId="0" xfId="11" applyNumberFormat="1" applyFont="1" applyAlignment="1">
      <alignment horizontal="right"/>
    </xf>
    <xf numFmtId="166" fontId="21" fillId="0" borderId="29" xfId="13" applyNumberFormat="1" applyFont="1" applyBorder="1"/>
    <xf numFmtId="44" fontId="21" fillId="0" borderId="0" xfId="11" applyNumberFormat="1" applyFont="1"/>
    <xf numFmtId="44" fontId="21" fillId="0" borderId="10" xfId="11" applyNumberFormat="1" applyFont="1" applyBorder="1"/>
    <xf numFmtId="0" fontId="24" fillId="8" borderId="8" xfId="0" applyFont="1" applyFill="1" applyBorder="1"/>
    <xf numFmtId="14" fontId="24" fillId="8" borderId="13" xfId="12" applyNumberFormat="1" applyFont="1" applyFill="1" applyBorder="1"/>
    <xf numFmtId="14" fontId="24" fillId="0" borderId="0" xfId="12" applyNumberFormat="1" applyFont="1" applyFill="1" applyBorder="1"/>
    <xf numFmtId="1" fontId="12" fillId="0" borderId="26" xfId="12" applyNumberFormat="1" applyFont="1" applyBorder="1" applyAlignment="1">
      <alignment horizontal="center"/>
    </xf>
    <xf numFmtId="1" fontId="12" fillId="0" borderId="10" xfId="12" applyNumberFormat="1" applyFont="1" applyBorder="1" applyAlignment="1">
      <alignment horizontal="center"/>
    </xf>
    <xf numFmtId="1" fontId="12" fillId="0" borderId="27" xfId="12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5" fontId="11" fillId="0" borderId="10" xfId="12" applyNumberFormat="1" applyFont="1" applyBorder="1"/>
    <xf numFmtId="164" fontId="11" fillId="0" borderId="10" xfId="12" applyNumberFormat="1" applyFont="1" applyBorder="1"/>
    <xf numFmtId="5" fontId="11" fillId="0" borderId="10" xfId="12" applyNumberFormat="1" applyFont="1" applyFill="1" applyBorder="1"/>
    <xf numFmtId="9" fontId="11" fillId="0" borderId="0" xfId="14" applyFont="1" applyBorder="1"/>
    <xf numFmtId="0" fontId="26" fillId="0" borderId="0" xfId="0" applyFont="1" applyAlignment="1">
      <alignment horizontal="center"/>
    </xf>
    <xf numFmtId="164" fontId="11" fillId="0" borderId="10" xfId="12" applyNumberFormat="1" applyFont="1" applyBorder="1" applyAlignment="1">
      <alignment wrapText="1"/>
    </xf>
    <xf numFmtId="0" fontId="11" fillId="0" borderId="10" xfId="0" applyFont="1" applyBorder="1"/>
    <xf numFmtId="164" fontId="26" fillId="0" borderId="0" xfId="12" applyNumberFormat="1" applyFont="1" applyAlignment="1">
      <alignment horizontal="center"/>
    </xf>
    <xf numFmtId="9" fontId="11" fillId="0" borderId="0" xfId="14" applyFont="1"/>
    <xf numFmtId="169" fontId="6" fillId="0" borderId="0" xfId="15" applyNumberFormat="1" applyFont="1"/>
    <xf numFmtId="0" fontId="6" fillId="0" borderId="0" xfId="15" applyFont="1" applyAlignment="1">
      <alignment horizontal="center"/>
    </xf>
    <xf numFmtId="0" fontId="28" fillId="0" borderId="0" xfId="10" applyFont="1"/>
    <xf numFmtId="164" fontId="11" fillId="0" borderId="10" xfId="12" applyNumberFormat="1" applyFont="1" applyFill="1" applyBorder="1"/>
    <xf numFmtId="164" fontId="11" fillId="0" borderId="10" xfId="12" applyNumberFormat="1" applyFont="1" applyFill="1" applyBorder="1" applyAlignment="1">
      <alignment wrapText="1"/>
    </xf>
    <xf numFmtId="0" fontId="11" fillId="0" borderId="10" xfId="0" applyFont="1" applyFill="1" applyBorder="1"/>
    <xf numFmtId="164" fontId="11" fillId="0" borderId="0" xfId="12" applyNumberFormat="1" applyFont="1" applyFill="1"/>
    <xf numFmtId="0" fontId="11" fillId="0" borderId="0" xfId="0" applyFont="1" applyFill="1"/>
    <xf numFmtId="9" fontId="14" fillId="0" borderId="0" xfId="1" applyFont="1" applyBorder="1" applyAlignment="1">
      <alignment horizontal="center"/>
    </xf>
    <xf numFmtId="164" fontId="10" fillId="9" borderId="0" xfId="16" applyNumberFormat="1" applyFont="1" applyFill="1" applyBorder="1"/>
    <xf numFmtId="164" fontId="6" fillId="0" borderId="0" xfId="8" applyNumberFormat="1" applyFont="1" applyBorder="1" applyAlignment="1">
      <alignment horizontal="left"/>
    </xf>
    <xf numFmtId="0" fontId="15" fillId="0" borderId="0" xfId="1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 wrapText="1"/>
    </xf>
    <xf numFmtId="0" fontId="12" fillId="8" borderId="27" xfId="0" applyFont="1" applyFill="1" applyBorder="1" applyAlignment="1">
      <alignment horizontal="center" wrapText="1"/>
    </xf>
    <xf numFmtId="0" fontId="12" fillId="7" borderId="18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1" fontId="12" fillId="0" borderId="26" xfId="12" applyNumberFormat="1" applyFont="1" applyBorder="1" applyAlignment="1">
      <alignment horizontal="center" vertical="center" wrapText="1"/>
    </xf>
    <xf numFmtId="1" fontId="12" fillId="0" borderId="27" xfId="12" applyNumberFormat="1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</cellXfs>
  <cellStyles count="17">
    <cellStyle name="Comma" xfId="16" builtinId="3"/>
    <cellStyle name="Comma 2" xfId="8"/>
    <cellStyle name="Comma 3" xfId="12"/>
    <cellStyle name="Currency 2" xfId="13"/>
    <cellStyle name="Followed Hyperlink" xfId="5" builtinId="9"/>
    <cellStyle name="Normal" xfId="0" builtinId="0"/>
    <cellStyle name="Normal 2" xfId="7"/>
    <cellStyle name="Normal 2 2" xfId="10"/>
    <cellStyle name="Normal 2 2 3" xfId="15"/>
    <cellStyle name="Normal_DFIT-WaEle_SUM" xfId="6"/>
    <cellStyle name="Normal_IDGas6_97" xfId="4"/>
    <cellStyle name="Normal_Incent2007recon" xfId="11"/>
    <cellStyle name="Normal_WAElec6_97" xfId="2"/>
    <cellStyle name="Normal_WAGas6_97" xfId="3"/>
    <cellStyle name="Percent" xfId="1" builtinId="5"/>
    <cellStyle name="Percent 2" xfId="9"/>
    <cellStyle name="Percent 3" xfId="14"/>
  </cellStyles>
  <dxfs count="0"/>
  <tableStyles count="0" defaultTableStyle="TableStyleMedium2" defaultPivotStyle="PivotStyleLight16"/>
  <colors>
    <mruColors>
      <color rgb="FFCC9900"/>
      <color rgb="FFFF66FF"/>
      <color rgb="FFCC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76200</xdr:colOff>
      <xdr:row>37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55498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0802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0</xdr:colOff>
      <xdr:row>37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554980" y="653415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36</xdr:row>
      <xdr:rowOff>19050</xdr:rowOff>
    </xdr:from>
    <xdr:to>
      <xdr:col>8</xdr:col>
      <xdr:colOff>76200</xdr:colOff>
      <xdr:row>37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41604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815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3815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37</xdr:row>
      <xdr:rowOff>19050</xdr:rowOff>
    </xdr:from>
    <xdr:to>
      <xdr:col>6</xdr:col>
      <xdr:colOff>76200</xdr:colOff>
      <xdr:row>38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4770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19050</xdr:rowOff>
    </xdr:from>
    <xdr:to>
      <xdr:col>6</xdr:col>
      <xdr:colOff>76200</xdr:colOff>
      <xdr:row>43</xdr:row>
      <xdr:rowOff>28575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64770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2%20-2018%20WA%20Electric%20RR%20Model%209-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3%20-2018%20WA%20Natural%20Gas%20RR%20Model%209-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40188/Company%20Work%20Papers/3.%20UE__AVA%20WP's%20(Feb2014)/N.%20UE__Andrews%20Workpapers%20(AVA-Feb2014)/WP2-Pro%20Forma/Elect-PF/3.05%20PF-Insurance/2013%20PF%20Insurance%20Adj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50204/Company%20Work%20Papers/N.%20UE__Smith%20Workpapers%20(AVA-Feb2015)/PF-INSURANCE/2015%20WA%20Proforma%20Insurance%20Adjust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60228/Initial%20Filing/AVA160288/I.%20UE%20AVA%20Dir%20Evidence-(Feb16)/3.%20UE%20AVA%20WP's%20(Feb16)/L.%20UE%20%20Smith%20WP(AVA-Feb16)/Elec.%20WP's/CC-INSURANCE/2016%20WA%20PF%20Insurance%20A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N12">
            <v>2.63E-2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2.63E-2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</row>
        <row r="5">
          <cell r="A5" t="str">
            <v>TWELVE MONTHS ENDED DECEMBER 31, 2018</v>
          </cell>
        </row>
        <row r="6">
          <cell r="A6" t="str">
            <v xml:space="preserve">(000'S OF DOLLARS)   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IA-3"/>
      <sheetName val="IA-4"/>
      <sheetName val="IA-5"/>
      <sheetName val="2012 GL Actual"/>
      <sheetName val="2013 GL Actual"/>
      <sheetName val="2014 GL Est"/>
      <sheetName val="2012 D&amp;O Invoiced"/>
      <sheetName val="2013 D&amp;O Invoiced"/>
      <sheetName val="2014 D&amp;O Est"/>
      <sheetName val="2012 Property Premium"/>
      <sheetName val="2014 Prop Prem Est"/>
      <sheetName val="2015 Prop Prem Est"/>
      <sheetName val="2016 Prop Prem Est"/>
    </sheetNames>
    <sheetDataSet>
      <sheetData sheetId="0"/>
      <sheetData sheetId="1"/>
      <sheetData sheetId="2">
        <row r="17">
          <cell r="G17">
            <v>2690644.7425000006</v>
          </cell>
        </row>
      </sheetData>
      <sheetData sheetId="3">
        <row r="19">
          <cell r="G19">
            <v>1369277.1744867002</v>
          </cell>
        </row>
      </sheetData>
      <sheetData sheetId="4">
        <row r="7">
          <cell r="G7">
            <v>1520076.762947917</v>
          </cell>
        </row>
        <row r="14">
          <cell r="G14">
            <v>1516591.3578207009</v>
          </cell>
        </row>
        <row r="21">
          <cell r="G21">
            <v>1753420.6327318395</v>
          </cell>
        </row>
      </sheetData>
      <sheetData sheetId="5">
        <row r="16">
          <cell r="E16">
            <v>2089148.4749999999</v>
          </cell>
        </row>
      </sheetData>
      <sheetData sheetId="6">
        <row r="17">
          <cell r="E17">
            <v>2234724.9378499999</v>
          </cell>
        </row>
      </sheetData>
      <sheetData sheetId="7">
        <row r="17">
          <cell r="G17">
            <v>2446040.6749999998</v>
          </cell>
        </row>
      </sheetData>
      <sheetData sheetId="8">
        <row r="20">
          <cell r="E20">
            <v>970709.75999999989</v>
          </cell>
        </row>
      </sheetData>
      <sheetData sheetId="9">
        <row r="21">
          <cell r="E21">
            <v>1004681.3809999999</v>
          </cell>
        </row>
      </sheetData>
      <sheetData sheetId="10">
        <row r="19">
          <cell r="G19">
            <v>1155777.7141311998</v>
          </cell>
        </row>
      </sheetData>
      <sheetData sheetId="11">
        <row r="7">
          <cell r="B7">
            <v>1321432.070175</v>
          </cell>
          <cell r="E7">
            <v>1521920.0141250002</v>
          </cell>
          <cell r="G7">
            <v>1338457.2601604168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7 GL Est"/>
      <sheetName val="9 30 14 GL Calc for IA-2"/>
      <sheetName val="2014 GL Invoiced"/>
      <sheetName val="2013 GL Actual"/>
      <sheetName val="9 30 14  D &amp; O Calcs for IA-2"/>
      <sheetName val="2015-17 D&amp;O Est"/>
      <sheetName val="2014 D&amp;O Invoiced"/>
      <sheetName val="2013 D&amp;O Invoiced"/>
      <sheetName val="2014-16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</sheetNames>
    <sheetDataSet>
      <sheetData sheetId="0"/>
      <sheetData sheetId="1"/>
      <sheetData sheetId="2">
        <row r="32">
          <cell r="F32">
            <v>2806216.6423199996</v>
          </cell>
        </row>
        <row r="47">
          <cell r="F47">
            <v>2946527.4744360005</v>
          </cell>
        </row>
      </sheetData>
      <sheetData sheetId="3">
        <row r="8">
          <cell r="G8">
            <v>2303209.1619625003</v>
          </cell>
        </row>
      </sheetData>
      <sheetData sheetId="4"/>
      <sheetData sheetId="5"/>
      <sheetData sheetId="6">
        <row r="8">
          <cell r="G8">
            <v>1118003.5377499999</v>
          </cell>
        </row>
      </sheetData>
      <sheetData sheetId="7">
        <row r="42">
          <cell r="F42">
            <v>1201806.5959480002</v>
          </cell>
        </row>
        <row r="61">
          <cell r="F61">
            <v>1192987.2574480001</v>
          </cell>
        </row>
      </sheetData>
      <sheetData sheetId="8"/>
      <sheetData sheetId="9"/>
      <sheetData sheetId="10">
        <row r="8">
          <cell r="K8">
            <v>1496480.108125</v>
          </cell>
        </row>
        <row r="14">
          <cell r="K14">
            <v>1567627.9886531131</v>
          </cell>
        </row>
        <row r="20">
          <cell r="K20">
            <v>1678929.5758474844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8 GL Est"/>
      <sheetName val="2014 GL Invoiced"/>
      <sheetName val="2013 GL Actual"/>
      <sheetName val="2015-18 D&amp;O Est"/>
      <sheetName val="2014 D&amp;O Invoiced"/>
      <sheetName val="2013 D&amp;O Invoiced"/>
      <sheetName val="2014-18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  <sheetName val="2019 Prop Prem Est"/>
    </sheetNames>
    <sheetDataSet>
      <sheetData sheetId="0"/>
      <sheetData sheetId="1"/>
      <sheetData sheetId="2">
        <row r="31">
          <cell r="T31">
            <v>2443076.9591289749</v>
          </cell>
        </row>
        <row r="57">
          <cell r="V57">
            <v>2739192.2328445935</v>
          </cell>
        </row>
        <row r="71">
          <cell r="V71">
            <v>2882241.4245668231</v>
          </cell>
        </row>
      </sheetData>
      <sheetData sheetId="3"/>
      <sheetData sheetId="4"/>
      <sheetData sheetId="5">
        <row r="38">
          <cell r="X38">
            <v>1189189.5899499999</v>
          </cell>
        </row>
        <row r="107">
          <cell r="X107">
            <v>1099187.92172</v>
          </cell>
        </row>
        <row r="129">
          <cell r="X129">
            <v>1130076.9458215998</v>
          </cell>
        </row>
      </sheetData>
      <sheetData sheetId="6"/>
      <sheetData sheetId="7"/>
      <sheetData sheetId="8">
        <row r="36">
          <cell r="N36">
            <v>1403724.1261342163</v>
          </cell>
        </row>
        <row r="42">
          <cell r="N42">
            <v>1503388.5390897456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4"/>
  <sheetViews>
    <sheetView topLeftCell="A4" workbookViewId="0">
      <selection activeCell="B37" sqref="B37"/>
    </sheetView>
  </sheetViews>
  <sheetFormatPr defaultRowHeight="12.75"/>
  <cols>
    <col min="1" max="1" width="4.7109375" style="1" customWidth="1"/>
    <col min="2" max="3" width="1.7109375" style="2" customWidth="1"/>
    <col min="4" max="4" width="35.42578125" style="2" customWidth="1"/>
    <col min="5" max="5" width="8.28515625" bestFit="1" customWidth="1"/>
    <col min="6" max="6" width="9.28515625" bestFit="1" customWidth="1"/>
    <col min="7" max="7" width="11.7109375" style="3" customWidth="1"/>
    <col min="8" max="8" width="8.7109375" style="54" bestFit="1" customWidth="1"/>
    <col min="9" max="9" width="8.85546875" style="54" bestFit="1" customWidth="1"/>
    <col min="10" max="10" width="9.28515625" style="54" bestFit="1" customWidth="1"/>
    <col min="11" max="11" width="13.7109375" style="54" customWidth="1"/>
    <col min="12" max="12" width="21.28515625" style="54" customWidth="1"/>
  </cols>
  <sheetData>
    <row r="1" spans="1:12">
      <c r="A1" s="176"/>
      <c r="B1" s="177"/>
      <c r="C1" s="177"/>
      <c r="D1" s="109"/>
      <c r="E1" s="109"/>
      <c r="F1" s="109"/>
      <c r="G1" s="178"/>
      <c r="H1" s="86"/>
      <c r="I1" s="86"/>
      <c r="J1" s="86"/>
      <c r="K1" s="86"/>
      <c r="L1" s="86"/>
    </row>
    <row r="2" spans="1:12" ht="18">
      <c r="A2" s="114" t="s">
        <v>0</v>
      </c>
      <c r="B2" s="177"/>
      <c r="C2" s="177"/>
      <c r="D2" s="176"/>
      <c r="E2" s="109"/>
      <c r="F2" s="109"/>
      <c r="G2" s="179"/>
      <c r="H2" s="86"/>
      <c r="I2" s="86"/>
      <c r="J2" s="86"/>
      <c r="K2" s="86"/>
      <c r="L2" s="86"/>
    </row>
    <row r="3" spans="1:12">
      <c r="A3" s="114" t="s">
        <v>129</v>
      </c>
      <c r="B3" s="177"/>
      <c r="C3" s="177"/>
      <c r="D3" s="176"/>
      <c r="E3" s="109"/>
      <c r="F3" s="109"/>
      <c r="G3" s="147"/>
      <c r="H3" s="86"/>
      <c r="I3" s="86"/>
      <c r="J3" s="86"/>
      <c r="K3" s="86"/>
      <c r="L3" s="86"/>
    </row>
    <row r="4" spans="1:12">
      <c r="A4" s="114" t="s">
        <v>1</v>
      </c>
      <c r="B4" s="177"/>
      <c r="C4" s="177"/>
      <c r="D4" s="176"/>
      <c r="E4" s="109"/>
      <c r="F4" s="109"/>
      <c r="G4" s="147"/>
      <c r="H4" s="86"/>
      <c r="I4" s="86"/>
      <c r="J4" s="86"/>
      <c r="K4" s="86"/>
      <c r="L4" s="86"/>
    </row>
    <row r="5" spans="1:12">
      <c r="A5" s="114" t="s">
        <v>2</v>
      </c>
      <c r="B5" s="177"/>
      <c r="C5" s="177"/>
      <c r="D5" s="176"/>
      <c r="E5" s="109"/>
      <c r="F5" s="109"/>
      <c r="G5" s="147"/>
      <c r="H5" s="86"/>
      <c r="I5" s="86"/>
      <c r="J5" s="86"/>
      <c r="K5" s="86"/>
      <c r="L5" s="86"/>
    </row>
    <row r="6" spans="1:12">
      <c r="A6" s="114"/>
      <c r="B6" s="177"/>
      <c r="C6" s="177"/>
      <c r="D6" s="176"/>
      <c r="E6" s="109"/>
      <c r="F6" s="109"/>
      <c r="G6" s="147"/>
      <c r="H6" s="86"/>
      <c r="I6" s="86"/>
      <c r="J6" s="86"/>
      <c r="K6" s="86"/>
      <c r="L6" s="86"/>
    </row>
    <row r="7" spans="1:12">
      <c r="A7" s="180"/>
      <c r="B7" s="181"/>
      <c r="C7" s="181"/>
      <c r="D7" s="182"/>
      <c r="E7" s="109"/>
      <c r="F7" s="109"/>
      <c r="G7" s="183"/>
      <c r="H7" s="86"/>
      <c r="I7" s="86"/>
      <c r="J7" s="86"/>
      <c r="K7" s="86"/>
      <c r="L7" s="86"/>
    </row>
    <row r="8" spans="1:12">
      <c r="A8" s="184"/>
      <c r="B8" s="185"/>
      <c r="C8" s="185"/>
      <c r="D8" s="186"/>
      <c r="E8" s="187"/>
      <c r="F8" s="188"/>
      <c r="G8" s="189" t="s">
        <v>3</v>
      </c>
      <c r="H8" s="187"/>
      <c r="I8" s="187"/>
      <c r="J8" s="187"/>
      <c r="K8" s="86"/>
      <c r="L8" s="86"/>
    </row>
    <row r="9" spans="1:12">
      <c r="A9" s="190" t="s">
        <v>4</v>
      </c>
      <c r="B9" s="191"/>
      <c r="C9" s="191"/>
      <c r="D9" s="192"/>
      <c r="E9" s="193"/>
      <c r="F9" s="109"/>
      <c r="G9" s="194" t="s">
        <v>110</v>
      </c>
      <c r="H9" s="86"/>
      <c r="I9" s="86"/>
      <c r="J9" s="86"/>
      <c r="K9" s="86"/>
      <c r="L9" s="86"/>
    </row>
    <row r="10" spans="1:12">
      <c r="A10" s="195" t="s">
        <v>5</v>
      </c>
      <c r="B10" s="196"/>
      <c r="C10" s="196"/>
      <c r="D10" s="197" t="s">
        <v>6</v>
      </c>
      <c r="E10" s="109"/>
      <c r="F10" s="109"/>
      <c r="G10" s="198" t="s">
        <v>111</v>
      </c>
      <c r="H10" s="86"/>
      <c r="I10" s="86"/>
      <c r="J10" s="86"/>
      <c r="K10" s="86"/>
      <c r="L10" s="86"/>
    </row>
    <row r="11" spans="1:12">
      <c r="A11" s="107"/>
      <c r="B11" s="199" t="s">
        <v>7</v>
      </c>
      <c r="C11" s="107"/>
      <c r="D11" s="107"/>
      <c r="E11" s="200"/>
      <c r="F11" s="200"/>
      <c r="G11" s="201">
        <v>3.06</v>
      </c>
      <c r="H11" s="92"/>
      <c r="I11" s="92"/>
      <c r="J11" s="92"/>
      <c r="K11" s="92"/>
      <c r="L11" s="86"/>
    </row>
    <row r="12" spans="1:12">
      <c r="A12" s="107"/>
      <c r="B12" s="199" t="s">
        <v>8</v>
      </c>
      <c r="C12" s="107"/>
      <c r="D12" s="107"/>
      <c r="E12" s="108"/>
      <c r="F12" s="109"/>
      <c r="G12" s="110" t="s">
        <v>112</v>
      </c>
      <c r="H12" s="111"/>
      <c r="I12" s="86"/>
      <c r="J12" s="86"/>
      <c r="K12" s="92"/>
      <c r="L12" s="86"/>
    </row>
    <row r="13" spans="1:12">
      <c r="A13" s="107"/>
      <c r="B13" s="199"/>
      <c r="C13" s="107"/>
      <c r="D13" s="107"/>
      <c r="E13" s="109"/>
      <c r="F13" s="202"/>
      <c r="G13" s="110"/>
      <c r="H13" s="86"/>
      <c r="I13" s="92"/>
      <c r="J13" s="92"/>
      <c r="K13" s="86"/>
      <c r="L13" s="86"/>
    </row>
    <row r="14" spans="1:12" ht="14.25">
      <c r="A14" s="176"/>
      <c r="B14" s="177" t="s">
        <v>9</v>
      </c>
      <c r="C14" s="177"/>
      <c r="D14" s="215"/>
      <c r="E14" s="109"/>
      <c r="F14" s="77"/>
      <c r="G14" s="111"/>
      <c r="H14" s="86"/>
      <c r="I14" s="92"/>
      <c r="J14" s="92"/>
      <c r="K14" s="97"/>
      <c r="L14" s="98"/>
    </row>
    <row r="15" spans="1:12" ht="14.25">
      <c r="A15" s="203">
        <v>1</v>
      </c>
      <c r="B15" s="204" t="s">
        <v>10</v>
      </c>
      <c r="C15" s="204"/>
      <c r="D15" s="204"/>
      <c r="E15" s="109"/>
      <c r="F15" s="109"/>
      <c r="G15" s="205">
        <v>0</v>
      </c>
      <c r="H15" s="86"/>
      <c r="I15" s="92"/>
      <c r="J15" s="92"/>
      <c r="K15" s="98"/>
      <c r="L15" s="98"/>
    </row>
    <row r="16" spans="1:12" ht="14.25">
      <c r="A16" s="203">
        <v>2</v>
      </c>
      <c r="B16" s="108" t="s">
        <v>11</v>
      </c>
      <c r="C16" s="108"/>
      <c r="D16" s="108"/>
      <c r="E16" s="109"/>
      <c r="F16" s="109"/>
      <c r="G16" s="111">
        <v>0</v>
      </c>
      <c r="H16" s="86"/>
      <c r="I16" s="92"/>
      <c r="J16" s="92"/>
      <c r="K16" s="99"/>
      <c r="L16" s="98"/>
    </row>
    <row r="17" spans="1:12" ht="14.25">
      <c r="A17" s="203">
        <v>3</v>
      </c>
      <c r="B17" s="108" t="s">
        <v>12</v>
      </c>
      <c r="C17" s="108"/>
      <c r="D17" s="108"/>
      <c r="E17" s="86"/>
      <c r="F17" s="109"/>
      <c r="G17" s="206">
        <v>0</v>
      </c>
      <c r="H17" s="86"/>
      <c r="I17" s="92"/>
      <c r="J17" s="92"/>
      <c r="K17" s="98"/>
      <c r="L17" s="98"/>
    </row>
    <row r="18" spans="1:12" ht="14.25">
      <c r="A18" s="203">
        <v>4</v>
      </c>
      <c r="B18" s="108" t="s">
        <v>13</v>
      </c>
      <c r="C18" s="108"/>
      <c r="D18" s="108"/>
      <c r="E18" s="79"/>
      <c r="F18" s="109"/>
      <c r="G18" s="82">
        <f>SUM(G15:G17)</f>
        <v>0</v>
      </c>
      <c r="H18" s="86"/>
      <c r="I18" s="92"/>
      <c r="J18" s="92"/>
      <c r="K18" s="100"/>
      <c r="L18" s="98"/>
    </row>
    <row r="19" spans="1:12" ht="14.25">
      <c r="A19" s="203">
        <v>5</v>
      </c>
      <c r="B19" s="108" t="s">
        <v>14</v>
      </c>
      <c r="C19" s="108"/>
      <c r="D19" s="108"/>
      <c r="E19" s="109"/>
      <c r="F19" s="109"/>
      <c r="G19" s="206">
        <v>0</v>
      </c>
      <c r="H19" s="86"/>
      <c r="I19" s="92"/>
      <c r="J19" s="92"/>
      <c r="K19" s="98"/>
      <c r="L19" s="98"/>
    </row>
    <row r="20" spans="1:12" ht="14.25">
      <c r="A20" s="203">
        <v>6</v>
      </c>
      <c r="B20" s="108" t="s">
        <v>15</v>
      </c>
      <c r="C20" s="108"/>
      <c r="D20" s="108"/>
      <c r="E20" s="109"/>
      <c r="F20" s="109"/>
      <c r="G20" s="111">
        <f t="shared" ref="G20" si="0">SUM(G18:G19)</f>
        <v>0</v>
      </c>
      <c r="H20" s="86"/>
      <c r="I20" s="86"/>
      <c r="J20" s="86"/>
      <c r="K20" s="98"/>
      <c r="L20" s="98"/>
    </row>
    <row r="21" spans="1:12" ht="14.25">
      <c r="A21" s="203"/>
      <c r="B21" s="108"/>
      <c r="C21" s="108"/>
      <c r="D21" s="108"/>
      <c r="E21" s="109"/>
      <c r="F21" s="86"/>
      <c r="G21" s="111"/>
      <c r="H21" s="202"/>
      <c r="I21" s="86"/>
      <c r="J21" s="86"/>
      <c r="K21" s="98"/>
      <c r="L21" s="98"/>
    </row>
    <row r="22" spans="1:12" ht="14.25">
      <c r="A22" s="203"/>
      <c r="B22" s="108" t="s">
        <v>16</v>
      </c>
      <c r="C22" s="108"/>
      <c r="D22" s="108"/>
      <c r="E22" s="109"/>
      <c r="F22" s="77"/>
      <c r="G22" s="111"/>
      <c r="H22" s="213"/>
      <c r="I22" s="86"/>
      <c r="J22" s="86"/>
      <c r="K22" s="101"/>
      <c r="L22" s="101"/>
    </row>
    <row r="23" spans="1:12">
      <c r="A23" s="203"/>
      <c r="B23" s="108" t="s">
        <v>17</v>
      </c>
      <c r="C23" s="108"/>
      <c r="D23" s="108"/>
      <c r="E23" s="109"/>
      <c r="F23" s="109"/>
      <c r="G23" s="111"/>
      <c r="H23" s="86"/>
      <c r="I23" s="86"/>
      <c r="J23" s="86"/>
      <c r="K23" s="86"/>
      <c r="L23" s="86"/>
    </row>
    <row r="24" spans="1:12">
      <c r="A24" s="203">
        <v>7</v>
      </c>
      <c r="B24" s="108"/>
      <c r="C24" s="108" t="s">
        <v>18</v>
      </c>
      <c r="D24" s="108"/>
      <c r="E24" s="109"/>
      <c r="F24" s="109"/>
      <c r="G24" s="111">
        <v>0</v>
      </c>
      <c r="H24" s="86"/>
      <c r="I24" s="86"/>
      <c r="J24" s="86"/>
      <c r="K24" s="86"/>
      <c r="L24" s="86"/>
    </row>
    <row r="25" spans="1:12">
      <c r="A25" s="203">
        <v>8</v>
      </c>
      <c r="B25" s="108"/>
      <c r="C25" s="108" t="s">
        <v>19</v>
      </c>
      <c r="D25" s="108"/>
      <c r="E25" s="109"/>
      <c r="F25" s="109"/>
      <c r="G25" s="111">
        <v>0</v>
      </c>
      <c r="H25" s="86"/>
      <c r="I25" s="86"/>
      <c r="J25" s="86"/>
      <c r="K25" s="86"/>
      <c r="L25" s="86"/>
    </row>
    <row r="26" spans="1:12">
      <c r="A26" s="203">
        <v>9</v>
      </c>
      <c r="B26" s="108"/>
      <c r="C26" s="108" t="s">
        <v>20</v>
      </c>
      <c r="D26" s="108"/>
      <c r="E26" s="109"/>
      <c r="F26" s="109"/>
      <c r="G26" s="111">
        <v>0</v>
      </c>
      <c r="H26" s="86"/>
      <c r="I26" s="86"/>
      <c r="J26" s="86"/>
      <c r="K26" s="86"/>
      <c r="L26" s="86"/>
    </row>
    <row r="27" spans="1:12">
      <c r="A27" s="203">
        <v>10</v>
      </c>
      <c r="B27" s="108"/>
      <c r="C27" s="207" t="s">
        <v>21</v>
      </c>
      <c r="D27" s="207"/>
      <c r="E27" s="109"/>
      <c r="F27" s="109"/>
      <c r="G27" s="111">
        <v>0</v>
      </c>
      <c r="H27" s="86"/>
      <c r="I27" s="86"/>
      <c r="J27" s="86"/>
      <c r="K27" s="86"/>
      <c r="L27" s="86"/>
    </row>
    <row r="28" spans="1:12">
      <c r="A28" s="203">
        <v>11</v>
      </c>
      <c r="B28" s="108"/>
      <c r="C28" s="108" t="s">
        <v>22</v>
      </c>
      <c r="D28" s="108"/>
      <c r="E28" s="109"/>
      <c r="F28" s="109"/>
      <c r="G28" s="206">
        <v>0</v>
      </c>
      <c r="H28" s="86"/>
      <c r="I28" s="86"/>
      <c r="J28" s="86"/>
      <c r="K28" s="86"/>
      <c r="L28" s="86"/>
    </row>
    <row r="29" spans="1:12">
      <c r="A29" s="203">
        <v>12</v>
      </c>
      <c r="B29" s="108" t="s">
        <v>23</v>
      </c>
      <c r="C29" s="108"/>
      <c r="D29" s="108"/>
      <c r="E29" s="109"/>
      <c r="F29" s="109"/>
      <c r="G29" s="111">
        <f>SUM(G24:G28)</f>
        <v>0</v>
      </c>
      <c r="H29" s="86"/>
      <c r="I29" s="86"/>
      <c r="J29" s="202"/>
      <c r="K29" s="86"/>
      <c r="L29" s="86"/>
    </row>
    <row r="30" spans="1:12" ht="14.25">
      <c r="A30" s="203"/>
      <c r="B30" s="108"/>
      <c r="C30" s="108"/>
      <c r="D30" s="108"/>
      <c r="E30" s="109"/>
      <c r="F30" s="109"/>
      <c r="G30" s="111"/>
      <c r="H30" s="86"/>
      <c r="I30" s="212"/>
      <c r="J30" s="86"/>
      <c r="K30" s="86"/>
      <c r="L30" s="86"/>
    </row>
    <row r="31" spans="1:12">
      <c r="A31" s="5"/>
      <c r="B31" s="7" t="s">
        <v>24</v>
      </c>
      <c r="C31" s="7"/>
      <c r="D31" s="7"/>
      <c r="G31" s="4"/>
    </row>
    <row r="32" spans="1:12">
      <c r="A32" s="5">
        <v>13</v>
      </c>
      <c r="B32" s="7"/>
      <c r="C32" s="7" t="s">
        <v>18</v>
      </c>
      <c r="D32" s="7"/>
      <c r="G32" s="4">
        <v>0</v>
      </c>
    </row>
    <row r="33" spans="1:7">
      <c r="A33" s="5">
        <v>14</v>
      </c>
      <c r="B33" s="7"/>
      <c r="C33" s="7" t="s">
        <v>25</v>
      </c>
      <c r="D33" s="7"/>
      <c r="G33" s="4">
        <v>0</v>
      </c>
    </row>
    <row r="34" spans="1:7">
      <c r="A34" s="5">
        <v>15</v>
      </c>
      <c r="B34" s="7"/>
      <c r="C34" s="7" t="s">
        <v>22</v>
      </c>
      <c r="D34" s="7"/>
      <c r="G34" s="8">
        <v>0</v>
      </c>
    </row>
    <row r="35" spans="1:7">
      <c r="A35" s="5">
        <v>16</v>
      </c>
      <c r="B35" s="7" t="s">
        <v>26</v>
      </c>
      <c r="C35" s="7"/>
      <c r="D35" s="7"/>
      <c r="G35" s="4">
        <f>SUM(G32:G34)</f>
        <v>0</v>
      </c>
    </row>
    <row r="36" spans="1:7">
      <c r="A36" s="7"/>
      <c r="B36" s="7"/>
      <c r="C36" s="7"/>
      <c r="D36" s="7"/>
      <c r="G36" s="4"/>
    </row>
    <row r="37" spans="1:7">
      <c r="A37" s="5">
        <v>17</v>
      </c>
      <c r="B37" s="7" t="s">
        <v>27</v>
      </c>
      <c r="C37" s="7"/>
      <c r="D37" s="7"/>
      <c r="G37" s="4">
        <v>0</v>
      </c>
    </row>
    <row r="38" spans="1:7">
      <c r="A38" s="5">
        <v>18</v>
      </c>
      <c r="B38" s="7" t="s">
        <v>28</v>
      </c>
      <c r="C38" s="7"/>
      <c r="D38" s="7"/>
      <c r="G38" s="4">
        <v>0</v>
      </c>
    </row>
    <row r="39" spans="1:7">
      <c r="A39" s="5">
        <v>19</v>
      </c>
      <c r="B39" s="7" t="s">
        <v>29</v>
      </c>
      <c r="C39" s="7"/>
      <c r="D39" s="7"/>
      <c r="G39" s="4">
        <v>0</v>
      </c>
    </row>
    <row r="40" spans="1:7">
      <c r="A40" s="5"/>
      <c r="B40" s="7"/>
      <c r="C40" s="7"/>
      <c r="D40" s="7"/>
      <c r="G40" s="4"/>
    </row>
    <row r="41" spans="1:7">
      <c r="A41" s="7"/>
      <c r="B41" s="7" t="s">
        <v>30</v>
      </c>
      <c r="C41" s="7"/>
      <c r="D41" s="7"/>
      <c r="G41" s="4"/>
    </row>
    <row r="42" spans="1:7">
      <c r="A42" s="5">
        <v>20</v>
      </c>
      <c r="B42" s="7"/>
      <c r="C42" s="7" t="s">
        <v>18</v>
      </c>
      <c r="D42" s="7"/>
      <c r="G42" s="4">
        <v>0</v>
      </c>
    </row>
    <row r="43" spans="1:7">
      <c r="A43" s="5">
        <v>21</v>
      </c>
      <c r="B43" s="7"/>
      <c r="C43" s="7" t="s">
        <v>25</v>
      </c>
      <c r="D43" s="7"/>
      <c r="G43" s="4">
        <v>0</v>
      </c>
    </row>
    <row r="44" spans="1:7">
      <c r="A44" s="5">
        <v>22</v>
      </c>
      <c r="B44" s="7"/>
      <c r="C44" s="7" t="s">
        <v>31</v>
      </c>
      <c r="D44" s="7"/>
      <c r="G44" s="3">
        <v>0</v>
      </c>
    </row>
    <row r="45" spans="1:7">
      <c r="A45" s="10">
        <v>23</v>
      </c>
      <c r="B45" s="7"/>
      <c r="C45" s="7" t="s">
        <v>22</v>
      </c>
      <c r="D45" s="7"/>
      <c r="G45" s="8">
        <v>0</v>
      </c>
    </row>
    <row r="46" spans="1:7">
      <c r="A46" s="5">
        <v>24</v>
      </c>
      <c r="B46" s="7" t="s">
        <v>32</v>
      </c>
      <c r="C46" s="7"/>
      <c r="D46" s="7"/>
      <c r="G46" s="8">
        <f>SUM(G42:G45)</f>
        <v>0</v>
      </c>
    </row>
    <row r="47" spans="1:7">
      <c r="A47" s="5">
        <v>25</v>
      </c>
      <c r="B47" s="7" t="s">
        <v>33</v>
      </c>
      <c r="C47" s="7"/>
      <c r="D47" s="7"/>
      <c r="G47" s="8">
        <f>G46+G39+G38+G37+G35+G29</f>
        <v>0</v>
      </c>
    </row>
    <row r="48" spans="1:7">
      <c r="A48" s="7"/>
      <c r="B48" s="7"/>
      <c r="C48" s="7"/>
      <c r="D48" s="7"/>
      <c r="G48" s="4"/>
    </row>
    <row r="49" spans="1:7">
      <c r="A49" s="5">
        <v>26</v>
      </c>
      <c r="B49" s="7" t="s">
        <v>34</v>
      </c>
      <c r="C49" s="7"/>
      <c r="D49" s="7"/>
      <c r="G49" s="4">
        <f>G20-G47</f>
        <v>0</v>
      </c>
    </row>
    <row r="50" spans="1:7">
      <c r="A50" s="5"/>
      <c r="B50" s="7"/>
      <c r="C50" s="7"/>
      <c r="D50" s="7"/>
      <c r="G50" s="4"/>
    </row>
    <row r="51" spans="1:7">
      <c r="A51" s="11"/>
      <c r="B51" s="7" t="s">
        <v>35</v>
      </c>
      <c r="C51" s="7"/>
      <c r="D51" s="7"/>
      <c r="G51" s="4"/>
    </row>
    <row r="52" spans="1:7">
      <c r="A52" s="10">
        <v>27</v>
      </c>
      <c r="B52" s="9" t="s">
        <v>36</v>
      </c>
      <c r="C52" s="9"/>
      <c r="D52" s="12"/>
      <c r="G52" s="3">
        <f>G49*0.21</f>
        <v>0</v>
      </c>
    </row>
    <row r="53" spans="1:7">
      <c r="A53" s="10">
        <v>28</v>
      </c>
      <c r="B53" s="9" t="s">
        <v>37</v>
      </c>
      <c r="C53" s="9"/>
      <c r="D53" s="9"/>
      <c r="G53" s="3">
        <f>(G81*'[2]RR SUMMARY'!$N$12)*-0.21</f>
        <v>0</v>
      </c>
    </row>
    <row r="54" spans="1:7">
      <c r="A54" s="10">
        <v>29</v>
      </c>
      <c r="B54" s="9" t="s">
        <v>38</v>
      </c>
      <c r="C54" s="9"/>
      <c r="D54" s="9"/>
      <c r="G54" s="4">
        <v>0</v>
      </c>
    </row>
    <row r="55" spans="1:7">
      <c r="A55" s="11">
        <v>30</v>
      </c>
      <c r="B55" s="7" t="s">
        <v>39</v>
      </c>
      <c r="C55" s="7"/>
      <c r="D55" s="7"/>
      <c r="G55" s="8">
        <v>0</v>
      </c>
    </row>
    <row r="56" spans="1:7">
      <c r="G56" s="4"/>
    </row>
    <row r="57" spans="1:7" ht="13.5" thickBot="1">
      <c r="A57" s="13">
        <v>31</v>
      </c>
      <c r="B57" s="6" t="s">
        <v>40</v>
      </c>
      <c r="C57" s="6"/>
      <c r="D57" s="6"/>
      <c r="G57" s="14">
        <f t="shared" ref="G57" si="1">G49-SUM(G52:G55)</f>
        <v>0</v>
      </c>
    </row>
    <row r="58" spans="1:7" ht="13.5" thickTop="1">
      <c r="A58" s="13"/>
      <c r="G58" s="4"/>
    </row>
    <row r="59" spans="1:7">
      <c r="A59" s="13"/>
      <c r="B59" s="2" t="s">
        <v>41</v>
      </c>
      <c r="G59" s="4"/>
    </row>
    <row r="60" spans="1:7">
      <c r="B60" s="2" t="s">
        <v>42</v>
      </c>
      <c r="G60" s="4"/>
    </row>
    <row r="61" spans="1:7">
      <c r="A61" s="15">
        <v>32</v>
      </c>
      <c r="B61" s="6"/>
      <c r="C61" s="6" t="s">
        <v>43</v>
      </c>
      <c r="D61" s="6"/>
      <c r="G61" s="16">
        <v>0</v>
      </c>
    </row>
    <row r="62" spans="1:7">
      <c r="A62" s="13">
        <v>33</v>
      </c>
      <c r="B62" s="7"/>
      <c r="C62" s="7" t="s">
        <v>44</v>
      </c>
      <c r="D62" s="7"/>
      <c r="G62" s="4">
        <v>0</v>
      </c>
    </row>
    <row r="63" spans="1:7">
      <c r="A63" s="13">
        <v>34</v>
      </c>
      <c r="B63" s="7"/>
      <c r="C63" s="7" t="s">
        <v>45</v>
      </c>
      <c r="D63" s="7"/>
      <c r="G63" s="4">
        <v>0</v>
      </c>
    </row>
    <row r="64" spans="1:7">
      <c r="A64" s="13">
        <v>35</v>
      </c>
      <c r="B64" s="7"/>
      <c r="C64" s="7" t="s">
        <v>24</v>
      </c>
      <c r="D64" s="7"/>
      <c r="G64" s="4">
        <v>0</v>
      </c>
    </row>
    <row r="65" spans="1:7">
      <c r="A65" s="13">
        <v>36</v>
      </c>
      <c r="B65" s="7"/>
      <c r="C65" s="7" t="s">
        <v>46</v>
      </c>
      <c r="D65" s="7"/>
      <c r="G65" s="8">
        <v>0</v>
      </c>
    </row>
    <row r="66" spans="1:7">
      <c r="A66" s="13">
        <v>37</v>
      </c>
      <c r="B66" s="7" t="s">
        <v>47</v>
      </c>
      <c r="C66" s="7"/>
      <c r="D66" s="7"/>
      <c r="G66" s="4">
        <f>SUM(G61:G65)</f>
        <v>0</v>
      </c>
    </row>
    <row r="67" spans="1:7">
      <c r="A67" s="13"/>
      <c r="B67" s="7" t="s">
        <v>48</v>
      </c>
      <c r="C67" s="7"/>
      <c r="D67" s="7"/>
      <c r="G67" s="4"/>
    </row>
    <row r="68" spans="1:7">
      <c r="A68" s="13">
        <v>38</v>
      </c>
      <c r="B68" s="7"/>
      <c r="C68" s="6" t="s">
        <v>43</v>
      </c>
      <c r="D68" s="7"/>
      <c r="G68" s="17">
        <v>0</v>
      </c>
    </row>
    <row r="69" spans="1:7">
      <c r="A69" s="13">
        <v>39</v>
      </c>
      <c r="B69" s="7"/>
      <c r="C69" s="7" t="s">
        <v>44</v>
      </c>
      <c r="D69" s="7"/>
      <c r="G69" s="17">
        <v>0</v>
      </c>
    </row>
    <row r="70" spans="1:7">
      <c r="A70" s="13">
        <v>40</v>
      </c>
      <c r="B70" s="7"/>
      <c r="C70" s="7" t="s">
        <v>45</v>
      </c>
      <c r="D70" s="7"/>
      <c r="G70" s="17">
        <v>0</v>
      </c>
    </row>
    <row r="71" spans="1:7">
      <c r="A71" s="13">
        <v>41</v>
      </c>
      <c r="B71" s="7"/>
      <c r="C71" s="7" t="s">
        <v>24</v>
      </c>
      <c r="D71" s="7"/>
      <c r="G71" s="17">
        <v>0</v>
      </c>
    </row>
    <row r="72" spans="1:7">
      <c r="A72" s="13">
        <v>42</v>
      </c>
      <c r="B72" s="7"/>
      <c r="C72" s="7" t="s">
        <v>46</v>
      </c>
      <c r="D72" s="7"/>
      <c r="G72" s="18">
        <v>0</v>
      </c>
    </row>
    <row r="73" spans="1:7">
      <c r="A73" s="13">
        <v>43</v>
      </c>
      <c r="B73" s="7" t="s">
        <v>49</v>
      </c>
      <c r="C73" s="7"/>
      <c r="D73" s="7"/>
      <c r="G73" s="19">
        <f>SUM(G68:G72)</f>
        <v>0</v>
      </c>
    </row>
    <row r="74" spans="1:7">
      <c r="A74" s="13">
        <v>44</v>
      </c>
      <c r="B74" s="7" t="s">
        <v>50</v>
      </c>
      <c r="C74" s="7"/>
      <c r="D74" s="7"/>
      <c r="G74" s="4">
        <f>G66+G73</f>
        <v>0</v>
      </c>
    </row>
    <row r="75" spans="1:7">
      <c r="A75" s="13"/>
      <c r="B75" s="7"/>
      <c r="C75" s="7"/>
      <c r="D75" s="7"/>
      <c r="E75" s="54"/>
      <c r="F75" s="54"/>
      <c r="G75" s="4"/>
    </row>
    <row r="76" spans="1:7">
      <c r="A76" s="11">
        <v>45</v>
      </c>
      <c r="B76" s="7" t="s">
        <v>51</v>
      </c>
      <c r="C76" s="7"/>
      <c r="D76" s="7"/>
      <c r="E76" s="54"/>
      <c r="F76" s="54"/>
      <c r="G76" s="8">
        <v>0</v>
      </c>
    </row>
    <row r="77" spans="1:7">
      <c r="A77" s="11">
        <v>46</v>
      </c>
      <c r="B77" s="7"/>
      <c r="C77" s="7" t="s">
        <v>52</v>
      </c>
      <c r="D77" s="7"/>
      <c r="E77" s="54"/>
      <c r="F77" s="54"/>
      <c r="G77" s="4">
        <f>SUM(G74:G76)</f>
        <v>0</v>
      </c>
    </row>
    <row r="78" spans="1:7">
      <c r="A78" s="13">
        <v>47</v>
      </c>
      <c r="B78" s="7" t="s">
        <v>53</v>
      </c>
      <c r="C78" s="7"/>
      <c r="D78" s="7"/>
      <c r="E78" s="54"/>
      <c r="F78" s="54"/>
      <c r="G78" s="4">
        <v>0</v>
      </c>
    </row>
    <row r="79" spans="1:7">
      <c r="A79" s="13">
        <v>48</v>
      </c>
      <c r="B79" s="7" t="s">
        <v>54</v>
      </c>
      <c r="C79" s="7"/>
      <c r="D79" s="7"/>
      <c r="E79" s="54"/>
      <c r="F79" s="54"/>
      <c r="G79" s="8">
        <v>0</v>
      </c>
    </row>
    <row r="80" spans="1:7">
      <c r="A80" s="11"/>
      <c r="B80" s="7"/>
      <c r="C80" s="7"/>
      <c r="D80" s="7"/>
      <c r="E80" s="54"/>
      <c r="F80" s="54"/>
      <c r="G80" s="4"/>
    </row>
    <row r="81" spans="1:7" ht="13.5" thickBot="1">
      <c r="A81" s="5">
        <v>49</v>
      </c>
      <c r="B81" s="6" t="s">
        <v>55</v>
      </c>
      <c r="C81" s="6"/>
      <c r="D81" s="6"/>
      <c r="E81" s="54"/>
      <c r="F81" s="54"/>
      <c r="G81" s="63">
        <f>SUM(G77:G79)</f>
        <v>0</v>
      </c>
    </row>
    <row r="82" spans="1:7" ht="13.5" thickTop="1">
      <c r="A82" s="5">
        <v>50</v>
      </c>
      <c r="B82" s="2" t="s">
        <v>130</v>
      </c>
      <c r="E82" s="54"/>
      <c r="F82" s="54"/>
      <c r="G82" s="20"/>
    </row>
    <row r="83" spans="1:7">
      <c r="A83" s="1">
        <v>51</v>
      </c>
      <c r="B83" s="2" t="s">
        <v>131</v>
      </c>
      <c r="E83" s="54"/>
      <c r="F83" s="54"/>
      <c r="G83" s="64"/>
    </row>
    <row r="84" spans="1:7">
      <c r="B84" s="68"/>
      <c r="G84" s="61"/>
    </row>
    <row r="88" spans="1:7">
      <c r="G88" s="4"/>
    </row>
    <row r="89" spans="1:7">
      <c r="A89" s="56"/>
      <c r="B89" s="57"/>
      <c r="C89" s="57"/>
      <c r="D89" s="57"/>
      <c r="G89" s="4"/>
    </row>
    <row r="90" spans="1:7">
      <c r="A90" s="21"/>
      <c r="B90" s="22"/>
      <c r="C90" s="22"/>
      <c r="D90" s="22"/>
      <c r="G90" s="4"/>
    </row>
    <row r="91" spans="1:7">
      <c r="A91" s="21"/>
      <c r="B91" s="22"/>
      <c r="C91" s="22"/>
      <c r="D91" s="22"/>
      <c r="G91" s="4"/>
    </row>
    <row r="92" spans="1:7">
      <c r="A92" s="21"/>
      <c r="B92" s="22"/>
      <c r="C92" s="22"/>
      <c r="D92" s="22"/>
      <c r="G92" s="4"/>
    </row>
    <row r="93" spans="1:7">
      <c r="A93" s="23"/>
      <c r="B93" s="24"/>
      <c r="C93" s="24"/>
      <c r="D93" s="24"/>
      <c r="G93" s="4"/>
    </row>
    <row r="94" spans="1:7">
      <c r="A94" s="23"/>
      <c r="B94" s="24"/>
      <c r="C94" s="24"/>
      <c r="D94" s="24"/>
      <c r="G94" s="4"/>
    </row>
  </sheetData>
  <pageMargins left="0.7" right="0.7" top="0.75" bottom="0.75" header="0.3" footer="0.3"/>
  <pageSetup scale="10" orientation="portrait" r:id="rId1"/>
  <headerFooter>
    <oddHeader xml:space="preserve">&amp;RExh. JH-7
Dockets UE-190334-35-222
Page &amp;P of &amp;N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5:H14"/>
  <sheetViews>
    <sheetView workbookViewId="0">
      <selection activeCell="H23" sqref="H23"/>
    </sheetView>
  </sheetViews>
  <sheetFormatPr defaultRowHeight="12.75"/>
  <cols>
    <col min="2" max="2" width="17.28515625" bestFit="1" customWidth="1"/>
    <col min="3" max="3" width="16.7109375" bestFit="1" customWidth="1"/>
    <col min="4" max="8" width="14.140625" bestFit="1" customWidth="1"/>
  </cols>
  <sheetData>
    <row r="5" spans="2:8">
      <c r="C5">
        <v>2014</v>
      </c>
      <c r="D5">
        <v>2015</v>
      </c>
      <c r="E5">
        <v>2016</v>
      </c>
      <c r="F5">
        <v>2017</v>
      </c>
      <c r="G5">
        <v>2018</v>
      </c>
      <c r="H5" t="s">
        <v>143</v>
      </c>
    </row>
    <row r="6" spans="2:8">
      <c r="B6" s="216" t="s">
        <v>138</v>
      </c>
      <c r="C6" s="217" t="s">
        <v>139</v>
      </c>
      <c r="D6" s="217" t="s">
        <v>139</v>
      </c>
      <c r="E6" s="217" t="s">
        <v>139</v>
      </c>
      <c r="F6" s="217" t="s">
        <v>139</v>
      </c>
      <c r="G6" s="217" t="s">
        <v>139</v>
      </c>
    </row>
    <row r="7" spans="2:8">
      <c r="B7" s="218"/>
      <c r="C7" s="54"/>
      <c r="D7" s="54"/>
    </row>
    <row r="8" spans="2:8">
      <c r="B8" s="218" t="s">
        <v>140</v>
      </c>
      <c r="C8" s="219">
        <v>2353425.5700000003</v>
      </c>
      <c r="D8" s="219">
        <v>2472960.7555053001</v>
      </c>
      <c r="E8" s="222">
        <v>2530401.5007461999</v>
      </c>
      <c r="F8" s="219">
        <v>2525273.0869550002</v>
      </c>
      <c r="G8" s="219">
        <v>2330542.7255950007</v>
      </c>
    </row>
    <row r="9" spans="2:8">
      <c r="B9" s="218"/>
      <c r="C9" s="219"/>
      <c r="D9" s="219"/>
      <c r="E9" s="222"/>
      <c r="F9" s="219"/>
      <c r="G9" s="219"/>
    </row>
    <row r="10" spans="2:8">
      <c r="B10" s="218" t="s">
        <v>141</v>
      </c>
      <c r="C10" s="219">
        <v>1156137.8659999999</v>
      </c>
      <c r="D10" s="219">
        <v>1200326.9246</v>
      </c>
      <c r="E10" s="222">
        <v>1067045.6202</v>
      </c>
      <c r="F10" s="219">
        <v>878207.89140000008</v>
      </c>
      <c r="G10" s="219">
        <v>898832.54520000005</v>
      </c>
    </row>
    <row r="11" spans="2:8">
      <c r="B11" s="218"/>
      <c r="C11" s="219"/>
      <c r="D11" s="219"/>
      <c r="E11" s="222"/>
      <c r="F11" s="219"/>
      <c r="G11" s="219"/>
    </row>
    <row r="12" spans="2:8">
      <c r="B12" s="218" t="s">
        <v>142</v>
      </c>
      <c r="C12" s="220">
        <v>1489214.1775</v>
      </c>
      <c r="D12" s="220">
        <v>1432324.7533333332</v>
      </c>
      <c r="E12" s="222">
        <v>1373126.9333333331</v>
      </c>
      <c r="F12" s="220">
        <v>1310238.2133333334</v>
      </c>
      <c r="G12" s="220">
        <v>1359443.2133333331</v>
      </c>
    </row>
    <row r="13" spans="2:8">
      <c r="C13" s="221">
        <f>SUM(C8:C12)</f>
        <v>4998777.6135</v>
      </c>
      <c r="D13" s="219">
        <f>SUM(D8:D12)</f>
        <v>5105612.4334386336</v>
      </c>
      <c r="E13" s="219">
        <f>SUM(E8:E12)</f>
        <v>4970574.0542795323</v>
      </c>
      <c r="F13" s="219">
        <f>SUM(F8:F12)</f>
        <v>4713719.1916883336</v>
      </c>
      <c r="G13" s="219">
        <f>SUM(G8:G12)</f>
        <v>4588818.4841283336</v>
      </c>
      <c r="H13" s="223">
        <f>+AVERAGE(C13:G13)</f>
        <v>4875500.355406967</v>
      </c>
    </row>
    <row r="14" spans="2:8">
      <c r="D14" s="219"/>
      <c r="E14" s="219"/>
      <c r="F14" s="219"/>
      <c r="G14" s="2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"/>
  <sheetViews>
    <sheetView workbookViewId="0">
      <selection activeCell="D29" sqref="D29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7"/>
  <sheetViews>
    <sheetView topLeftCell="A31" workbookViewId="0">
      <selection activeCell="B37" sqref="B37"/>
    </sheetView>
  </sheetViews>
  <sheetFormatPr defaultRowHeight="12.75"/>
  <cols>
    <col min="1" max="1" width="5.7109375" style="26" customWidth="1"/>
    <col min="2" max="3" width="1.7109375" style="27" customWidth="1"/>
    <col min="4" max="4" width="30.28515625" style="27" customWidth="1"/>
    <col min="5" max="5" width="12.5703125" style="25" customWidth="1"/>
    <col min="6" max="6" width="8.140625" style="54" bestFit="1" customWidth="1"/>
    <col min="7" max="7" width="8.28515625" style="46" bestFit="1" customWidth="1"/>
    <col min="8" max="8" width="7.5703125" style="54" bestFit="1" customWidth="1"/>
    <col min="9" max="9" width="7.7109375" style="54" bestFit="1" customWidth="1"/>
    <col min="10" max="10" width="8.28515625" style="54" bestFit="1" customWidth="1"/>
    <col min="11" max="11" width="13.7109375" style="54" customWidth="1"/>
    <col min="12" max="12" width="21.28515625" style="54" customWidth="1"/>
  </cols>
  <sheetData>
    <row r="1" spans="1:12">
      <c r="A1" s="143"/>
      <c r="B1" s="103"/>
      <c r="C1" s="103"/>
      <c r="D1" s="103"/>
      <c r="E1" s="104"/>
      <c r="F1" s="86"/>
      <c r="G1" s="144"/>
      <c r="H1" s="86"/>
      <c r="I1" s="86"/>
      <c r="J1" s="86"/>
      <c r="K1" s="86"/>
      <c r="L1" s="86"/>
    </row>
    <row r="2" spans="1:12">
      <c r="A2" s="145" t="str">
        <f>'[3]ROO INPUT'!A3:C3</f>
        <v>AVISTA UTILITIES</v>
      </c>
      <c r="B2" s="103"/>
      <c r="C2" s="103"/>
      <c r="D2" s="103"/>
      <c r="E2" s="146"/>
      <c r="F2" s="86"/>
      <c r="G2" s="144"/>
      <c r="H2" s="86"/>
      <c r="I2" s="86"/>
      <c r="J2" s="86"/>
      <c r="K2" s="86"/>
      <c r="L2" s="86"/>
    </row>
    <row r="3" spans="1:12">
      <c r="A3" s="145" t="s">
        <v>132</v>
      </c>
      <c r="B3" s="103"/>
      <c r="C3" s="103"/>
      <c r="D3" s="103"/>
      <c r="E3" s="104"/>
      <c r="F3" s="86"/>
      <c r="G3" s="147"/>
      <c r="H3" s="86"/>
      <c r="I3" s="86"/>
      <c r="J3" s="86"/>
      <c r="K3" s="86"/>
      <c r="L3" s="86"/>
    </row>
    <row r="4" spans="1:12">
      <c r="A4" s="145" t="str">
        <f>'[3]ROO INPUT'!A5:C5</f>
        <v>TWELVE MONTHS ENDED DECEMBER 31, 2018</v>
      </c>
      <c r="B4" s="103"/>
      <c r="C4" s="103"/>
      <c r="D4" s="103"/>
      <c r="E4" s="104"/>
      <c r="F4" s="86"/>
      <c r="G4" s="144"/>
      <c r="H4" s="86"/>
      <c r="I4" s="86"/>
      <c r="J4" s="86"/>
      <c r="K4" s="86"/>
      <c r="L4" s="86"/>
    </row>
    <row r="5" spans="1:12">
      <c r="A5" s="145" t="str">
        <f>'[3]ROO INPUT'!A6:C6</f>
        <v xml:space="preserve">(000'S OF DOLLARS)   </v>
      </c>
      <c r="B5" s="143"/>
      <c r="C5" s="143"/>
      <c r="D5" s="143"/>
      <c r="E5" s="148"/>
      <c r="F5" s="86"/>
      <c r="G5" s="144"/>
      <c r="H5" s="86"/>
      <c r="I5" s="86"/>
      <c r="J5" s="86"/>
      <c r="K5" s="86"/>
      <c r="L5" s="86"/>
    </row>
    <row r="6" spans="1:12">
      <c r="A6" s="149"/>
      <c r="B6" s="150"/>
      <c r="C6" s="150"/>
      <c r="D6" s="151"/>
      <c r="E6" s="146"/>
      <c r="F6" s="86"/>
      <c r="G6" s="144"/>
      <c r="H6" s="86"/>
      <c r="I6" s="86"/>
      <c r="J6" s="86"/>
      <c r="K6" s="86"/>
      <c r="L6" s="86"/>
    </row>
    <row r="7" spans="1:12">
      <c r="A7" s="152"/>
      <c r="B7" s="153"/>
      <c r="C7" s="154"/>
      <c r="D7" s="155"/>
      <c r="E7" s="156" t="s">
        <v>3</v>
      </c>
      <c r="F7" s="86"/>
      <c r="G7" s="144"/>
      <c r="H7" s="86"/>
      <c r="I7" s="86"/>
      <c r="J7" s="86"/>
      <c r="K7" s="86"/>
      <c r="L7" s="86"/>
    </row>
    <row r="8" spans="1:12">
      <c r="A8" s="157" t="s">
        <v>4</v>
      </c>
      <c r="B8" s="158"/>
      <c r="C8" s="159"/>
      <c r="D8" s="160"/>
      <c r="E8" s="161" t="s">
        <v>113</v>
      </c>
      <c r="F8" s="147"/>
      <c r="G8" s="147"/>
      <c r="H8" s="147"/>
      <c r="I8" s="147"/>
      <c r="J8" s="147"/>
      <c r="K8" s="86"/>
      <c r="L8" s="86"/>
    </row>
    <row r="9" spans="1:12">
      <c r="A9" s="162" t="s">
        <v>5</v>
      </c>
      <c r="B9" s="163"/>
      <c r="C9" s="164"/>
      <c r="D9" s="165" t="s">
        <v>6</v>
      </c>
      <c r="E9" s="166" t="s">
        <v>111</v>
      </c>
      <c r="F9" s="86"/>
      <c r="G9" s="144"/>
      <c r="H9" s="86"/>
      <c r="I9" s="86"/>
      <c r="J9" s="86"/>
      <c r="K9" s="86"/>
      <c r="L9" s="86"/>
    </row>
    <row r="10" spans="1:12">
      <c r="A10" s="149"/>
      <c r="B10" s="167" t="s">
        <v>125</v>
      </c>
      <c r="C10" s="150"/>
      <c r="D10" s="150"/>
      <c r="E10" s="168">
        <v>3.06</v>
      </c>
      <c r="F10" s="86"/>
      <c r="G10" s="144"/>
      <c r="H10" s="86"/>
      <c r="I10" s="86"/>
      <c r="J10" s="86"/>
      <c r="K10" s="86"/>
      <c r="L10" s="86"/>
    </row>
    <row r="11" spans="1:12">
      <c r="A11" s="149"/>
      <c r="B11" s="167" t="s">
        <v>8</v>
      </c>
      <c r="C11" s="150"/>
      <c r="D11" s="150"/>
      <c r="E11" s="146" t="s">
        <v>114</v>
      </c>
      <c r="F11" s="92"/>
      <c r="G11" s="169"/>
      <c r="H11" s="92"/>
      <c r="I11" s="92"/>
      <c r="J11" s="92"/>
      <c r="K11" s="92"/>
      <c r="L11" s="86"/>
    </row>
    <row r="12" spans="1:12">
      <c r="A12" s="143"/>
      <c r="B12" s="103"/>
      <c r="C12" s="103"/>
      <c r="D12" s="103"/>
      <c r="E12" s="104"/>
      <c r="F12" s="105"/>
      <c r="G12" s="86"/>
      <c r="H12" s="106"/>
      <c r="I12" s="86"/>
      <c r="J12" s="86"/>
      <c r="K12" s="92"/>
      <c r="L12" s="86"/>
    </row>
    <row r="13" spans="1:12">
      <c r="A13" s="143"/>
      <c r="B13" s="103" t="s">
        <v>56</v>
      </c>
      <c r="C13" s="103"/>
      <c r="D13" s="103"/>
      <c r="E13" s="104"/>
      <c r="F13" s="169"/>
      <c r="G13" s="169"/>
      <c r="H13" s="86"/>
      <c r="I13" s="92"/>
      <c r="J13" s="92"/>
      <c r="K13" s="86"/>
      <c r="L13" s="86"/>
    </row>
    <row r="14" spans="1:12" ht="14.25">
      <c r="A14" s="143">
        <v>1</v>
      </c>
      <c r="B14" s="170" t="s">
        <v>57</v>
      </c>
      <c r="C14" s="170"/>
      <c r="D14" s="214"/>
      <c r="E14" s="171">
        <v>0</v>
      </c>
      <c r="F14" s="76"/>
      <c r="G14" s="169"/>
      <c r="H14" s="86"/>
      <c r="I14" s="92"/>
      <c r="J14" s="92"/>
      <c r="K14" s="97"/>
      <c r="L14" s="98"/>
    </row>
    <row r="15" spans="1:12" ht="14.25">
      <c r="A15" s="143">
        <v>2</v>
      </c>
      <c r="B15" s="172" t="s">
        <v>58</v>
      </c>
      <c r="C15" s="103"/>
      <c r="D15" s="172"/>
      <c r="E15" s="173">
        <v>0</v>
      </c>
      <c r="F15" s="86"/>
      <c r="G15" s="169"/>
      <c r="H15" s="86"/>
      <c r="I15" s="92"/>
      <c r="J15" s="92"/>
      <c r="K15" s="98"/>
      <c r="L15" s="98"/>
    </row>
    <row r="16" spans="1:12" ht="14.25">
      <c r="A16" s="143">
        <v>3</v>
      </c>
      <c r="B16" s="172" t="s">
        <v>59</v>
      </c>
      <c r="C16" s="103"/>
      <c r="D16" s="172"/>
      <c r="E16" s="174">
        <v>0</v>
      </c>
      <c r="F16" s="86"/>
      <c r="G16" s="169"/>
      <c r="H16" s="86"/>
      <c r="I16" s="92"/>
      <c r="J16" s="92"/>
      <c r="K16" s="99"/>
      <c r="L16" s="98"/>
    </row>
    <row r="17" spans="1:12" ht="14.25">
      <c r="A17" s="143">
        <v>4</v>
      </c>
      <c r="B17" s="103" t="s">
        <v>60</v>
      </c>
      <c r="C17" s="172"/>
      <c r="D17" s="172"/>
      <c r="E17" s="175">
        <f t="shared" ref="E17" si="0">SUM(E14:E16)</f>
        <v>0</v>
      </c>
      <c r="F17" s="86"/>
      <c r="G17" s="169"/>
      <c r="H17" s="86"/>
      <c r="I17" s="92"/>
      <c r="J17" s="92"/>
      <c r="K17" s="98"/>
      <c r="L17" s="98"/>
    </row>
    <row r="18" spans="1:12" ht="14.25">
      <c r="A18" s="143"/>
      <c r="B18" s="103"/>
      <c r="C18" s="172"/>
      <c r="D18" s="172"/>
      <c r="E18" s="78"/>
      <c r="F18" s="86"/>
      <c r="G18" s="81"/>
      <c r="H18" s="86"/>
      <c r="I18" s="92"/>
      <c r="J18" s="92"/>
      <c r="K18" s="100"/>
      <c r="L18" s="98"/>
    </row>
    <row r="19" spans="1:12" ht="14.25">
      <c r="A19" s="143"/>
      <c r="B19" s="103" t="s">
        <v>61</v>
      </c>
      <c r="C19" s="172"/>
      <c r="D19" s="172"/>
      <c r="E19" s="173"/>
      <c r="F19" s="86"/>
      <c r="G19" s="106"/>
      <c r="H19" s="86"/>
      <c r="I19" s="92"/>
      <c r="J19" s="92"/>
      <c r="K19" s="98"/>
      <c r="L19" s="98"/>
    </row>
    <row r="20" spans="1:12" ht="14.25">
      <c r="A20" s="143"/>
      <c r="B20" s="172" t="s">
        <v>133</v>
      </c>
      <c r="C20" s="103"/>
      <c r="D20" s="172"/>
      <c r="E20" s="173"/>
      <c r="F20" s="86"/>
      <c r="G20" s="106"/>
      <c r="H20" s="86"/>
      <c r="I20" s="86"/>
      <c r="J20" s="86"/>
      <c r="K20" s="98"/>
      <c r="L20" s="98"/>
    </row>
    <row r="21" spans="1:12" ht="14.25">
      <c r="A21" s="143">
        <v>5</v>
      </c>
      <c r="B21" s="103"/>
      <c r="C21" s="172" t="s">
        <v>62</v>
      </c>
      <c r="D21" s="172"/>
      <c r="E21" s="173">
        <v>0</v>
      </c>
      <c r="F21" s="86"/>
      <c r="G21" s="169"/>
      <c r="H21" s="169"/>
      <c r="I21" s="86"/>
      <c r="J21" s="86"/>
      <c r="K21" s="98"/>
      <c r="L21" s="98"/>
    </row>
    <row r="22" spans="1:12" ht="14.25">
      <c r="A22" s="143">
        <v>6</v>
      </c>
      <c r="B22" s="103"/>
      <c r="C22" s="172" t="s">
        <v>63</v>
      </c>
      <c r="D22" s="172"/>
      <c r="E22" s="173">
        <v>0</v>
      </c>
      <c r="F22" s="76"/>
      <c r="G22" s="144"/>
      <c r="H22" s="211"/>
      <c r="I22" s="86"/>
      <c r="J22" s="86"/>
      <c r="K22" s="101"/>
      <c r="L22" s="101"/>
    </row>
    <row r="23" spans="1:12">
      <c r="A23" s="143">
        <v>7</v>
      </c>
      <c r="B23" s="103"/>
      <c r="C23" s="172" t="s">
        <v>64</v>
      </c>
      <c r="D23" s="172"/>
      <c r="E23" s="174">
        <v>0</v>
      </c>
      <c r="F23" s="86"/>
      <c r="G23" s="169"/>
      <c r="H23" s="86"/>
      <c r="I23" s="86"/>
      <c r="J23" s="86"/>
      <c r="K23" s="86"/>
      <c r="L23" s="86"/>
    </row>
    <row r="24" spans="1:12">
      <c r="A24" s="143">
        <v>8</v>
      </c>
      <c r="B24" s="172" t="s">
        <v>65</v>
      </c>
      <c r="C24" s="172"/>
      <c r="D24" s="103"/>
      <c r="E24" s="175">
        <f t="shared" ref="E24" si="1">SUM(E21:E23)</f>
        <v>0</v>
      </c>
      <c r="F24" s="86"/>
      <c r="G24" s="169"/>
      <c r="H24" s="86"/>
      <c r="I24" s="86"/>
      <c r="J24" s="86"/>
      <c r="K24" s="86"/>
      <c r="L24" s="86"/>
    </row>
    <row r="25" spans="1:12">
      <c r="A25" s="143"/>
      <c r="B25" s="172"/>
      <c r="C25" s="172"/>
      <c r="D25" s="103"/>
      <c r="E25" s="175"/>
      <c r="F25" s="86"/>
      <c r="G25" s="106"/>
      <c r="H25" s="86"/>
      <c r="I25" s="86"/>
      <c r="J25" s="86"/>
      <c r="K25" s="86"/>
      <c r="L25" s="86"/>
    </row>
    <row r="26" spans="1:12">
      <c r="A26" s="143"/>
      <c r="B26" s="172" t="s">
        <v>66</v>
      </c>
      <c r="C26" s="103"/>
      <c r="D26" s="172"/>
      <c r="E26" s="173"/>
      <c r="F26" s="86"/>
      <c r="G26" s="86"/>
      <c r="H26" s="86"/>
      <c r="I26" s="86"/>
      <c r="J26" s="86"/>
      <c r="K26" s="86"/>
      <c r="L26" s="86"/>
    </row>
    <row r="27" spans="1:12">
      <c r="A27" s="143">
        <v>9</v>
      </c>
      <c r="B27" s="103"/>
      <c r="C27" s="172" t="s">
        <v>67</v>
      </c>
      <c r="D27" s="172"/>
      <c r="E27" s="173">
        <v>0</v>
      </c>
      <c r="F27" s="86"/>
      <c r="G27" s="169"/>
      <c r="H27" s="86"/>
      <c r="I27" s="86"/>
      <c r="J27" s="86"/>
      <c r="K27" s="86"/>
      <c r="L27" s="86"/>
    </row>
    <row r="28" spans="1:12">
      <c r="A28" s="143">
        <v>10</v>
      </c>
      <c r="B28" s="103"/>
      <c r="C28" s="172" t="s">
        <v>25</v>
      </c>
      <c r="D28" s="172"/>
      <c r="E28" s="173">
        <v>0</v>
      </c>
      <c r="F28" s="86"/>
      <c r="G28" s="169"/>
      <c r="H28" s="86"/>
      <c r="I28" s="86"/>
      <c r="J28" s="86"/>
      <c r="K28" s="86"/>
      <c r="L28" s="86"/>
    </row>
    <row r="29" spans="1:12">
      <c r="A29" s="143">
        <v>11</v>
      </c>
      <c r="B29" s="103"/>
      <c r="C29" s="172" t="s">
        <v>68</v>
      </c>
      <c r="D29" s="172"/>
      <c r="E29" s="174">
        <v>0</v>
      </c>
      <c r="F29" s="86"/>
      <c r="G29" s="169"/>
      <c r="H29" s="86"/>
      <c r="I29" s="86"/>
      <c r="J29" s="169"/>
      <c r="K29" s="86"/>
      <c r="L29" s="86"/>
    </row>
    <row r="30" spans="1:12" ht="14.25">
      <c r="A30" s="143">
        <v>12</v>
      </c>
      <c r="B30" s="172" t="s">
        <v>69</v>
      </c>
      <c r="C30" s="172"/>
      <c r="D30" s="103"/>
      <c r="E30" s="175">
        <f t="shared" ref="E30" si="2">SUM(E27:E29)</f>
        <v>0</v>
      </c>
      <c r="F30" s="86"/>
      <c r="G30" s="169"/>
      <c r="H30" s="86"/>
      <c r="I30" s="212"/>
      <c r="J30" s="86"/>
      <c r="K30" s="86"/>
      <c r="L30" s="86"/>
    </row>
    <row r="31" spans="1:12">
      <c r="B31" s="30"/>
      <c r="C31" s="30"/>
      <c r="E31" s="33"/>
      <c r="G31" s="39"/>
    </row>
    <row r="32" spans="1:12">
      <c r="B32" s="30" t="s">
        <v>70</v>
      </c>
      <c r="D32" s="30"/>
      <c r="E32" s="31"/>
      <c r="G32" s="39"/>
    </row>
    <row r="33" spans="1:7">
      <c r="A33" s="26">
        <v>13</v>
      </c>
      <c r="C33" s="30" t="s">
        <v>67</v>
      </c>
      <c r="D33" s="30"/>
      <c r="E33" s="31">
        <v>0</v>
      </c>
      <c r="G33" s="42"/>
    </row>
    <row r="34" spans="1:7">
      <c r="A34" s="26">
        <v>14</v>
      </c>
      <c r="C34" s="30" t="s">
        <v>25</v>
      </c>
      <c r="D34" s="30"/>
      <c r="E34" s="31">
        <v>0</v>
      </c>
      <c r="G34" s="42"/>
    </row>
    <row r="35" spans="1:7">
      <c r="A35" s="26">
        <v>15</v>
      </c>
      <c r="C35" s="30" t="s">
        <v>68</v>
      </c>
      <c r="D35" s="30"/>
      <c r="E35" s="32">
        <v>0</v>
      </c>
      <c r="G35" s="42"/>
    </row>
    <row r="36" spans="1:7">
      <c r="A36" s="26">
        <v>16</v>
      </c>
      <c r="B36" s="30" t="s">
        <v>71</v>
      </c>
      <c r="C36" s="30"/>
      <c r="E36" s="33">
        <f t="shared" ref="E36" si="3">SUM(E33:E35)</f>
        <v>0</v>
      </c>
      <c r="G36" s="42"/>
    </row>
    <row r="37" spans="1:7">
      <c r="C37" s="30"/>
      <c r="D37" s="30"/>
      <c r="E37" s="33"/>
      <c r="G37" s="42"/>
    </row>
    <row r="38" spans="1:7">
      <c r="A38" s="26">
        <v>17</v>
      </c>
      <c r="B38" s="27" t="s">
        <v>72</v>
      </c>
      <c r="C38" s="30"/>
      <c r="D38" s="30"/>
      <c r="E38" s="42">
        <v>0</v>
      </c>
      <c r="G38" s="42"/>
    </row>
    <row r="39" spans="1:7">
      <c r="A39" s="26">
        <v>18</v>
      </c>
      <c r="B39" s="27" t="s">
        <v>73</v>
      </c>
      <c r="C39" s="30"/>
      <c r="D39" s="30"/>
      <c r="E39" s="31">
        <v>0</v>
      </c>
      <c r="G39" s="42"/>
    </row>
    <row r="40" spans="1:7">
      <c r="A40" s="26">
        <v>19</v>
      </c>
      <c r="B40" s="27" t="s">
        <v>74</v>
      </c>
      <c r="C40" s="30"/>
      <c r="D40" s="30"/>
      <c r="E40" s="31">
        <v>0</v>
      </c>
      <c r="G40" s="42"/>
    </row>
    <row r="41" spans="1:7">
      <c r="C41" s="30"/>
      <c r="D41" s="30"/>
      <c r="E41" s="31"/>
      <c r="G41" s="42"/>
    </row>
    <row r="42" spans="1:7">
      <c r="B42" s="27" t="s">
        <v>75</v>
      </c>
      <c r="C42" s="30"/>
      <c r="D42" s="30"/>
      <c r="E42" s="31"/>
      <c r="G42" s="39"/>
    </row>
    <row r="43" spans="1:7">
      <c r="A43" s="26">
        <v>20</v>
      </c>
      <c r="C43" s="30" t="s">
        <v>67</v>
      </c>
      <c r="D43" s="30"/>
      <c r="E43" s="31">
        <v>0</v>
      </c>
      <c r="G43" s="39"/>
    </row>
    <row r="44" spans="1:7">
      <c r="A44" s="26">
        <v>21</v>
      </c>
      <c r="C44" s="30" t="s">
        <v>25</v>
      </c>
      <c r="D44" s="30"/>
      <c r="E44" s="31">
        <v>0</v>
      </c>
      <c r="G44" s="39"/>
    </row>
    <row r="45" spans="1:7">
      <c r="A45" s="26">
        <v>22</v>
      </c>
      <c r="C45" s="35" t="s">
        <v>76</v>
      </c>
      <c r="D45" s="30"/>
      <c r="E45" s="31">
        <v>0</v>
      </c>
      <c r="G45" s="39"/>
    </row>
    <row r="46" spans="1:7">
      <c r="A46" s="26">
        <v>23</v>
      </c>
      <c r="C46" s="30" t="s">
        <v>68</v>
      </c>
      <c r="D46" s="30"/>
      <c r="E46" s="32">
        <v>0</v>
      </c>
      <c r="G46" s="39"/>
    </row>
    <row r="47" spans="1:7">
      <c r="A47" s="26">
        <v>24</v>
      </c>
      <c r="B47" s="30" t="s">
        <v>77</v>
      </c>
      <c r="C47" s="30"/>
      <c r="E47" s="36">
        <f t="shared" ref="E47" si="4">SUM(E43:E46)</f>
        <v>0</v>
      </c>
      <c r="G47" s="42"/>
    </row>
    <row r="48" spans="1:7">
      <c r="A48" s="26">
        <v>25</v>
      </c>
      <c r="B48" s="27" t="s">
        <v>78</v>
      </c>
      <c r="C48" s="30"/>
      <c r="D48" s="30"/>
      <c r="E48" s="36">
        <f t="shared" ref="E48" si="5">E20+E24+E30+E36+E38+E39+E40+E47</f>
        <v>0</v>
      </c>
      <c r="G48" s="42"/>
    </row>
    <row r="49" spans="1:7">
      <c r="C49" s="30"/>
      <c r="D49" s="30"/>
      <c r="E49" s="33"/>
      <c r="G49" s="42"/>
    </row>
    <row r="50" spans="1:7">
      <c r="A50" s="26">
        <v>26</v>
      </c>
      <c r="B50" s="27" t="s">
        <v>79</v>
      </c>
      <c r="C50" s="30"/>
      <c r="D50" s="30"/>
      <c r="E50" s="33">
        <f t="shared" ref="E50" si="6">E17-E48</f>
        <v>0</v>
      </c>
      <c r="G50" s="42"/>
    </row>
    <row r="51" spans="1:7">
      <c r="C51" s="30"/>
      <c r="D51" s="30"/>
      <c r="E51" s="33"/>
      <c r="G51" s="42"/>
    </row>
    <row r="52" spans="1:7">
      <c r="B52" s="27" t="s">
        <v>80</v>
      </c>
      <c r="C52" s="30"/>
      <c r="D52" s="30"/>
      <c r="E52" s="31"/>
      <c r="G52" s="39"/>
    </row>
    <row r="53" spans="1:7">
      <c r="A53" s="26">
        <v>27</v>
      </c>
      <c r="B53" s="30" t="s">
        <v>81</v>
      </c>
      <c r="D53" s="30"/>
      <c r="E53" s="31">
        <f t="shared" ref="E53" si="7">E50*0.21</f>
        <v>0</v>
      </c>
      <c r="G53" s="65"/>
    </row>
    <row r="54" spans="1:7">
      <c r="A54" s="26">
        <v>28</v>
      </c>
      <c r="B54" s="30" t="s">
        <v>37</v>
      </c>
      <c r="D54" s="30"/>
      <c r="E54" s="31">
        <f>(E81*'[3]RR SUMMARY'!$P$12)*-0.21</f>
        <v>0</v>
      </c>
      <c r="G54" s="39"/>
    </row>
    <row r="55" spans="1:7">
      <c r="A55" s="26">
        <v>29</v>
      </c>
      <c r="B55" s="30" t="s">
        <v>82</v>
      </c>
      <c r="D55" s="30"/>
      <c r="E55" s="31">
        <v>0</v>
      </c>
      <c r="G55" s="39"/>
    </row>
    <row r="56" spans="1:7">
      <c r="A56" s="26">
        <v>30</v>
      </c>
      <c r="B56" s="30" t="s">
        <v>83</v>
      </c>
      <c r="D56" s="30"/>
      <c r="E56" s="32">
        <v>0</v>
      </c>
      <c r="G56" s="42"/>
    </row>
    <row r="57" spans="1:7">
      <c r="E57" s="33"/>
      <c r="G57" s="66"/>
    </row>
    <row r="58" spans="1:7" ht="13.5" thickBot="1">
      <c r="A58" s="26">
        <v>31</v>
      </c>
      <c r="B58" s="28" t="s">
        <v>84</v>
      </c>
      <c r="C58" s="28"/>
      <c r="D58" s="28"/>
      <c r="E58" s="37">
        <f t="shared" ref="E58" si="8">E50-SUM(E53:E56)</f>
        <v>0</v>
      </c>
      <c r="G58" s="42"/>
    </row>
    <row r="59" spans="1:7" ht="13.5" thickTop="1">
      <c r="E59" s="33"/>
      <c r="G59" s="42"/>
    </row>
    <row r="60" spans="1:7">
      <c r="B60" s="27" t="s">
        <v>134</v>
      </c>
      <c r="E60" s="33"/>
      <c r="G60" s="39"/>
    </row>
    <row r="61" spans="1:7">
      <c r="B61" s="27" t="s">
        <v>135</v>
      </c>
      <c r="E61" s="31"/>
      <c r="G61" s="39"/>
    </row>
    <row r="62" spans="1:7">
      <c r="A62" s="26">
        <v>32</v>
      </c>
      <c r="B62" s="30"/>
      <c r="C62" s="30" t="s">
        <v>66</v>
      </c>
      <c r="D62" s="30"/>
      <c r="E62" s="29">
        <v>0</v>
      </c>
      <c r="G62" s="42"/>
    </row>
    <row r="63" spans="1:7">
      <c r="A63" s="26">
        <v>33</v>
      </c>
      <c r="B63" s="30"/>
      <c r="C63" s="30" t="s">
        <v>85</v>
      </c>
      <c r="D63" s="30"/>
      <c r="E63" s="31">
        <v>0</v>
      </c>
      <c r="G63" s="42"/>
    </row>
    <row r="64" spans="1:7">
      <c r="A64" s="26">
        <v>34</v>
      </c>
      <c r="B64" s="30"/>
      <c r="C64" s="30" t="s">
        <v>86</v>
      </c>
      <c r="D64" s="30"/>
      <c r="E64" s="32">
        <v>0</v>
      </c>
      <c r="G64" s="42"/>
    </row>
    <row r="65" spans="1:7">
      <c r="A65" s="26">
        <v>35</v>
      </c>
      <c r="B65" s="30" t="s">
        <v>87</v>
      </c>
      <c r="C65" s="30"/>
      <c r="E65" s="33">
        <f t="shared" ref="E65" si="9">SUM(E62:E64)</f>
        <v>0</v>
      </c>
      <c r="G65" s="42"/>
    </row>
    <row r="66" spans="1:7">
      <c r="B66" s="30"/>
      <c r="C66" s="30"/>
      <c r="E66" s="33"/>
      <c r="G66" s="39"/>
    </row>
    <row r="67" spans="1:7">
      <c r="B67" s="30" t="s">
        <v>48</v>
      </c>
      <c r="C67" s="30"/>
      <c r="D67" s="30"/>
      <c r="E67" s="31"/>
      <c r="G67" s="39"/>
    </row>
    <row r="68" spans="1:7">
      <c r="A68" s="26">
        <v>36</v>
      </c>
      <c r="B68" s="30"/>
      <c r="C68" s="30" t="s">
        <v>66</v>
      </c>
      <c r="D68" s="30"/>
      <c r="E68" s="31">
        <v>0</v>
      </c>
      <c r="G68" s="42"/>
    </row>
    <row r="69" spans="1:7">
      <c r="A69" s="26">
        <v>37</v>
      </c>
      <c r="B69" s="30"/>
      <c r="C69" s="30" t="s">
        <v>85</v>
      </c>
      <c r="D69" s="30"/>
      <c r="E69" s="31">
        <v>0</v>
      </c>
      <c r="G69" s="39"/>
    </row>
    <row r="70" spans="1:7">
      <c r="A70" s="26">
        <v>38</v>
      </c>
      <c r="B70" s="30"/>
      <c r="C70" s="30" t="s">
        <v>86</v>
      </c>
      <c r="D70" s="30"/>
      <c r="E70" s="31">
        <v>0</v>
      </c>
      <c r="G70" s="42"/>
    </row>
    <row r="71" spans="1:7">
      <c r="A71" s="26">
        <v>39</v>
      </c>
      <c r="B71" s="30" t="s">
        <v>136</v>
      </c>
      <c r="C71" s="30"/>
      <c r="E71" s="38">
        <f t="shared" ref="E71" si="10">SUM(E68:E70)</f>
        <v>0</v>
      </c>
      <c r="G71" s="42"/>
    </row>
    <row r="72" spans="1:7">
      <c r="A72" s="26">
        <v>40</v>
      </c>
      <c r="B72" s="30" t="s">
        <v>88</v>
      </c>
      <c r="C72" s="30"/>
      <c r="D72" s="30"/>
      <c r="E72" s="39">
        <f t="shared" ref="E72" si="11">E65+E71</f>
        <v>0</v>
      </c>
      <c r="G72" s="42"/>
    </row>
    <row r="73" spans="1:7">
      <c r="A73" s="40">
        <v>41</v>
      </c>
      <c r="B73" s="41" t="s">
        <v>137</v>
      </c>
      <c r="C73" s="41"/>
      <c r="D73" s="41"/>
      <c r="E73" s="32"/>
      <c r="G73" s="42"/>
    </row>
    <row r="74" spans="1:7">
      <c r="A74" s="40">
        <v>42</v>
      </c>
      <c r="B74" s="41" t="s">
        <v>52</v>
      </c>
      <c r="C74" s="41"/>
      <c r="D74" s="41"/>
      <c r="E74" s="39">
        <f t="shared" ref="E74" si="12">E72+E73</f>
        <v>0</v>
      </c>
    </row>
    <row r="75" spans="1:7">
      <c r="A75" s="26">
        <v>43</v>
      </c>
      <c r="B75" s="30" t="s">
        <v>89</v>
      </c>
      <c r="C75" s="30"/>
      <c r="D75" s="30"/>
      <c r="E75" s="31"/>
      <c r="G75" s="39"/>
    </row>
    <row r="76" spans="1:7">
      <c r="A76" s="40">
        <v>44</v>
      </c>
      <c r="B76" s="41" t="s">
        <v>90</v>
      </c>
      <c r="C76" s="41"/>
      <c r="D76" s="41"/>
      <c r="E76" s="42"/>
      <c r="G76" s="67"/>
    </row>
    <row r="77" spans="1:7">
      <c r="A77" s="40">
        <v>45</v>
      </c>
      <c r="B77" s="41" t="s">
        <v>91</v>
      </c>
      <c r="C77" s="41"/>
      <c r="D77" s="41"/>
      <c r="E77" s="42"/>
      <c r="G77" s="39"/>
    </row>
    <row r="78" spans="1:7">
      <c r="A78" s="26">
        <v>46</v>
      </c>
      <c r="B78" s="30" t="s">
        <v>54</v>
      </c>
      <c r="C78" s="30"/>
      <c r="D78" s="30"/>
      <c r="E78" s="32"/>
    </row>
    <row r="79" spans="1:7">
      <c r="G79" s="39"/>
    </row>
    <row r="80" spans="1:7">
      <c r="E80" s="33"/>
      <c r="G80" s="39"/>
    </row>
    <row r="81" spans="1:7" ht="13.5" thickBot="1">
      <c r="A81" s="69">
        <v>47</v>
      </c>
      <c r="B81" s="70" t="s">
        <v>92</v>
      </c>
      <c r="C81" s="70"/>
      <c r="D81" s="70"/>
      <c r="E81" s="43">
        <f t="shared" ref="E81" si="13">E74+E75+E76+E78+E77</f>
        <v>0</v>
      </c>
      <c r="G81" s="39"/>
    </row>
    <row r="82" spans="1:7" ht="13.5" thickTop="1">
      <c r="E82" s="33"/>
      <c r="G82" s="4"/>
    </row>
    <row r="83" spans="1:7">
      <c r="G83" s="4"/>
    </row>
    <row r="84" spans="1:7">
      <c r="A84" s="34"/>
      <c r="B84" s="55"/>
      <c r="C84" s="55"/>
      <c r="D84" s="55"/>
      <c r="E84" s="33"/>
      <c r="G84" s="45"/>
    </row>
    <row r="85" spans="1:7">
      <c r="A85" s="71"/>
      <c r="B85" s="55"/>
      <c r="C85" s="55"/>
      <c r="D85" s="57"/>
      <c r="E85" s="33"/>
      <c r="G85" s="45"/>
    </row>
    <row r="86" spans="1:7">
      <c r="A86" s="34"/>
      <c r="B86" s="55"/>
      <c r="C86" s="55"/>
      <c r="D86" s="57"/>
      <c r="E86" s="33"/>
      <c r="G86" s="45"/>
    </row>
    <row r="87" spans="1:7">
      <c r="A87" s="34"/>
      <c r="B87" s="55"/>
      <c r="C87" s="55"/>
      <c r="D87" s="57"/>
      <c r="E87" s="3"/>
      <c r="G87" s="45"/>
    </row>
    <row r="88" spans="1:7">
      <c r="A88" s="34"/>
      <c r="B88" s="55"/>
      <c r="C88" s="55"/>
      <c r="D88" s="57"/>
      <c r="E88" s="3"/>
    </row>
    <row r="89" spans="1:7">
      <c r="A89" s="34"/>
      <c r="B89" s="55"/>
      <c r="C89" s="55"/>
      <c r="D89" s="55"/>
      <c r="E89" s="44"/>
    </row>
    <row r="90" spans="1:7">
      <c r="A90" s="34"/>
      <c r="B90" s="55"/>
      <c r="C90" s="55"/>
      <c r="D90" s="57"/>
      <c r="E90" s="44"/>
    </row>
    <row r="91" spans="1:7">
      <c r="A91" s="72"/>
      <c r="B91" s="73"/>
      <c r="C91" s="73"/>
      <c r="D91" s="22"/>
      <c r="E91" s="45"/>
    </row>
    <row r="92" spans="1:7">
      <c r="A92" s="72"/>
      <c r="B92" s="73"/>
      <c r="C92" s="73"/>
      <c r="D92" s="74"/>
      <c r="E92" s="45"/>
    </row>
    <row r="93" spans="1:7">
      <c r="A93" s="72"/>
      <c r="B93" s="73"/>
      <c r="C93" s="73"/>
      <c r="D93" s="73"/>
      <c r="E93" s="46"/>
    </row>
    <row r="94" spans="1:7">
      <c r="A94" s="72"/>
      <c r="B94" s="73"/>
      <c r="C94" s="73"/>
      <c r="D94" s="73"/>
      <c r="E94" s="46"/>
    </row>
    <row r="95" spans="1:7">
      <c r="A95" s="40"/>
      <c r="B95" s="62"/>
      <c r="C95" s="62"/>
      <c r="D95" s="62"/>
      <c r="E95" s="46"/>
    </row>
    <row r="96" spans="1:7">
      <c r="A96" s="40"/>
      <c r="B96" s="62"/>
      <c r="C96" s="62"/>
      <c r="D96" s="62"/>
      <c r="E96" s="46"/>
    </row>
    <row r="97" spans="1:5">
      <c r="A97" s="40"/>
      <c r="B97" s="62"/>
      <c r="C97" s="62"/>
      <c r="D97" s="62"/>
      <c r="E97" s="46"/>
    </row>
  </sheetData>
  <pageMargins left="0.7" right="0.7" top="0.75" bottom="0.75" header="0.3" footer="0.3"/>
  <pageSetup scale="10" orientation="portrait" r:id="rId1"/>
  <headerFooter>
    <oddHeader xml:space="preserve">&amp;RExh. JH-7
Dockets UE-190334-35-222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9"/>
  <sheetViews>
    <sheetView tabSelected="1" topLeftCell="C4" workbookViewId="0">
      <selection activeCell="M22" sqref="M22"/>
    </sheetView>
  </sheetViews>
  <sheetFormatPr defaultColWidth="8.85546875" defaultRowHeight="15"/>
  <cols>
    <col min="1" max="1" width="12.85546875" style="47" customWidth="1"/>
    <col min="2" max="2" width="11" style="47" bestFit="1" customWidth="1"/>
    <col min="3" max="3" width="1.7109375" style="47" customWidth="1"/>
    <col min="4" max="4" width="16.5703125" style="47" bestFit="1" customWidth="1"/>
    <col min="5" max="7" width="18.140625" style="47" bestFit="1" customWidth="1"/>
    <col min="8" max="8" width="22.28515625" style="47" customWidth="1"/>
    <col min="9" max="9" width="21.7109375" style="47" customWidth="1"/>
    <col min="10" max="10" width="19.7109375" style="47" customWidth="1"/>
    <col min="11" max="11" width="15.7109375" style="47" customWidth="1"/>
    <col min="12" max="12" width="16.5703125" style="47" customWidth="1"/>
    <col min="13" max="13" width="21.28515625" style="47" customWidth="1"/>
    <col min="14" max="16384" width="8.85546875" style="47"/>
  </cols>
  <sheetData>
    <row r="1" spans="1:14" ht="18">
      <c r="A1" s="112" t="s">
        <v>224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ht="18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>
      <c r="A3" s="114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4">
      <c r="A4" s="114" t="s">
        <v>115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4">
      <c r="A5" s="114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4">
      <c r="A6" s="114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4" ht="15.75" thickBot="1">
      <c r="A7" s="114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4" ht="15.75" thickBot="1">
      <c r="A8" s="58" t="s">
        <v>116</v>
      </c>
      <c r="B8" s="59" t="s">
        <v>117</v>
      </c>
      <c r="C8" s="59"/>
      <c r="D8" s="59" t="s">
        <v>118</v>
      </c>
      <c r="E8" s="59" t="s">
        <v>119</v>
      </c>
      <c r="F8" s="59" t="s">
        <v>120</v>
      </c>
      <c r="G8" s="59" t="s">
        <v>121</v>
      </c>
      <c r="H8" s="59" t="s">
        <v>122</v>
      </c>
      <c r="I8" s="59" t="s">
        <v>126</v>
      </c>
      <c r="J8" s="59" t="s">
        <v>127</v>
      </c>
      <c r="K8" s="59" t="s">
        <v>128</v>
      </c>
      <c r="L8" s="59" t="s">
        <v>228</v>
      </c>
      <c r="M8" s="60" t="s">
        <v>229</v>
      </c>
    </row>
    <row r="9" spans="1:14">
      <c r="A9" s="115"/>
      <c r="B9" s="116"/>
      <c r="C9" s="116"/>
      <c r="D9" s="117"/>
      <c r="E9" s="117"/>
      <c r="F9" s="118"/>
      <c r="G9" s="118"/>
      <c r="H9" s="118"/>
      <c r="I9" s="118"/>
      <c r="J9" s="118"/>
      <c r="K9" s="122" t="s">
        <v>94</v>
      </c>
      <c r="L9" s="122" t="s">
        <v>94</v>
      </c>
      <c r="M9" s="119"/>
    </row>
    <row r="10" spans="1:14">
      <c r="A10" s="120"/>
      <c r="B10" s="87"/>
      <c r="C10" s="121"/>
      <c r="D10" s="87"/>
      <c r="E10" s="87"/>
      <c r="F10" s="87"/>
      <c r="G10" s="87"/>
      <c r="H10" s="87"/>
      <c r="I10" s="87"/>
      <c r="J10" s="87"/>
      <c r="K10" s="122" t="s">
        <v>225</v>
      </c>
      <c r="L10" s="122" t="s">
        <v>227</v>
      </c>
      <c r="M10" s="123" t="s">
        <v>95</v>
      </c>
    </row>
    <row r="11" spans="1:14" ht="19.5" thickBot="1">
      <c r="A11" s="124"/>
      <c r="B11" s="125" t="s">
        <v>105</v>
      </c>
      <c r="C11" s="126"/>
      <c r="D11" s="127" t="s">
        <v>123</v>
      </c>
      <c r="E11" s="126"/>
      <c r="F11" s="126"/>
      <c r="G11" s="128"/>
      <c r="H11" s="128"/>
      <c r="I11" s="129"/>
      <c r="J11" s="129"/>
      <c r="K11" s="127" t="s">
        <v>226</v>
      </c>
      <c r="L11" s="127" t="s">
        <v>226</v>
      </c>
      <c r="M11" s="130" t="s">
        <v>97</v>
      </c>
      <c r="N11" s="48" t="s">
        <v>93</v>
      </c>
    </row>
    <row r="12" spans="1:14" ht="18.75">
      <c r="A12" s="131"/>
      <c r="B12" s="87"/>
      <c r="C12" s="87"/>
      <c r="D12" s="102">
        <v>2013</v>
      </c>
      <c r="E12" s="102">
        <v>2014</v>
      </c>
      <c r="F12" s="102">
        <v>2015</v>
      </c>
      <c r="G12" s="102">
        <v>2016</v>
      </c>
      <c r="H12" s="102">
        <v>2017</v>
      </c>
      <c r="I12" s="102">
        <v>2018</v>
      </c>
      <c r="J12" s="102">
        <v>2019</v>
      </c>
      <c r="K12" s="132"/>
      <c r="L12" s="132" t="s">
        <v>230</v>
      </c>
      <c r="M12" s="88"/>
      <c r="N12" s="48" t="s">
        <v>96</v>
      </c>
    </row>
    <row r="13" spans="1:14">
      <c r="A13" s="131"/>
      <c r="B13" s="87"/>
      <c r="C13" s="87"/>
      <c r="D13" s="87"/>
      <c r="E13" s="87"/>
      <c r="F13" s="122" t="s">
        <v>124</v>
      </c>
      <c r="G13" s="87"/>
      <c r="H13" s="87"/>
      <c r="I13" s="132"/>
      <c r="J13" s="132"/>
      <c r="K13" s="87"/>
      <c r="L13" s="87"/>
      <c r="M13" s="88"/>
    </row>
    <row r="14" spans="1:14">
      <c r="A14" s="131" t="s">
        <v>98</v>
      </c>
      <c r="B14" s="133">
        <v>41455</v>
      </c>
      <c r="C14" s="87"/>
      <c r="D14" s="208">
        <v>4588016</v>
      </c>
      <c r="E14" s="87"/>
      <c r="F14" s="75">
        <v>5813343</v>
      </c>
      <c r="G14" s="87"/>
      <c r="H14" s="135"/>
      <c r="I14" s="132"/>
      <c r="J14" s="132"/>
      <c r="K14" s="93">
        <f>+F14-D14</f>
        <v>1225327</v>
      </c>
      <c r="L14" s="93"/>
      <c r="M14" s="94">
        <f>+F14-E18</f>
        <v>895650</v>
      </c>
    </row>
    <row r="15" spans="1:14">
      <c r="A15" s="131"/>
      <c r="B15" s="133"/>
      <c r="C15" s="136"/>
      <c r="D15" s="136"/>
      <c r="E15" s="136"/>
      <c r="F15" s="134"/>
      <c r="G15" s="135"/>
      <c r="H15" s="135"/>
      <c r="I15" s="132"/>
      <c r="J15" s="132"/>
      <c r="K15" s="87"/>
      <c r="L15" s="87"/>
      <c r="M15" s="88"/>
    </row>
    <row r="16" spans="1:14">
      <c r="A16" s="131"/>
      <c r="B16" s="133"/>
      <c r="C16" s="136"/>
      <c r="D16" s="136"/>
      <c r="E16" s="136"/>
      <c r="F16" s="134"/>
      <c r="G16" s="135"/>
      <c r="H16" s="135"/>
      <c r="I16" s="132"/>
      <c r="J16" s="132"/>
      <c r="K16" s="95"/>
      <c r="L16" s="95"/>
      <c r="M16" s="88"/>
    </row>
    <row r="17" spans="1:15">
      <c r="A17" s="131"/>
      <c r="B17" s="133"/>
      <c r="C17" s="136"/>
      <c r="D17" s="137"/>
      <c r="E17" s="122" t="s">
        <v>123</v>
      </c>
      <c r="F17" s="137"/>
      <c r="G17" s="122" t="s">
        <v>124</v>
      </c>
      <c r="H17" s="87"/>
      <c r="I17" s="132"/>
      <c r="J17" s="132"/>
      <c r="K17" s="87"/>
      <c r="L17" s="87"/>
      <c r="M17" s="88"/>
    </row>
    <row r="18" spans="1:15">
      <c r="A18" s="131" t="s">
        <v>99</v>
      </c>
      <c r="B18" s="133">
        <v>41912</v>
      </c>
      <c r="C18" s="136"/>
      <c r="D18" s="87"/>
      <c r="E18" s="75">
        <v>4917693</v>
      </c>
      <c r="F18" s="87"/>
      <c r="G18" s="80">
        <v>5575651</v>
      </c>
      <c r="H18" s="87"/>
      <c r="I18" s="132"/>
      <c r="J18" s="132"/>
      <c r="K18" s="89">
        <f>+G18-E18</f>
        <v>657958</v>
      </c>
      <c r="L18" s="89"/>
      <c r="M18" s="96">
        <f>+G18-F22</f>
        <v>480341</v>
      </c>
    </row>
    <row r="19" spans="1:15">
      <c r="A19" s="131"/>
      <c r="B19" s="133"/>
      <c r="C19" s="133"/>
      <c r="D19" s="133"/>
      <c r="E19" s="133"/>
      <c r="F19" s="133"/>
      <c r="G19" s="135"/>
      <c r="H19" s="135"/>
      <c r="I19" s="132"/>
      <c r="J19" s="132"/>
      <c r="K19" s="87"/>
      <c r="L19" s="87"/>
      <c r="M19" s="88"/>
    </row>
    <row r="20" spans="1:15">
      <c r="A20" s="131"/>
      <c r="B20" s="133"/>
      <c r="C20" s="133"/>
      <c r="D20" s="133"/>
      <c r="E20" s="133"/>
      <c r="F20" s="133"/>
      <c r="G20" s="135"/>
      <c r="H20" s="135"/>
      <c r="I20" s="87"/>
      <c r="J20" s="102"/>
      <c r="K20" s="87"/>
      <c r="L20" s="87"/>
      <c r="M20" s="88"/>
      <c r="O20" s="47" t="s">
        <v>100</v>
      </c>
    </row>
    <row r="21" spans="1:15">
      <c r="A21" s="131"/>
      <c r="B21" s="133"/>
      <c r="C21" s="133"/>
      <c r="D21" s="133"/>
      <c r="E21" s="138"/>
      <c r="F21" s="122" t="s">
        <v>123</v>
      </c>
      <c r="G21" s="139"/>
      <c r="H21" s="122" t="s">
        <v>220</v>
      </c>
      <c r="I21" s="335" t="s">
        <v>221</v>
      </c>
      <c r="J21" s="87"/>
      <c r="K21" s="87"/>
      <c r="L21" s="87"/>
      <c r="M21" s="88"/>
    </row>
    <row r="22" spans="1:15">
      <c r="A22" s="131" t="s">
        <v>101</v>
      </c>
      <c r="B22" s="133">
        <v>42277</v>
      </c>
      <c r="C22" s="133"/>
      <c r="D22" s="337" t="s">
        <v>223</v>
      </c>
      <c r="E22" s="87"/>
      <c r="F22" s="83">
        <v>5095310</v>
      </c>
      <c r="G22" s="87"/>
      <c r="H22" s="209">
        <v>5242104</v>
      </c>
      <c r="I22" s="336">
        <v>5515707</v>
      </c>
      <c r="J22" s="87"/>
      <c r="K22" s="90">
        <v>0</v>
      </c>
      <c r="L22" s="90">
        <f>+I22-F22</f>
        <v>420397</v>
      </c>
      <c r="M22" s="91">
        <f>+I30-I22</f>
        <v>-925622</v>
      </c>
    </row>
    <row r="23" spans="1:15">
      <c r="A23" s="131"/>
      <c r="B23" s="133"/>
      <c r="C23" s="133"/>
      <c r="D23" s="133"/>
      <c r="E23" s="133"/>
      <c r="F23" s="133"/>
      <c r="G23" s="135"/>
      <c r="H23" s="139" t="s">
        <v>187</v>
      </c>
      <c r="I23" s="139" t="s">
        <v>222</v>
      </c>
      <c r="J23" s="87"/>
      <c r="K23" s="87"/>
      <c r="L23" s="87"/>
      <c r="M23" s="88"/>
    </row>
    <row r="24" spans="1:15">
      <c r="A24" s="131"/>
      <c r="B24" s="133"/>
      <c r="C24" s="133"/>
      <c r="D24" s="133"/>
      <c r="E24" s="133"/>
      <c r="F24" s="133"/>
      <c r="G24" s="135"/>
      <c r="H24" s="135"/>
      <c r="I24" s="87"/>
      <c r="J24" s="87"/>
      <c r="K24" s="87"/>
      <c r="L24" s="87"/>
      <c r="M24" s="88"/>
      <c r="O24" s="49" t="s">
        <v>102</v>
      </c>
    </row>
    <row r="25" spans="1:15">
      <c r="A25" s="131" t="s">
        <v>104</v>
      </c>
      <c r="B25" s="133">
        <v>42735</v>
      </c>
      <c r="C25" s="133"/>
      <c r="D25" s="337" t="s">
        <v>223</v>
      </c>
      <c r="E25" s="133"/>
      <c r="F25" s="135"/>
      <c r="G25" s="87"/>
      <c r="H25" s="135"/>
      <c r="I25" s="87"/>
      <c r="J25" s="87"/>
      <c r="K25" s="87"/>
      <c r="L25" s="87"/>
      <c r="M25" s="88"/>
      <c r="O25" s="47" t="s">
        <v>103</v>
      </c>
    </row>
    <row r="26" spans="1:15">
      <c r="A26" s="131"/>
      <c r="B26" s="87"/>
      <c r="C26" s="133"/>
      <c r="D26" s="133"/>
      <c r="E26" s="133"/>
      <c r="F26" s="87"/>
      <c r="H26" s="135"/>
      <c r="I26" s="87"/>
      <c r="J26" s="87"/>
      <c r="K26" s="87"/>
      <c r="L26" s="87"/>
      <c r="M26" s="88"/>
    </row>
    <row r="27" spans="1:15">
      <c r="A27" s="131"/>
      <c r="B27" s="133"/>
      <c r="C27" s="133"/>
      <c r="D27" s="133"/>
      <c r="E27" s="133"/>
      <c r="F27" s="133"/>
      <c r="G27" s="135"/>
      <c r="H27" s="135"/>
      <c r="I27" s="87"/>
      <c r="J27" s="87"/>
      <c r="K27" s="87"/>
      <c r="L27" s="87"/>
      <c r="M27" s="88"/>
    </row>
    <row r="28" spans="1:15">
      <c r="A28" s="131"/>
      <c r="B28" s="133"/>
      <c r="C28" s="133"/>
      <c r="D28" s="133"/>
      <c r="E28" s="133"/>
      <c r="F28" s="133"/>
      <c r="G28" s="135"/>
      <c r="H28" s="135"/>
      <c r="I28" s="87"/>
      <c r="J28" s="87"/>
      <c r="K28" s="87"/>
      <c r="L28" s="87"/>
      <c r="M28" s="88"/>
    </row>
    <row r="29" spans="1:15">
      <c r="A29" s="131" t="s">
        <v>106</v>
      </c>
      <c r="B29" s="136">
        <v>43465</v>
      </c>
      <c r="C29" s="133"/>
      <c r="D29" s="133"/>
      <c r="E29" s="133"/>
      <c r="F29" s="133"/>
      <c r="G29" s="87"/>
      <c r="H29" s="134"/>
      <c r="I29" s="122" t="s">
        <v>123</v>
      </c>
      <c r="J29" s="122" t="s">
        <v>124</v>
      </c>
      <c r="K29" s="87"/>
      <c r="L29" s="87"/>
      <c r="M29" s="88"/>
    </row>
    <row r="30" spans="1:15" ht="15.75" thickBot="1">
      <c r="A30" s="140"/>
      <c r="B30" s="141"/>
      <c r="C30" s="126"/>
      <c r="D30" s="126"/>
      <c r="E30" s="126"/>
      <c r="F30" s="126"/>
      <c r="G30" s="141"/>
      <c r="H30" s="141"/>
      <c r="I30" s="210">
        <v>4590085</v>
      </c>
      <c r="J30" s="84">
        <v>4751313</v>
      </c>
      <c r="K30" s="85">
        <f>+J30-I30</f>
        <v>161228</v>
      </c>
      <c r="L30" s="85"/>
      <c r="M30" s="142"/>
    </row>
    <row r="31" spans="1:15">
      <c r="H31" s="51"/>
    </row>
    <row r="33" spans="1:12" ht="18.75">
      <c r="A33" s="53" t="s">
        <v>107</v>
      </c>
    </row>
    <row r="34" spans="1:12" ht="18.75">
      <c r="B34" s="53" t="s">
        <v>108</v>
      </c>
      <c r="K34" s="51"/>
      <c r="L34" s="51"/>
    </row>
    <row r="35" spans="1:12">
      <c r="B35" s="47" t="s">
        <v>109</v>
      </c>
    </row>
    <row r="37" spans="1:12">
      <c r="I37" s="50"/>
      <c r="J37" s="50"/>
    </row>
    <row r="38" spans="1:12">
      <c r="I38" s="50">
        <v>4751313</v>
      </c>
      <c r="J38" s="50"/>
      <c r="K38" s="52">
        <f>+I38-I30</f>
        <v>161228</v>
      </c>
      <c r="L38" s="52"/>
    </row>
    <row r="39" spans="1:12">
      <c r="I39" s="49"/>
      <c r="J39" s="49"/>
    </row>
  </sheetData>
  <pageMargins left="0.7" right="0.7" top="0.75" bottom="0.75" header="0.3" footer="0.3"/>
  <pageSetup scale="58" fitToHeight="0" orientation="landscape" r:id="rId1"/>
  <headerFooter>
    <oddHeader>&amp;RExh. JH-7
Dockets UE-190334-35-222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S25" sqref="S25"/>
    </sheetView>
  </sheetViews>
  <sheetFormatPr defaultColWidth="8" defaultRowHeight="15"/>
  <cols>
    <col min="1" max="1" width="33.7109375" style="247" customWidth="1"/>
    <col min="2" max="2" width="3.42578125" style="247" customWidth="1"/>
    <col min="3" max="3" width="9.7109375" style="247" customWidth="1"/>
    <col min="4" max="4" width="17.85546875" style="247" customWidth="1"/>
    <col min="5" max="5" width="2.140625" style="247" customWidth="1"/>
    <col min="6" max="6" width="12.140625" style="247" customWidth="1"/>
    <col min="7" max="7" width="2.140625" style="247" customWidth="1"/>
    <col min="8" max="8" width="12.5703125" style="247" bestFit="1" customWidth="1"/>
    <col min="9" max="256" width="8" style="247"/>
    <col min="257" max="257" width="26.5703125" style="247" customWidth="1"/>
    <col min="258" max="258" width="14.42578125" style="247" bestFit="1" customWidth="1"/>
    <col min="259" max="259" width="16.42578125" style="247" bestFit="1" customWidth="1"/>
    <col min="260" max="260" width="11.7109375" style="247" customWidth="1"/>
    <col min="261" max="512" width="8" style="247"/>
    <col min="513" max="513" width="26.5703125" style="247" customWidth="1"/>
    <col min="514" max="514" width="14.42578125" style="247" bestFit="1" customWidth="1"/>
    <col min="515" max="515" width="16.42578125" style="247" bestFit="1" customWidth="1"/>
    <col min="516" max="516" width="11.7109375" style="247" customWidth="1"/>
    <col min="517" max="768" width="8" style="247"/>
    <col min="769" max="769" width="26.5703125" style="247" customWidth="1"/>
    <col min="770" max="770" width="14.42578125" style="247" bestFit="1" customWidth="1"/>
    <col min="771" max="771" width="16.42578125" style="247" bestFit="1" customWidth="1"/>
    <col min="772" max="772" width="11.7109375" style="247" customWidth="1"/>
    <col min="773" max="1024" width="8" style="247"/>
    <col min="1025" max="1025" width="26.5703125" style="247" customWidth="1"/>
    <col min="1026" max="1026" width="14.42578125" style="247" bestFit="1" customWidth="1"/>
    <col min="1027" max="1027" width="16.42578125" style="247" bestFit="1" customWidth="1"/>
    <col min="1028" max="1028" width="11.7109375" style="247" customWidth="1"/>
    <col min="1029" max="1280" width="8" style="247"/>
    <col min="1281" max="1281" width="26.5703125" style="247" customWidth="1"/>
    <col min="1282" max="1282" width="14.42578125" style="247" bestFit="1" customWidth="1"/>
    <col min="1283" max="1283" width="16.42578125" style="247" bestFit="1" customWidth="1"/>
    <col min="1284" max="1284" width="11.7109375" style="247" customWidth="1"/>
    <col min="1285" max="1536" width="8" style="247"/>
    <col min="1537" max="1537" width="26.5703125" style="247" customWidth="1"/>
    <col min="1538" max="1538" width="14.42578125" style="247" bestFit="1" customWidth="1"/>
    <col min="1539" max="1539" width="16.42578125" style="247" bestFit="1" customWidth="1"/>
    <col min="1540" max="1540" width="11.7109375" style="247" customWidth="1"/>
    <col min="1541" max="1792" width="8" style="247"/>
    <col min="1793" max="1793" width="26.5703125" style="247" customWidth="1"/>
    <col min="1794" max="1794" width="14.42578125" style="247" bestFit="1" customWidth="1"/>
    <col min="1795" max="1795" width="16.42578125" style="247" bestFit="1" customWidth="1"/>
    <col min="1796" max="1796" width="11.7109375" style="247" customWidth="1"/>
    <col min="1797" max="2048" width="8" style="247"/>
    <col min="2049" max="2049" width="26.5703125" style="247" customWidth="1"/>
    <col min="2050" max="2050" width="14.42578125" style="247" bestFit="1" customWidth="1"/>
    <col min="2051" max="2051" width="16.42578125" style="247" bestFit="1" customWidth="1"/>
    <col min="2052" max="2052" width="11.7109375" style="247" customWidth="1"/>
    <col min="2053" max="2304" width="8" style="247"/>
    <col min="2305" max="2305" width="26.5703125" style="247" customWidth="1"/>
    <col min="2306" max="2306" width="14.42578125" style="247" bestFit="1" customWidth="1"/>
    <col min="2307" max="2307" width="16.42578125" style="247" bestFit="1" customWidth="1"/>
    <col min="2308" max="2308" width="11.7109375" style="247" customWidth="1"/>
    <col min="2309" max="2560" width="8" style="247"/>
    <col min="2561" max="2561" width="26.5703125" style="247" customWidth="1"/>
    <col min="2562" max="2562" width="14.42578125" style="247" bestFit="1" customWidth="1"/>
    <col min="2563" max="2563" width="16.42578125" style="247" bestFit="1" customWidth="1"/>
    <col min="2564" max="2564" width="11.7109375" style="247" customWidth="1"/>
    <col min="2565" max="2816" width="8" style="247"/>
    <col min="2817" max="2817" width="26.5703125" style="247" customWidth="1"/>
    <col min="2818" max="2818" width="14.42578125" style="247" bestFit="1" customWidth="1"/>
    <col min="2819" max="2819" width="16.42578125" style="247" bestFit="1" customWidth="1"/>
    <col min="2820" max="2820" width="11.7109375" style="247" customWidth="1"/>
    <col min="2821" max="3072" width="8" style="247"/>
    <col min="3073" max="3073" width="26.5703125" style="247" customWidth="1"/>
    <col min="3074" max="3074" width="14.42578125" style="247" bestFit="1" customWidth="1"/>
    <col min="3075" max="3075" width="16.42578125" style="247" bestFit="1" customWidth="1"/>
    <col min="3076" max="3076" width="11.7109375" style="247" customWidth="1"/>
    <col min="3077" max="3328" width="8" style="247"/>
    <col min="3329" max="3329" width="26.5703125" style="247" customWidth="1"/>
    <col min="3330" max="3330" width="14.42578125" style="247" bestFit="1" customWidth="1"/>
    <col min="3331" max="3331" width="16.42578125" style="247" bestFit="1" customWidth="1"/>
    <col min="3332" max="3332" width="11.7109375" style="247" customWidth="1"/>
    <col min="3333" max="3584" width="8" style="247"/>
    <col min="3585" max="3585" width="26.5703125" style="247" customWidth="1"/>
    <col min="3586" max="3586" width="14.42578125" style="247" bestFit="1" customWidth="1"/>
    <col min="3587" max="3587" width="16.42578125" style="247" bestFit="1" customWidth="1"/>
    <col min="3588" max="3588" width="11.7109375" style="247" customWidth="1"/>
    <col min="3589" max="3840" width="8" style="247"/>
    <col min="3841" max="3841" width="26.5703125" style="247" customWidth="1"/>
    <col min="3842" max="3842" width="14.42578125" style="247" bestFit="1" customWidth="1"/>
    <col min="3843" max="3843" width="16.42578125" style="247" bestFit="1" customWidth="1"/>
    <col min="3844" max="3844" width="11.7109375" style="247" customWidth="1"/>
    <col min="3845" max="4096" width="8" style="247"/>
    <col min="4097" max="4097" width="26.5703125" style="247" customWidth="1"/>
    <col min="4098" max="4098" width="14.42578125" style="247" bestFit="1" customWidth="1"/>
    <col min="4099" max="4099" width="16.42578125" style="247" bestFit="1" customWidth="1"/>
    <col min="4100" max="4100" width="11.7109375" style="247" customWidth="1"/>
    <col min="4101" max="4352" width="8" style="247"/>
    <col min="4353" max="4353" width="26.5703125" style="247" customWidth="1"/>
    <col min="4354" max="4354" width="14.42578125" style="247" bestFit="1" customWidth="1"/>
    <col min="4355" max="4355" width="16.42578125" style="247" bestFit="1" customWidth="1"/>
    <col min="4356" max="4356" width="11.7109375" style="247" customWidth="1"/>
    <col min="4357" max="4608" width="8" style="247"/>
    <col min="4609" max="4609" width="26.5703125" style="247" customWidth="1"/>
    <col min="4610" max="4610" width="14.42578125" style="247" bestFit="1" customWidth="1"/>
    <col min="4611" max="4611" width="16.42578125" style="247" bestFit="1" customWidth="1"/>
    <col min="4612" max="4612" width="11.7109375" style="247" customWidth="1"/>
    <col min="4613" max="4864" width="8" style="247"/>
    <col min="4865" max="4865" width="26.5703125" style="247" customWidth="1"/>
    <col min="4866" max="4866" width="14.42578125" style="247" bestFit="1" customWidth="1"/>
    <col min="4867" max="4867" width="16.42578125" style="247" bestFit="1" customWidth="1"/>
    <col min="4868" max="4868" width="11.7109375" style="247" customWidth="1"/>
    <col min="4869" max="5120" width="8" style="247"/>
    <col min="5121" max="5121" width="26.5703125" style="247" customWidth="1"/>
    <col min="5122" max="5122" width="14.42578125" style="247" bestFit="1" customWidth="1"/>
    <col min="5123" max="5123" width="16.42578125" style="247" bestFit="1" customWidth="1"/>
    <col min="5124" max="5124" width="11.7109375" style="247" customWidth="1"/>
    <col min="5125" max="5376" width="8" style="247"/>
    <col min="5377" max="5377" width="26.5703125" style="247" customWidth="1"/>
    <col min="5378" max="5378" width="14.42578125" style="247" bestFit="1" customWidth="1"/>
    <col min="5379" max="5379" width="16.42578125" style="247" bestFit="1" customWidth="1"/>
    <col min="5380" max="5380" width="11.7109375" style="247" customWidth="1"/>
    <col min="5381" max="5632" width="8" style="247"/>
    <col min="5633" max="5633" width="26.5703125" style="247" customWidth="1"/>
    <col min="5634" max="5634" width="14.42578125" style="247" bestFit="1" customWidth="1"/>
    <col min="5635" max="5635" width="16.42578125" style="247" bestFit="1" customWidth="1"/>
    <col min="5636" max="5636" width="11.7109375" style="247" customWidth="1"/>
    <col min="5637" max="5888" width="8" style="247"/>
    <col min="5889" max="5889" width="26.5703125" style="247" customWidth="1"/>
    <col min="5890" max="5890" width="14.42578125" style="247" bestFit="1" customWidth="1"/>
    <col min="5891" max="5891" width="16.42578125" style="247" bestFit="1" customWidth="1"/>
    <col min="5892" max="5892" width="11.7109375" style="247" customWidth="1"/>
    <col min="5893" max="6144" width="8" style="247"/>
    <col min="6145" max="6145" width="26.5703125" style="247" customWidth="1"/>
    <col min="6146" max="6146" width="14.42578125" style="247" bestFit="1" customWidth="1"/>
    <col min="6147" max="6147" width="16.42578125" style="247" bestFit="1" customWidth="1"/>
    <col min="6148" max="6148" width="11.7109375" style="247" customWidth="1"/>
    <col min="6149" max="6400" width="8" style="247"/>
    <col min="6401" max="6401" width="26.5703125" style="247" customWidth="1"/>
    <col min="6402" max="6402" width="14.42578125" style="247" bestFit="1" customWidth="1"/>
    <col min="6403" max="6403" width="16.42578125" style="247" bestFit="1" customWidth="1"/>
    <col min="6404" max="6404" width="11.7109375" style="247" customWidth="1"/>
    <col min="6405" max="6656" width="8" style="247"/>
    <col min="6657" max="6657" width="26.5703125" style="247" customWidth="1"/>
    <col min="6658" max="6658" width="14.42578125" style="247" bestFit="1" customWidth="1"/>
    <col min="6659" max="6659" width="16.42578125" style="247" bestFit="1" customWidth="1"/>
    <col min="6660" max="6660" width="11.7109375" style="247" customWidth="1"/>
    <col min="6661" max="6912" width="8" style="247"/>
    <col min="6913" max="6913" width="26.5703125" style="247" customWidth="1"/>
    <col min="6914" max="6914" width="14.42578125" style="247" bestFit="1" customWidth="1"/>
    <col min="6915" max="6915" width="16.42578125" style="247" bestFit="1" customWidth="1"/>
    <col min="6916" max="6916" width="11.7109375" style="247" customWidth="1"/>
    <col min="6917" max="7168" width="8" style="247"/>
    <col min="7169" max="7169" width="26.5703125" style="247" customWidth="1"/>
    <col min="7170" max="7170" width="14.42578125" style="247" bestFit="1" customWidth="1"/>
    <col min="7171" max="7171" width="16.42578125" style="247" bestFit="1" customWidth="1"/>
    <col min="7172" max="7172" width="11.7109375" style="247" customWidth="1"/>
    <col min="7173" max="7424" width="8" style="247"/>
    <col min="7425" max="7425" width="26.5703125" style="247" customWidth="1"/>
    <col min="7426" max="7426" width="14.42578125" style="247" bestFit="1" customWidth="1"/>
    <col min="7427" max="7427" width="16.42578125" style="247" bestFit="1" customWidth="1"/>
    <col min="7428" max="7428" width="11.7109375" style="247" customWidth="1"/>
    <col min="7429" max="7680" width="8" style="247"/>
    <col min="7681" max="7681" width="26.5703125" style="247" customWidth="1"/>
    <col min="7682" max="7682" width="14.42578125" style="247" bestFit="1" customWidth="1"/>
    <col min="7683" max="7683" width="16.42578125" style="247" bestFit="1" customWidth="1"/>
    <col min="7684" max="7684" width="11.7109375" style="247" customWidth="1"/>
    <col min="7685" max="7936" width="8" style="247"/>
    <col min="7937" max="7937" width="26.5703125" style="247" customWidth="1"/>
    <col min="7938" max="7938" width="14.42578125" style="247" bestFit="1" customWidth="1"/>
    <col min="7939" max="7939" width="16.42578125" style="247" bestFit="1" customWidth="1"/>
    <col min="7940" max="7940" width="11.7109375" style="247" customWidth="1"/>
    <col min="7941" max="8192" width="8" style="247"/>
    <col min="8193" max="8193" width="26.5703125" style="247" customWidth="1"/>
    <col min="8194" max="8194" width="14.42578125" style="247" bestFit="1" customWidth="1"/>
    <col min="8195" max="8195" width="16.42578125" style="247" bestFit="1" customWidth="1"/>
    <col min="8196" max="8196" width="11.7109375" style="247" customWidth="1"/>
    <col min="8197" max="8448" width="8" style="247"/>
    <col min="8449" max="8449" width="26.5703125" style="247" customWidth="1"/>
    <col min="8450" max="8450" width="14.42578125" style="247" bestFit="1" customWidth="1"/>
    <col min="8451" max="8451" width="16.42578125" style="247" bestFit="1" customWidth="1"/>
    <col min="8452" max="8452" width="11.7109375" style="247" customWidth="1"/>
    <col min="8453" max="8704" width="8" style="247"/>
    <col min="8705" max="8705" width="26.5703125" style="247" customWidth="1"/>
    <col min="8706" max="8706" width="14.42578125" style="247" bestFit="1" customWidth="1"/>
    <col min="8707" max="8707" width="16.42578125" style="247" bestFit="1" customWidth="1"/>
    <col min="8708" max="8708" width="11.7109375" style="247" customWidth="1"/>
    <col min="8709" max="8960" width="8" style="247"/>
    <col min="8961" max="8961" width="26.5703125" style="247" customWidth="1"/>
    <col min="8962" max="8962" width="14.42578125" style="247" bestFit="1" customWidth="1"/>
    <col min="8963" max="8963" width="16.42578125" style="247" bestFit="1" customWidth="1"/>
    <col min="8964" max="8964" width="11.7109375" style="247" customWidth="1"/>
    <col min="8965" max="9216" width="8" style="247"/>
    <col min="9217" max="9217" width="26.5703125" style="247" customWidth="1"/>
    <col min="9218" max="9218" width="14.42578125" style="247" bestFit="1" customWidth="1"/>
    <col min="9219" max="9219" width="16.42578125" style="247" bestFit="1" customWidth="1"/>
    <col min="9220" max="9220" width="11.7109375" style="247" customWidth="1"/>
    <col min="9221" max="9472" width="8" style="247"/>
    <col min="9473" max="9473" width="26.5703125" style="247" customWidth="1"/>
    <col min="9474" max="9474" width="14.42578125" style="247" bestFit="1" customWidth="1"/>
    <col min="9475" max="9475" width="16.42578125" style="247" bestFit="1" customWidth="1"/>
    <col min="9476" max="9476" width="11.7109375" style="247" customWidth="1"/>
    <col min="9477" max="9728" width="8" style="247"/>
    <col min="9729" max="9729" width="26.5703125" style="247" customWidth="1"/>
    <col min="9730" max="9730" width="14.42578125" style="247" bestFit="1" customWidth="1"/>
    <col min="9731" max="9731" width="16.42578125" style="247" bestFit="1" customWidth="1"/>
    <col min="9732" max="9732" width="11.7109375" style="247" customWidth="1"/>
    <col min="9733" max="9984" width="8" style="247"/>
    <col min="9985" max="9985" width="26.5703125" style="247" customWidth="1"/>
    <col min="9986" max="9986" width="14.42578125" style="247" bestFit="1" customWidth="1"/>
    <col min="9987" max="9987" width="16.42578125" style="247" bestFit="1" customWidth="1"/>
    <col min="9988" max="9988" width="11.7109375" style="247" customWidth="1"/>
    <col min="9989" max="10240" width="8" style="247"/>
    <col min="10241" max="10241" width="26.5703125" style="247" customWidth="1"/>
    <col min="10242" max="10242" width="14.42578125" style="247" bestFit="1" customWidth="1"/>
    <col min="10243" max="10243" width="16.42578125" style="247" bestFit="1" customWidth="1"/>
    <col min="10244" max="10244" width="11.7109375" style="247" customWidth="1"/>
    <col min="10245" max="10496" width="8" style="247"/>
    <col min="10497" max="10497" width="26.5703125" style="247" customWidth="1"/>
    <col min="10498" max="10498" width="14.42578125" style="247" bestFit="1" customWidth="1"/>
    <col min="10499" max="10499" width="16.42578125" style="247" bestFit="1" customWidth="1"/>
    <col min="10500" max="10500" width="11.7109375" style="247" customWidth="1"/>
    <col min="10501" max="10752" width="8" style="247"/>
    <col min="10753" max="10753" width="26.5703125" style="247" customWidth="1"/>
    <col min="10754" max="10754" width="14.42578125" style="247" bestFit="1" customWidth="1"/>
    <col min="10755" max="10755" width="16.42578125" style="247" bestFit="1" customWidth="1"/>
    <col min="10756" max="10756" width="11.7109375" style="247" customWidth="1"/>
    <col min="10757" max="11008" width="8" style="247"/>
    <col min="11009" max="11009" width="26.5703125" style="247" customWidth="1"/>
    <col min="11010" max="11010" width="14.42578125" style="247" bestFit="1" customWidth="1"/>
    <col min="11011" max="11011" width="16.42578125" style="247" bestFit="1" customWidth="1"/>
    <col min="11012" max="11012" width="11.7109375" style="247" customWidth="1"/>
    <col min="11013" max="11264" width="8" style="247"/>
    <col min="11265" max="11265" width="26.5703125" style="247" customWidth="1"/>
    <col min="11266" max="11266" width="14.42578125" style="247" bestFit="1" customWidth="1"/>
    <col min="11267" max="11267" width="16.42578125" style="247" bestFit="1" customWidth="1"/>
    <col min="11268" max="11268" width="11.7109375" style="247" customWidth="1"/>
    <col min="11269" max="11520" width="8" style="247"/>
    <col min="11521" max="11521" width="26.5703125" style="247" customWidth="1"/>
    <col min="11522" max="11522" width="14.42578125" style="247" bestFit="1" customWidth="1"/>
    <col min="11523" max="11523" width="16.42578125" style="247" bestFit="1" customWidth="1"/>
    <col min="11524" max="11524" width="11.7109375" style="247" customWidth="1"/>
    <col min="11525" max="11776" width="8" style="247"/>
    <col min="11777" max="11777" width="26.5703125" style="247" customWidth="1"/>
    <col min="11778" max="11778" width="14.42578125" style="247" bestFit="1" customWidth="1"/>
    <col min="11779" max="11779" width="16.42578125" style="247" bestFit="1" customWidth="1"/>
    <col min="11780" max="11780" width="11.7109375" style="247" customWidth="1"/>
    <col min="11781" max="12032" width="8" style="247"/>
    <col min="12033" max="12033" width="26.5703125" style="247" customWidth="1"/>
    <col min="12034" max="12034" width="14.42578125" style="247" bestFit="1" customWidth="1"/>
    <col min="12035" max="12035" width="16.42578125" style="247" bestFit="1" customWidth="1"/>
    <col min="12036" max="12036" width="11.7109375" style="247" customWidth="1"/>
    <col min="12037" max="12288" width="8" style="247"/>
    <col min="12289" max="12289" width="26.5703125" style="247" customWidth="1"/>
    <col min="12290" max="12290" width="14.42578125" style="247" bestFit="1" customWidth="1"/>
    <col min="12291" max="12291" width="16.42578125" style="247" bestFit="1" customWidth="1"/>
    <col min="12292" max="12292" width="11.7109375" style="247" customWidth="1"/>
    <col min="12293" max="12544" width="8" style="247"/>
    <col min="12545" max="12545" width="26.5703125" style="247" customWidth="1"/>
    <col min="12546" max="12546" width="14.42578125" style="247" bestFit="1" customWidth="1"/>
    <col min="12547" max="12547" width="16.42578125" style="247" bestFit="1" customWidth="1"/>
    <col min="12548" max="12548" width="11.7109375" style="247" customWidth="1"/>
    <col min="12549" max="12800" width="8" style="247"/>
    <col min="12801" max="12801" width="26.5703125" style="247" customWidth="1"/>
    <col min="12802" max="12802" width="14.42578125" style="247" bestFit="1" customWidth="1"/>
    <col min="12803" max="12803" width="16.42578125" style="247" bestFit="1" customWidth="1"/>
    <col min="12804" max="12804" width="11.7109375" style="247" customWidth="1"/>
    <col min="12805" max="13056" width="8" style="247"/>
    <col min="13057" max="13057" width="26.5703125" style="247" customWidth="1"/>
    <col min="13058" max="13058" width="14.42578125" style="247" bestFit="1" customWidth="1"/>
    <col min="13059" max="13059" width="16.42578125" style="247" bestFit="1" customWidth="1"/>
    <col min="13060" max="13060" width="11.7109375" style="247" customWidth="1"/>
    <col min="13061" max="13312" width="8" style="247"/>
    <col min="13313" max="13313" width="26.5703125" style="247" customWidth="1"/>
    <col min="13314" max="13314" width="14.42578125" style="247" bestFit="1" customWidth="1"/>
    <col min="13315" max="13315" width="16.42578125" style="247" bestFit="1" customWidth="1"/>
    <col min="13316" max="13316" width="11.7109375" style="247" customWidth="1"/>
    <col min="13317" max="13568" width="8" style="247"/>
    <col min="13569" max="13569" width="26.5703125" style="247" customWidth="1"/>
    <col min="13570" max="13570" width="14.42578125" style="247" bestFit="1" customWidth="1"/>
    <col min="13571" max="13571" width="16.42578125" style="247" bestFit="1" customWidth="1"/>
    <col min="13572" max="13572" width="11.7109375" style="247" customWidth="1"/>
    <col min="13573" max="13824" width="8" style="247"/>
    <col min="13825" max="13825" width="26.5703125" style="247" customWidth="1"/>
    <col min="13826" max="13826" width="14.42578125" style="247" bestFit="1" customWidth="1"/>
    <col min="13827" max="13827" width="16.42578125" style="247" bestFit="1" customWidth="1"/>
    <col min="13828" max="13828" width="11.7109375" style="247" customWidth="1"/>
    <col min="13829" max="14080" width="8" style="247"/>
    <col min="14081" max="14081" width="26.5703125" style="247" customWidth="1"/>
    <col min="14082" max="14082" width="14.42578125" style="247" bestFit="1" customWidth="1"/>
    <col min="14083" max="14083" width="16.42578125" style="247" bestFit="1" customWidth="1"/>
    <col min="14084" max="14084" width="11.7109375" style="247" customWidth="1"/>
    <col min="14085" max="14336" width="8" style="247"/>
    <col min="14337" max="14337" width="26.5703125" style="247" customWidth="1"/>
    <col min="14338" max="14338" width="14.42578125" style="247" bestFit="1" customWidth="1"/>
    <col min="14339" max="14339" width="16.42578125" style="247" bestFit="1" customWidth="1"/>
    <col min="14340" max="14340" width="11.7109375" style="247" customWidth="1"/>
    <col min="14341" max="14592" width="8" style="247"/>
    <col min="14593" max="14593" width="26.5703125" style="247" customWidth="1"/>
    <col min="14594" max="14594" width="14.42578125" style="247" bestFit="1" customWidth="1"/>
    <col min="14595" max="14595" width="16.42578125" style="247" bestFit="1" customWidth="1"/>
    <col min="14596" max="14596" width="11.7109375" style="247" customWidth="1"/>
    <col min="14597" max="14848" width="8" style="247"/>
    <col min="14849" max="14849" width="26.5703125" style="247" customWidth="1"/>
    <col min="14850" max="14850" width="14.42578125" style="247" bestFit="1" customWidth="1"/>
    <col min="14851" max="14851" width="16.42578125" style="247" bestFit="1" customWidth="1"/>
    <col min="14852" max="14852" width="11.7109375" style="247" customWidth="1"/>
    <col min="14853" max="15104" width="8" style="247"/>
    <col min="15105" max="15105" width="26.5703125" style="247" customWidth="1"/>
    <col min="15106" max="15106" width="14.42578125" style="247" bestFit="1" customWidth="1"/>
    <col min="15107" max="15107" width="16.42578125" style="247" bestFit="1" customWidth="1"/>
    <col min="15108" max="15108" width="11.7109375" style="247" customWidth="1"/>
    <col min="15109" max="15360" width="8" style="247"/>
    <col min="15361" max="15361" width="26.5703125" style="247" customWidth="1"/>
    <col min="15362" max="15362" width="14.42578125" style="247" bestFit="1" customWidth="1"/>
    <col min="15363" max="15363" width="16.42578125" style="247" bestFit="1" customWidth="1"/>
    <col min="15364" max="15364" width="11.7109375" style="247" customWidth="1"/>
    <col min="15365" max="15616" width="8" style="247"/>
    <col min="15617" max="15617" width="26.5703125" style="247" customWidth="1"/>
    <col min="15618" max="15618" width="14.42578125" style="247" bestFit="1" customWidth="1"/>
    <col min="15619" max="15619" width="16.42578125" style="247" bestFit="1" customWidth="1"/>
    <col min="15620" max="15620" width="11.7109375" style="247" customWidth="1"/>
    <col min="15621" max="15872" width="8" style="247"/>
    <col min="15873" max="15873" width="26.5703125" style="247" customWidth="1"/>
    <col min="15874" max="15874" width="14.42578125" style="247" bestFit="1" customWidth="1"/>
    <col min="15875" max="15875" width="16.42578125" style="247" bestFit="1" customWidth="1"/>
    <col min="15876" max="15876" width="11.7109375" style="247" customWidth="1"/>
    <col min="15877" max="16128" width="8" style="247"/>
    <col min="16129" max="16129" width="26.5703125" style="247" customWidth="1"/>
    <col min="16130" max="16130" width="14.42578125" style="247" bestFit="1" customWidth="1"/>
    <col min="16131" max="16131" width="16.42578125" style="247" bestFit="1" customWidth="1"/>
    <col min="16132" max="16132" width="11.7109375" style="247" customWidth="1"/>
    <col min="16133" max="16384" width="8" style="247"/>
  </cols>
  <sheetData>
    <row r="1" spans="1:16" s="225" customFormat="1">
      <c r="A1" s="338" t="s">
        <v>144</v>
      </c>
      <c r="B1" s="338"/>
      <c r="C1" s="338"/>
      <c r="D1" s="338"/>
      <c r="E1" s="338"/>
      <c r="F1" s="338"/>
      <c r="G1" s="338"/>
      <c r="H1" s="338"/>
      <c r="I1" s="224"/>
      <c r="J1" s="224"/>
      <c r="K1" s="224"/>
      <c r="L1" s="224"/>
      <c r="M1" s="224"/>
      <c r="N1" s="224"/>
      <c r="O1" s="224"/>
      <c r="P1" s="224"/>
    </row>
    <row r="2" spans="1:16" s="225" customFormat="1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  <c r="O2" s="224"/>
      <c r="P2" s="224"/>
    </row>
    <row r="3" spans="1:16" s="225" customFormat="1">
      <c r="A3" s="338" t="s">
        <v>146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  <c r="O3" s="224"/>
      <c r="P3" s="224"/>
    </row>
    <row r="4" spans="1:16" s="225" customFormat="1">
      <c r="A4" s="338" t="s">
        <v>188</v>
      </c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  <c r="O4" s="224"/>
      <c r="P4" s="224"/>
    </row>
    <row r="5" spans="1:16" s="225" customFormat="1">
      <c r="A5" s="226"/>
      <c r="B5" s="226"/>
    </row>
    <row r="6" spans="1:16" s="225" customFormat="1">
      <c r="A6" s="226" t="s">
        <v>189</v>
      </c>
      <c r="B6" s="227"/>
      <c r="C6" s="227"/>
      <c r="D6" s="228" t="s">
        <v>190</v>
      </c>
    </row>
    <row r="7" spans="1:16" s="225" customFormat="1">
      <c r="A7" s="226" t="s">
        <v>171</v>
      </c>
      <c r="B7" s="230"/>
      <c r="C7" s="305" t="s">
        <v>191</v>
      </c>
      <c r="D7" s="232">
        <f>'UE-140188 IA-2'!F18</f>
        <v>4588015.6477375003</v>
      </c>
    </row>
    <row r="8" spans="1:16" s="225" customFormat="1">
      <c r="A8" s="226"/>
      <c r="B8" s="230"/>
      <c r="C8" s="237"/>
      <c r="D8" s="232"/>
    </row>
    <row r="9" spans="1:16" s="225" customFormat="1">
      <c r="A9" s="226" t="s">
        <v>192</v>
      </c>
      <c r="B9" s="230"/>
      <c r="C9" s="305" t="s">
        <v>191</v>
      </c>
      <c r="D9" s="238">
        <f>'UE-140188 IA-2'!J18</f>
        <v>5813342.5497185402</v>
      </c>
    </row>
    <row r="10" spans="1:16" s="225" customFormat="1">
      <c r="A10" s="226"/>
      <c r="B10" s="230"/>
      <c r="C10" s="237"/>
      <c r="D10" s="232"/>
    </row>
    <row r="11" spans="1:16" s="225" customFormat="1" ht="15.75" thickBot="1">
      <c r="A11" s="226" t="s">
        <v>153</v>
      </c>
      <c r="B11" s="230"/>
      <c r="C11" s="237"/>
      <c r="D11" s="239">
        <f>D9-D7</f>
        <v>1225326.9019810399</v>
      </c>
    </row>
    <row r="12" spans="1:16" s="225" customFormat="1">
      <c r="A12" s="226"/>
      <c r="B12" s="226"/>
    </row>
    <row r="13" spans="1:16" s="240" customFormat="1" ht="30.75" thickBot="1">
      <c r="C13" s="241"/>
      <c r="D13" s="242" t="s">
        <v>193</v>
      </c>
      <c r="F13" s="242" t="s">
        <v>194</v>
      </c>
      <c r="H13" s="242" t="s">
        <v>195</v>
      </c>
      <c r="J13" s="244"/>
      <c r="K13" s="245"/>
    </row>
    <row r="14" spans="1:16" ht="18.75" customHeight="1">
      <c r="A14" s="246" t="s">
        <v>156</v>
      </c>
      <c r="B14" s="246"/>
      <c r="D14" s="232">
        <f>D11</f>
        <v>1225326.9019810399</v>
      </c>
      <c r="F14" s="232">
        <f>-'UE-140188 IA-2'!J13*0.1</f>
        <v>-136927.71744867004</v>
      </c>
      <c r="H14" s="232">
        <f>SUM(D14,F14)</f>
        <v>1088399.18453237</v>
      </c>
      <c r="J14" s="249"/>
      <c r="K14" s="245"/>
    </row>
    <row r="15" spans="1:16">
      <c r="J15" s="244"/>
      <c r="K15" s="245"/>
    </row>
    <row r="16" spans="1:16">
      <c r="A16" s="250" t="s">
        <v>158</v>
      </c>
      <c r="B16" s="250"/>
      <c r="J16" s="249"/>
      <c r="K16" s="245"/>
    </row>
    <row r="17" spans="1:11">
      <c r="A17" s="246">
        <v>0.72345999999999999</v>
      </c>
      <c r="B17" s="246"/>
      <c r="C17" s="247" t="s">
        <v>159</v>
      </c>
      <c r="J17" s="244"/>
      <c r="K17" s="245"/>
    </row>
    <row r="18" spans="1:11" ht="15.75" thickBot="1">
      <c r="A18" s="246">
        <v>0.70603000000000005</v>
      </c>
      <c r="B18" s="246"/>
      <c r="C18" s="247" t="s">
        <v>160</v>
      </c>
      <c r="D18" s="253">
        <f>ROUND((D14)*$A$17*$A$18,0)</f>
        <v>625878</v>
      </c>
      <c r="F18" s="253">
        <f>ROUND((F14)*$A$17*$A$18,0)</f>
        <v>-69941</v>
      </c>
      <c r="H18" s="253">
        <f>SUM(D18,F18)</f>
        <v>555937</v>
      </c>
    </row>
    <row r="19" spans="1:11" ht="6.75" customHeight="1" thickTop="1"/>
    <row r="20" spans="1:11">
      <c r="A20" s="250" t="s">
        <v>161</v>
      </c>
      <c r="B20" s="250"/>
    </row>
    <row r="21" spans="1:11">
      <c r="A21" s="306">
        <v>0.19400999999999999</v>
      </c>
      <c r="B21" s="246"/>
      <c r="C21" s="247" t="s">
        <v>159</v>
      </c>
    </row>
    <row r="22" spans="1:11" ht="15.75" thickBot="1">
      <c r="A22" s="246">
        <v>0.70603000000000005</v>
      </c>
      <c r="B22" s="246"/>
      <c r="C22" s="247" t="s">
        <v>160</v>
      </c>
      <c r="D22" s="253">
        <f>ROUND((D14)*$A$21*$A$22,0)</f>
        <v>167841</v>
      </c>
      <c r="F22" s="253">
        <f>ROUND((F14)*$A$21*$A$22,0)</f>
        <v>-18756</v>
      </c>
      <c r="H22" s="253">
        <f>SUM(D22,F22)</f>
        <v>149085</v>
      </c>
    </row>
    <row r="23" spans="1:11" ht="15.75" thickTop="1"/>
    <row r="24" spans="1:11">
      <c r="A24" s="250" t="s">
        <v>162</v>
      </c>
      <c r="B24" s="250"/>
    </row>
    <row r="25" spans="1:11">
      <c r="A25" s="246">
        <f>A17</f>
        <v>0.72345999999999999</v>
      </c>
      <c r="B25" s="246"/>
      <c r="C25" s="247" t="s">
        <v>159</v>
      </c>
    </row>
    <row r="26" spans="1:11" ht="15.75" thickBot="1">
      <c r="A26" s="306">
        <v>0.29397000000000001</v>
      </c>
      <c r="B26" s="246"/>
      <c r="C26" s="247" t="s">
        <v>160</v>
      </c>
      <c r="D26" s="253">
        <f>ROUND((D14)*$A$25*$A$26,0)</f>
        <v>260597</v>
      </c>
      <c r="F26" s="255"/>
      <c r="G26" s="254"/>
      <c r="H26" s="255"/>
    </row>
    <row r="27" spans="1:11" ht="6.75" customHeight="1" thickTop="1">
      <c r="F27" s="254"/>
      <c r="G27" s="254"/>
      <c r="H27" s="254"/>
    </row>
    <row r="28" spans="1:11">
      <c r="A28" s="250" t="s">
        <v>163</v>
      </c>
      <c r="B28" s="250"/>
      <c r="F28" s="254"/>
      <c r="G28" s="254"/>
      <c r="H28" s="254"/>
    </row>
    <row r="29" spans="1:11">
      <c r="A29" s="246">
        <f>A21</f>
        <v>0.19400999999999999</v>
      </c>
      <c r="B29" s="246"/>
      <c r="C29" s="247" t="s">
        <v>159</v>
      </c>
      <c r="F29" s="254"/>
      <c r="G29" s="254"/>
      <c r="H29" s="254"/>
    </row>
    <row r="30" spans="1:11" ht="15.75" thickBot="1">
      <c r="A30" s="246">
        <v>0.29397000000000001</v>
      </c>
      <c r="B30" s="246"/>
      <c r="C30" s="247" t="s">
        <v>160</v>
      </c>
      <c r="D30" s="253">
        <f>ROUND((D14)*$A$29*$A$30,0)</f>
        <v>69884</v>
      </c>
      <c r="F30" s="255"/>
      <c r="G30" s="254"/>
      <c r="H30" s="255"/>
    </row>
    <row r="31" spans="1:11" ht="15.75" thickTop="1">
      <c r="A31" s="246"/>
      <c r="B31" s="246"/>
      <c r="D31" s="255"/>
      <c r="F31" s="255"/>
      <c r="G31" s="254"/>
      <c r="H31" s="255"/>
    </row>
    <row r="32" spans="1:11" s="254" customFormat="1" ht="15.75" thickBot="1">
      <c r="A32" s="256" t="s">
        <v>164</v>
      </c>
      <c r="B32" s="256"/>
      <c r="D32" s="255"/>
      <c r="F32" s="255"/>
      <c r="H32" s="255"/>
    </row>
    <row r="33" spans="1:8" s="254" customFormat="1" ht="15.75" thickBot="1">
      <c r="A33" s="258">
        <v>8.2530000000000006E-2</v>
      </c>
      <c r="B33" s="258"/>
      <c r="C33" s="254" t="s">
        <v>159</v>
      </c>
      <c r="D33" s="307">
        <f>ROUND((D14)*$A$33,0)</f>
        <v>101126</v>
      </c>
      <c r="F33" s="255"/>
      <c r="H33" s="255"/>
    </row>
    <row r="34" spans="1:8" s="254" customFormat="1">
      <c r="A34" s="258"/>
      <c r="B34" s="258"/>
    </row>
    <row r="35" spans="1:8" s="254" customFormat="1">
      <c r="A35" s="258"/>
      <c r="B35" s="258"/>
      <c r="D35" s="259">
        <f>D18+D22+D26+D30+D33-D14</f>
        <v>-0.90198103990405798</v>
      </c>
    </row>
    <row r="36" spans="1:8" s="254" customFormat="1">
      <c r="A36" s="258"/>
      <c r="B36" s="258"/>
      <c r="D36" s="260" t="s">
        <v>165</v>
      </c>
      <c r="E36" s="262"/>
      <c r="F36" s="262"/>
      <c r="G36" s="262"/>
      <c r="H36" s="262" t="s">
        <v>168</v>
      </c>
    </row>
    <row r="37" spans="1:8">
      <c r="C37" s="247" t="s">
        <v>166</v>
      </c>
      <c r="D37" s="308">
        <f>$H$18*F37</f>
        <v>389155.89999999997</v>
      </c>
      <c r="F37" s="263">
        <v>0.7</v>
      </c>
      <c r="H37" s="308">
        <f>$H$22*F37</f>
        <v>104359.5</v>
      </c>
    </row>
    <row r="38" spans="1:8">
      <c r="C38" s="247" t="s">
        <v>167</v>
      </c>
      <c r="D38" s="308">
        <f>$H$18*F38</f>
        <v>166781.1</v>
      </c>
      <c r="F38" s="263">
        <v>0.3</v>
      </c>
      <c r="H38" s="308">
        <f>$H$22*F38</f>
        <v>44725.5</v>
      </c>
    </row>
    <row r="39" spans="1:8">
      <c r="D39" s="309">
        <f>SUM(D37:D38)</f>
        <v>555937</v>
      </c>
      <c r="H39" s="309">
        <f>SUM(H37:H38)</f>
        <v>149085</v>
      </c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5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zoomScaleSheetLayoutView="100" workbookViewId="0">
      <selection activeCell="H25" sqref="H25"/>
    </sheetView>
  </sheetViews>
  <sheetFormatPr defaultColWidth="9.140625" defaultRowHeight="12"/>
  <cols>
    <col min="1" max="1" width="29.7109375" style="268" customWidth="1"/>
    <col min="2" max="2" width="10.42578125" style="268" bestFit="1" customWidth="1"/>
    <col min="3" max="3" width="10.140625" style="268" customWidth="1"/>
    <col min="4" max="4" width="11.140625" style="268" bestFit="1" customWidth="1"/>
    <col min="5" max="6" width="11.140625" style="268" customWidth="1"/>
    <col min="7" max="7" width="4.28515625" style="268" customWidth="1"/>
    <col min="8" max="9" width="11.140625" style="268" customWidth="1"/>
    <col min="10" max="10" width="13.140625" style="268" customWidth="1"/>
    <col min="11" max="11" width="10.7109375" style="268" bestFit="1" customWidth="1"/>
    <col min="12" max="12" width="4.5703125" style="245" hidden="1" customWidth="1"/>
    <col min="13" max="13" width="9.140625" style="245" bestFit="1" customWidth="1"/>
    <col min="14" max="14" width="14" style="245" customWidth="1"/>
    <col min="15" max="15" width="9.28515625" style="245" customWidth="1"/>
    <col min="16" max="16" width="10.42578125" style="245" bestFit="1" customWidth="1"/>
    <col min="17" max="17" width="13.85546875" style="245" bestFit="1" customWidth="1"/>
    <col min="18" max="22" width="9.140625" style="245"/>
    <col min="23" max="16384" width="9.140625" style="268"/>
  </cols>
  <sheetData>
    <row r="1" spans="1:22" s="225" customFormat="1" ht="15" customHeight="1">
      <c r="A1" s="338" t="s">
        <v>144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224"/>
      <c r="O1" s="224"/>
      <c r="P1" s="224"/>
      <c r="Q1" s="224"/>
      <c r="R1" s="224"/>
      <c r="S1" s="224"/>
    </row>
    <row r="2" spans="1:22" s="225" customFormat="1" ht="15" customHeight="1">
      <c r="A2" s="338" t="s">
        <v>145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224"/>
      <c r="O2" s="224"/>
      <c r="P2" s="224"/>
      <c r="Q2" s="224"/>
      <c r="R2" s="224"/>
      <c r="S2" s="224"/>
    </row>
    <row r="3" spans="1:22" s="225" customFormat="1" ht="15" customHeight="1">
      <c r="A3" s="338" t="s">
        <v>196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224"/>
      <c r="O3" s="224"/>
      <c r="P3" s="224"/>
      <c r="Q3" s="224"/>
      <c r="R3" s="224"/>
      <c r="S3" s="224"/>
    </row>
    <row r="4" spans="1:22" s="225" customFormat="1" ht="15" customHeight="1">
      <c r="A4" s="338" t="s">
        <v>188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224"/>
      <c r="O4" s="224"/>
      <c r="P4" s="224"/>
      <c r="Q4" s="224"/>
      <c r="R4" s="224"/>
      <c r="S4" s="224"/>
    </row>
    <row r="5" spans="1:22" ht="12.75" thickBot="1">
      <c r="A5" s="266"/>
      <c r="B5" s="267"/>
      <c r="C5" s="267"/>
      <c r="D5" s="267"/>
      <c r="E5" s="267"/>
      <c r="F5" s="267"/>
      <c r="G5" s="267"/>
      <c r="H5" s="267"/>
      <c r="I5" s="267"/>
      <c r="K5" s="267"/>
      <c r="L5" s="249"/>
    </row>
    <row r="6" spans="1:22" ht="12.75" thickBot="1">
      <c r="A6" s="340" t="s">
        <v>170</v>
      </c>
      <c r="B6" s="341"/>
      <c r="C6" s="341"/>
      <c r="D6" s="341"/>
      <c r="E6" s="341"/>
      <c r="F6" s="341"/>
      <c r="G6" s="341"/>
      <c r="H6" s="341"/>
      <c r="I6" s="341"/>
      <c r="J6" s="341"/>
      <c r="K6" s="342"/>
      <c r="L6" s="249"/>
    </row>
    <row r="7" spans="1:22" s="266" customFormat="1">
      <c r="A7" s="266" t="s">
        <v>171</v>
      </c>
      <c r="B7" s="269"/>
      <c r="C7" s="269"/>
      <c r="D7" s="269"/>
      <c r="E7" s="269"/>
      <c r="F7" s="269"/>
      <c r="G7" s="269"/>
      <c r="H7" s="310" t="s">
        <v>197</v>
      </c>
      <c r="I7" s="311">
        <v>41990</v>
      </c>
      <c r="J7" s="310" t="s">
        <v>197</v>
      </c>
      <c r="K7" s="311">
        <v>41990</v>
      </c>
      <c r="L7" s="312"/>
      <c r="M7" s="273"/>
      <c r="N7" s="273"/>
      <c r="O7" s="273"/>
      <c r="P7" s="273"/>
      <c r="Q7" s="273"/>
      <c r="R7" s="273"/>
      <c r="S7" s="273"/>
      <c r="T7" s="273"/>
      <c r="U7" s="273"/>
      <c r="V7" s="273"/>
    </row>
    <row r="8" spans="1:22" s="266" customFormat="1">
      <c r="A8" s="273"/>
      <c r="B8" s="313">
        <v>2012</v>
      </c>
      <c r="C8" s="314"/>
      <c r="D8" s="315">
        <v>2013</v>
      </c>
      <c r="E8" s="315"/>
      <c r="F8" s="315" t="s">
        <v>198</v>
      </c>
      <c r="G8" s="315"/>
      <c r="H8" s="343" t="s">
        <v>199</v>
      </c>
      <c r="I8" s="343"/>
      <c r="J8" s="343" t="s">
        <v>200</v>
      </c>
      <c r="K8" s="343"/>
      <c r="L8" s="316"/>
      <c r="M8" s="274"/>
      <c r="N8" s="274"/>
      <c r="O8" s="274"/>
      <c r="P8" s="274"/>
      <c r="Q8" s="274"/>
      <c r="R8" s="339"/>
      <c r="S8" s="339"/>
      <c r="T8" s="339"/>
      <c r="U8" s="339"/>
      <c r="V8" s="339"/>
    </row>
    <row r="9" spans="1:22">
      <c r="A9" s="245" t="s">
        <v>192</v>
      </c>
      <c r="B9" s="277" t="s">
        <v>175</v>
      </c>
      <c r="C9" s="277" t="s">
        <v>177</v>
      </c>
      <c r="D9" s="277" t="s">
        <v>175</v>
      </c>
      <c r="E9" s="277" t="s">
        <v>177</v>
      </c>
      <c r="F9" s="277" t="s">
        <v>175</v>
      </c>
      <c r="G9" s="277"/>
      <c r="H9" s="317" t="s">
        <v>176</v>
      </c>
      <c r="I9" s="277" t="s">
        <v>177</v>
      </c>
      <c r="J9" s="317" t="s">
        <v>176</v>
      </c>
      <c r="K9" s="277" t="s">
        <v>177</v>
      </c>
      <c r="L9" s="249"/>
      <c r="M9" s="280"/>
      <c r="N9" s="281"/>
      <c r="O9" s="281"/>
      <c r="P9" s="280"/>
      <c r="Q9" s="280"/>
      <c r="R9" s="282"/>
      <c r="S9" s="282"/>
      <c r="T9" s="282"/>
      <c r="U9" s="276"/>
      <c r="V9" s="276"/>
    </row>
    <row r="10" spans="1:22">
      <c r="B10" s="267"/>
      <c r="C10" s="267"/>
      <c r="D10" s="267"/>
      <c r="E10" s="267"/>
      <c r="F10" s="267"/>
      <c r="G10" s="267"/>
      <c r="I10" s="267"/>
      <c r="K10" s="267"/>
      <c r="L10" s="249"/>
    </row>
    <row r="11" spans="1:22">
      <c r="A11" s="273" t="s">
        <v>140</v>
      </c>
      <c r="B11" s="318">
        <f>'[4]2012 GL Actual'!E16</f>
        <v>2089148.4749999999</v>
      </c>
      <c r="C11" s="319" t="s">
        <v>201</v>
      </c>
      <c r="D11" s="318">
        <f>'[4]2013 GL Actual'!E17</f>
        <v>2234724.9378499999</v>
      </c>
      <c r="E11" s="319" t="s">
        <v>201</v>
      </c>
      <c r="F11" s="319">
        <f>(B11/2)+(D11/2)</f>
        <v>2161936.706425</v>
      </c>
      <c r="G11" s="319"/>
      <c r="H11" s="318">
        <f>'[4]2014 GL Est'!G17</f>
        <v>2446040.6749999998</v>
      </c>
      <c r="I11" s="319" t="s">
        <v>179</v>
      </c>
      <c r="J11" s="320">
        <f>'[4]IA-3'!G17</f>
        <v>2690644.7425000006</v>
      </c>
      <c r="K11" s="319" t="s">
        <v>179</v>
      </c>
      <c r="L11" s="244">
        <f>+J11/J18</f>
        <v>0.46283953155835816</v>
      </c>
      <c r="M11" s="245" t="s">
        <v>166</v>
      </c>
      <c r="O11" s="321"/>
    </row>
    <row r="12" spans="1:22">
      <c r="B12" s="267"/>
      <c r="C12" s="267"/>
      <c r="D12" s="267"/>
      <c r="E12" s="267"/>
      <c r="F12" s="267"/>
      <c r="G12" s="267"/>
      <c r="I12" s="267"/>
      <c r="J12" s="322" t="s">
        <v>202</v>
      </c>
      <c r="K12" s="267"/>
      <c r="L12" s="249"/>
    </row>
    <row r="13" spans="1:22">
      <c r="A13" s="273" t="s">
        <v>141</v>
      </c>
      <c r="B13" s="320">
        <f>'[4]2012 D&amp;O Invoiced'!E20</f>
        <v>970709.75999999989</v>
      </c>
      <c r="C13" s="319" t="s">
        <v>201</v>
      </c>
      <c r="D13" s="320">
        <f>'[4]2013 D&amp;O Invoiced'!E21</f>
        <v>1004681.3809999999</v>
      </c>
      <c r="E13" s="319" t="s">
        <v>201</v>
      </c>
      <c r="F13" s="319">
        <f>(B13/2)+(D13/2)</f>
        <v>987695.57049999991</v>
      </c>
      <c r="G13" s="319"/>
      <c r="H13" s="320">
        <f>'[4]2014 D&amp;O Est'!G19</f>
        <v>1155777.7141311998</v>
      </c>
      <c r="I13" s="319" t="s">
        <v>179</v>
      </c>
      <c r="J13" s="320">
        <f>'[4]IA-4'!G19</f>
        <v>1369277.1744867002</v>
      </c>
      <c r="K13" s="319" t="s">
        <v>179</v>
      </c>
      <c r="L13" s="244">
        <f>+J13/J18</f>
        <v>0.23554042494072458</v>
      </c>
      <c r="M13" s="245" t="s">
        <v>166</v>
      </c>
      <c r="O13" s="321"/>
    </row>
    <row r="14" spans="1:22">
      <c r="B14" s="267"/>
      <c r="C14" s="267"/>
      <c r="D14" s="267"/>
      <c r="E14" s="267"/>
      <c r="F14" s="267"/>
      <c r="G14" s="267"/>
      <c r="I14" s="267"/>
      <c r="J14" s="322" t="s">
        <v>203</v>
      </c>
      <c r="K14" s="267"/>
      <c r="L14" s="249"/>
    </row>
    <row r="15" spans="1:22" ht="48">
      <c r="A15" s="273" t="s">
        <v>142</v>
      </c>
      <c r="B15" s="320">
        <f>'[4]2012 Property Premium'!G7</f>
        <v>1338457.2601604168</v>
      </c>
      <c r="C15" s="319" t="s">
        <v>201</v>
      </c>
      <c r="D15" s="320">
        <f>+'[4]IA-5'!G7</f>
        <v>1520076.762947917</v>
      </c>
      <c r="E15" s="323" t="s">
        <v>204</v>
      </c>
      <c r="F15" s="323">
        <f>((+'[4]2012 Property Premium'!B7/12)*5)+(('[4]2012 Property Premium'!E7/12)*7)</f>
        <v>1438383.3708125004</v>
      </c>
      <c r="G15" s="323"/>
      <c r="H15" s="320">
        <f>+'[4]IA-5'!G14</f>
        <v>1516591.3578207009</v>
      </c>
      <c r="I15" s="324" t="s">
        <v>179</v>
      </c>
      <c r="J15" s="320">
        <f>+'[4]IA-5'!G21</f>
        <v>1753420.6327318395</v>
      </c>
      <c r="K15" s="324" t="s">
        <v>179</v>
      </c>
      <c r="L15" s="244">
        <f>+J15/J18</f>
        <v>0.30162004350091731</v>
      </c>
      <c r="M15" s="245" t="s">
        <v>167</v>
      </c>
      <c r="O15" s="321"/>
    </row>
    <row r="16" spans="1:22">
      <c r="A16" s="245"/>
      <c r="B16" s="267"/>
      <c r="C16" s="267"/>
      <c r="D16" s="267"/>
      <c r="E16" s="267"/>
      <c r="F16" s="267"/>
      <c r="G16" s="267"/>
      <c r="I16" s="267"/>
      <c r="J16" s="322" t="s">
        <v>205</v>
      </c>
      <c r="K16" s="267"/>
      <c r="L16" s="249"/>
    </row>
    <row r="17" spans="1:12">
      <c r="A17" s="245"/>
      <c r="B17" s="267"/>
      <c r="C17" s="267"/>
      <c r="D17" s="267"/>
      <c r="E17" s="267"/>
      <c r="F17" s="267"/>
      <c r="G17" s="267"/>
      <c r="I17" s="267"/>
      <c r="K17" s="267"/>
      <c r="L17" s="249"/>
    </row>
    <row r="18" spans="1:12">
      <c r="A18" s="266" t="s">
        <v>180</v>
      </c>
      <c r="B18" s="318">
        <f>+B11+B13+B15</f>
        <v>4398315.4951604167</v>
      </c>
      <c r="C18" s="267"/>
      <c r="D18" s="318">
        <f>+D11+D13+D15</f>
        <v>4759483.0817979164</v>
      </c>
      <c r="E18" s="267"/>
      <c r="F18" s="318">
        <f>+F11+F13+F15</f>
        <v>4588015.6477375003</v>
      </c>
      <c r="G18" s="267"/>
      <c r="H18" s="318">
        <f>+H11+H13+H15</f>
        <v>5118409.7469519004</v>
      </c>
      <c r="I18" s="325" t="s">
        <v>206</v>
      </c>
      <c r="J18" s="318">
        <f>+J11+J13+J15</f>
        <v>5813342.5497185402</v>
      </c>
      <c r="K18" s="325" t="s">
        <v>206</v>
      </c>
      <c r="L18" s="249"/>
    </row>
    <row r="19" spans="1:12">
      <c r="A19" s="245"/>
      <c r="E19" s="267"/>
      <c r="F19" s="325" t="s">
        <v>206</v>
      </c>
      <c r="G19" s="267"/>
      <c r="I19" s="267"/>
      <c r="K19" s="267"/>
      <c r="L19" s="249"/>
    </row>
    <row r="20" spans="1:12">
      <c r="A20" s="245"/>
      <c r="B20" s="267"/>
      <c r="C20" s="267"/>
      <c r="D20" s="267"/>
      <c r="E20" s="267"/>
      <c r="F20" s="267"/>
      <c r="G20" s="267"/>
      <c r="H20" s="267"/>
      <c r="I20" s="267"/>
      <c r="K20" s="267"/>
      <c r="L20" s="249"/>
    </row>
    <row r="21" spans="1:12">
      <c r="A21" s="266" t="s">
        <v>185</v>
      </c>
      <c r="C21" s="326"/>
    </row>
    <row r="23" spans="1:12">
      <c r="A23" s="302" t="s">
        <v>186</v>
      </c>
    </row>
    <row r="24" spans="1:12">
      <c r="A24" s="268" t="s">
        <v>207</v>
      </c>
    </row>
  </sheetData>
  <mergeCells count="8">
    <mergeCell ref="R8:V8"/>
    <mergeCell ref="A1:M1"/>
    <mergeCell ref="A2:M2"/>
    <mergeCell ref="A3:M3"/>
    <mergeCell ref="A4:M4"/>
    <mergeCell ref="A6:K6"/>
    <mergeCell ref="H8:I8"/>
    <mergeCell ref="J8:K8"/>
  </mergeCells>
  <pageMargins left="1.1399999999999999" right="0.45" top="1" bottom="1" header="0.5" footer="0.5"/>
  <pageSetup scale="85"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M21" sqref="M21"/>
    </sheetView>
  </sheetViews>
  <sheetFormatPr defaultColWidth="8" defaultRowHeight="12.75"/>
  <cols>
    <col min="1" max="1" width="33.7109375" customWidth="1"/>
    <col min="2" max="2" width="3.42578125" customWidth="1"/>
    <col min="3" max="3" width="9.7109375" customWidth="1"/>
    <col min="4" max="4" width="17.85546875" customWidth="1"/>
    <col min="5" max="5" width="2.140625" customWidth="1"/>
    <col min="6" max="6" width="12.140625" customWidth="1"/>
    <col min="7" max="7" width="2.140625" customWidth="1"/>
    <col min="8" max="8" width="12.5703125" customWidth="1"/>
    <col min="255" max="255" width="26.5703125" customWidth="1"/>
    <col min="256" max="256" width="14.42578125" bestFit="1" customWidth="1"/>
    <col min="257" max="257" width="16.42578125" bestFit="1" customWidth="1"/>
    <col min="258" max="258" width="11.7109375" customWidth="1"/>
    <col min="511" max="511" width="26.5703125" customWidth="1"/>
    <col min="512" max="512" width="14.42578125" bestFit="1" customWidth="1"/>
    <col min="513" max="513" width="16.42578125" bestFit="1" customWidth="1"/>
    <col min="514" max="514" width="11.7109375" customWidth="1"/>
    <col min="767" max="767" width="26.5703125" customWidth="1"/>
    <col min="768" max="768" width="14.42578125" bestFit="1" customWidth="1"/>
    <col min="769" max="769" width="16.42578125" bestFit="1" customWidth="1"/>
    <col min="770" max="770" width="11.7109375" customWidth="1"/>
    <col min="1023" max="1023" width="26.5703125" customWidth="1"/>
    <col min="1024" max="1024" width="14.42578125" bestFit="1" customWidth="1"/>
    <col min="1025" max="1025" width="16.42578125" bestFit="1" customWidth="1"/>
    <col min="1026" max="1026" width="11.7109375" customWidth="1"/>
    <col min="1279" max="1279" width="26.5703125" customWidth="1"/>
    <col min="1280" max="1280" width="14.42578125" bestFit="1" customWidth="1"/>
    <col min="1281" max="1281" width="16.42578125" bestFit="1" customWidth="1"/>
    <col min="1282" max="1282" width="11.7109375" customWidth="1"/>
    <col min="1535" max="1535" width="26.5703125" customWidth="1"/>
    <col min="1536" max="1536" width="14.42578125" bestFit="1" customWidth="1"/>
    <col min="1537" max="1537" width="16.42578125" bestFit="1" customWidth="1"/>
    <col min="1538" max="1538" width="11.7109375" customWidth="1"/>
    <col min="1791" max="1791" width="26.5703125" customWidth="1"/>
    <col min="1792" max="1792" width="14.42578125" bestFit="1" customWidth="1"/>
    <col min="1793" max="1793" width="16.42578125" bestFit="1" customWidth="1"/>
    <col min="1794" max="1794" width="11.7109375" customWidth="1"/>
    <col min="2047" max="2047" width="26.5703125" customWidth="1"/>
    <col min="2048" max="2048" width="14.42578125" bestFit="1" customWidth="1"/>
    <col min="2049" max="2049" width="16.42578125" bestFit="1" customWidth="1"/>
    <col min="2050" max="2050" width="11.7109375" customWidth="1"/>
    <col min="2303" max="2303" width="26.5703125" customWidth="1"/>
    <col min="2304" max="2304" width="14.42578125" bestFit="1" customWidth="1"/>
    <col min="2305" max="2305" width="16.42578125" bestFit="1" customWidth="1"/>
    <col min="2306" max="2306" width="11.7109375" customWidth="1"/>
    <col min="2559" max="2559" width="26.5703125" customWidth="1"/>
    <col min="2560" max="2560" width="14.42578125" bestFit="1" customWidth="1"/>
    <col min="2561" max="2561" width="16.42578125" bestFit="1" customWidth="1"/>
    <col min="2562" max="2562" width="11.7109375" customWidth="1"/>
    <col min="2815" max="2815" width="26.5703125" customWidth="1"/>
    <col min="2816" max="2816" width="14.42578125" bestFit="1" customWidth="1"/>
    <col min="2817" max="2817" width="16.42578125" bestFit="1" customWidth="1"/>
    <col min="2818" max="2818" width="11.7109375" customWidth="1"/>
    <col min="3071" max="3071" width="26.5703125" customWidth="1"/>
    <col min="3072" max="3072" width="14.42578125" bestFit="1" customWidth="1"/>
    <col min="3073" max="3073" width="16.42578125" bestFit="1" customWidth="1"/>
    <col min="3074" max="3074" width="11.7109375" customWidth="1"/>
    <col min="3327" max="3327" width="26.5703125" customWidth="1"/>
    <col min="3328" max="3328" width="14.42578125" bestFit="1" customWidth="1"/>
    <col min="3329" max="3329" width="16.42578125" bestFit="1" customWidth="1"/>
    <col min="3330" max="3330" width="11.7109375" customWidth="1"/>
    <col min="3583" max="3583" width="26.5703125" customWidth="1"/>
    <col min="3584" max="3584" width="14.42578125" bestFit="1" customWidth="1"/>
    <col min="3585" max="3585" width="16.42578125" bestFit="1" customWidth="1"/>
    <col min="3586" max="3586" width="11.7109375" customWidth="1"/>
    <col min="3839" max="3839" width="26.5703125" customWidth="1"/>
    <col min="3840" max="3840" width="14.42578125" bestFit="1" customWidth="1"/>
    <col min="3841" max="3841" width="16.42578125" bestFit="1" customWidth="1"/>
    <col min="3842" max="3842" width="11.7109375" customWidth="1"/>
    <col min="4095" max="4095" width="26.5703125" customWidth="1"/>
    <col min="4096" max="4096" width="14.42578125" bestFit="1" customWidth="1"/>
    <col min="4097" max="4097" width="16.42578125" bestFit="1" customWidth="1"/>
    <col min="4098" max="4098" width="11.7109375" customWidth="1"/>
    <col min="4351" max="4351" width="26.5703125" customWidth="1"/>
    <col min="4352" max="4352" width="14.42578125" bestFit="1" customWidth="1"/>
    <col min="4353" max="4353" width="16.42578125" bestFit="1" customWidth="1"/>
    <col min="4354" max="4354" width="11.7109375" customWidth="1"/>
    <col min="4607" max="4607" width="26.5703125" customWidth="1"/>
    <col min="4608" max="4608" width="14.42578125" bestFit="1" customWidth="1"/>
    <col min="4609" max="4609" width="16.42578125" bestFit="1" customWidth="1"/>
    <col min="4610" max="4610" width="11.7109375" customWidth="1"/>
    <col min="4863" max="4863" width="26.5703125" customWidth="1"/>
    <col min="4864" max="4864" width="14.42578125" bestFit="1" customWidth="1"/>
    <col min="4865" max="4865" width="16.42578125" bestFit="1" customWidth="1"/>
    <col min="4866" max="4866" width="11.7109375" customWidth="1"/>
    <col min="5119" max="5119" width="26.5703125" customWidth="1"/>
    <col min="5120" max="5120" width="14.42578125" bestFit="1" customWidth="1"/>
    <col min="5121" max="5121" width="16.42578125" bestFit="1" customWidth="1"/>
    <col min="5122" max="5122" width="11.7109375" customWidth="1"/>
    <col min="5375" max="5375" width="26.5703125" customWidth="1"/>
    <col min="5376" max="5376" width="14.42578125" bestFit="1" customWidth="1"/>
    <col min="5377" max="5377" width="16.42578125" bestFit="1" customWidth="1"/>
    <col min="5378" max="5378" width="11.7109375" customWidth="1"/>
    <col min="5631" max="5631" width="26.5703125" customWidth="1"/>
    <col min="5632" max="5632" width="14.42578125" bestFit="1" customWidth="1"/>
    <col min="5633" max="5633" width="16.42578125" bestFit="1" customWidth="1"/>
    <col min="5634" max="5634" width="11.7109375" customWidth="1"/>
    <col min="5887" max="5887" width="26.5703125" customWidth="1"/>
    <col min="5888" max="5888" width="14.42578125" bestFit="1" customWidth="1"/>
    <col min="5889" max="5889" width="16.42578125" bestFit="1" customWidth="1"/>
    <col min="5890" max="5890" width="11.7109375" customWidth="1"/>
    <col min="6143" max="6143" width="26.5703125" customWidth="1"/>
    <col min="6144" max="6144" width="14.42578125" bestFit="1" customWidth="1"/>
    <col min="6145" max="6145" width="16.42578125" bestFit="1" customWidth="1"/>
    <col min="6146" max="6146" width="11.7109375" customWidth="1"/>
    <col min="6399" max="6399" width="26.5703125" customWidth="1"/>
    <col min="6400" max="6400" width="14.42578125" bestFit="1" customWidth="1"/>
    <col min="6401" max="6401" width="16.42578125" bestFit="1" customWidth="1"/>
    <col min="6402" max="6402" width="11.7109375" customWidth="1"/>
    <col min="6655" max="6655" width="26.5703125" customWidth="1"/>
    <col min="6656" max="6656" width="14.42578125" bestFit="1" customWidth="1"/>
    <col min="6657" max="6657" width="16.42578125" bestFit="1" customWidth="1"/>
    <col min="6658" max="6658" width="11.7109375" customWidth="1"/>
    <col min="6911" max="6911" width="26.5703125" customWidth="1"/>
    <col min="6912" max="6912" width="14.42578125" bestFit="1" customWidth="1"/>
    <col min="6913" max="6913" width="16.42578125" bestFit="1" customWidth="1"/>
    <col min="6914" max="6914" width="11.7109375" customWidth="1"/>
    <col min="7167" max="7167" width="26.5703125" customWidth="1"/>
    <col min="7168" max="7168" width="14.42578125" bestFit="1" customWidth="1"/>
    <col min="7169" max="7169" width="16.42578125" bestFit="1" customWidth="1"/>
    <col min="7170" max="7170" width="11.7109375" customWidth="1"/>
    <col min="7423" max="7423" width="26.5703125" customWidth="1"/>
    <col min="7424" max="7424" width="14.42578125" bestFit="1" customWidth="1"/>
    <col min="7425" max="7425" width="16.42578125" bestFit="1" customWidth="1"/>
    <col min="7426" max="7426" width="11.7109375" customWidth="1"/>
    <col min="7679" max="7679" width="26.5703125" customWidth="1"/>
    <col min="7680" max="7680" width="14.42578125" bestFit="1" customWidth="1"/>
    <col min="7681" max="7681" width="16.42578125" bestFit="1" customWidth="1"/>
    <col min="7682" max="7682" width="11.7109375" customWidth="1"/>
    <col min="7935" max="7935" width="26.5703125" customWidth="1"/>
    <col min="7936" max="7936" width="14.42578125" bestFit="1" customWidth="1"/>
    <col min="7937" max="7937" width="16.42578125" bestFit="1" customWidth="1"/>
    <col min="7938" max="7938" width="11.7109375" customWidth="1"/>
    <col min="8191" max="8191" width="26.5703125" customWidth="1"/>
    <col min="8192" max="8192" width="14.42578125" bestFit="1" customWidth="1"/>
    <col min="8193" max="8193" width="16.42578125" bestFit="1" customWidth="1"/>
    <col min="8194" max="8194" width="11.7109375" customWidth="1"/>
    <col min="8447" max="8447" width="26.5703125" customWidth="1"/>
    <col min="8448" max="8448" width="14.42578125" bestFit="1" customWidth="1"/>
    <col min="8449" max="8449" width="16.42578125" bestFit="1" customWidth="1"/>
    <col min="8450" max="8450" width="11.7109375" customWidth="1"/>
    <col min="8703" max="8703" width="26.5703125" customWidth="1"/>
    <col min="8704" max="8704" width="14.42578125" bestFit="1" customWidth="1"/>
    <col min="8705" max="8705" width="16.42578125" bestFit="1" customWidth="1"/>
    <col min="8706" max="8706" width="11.7109375" customWidth="1"/>
    <col min="8959" max="8959" width="26.5703125" customWidth="1"/>
    <col min="8960" max="8960" width="14.42578125" bestFit="1" customWidth="1"/>
    <col min="8961" max="8961" width="16.42578125" bestFit="1" customWidth="1"/>
    <col min="8962" max="8962" width="11.7109375" customWidth="1"/>
    <col min="9215" max="9215" width="26.5703125" customWidth="1"/>
    <col min="9216" max="9216" width="14.42578125" bestFit="1" customWidth="1"/>
    <col min="9217" max="9217" width="16.42578125" bestFit="1" customWidth="1"/>
    <col min="9218" max="9218" width="11.7109375" customWidth="1"/>
    <col min="9471" max="9471" width="26.5703125" customWidth="1"/>
    <col min="9472" max="9472" width="14.42578125" bestFit="1" customWidth="1"/>
    <col min="9473" max="9473" width="16.42578125" bestFit="1" customWidth="1"/>
    <col min="9474" max="9474" width="11.7109375" customWidth="1"/>
    <col min="9727" max="9727" width="26.5703125" customWidth="1"/>
    <col min="9728" max="9728" width="14.42578125" bestFit="1" customWidth="1"/>
    <col min="9729" max="9729" width="16.42578125" bestFit="1" customWidth="1"/>
    <col min="9730" max="9730" width="11.7109375" customWidth="1"/>
    <col min="9983" max="9983" width="26.5703125" customWidth="1"/>
    <col min="9984" max="9984" width="14.42578125" bestFit="1" customWidth="1"/>
    <col min="9985" max="9985" width="16.42578125" bestFit="1" customWidth="1"/>
    <col min="9986" max="9986" width="11.7109375" customWidth="1"/>
    <col min="10239" max="10239" width="26.5703125" customWidth="1"/>
    <col min="10240" max="10240" width="14.42578125" bestFit="1" customWidth="1"/>
    <col min="10241" max="10241" width="16.42578125" bestFit="1" customWidth="1"/>
    <col min="10242" max="10242" width="11.7109375" customWidth="1"/>
    <col min="10495" max="10495" width="26.5703125" customWidth="1"/>
    <col min="10496" max="10496" width="14.42578125" bestFit="1" customWidth="1"/>
    <col min="10497" max="10497" width="16.42578125" bestFit="1" customWidth="1"/>
    <col min="10498" max="10498" width="11.7109375" customWidth="1"/>
    <col min="10751" max="10751" width="26.5703125" customWidth="1"/>
    <col min="10752" max="10752" width="14.42578125" bestFit="1" customWidth="1"/>
    <col min="10753" max="10753" width="16.42578125" bestFit="1" customWidth="1"/>
    <col min="10754" max="10754" width="11.7109375" customWidth="1"/>
    <col min="11007" max="11007" width="26.5703125" customWidth="1"/>
    <col min="11008" max="11008" width="14.42578125" bestFit="1" customWidth="1"/>
    <col min="11009" max="11009" width="16.42578125" bestFit="1" customWidth="1"/>
    <col min="11010" max="11010" width="11.7109375" customWidth="1"/>
    <col min="11263" max="11263" width="26.5703125" customWidth="1"/>
    <col min="11264" max="11264" width="14.42578125" bestFit="1" customWidth="1"/>
    <col min="11265" max="11265" width="16.42578125" bestFit="1" customWidth="1"/>
    <col min="11266" max="11266" width="11.7109375" customWidth="1"/>
    <col min="11519" max="11519" width="26.5703125" customWidth="1"/>
    <col min="11520" max="11520" width="14.42578125" bestFit="1" customWidth="1"/>
    <col min="11521" max="11521" width="16.42578125" bestFit="1" customWidth="1"/>
    <col min="11522" max="11522" width="11.7109375" customWidth="1"/>
    <col min="11775" max="11775" width="26.5703125" customWidth="1"/>
    <col min="11776" max="11776" width="14.42578125" bestFit="1" customWidth="1"/>
    <col min="11777" max="11777" width="16.42578125" bestFit="1" customWidth="1"/>
    <col min="11778" max="11778" width="11.7109375" customWidth="1"/>
    <col min="12031" max="12031" width="26.5703125" customWidth="1"/>
    <col min="12032" max="12032" width="14.42578125" bestFit="1" customWidth="1"/>
    <col min="12033" max="12033" width="16.42578125" bestFit="1" customWidth="1"/>
    <col min="12034" max="12034" width="11.7109375" customWidth="1"/>
    <col min="12287" max="12287" width="26.5703125" customWidth="1"/>
    <col min="12288" max="12288" width="14.42578125" bestFit="1" customWidth="1"/>
    <col min="12289" max="12289" width="16.42578125" bestFit="1" customWidth="1"/>
    <col min="12290" max="12290" width="11.7109375" customWidth="1"/>
    <col min="12543" max="12543" width="26.5703125" customWidth="1"/>
    <col min="12544" max="12544" width="14.42578125" bestFit="1" customWidth="1"/>
    <col min="12545" max="12545" width="16.42578125" bestFit="1" customWidth="1"/>
    <col min="12546" max="12546" width="11.7109375" customWidth="1"/>
    <col min="12799" max="12799" width="26.5703125" customWidth="1"/>
    <col min="12800" max="12800" width="14.42578125" bestFit="1" customWidth="1"/>
    <col min="12801" max="12801" width="16.42578125" bestFit="1" customWidth="1"/>
    <col min="12802" max="12802" width="11.7109375" customWidth="1"/>
    <col min="13055" max="13055" width="26.5703125" customWidth="1"/>
    <col min="13056" max="13056" width="14.42578125" bestFit="1" customWidth="1"/>
    <col min="13057" max="13057" width="16.42578125" bestFit="1" customWidth="1"/>
    <col min="13058" max="13058" width="11.7109375" customWidth="1"/>
    <col min="13311" max="13311" width="26.5703125" customWidth="1"/>
    <col min="13312" max="13312" width="14.42578125" bestFit="1" customWidth="1"/>
    <col min="13313" max="13313" width="16.42578125" bestFit="1" customWidth="1"/>
    <col min="13314" max="13314" width="11.7109375" customWidth="1"/>
    <col min="13567" max="13567" width="26.5703125" customWidth="1"/>
    <col min="13568" max="13568" width="14.42578125" bestFit="1" customWidth="1"/>
    <col min="13569" max="13569" width="16.42578125" bestFit="1" customWidth="1"/>
    <col min="13570" max="13570" width="11.7109375" customWidth="1"/>
    <col min="13823" max="13823" width="26.5703125" customWidth="1"/>
    <col min="13824" max="13824" width="14.42578125" bestFit="1" customWidth="1"/>
    <col min="13825" max="13825" width="16.42578125" bestFit="1" customWidth="1"/>
    <col min="13826" max="13826" width="11.7109375" customWidth="1"/>
    <col min="14079" max="14079" width="26.5703125" customWidth="1"/>
    <col min="14080" max="14080" width="14.42578125" bestFit="1" customWidth="1"/>
    <col min="14081" max="14081" width="16.42578125" bestFit="1" customWidth="1"/>
    <col min="14082" max="14082" width="11.7109375" customWidth="1"/>
    <col min="14335" max="14335" width="26.5703125" customWidth="1"/>
    <col min="14336" max="14336" width="14.42578125" bestFit="1" customWidth="1"/>
    <col min="14337" max="14337" width="16.42578125" bestFit="1" customWidth="1"/>
    <col min="14338" max="14338" width="11.7109375" customWidth="1"/>
    <col min="14591" max="14591" width="26.5703125" customWidth="1"/>
    <col min="14592" max="14592" width="14.42578125" bestFit="1" customWidth="1"/>
    <col min="14593" max="14593" width="16.42578125" bestFit="1" customWidth="1"/>
    <col min="14594" max="14594" width="11.7109375" customWidth="1"/>
    <col min="14847" max="14847" width="26.5703125" customWidth="1"/>
    <col min="14848" max="14848" width="14.42578125" bestFit="1" customWidth="1"/>
    <col min="14849" max="14849" width="16.42578125" bestFit="1" customWidth="1"/>
    <col min="14850" max="14850" width="11.7109375" customWidth="1"/>
    <col min="15103" max="15103" width="26.5703125" customWidth="1"/>
    <col min="15104" max="15104" width="14.42578125" bestFit="1" customWidth="1"/>
    <col min="15105" max="15105" width="16.42578125" bestFit="1" customWidth="1"/>
    <col min="15106" max="15106" width="11.7109375" customWidth="1"/>
    <col min="15359" max="15359" width="26.5703125" customWidth="1"/>
    <col min="15360" max="15360" width="14.42578125" bestFit="1" customWidth="1"/>
    <col min="15361" max="15361" width="16.42578125" bestFit="1" customWidth="1"/>
    <col min="15362" max="15362" width="11.7109375" customWidth="1"/>
    <col min="15615" max="15615" width="26.5703125" customWidth="1"/>
    <col min="15616" max="15616" width="14.42578125" bestFit="1" customWidth="1"/>
    <col min="15617" max="15617" width="16.42578125" bestFit="1" customWidth="1"/>
    <col min="15618" max="15618" width="11.7109375" customWidth="1"/>
    <col min="15871" max="15871" width="26.5703125" customWidth="1"/>
    <col min="15872" max="15872" width="14.42578125" bestFit="1" customWidth="1"/>
    <col min="15873" max="15873" width="16.42578125" bestFit="1" customWidth="1"/>
    <col min="15874" max="15874" width="11.7109375" customWidth="1"/>
    <col min="16127" max="16127" width="26.5703125" customWidth="1"/>
    <col min="16128" max="16128" width="14.42578125" bestFit="1" customWidth="1"/>
    <col min="16129" max="16129" width="16.42578125" bestFit="1" customWidth="1"/>
    <col min="16130" max="16130" width="11.7109375" customWidth="1"/>
  </cols>
  <sheetData>
    <row r="1" spans="1:14" s="225" customFormat="1" ht="15">
      <c r="A1" s="338" t="s">
        <v>144</v>
      </c>
      <c r="B1" s="338"/>
      <c r="C1" s="338"/>
      <c r="D1" s="338"/>
      <c r="E1" s="338"/>
      <c r="F1" s="338"/>
      <c r="G1" s="338"/>
      <c r="H1" s="338"/>
      <c r="I1" s="224"/>
      <c r="J1" s="224"/>
      <c r="K1" s="224"/>
      <c r="L1" s="224"/>
      <c r="M1" s="224"/>
      <c r="N1" s="224"/>
    </row>
    <row r="2" spans="1:14" s="225" customFormat="1" ht="15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</row>
    <row r="3" spans="1:14" s="225" customFormat="1" ht="15">
      <c r="A3" s="338" t="s">
        <v>146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</row>
    <row r="4" spans="1:14" s="225" customFormat="1" ht="15">
      <c r="A4" s="338" t="s">
        <v>208</v>
      </c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</row>
    <row r="5" spans="1:14" s="225" customFormat="1" ht="15">
      <c r="A5" s="226"/>
      <c r="B5" s="226"/>
    </row>
    <row r="6" spans="1:14" s="225" customFormat="1" ht="15">
      <c r="A6" s="226" t="s">
        <v>189</v>
      </c>
      <c r="B6" s="227"/>
      <c r="C6" s="227"/>
      <c r="D6" s="228" t="s">
        <v>190</v>
      </c>
    </row>
    <row r="7" spans="1:14" s="225" customFormat="1" ht="15">
      <c r="A7" s="226" t="s">
        <v>171</v>
      </c>
      <c r="B7" s="230"/>
      <c r="C7" s="237"/>
      <c r="D7" s="232">
        <f>+'UE-150205 IA-2'!B18</f>
        <v>4917692.8078375002</v>
      </c>
    </row>
    <row r="8" spans="1:14" s="225" customFormat="1" ht="15">
      <c r="A8" s="226"/>
      <c r="B8" s="230"/>
      <c r="C8" s="237"/>
      <c r="D8" s="232"/>
    </row>
    <row r="9" spans="1:14" s="225" customFormat="1" ht="15">
      <c r="A9" s="226" t="s">
        <v>209</v>
      </c>
      <c r="B9" s="230"/>
      <c r="C9" s="237"/>
      <c r="D9" s="238">
        <f>'UE-150205 IA-2'!D18</f>
        <v>5575651.2269211132</v>
      </c>
    </row>
    <row r="10" spans="1:14" s="225" customFormat="1" ht="15">
      <c r="A10" s="226"/>
      <c r="B10" s="230"/>
      <c r="C10" s="237"/>
      <c r="D10" s="232"/>
    </row>
    <row r="11" spans="1:14" s="225" customFormat="1" ht="15.75" thickBot="1">
      <c r="A11" s="226" t="s">
        <v>153</v>
      </c>
      <c r="B11" s="230"/>
      <c r="C11" s="237"/>
      <c r="D11" s="239">
        <f>D9-D7</f>
        <v>657958.41908361297</v>
      </c>
    </row>
    <row r="12" spans="1:14" s="225" customFormat="1" ht="15">
      <c r="A12" s="226"/>
      <c r="B12" s="226"/>
    </row>
    <row r="13" spans="1:14" s="240" customFormat="1" ht="30.75" thickBot="1">
      <c r="C13" s="241"/>
      <c r="D13" s="242" t="s">
        <v>193</v>
      </c>
      <c r="F13" s="242" t="s">
        <v>194</v>
      </c>
      <c r="H13" s="242" t="s">
        <v>195</v>
      </c>
      <c r="I13" s="245"/>
    </row>
    <row r="14" spans="1:14" ht="18.75" customHeight="1">
      <c r="A14" s="246" t="s">
        <v>156</v>
      </c>
      <c r="B14" s="246"/>
      <c r="C14" s="247"/>
      <c r="D14" s="232">
        <f>D11</f>
        <v>657958.41908361297</v>
      </c>
      <c r="E14" s="247"/>
      <c r="F14" s="232">
        <f>-'UE-150205 IA-2'!D13*0.1</f>
        <v>-120180.65959480003</v>
      </c>
      <c r="G14" s="247"/>
      <c r="H14" s="232">
        <f>SUM(D14,F14)</f>
        <v>537777.75948881288</v>
      </c>
      <c r="I14" s="245"/>
      <c r="J14" s="247"/>
      <c r="K14" s="247"/>
      <c r="L14" s="247"/>
      <c r="M14" s="247"/>
      <c r="N14" s="247"/>
    </row>
    <row r="15" spans="1:14" ht="15">
      <c r="A15" s="247"/>
      <c r="B15" s="247"/>
      <c r="C15" s="247"/>
      <c r="D15" s="247"/>
      <c r="E15" s="247"/>
      <c r="F15" s="247"/>
      <c r="G15" s="247"/>
      <c r="H15" s="247"/>
      <c r="I15" s="245"/>
      <c r="J15" s="247"/>
      <c r="K15" s="247"/>
      <c r="L15" s="247"/>
      <c r="M15" s="247"/>
      <c r="N15" s="247"/>
    </row>
    <row r="16" spans="1:14" ht="15">
      <c r="A16" s="250" t="s">
        <v>158</v>
      </c>
      <c r="B16" s="250"/>
      <c r="C16" s="247"/>
      <c r="D16" s="247"/>
      <c r="E16" s="247"/>
      <c r="F16" s="247"/>
      <c r="G16" s="247"/>
      <c r="H16" s="247"/>
      <c r="I16" s="245"/>
      <c r="J16" s="247"/>
      <c r="K16" s="247"/>
      <c r="L16" s="247"/>
      <c r="M16" s="247"/>
      <c r="N16" s="247"/>
    </row>
    <row r="17" spans="1:9" ht="15">
      <c r="A17" s="306">
        <v>0.71289999999999998</v>
      </c>
      <c r="B17" s="246"/>
      <c r="C17" s="247" t="s">
        <v>159</v>
      </c>
      <c r="D17" s="247"/>
      <c r="E17" s="247"/>
      <c r="F17" s="247"/>
      <c r="G17" s="247"/>
      <c r="H17" s="247"/>
      <c r="I17" s="245"/>
    </row>
    <row r="18" spans="1:9" ht="15.75" thickBot="1">
      <c r="A18" s="306">
        <v>0.67666999999999999</v>
      </c>
      <c r="B18" s="246"/>
      <c r="C18" s="247" t="s">
        <v>160</v>
      </c>
      <c r="D18" s="253">
        <f>ROUND((D14)*$A$17*$A$18,0)</f>
        <v>317398</v>
      </c>
      <c r="E18" s="247"/>
      <c r="F18" s="253">
        <f>ROUND((F14)*$A$17*$A$18,0)</f>
        <v>-57975</v>
      </c>
      <c r="G18" s="247"/>
      <c r="H18" s="253">
        <f>SUM(D18,F18)</f>
        <v>259423</v>
      </c>
      <c r="I18" s="247"/>
    </row>
    <row r="19" spans="1:9" ht="6.75" customHeight="1" thickTop="1">
      <c r="A19" s="247"/>
      <c r="B19" s="247"/>
      <c r="C19" s="247"/>
      <c r="D19" s="247"/>
      <c r="E19" s="247"/>
      <c r="F19" s="247"/>
      <c r="G19" s="247"/>
      <c r="H19" s="247"/>
      <c r="I19" s="247"/>
    </row>
    <row r="20" spans="1:9" ht="15">
      <c r="A20" s="250" t="s">
        <v>161</v>
      </c>
      <c r="B20" s="250"/>
      <c r="C20" s="247"/>
      <c r="D20" s="247"/>
      <c r="E20" s="247"/>
      <c r="F20" s="247"/>
      <c r="G20" s="247"/>
      <c r="H20" s="247"/>
      <c r="I20" s="247"/>
    </row>
    <row r="21" spans="1:9" ht="15">
      <c r="A21" s="306">
        <v>0.19822000000000001</v>
      </c>
      <c r="B21" s="246"/>
      <c r="C21" s="247" t="s">
        <v>159</v>
      </c>
      <c r="D21" s="247"/>
      <c r="E21" s="247"/>
      <c r="F21" s="247"/>
      <c r="G21" s="247"/>
      <c r="H21" s="247"/>
      <c r="I21" s="247"/>
    </row>
    <row r="22" spans="1:9" ht="15.75" thickBot="1">
      <c r="A22" s="306">
        <v>0.72184999999999999</v>
      </c>
      <c r="B22" s="246"/>
      <c r="C22" s="247" t="s">
        <v>160</v>
      </c>
      <c r="D22" s="253">
        <f>ROUND((D14)*$A$21*$A$22,0)</f>
        <v>94144</v>
      </c>
      <c r="E22" s="247"/>
      <c r="F22" s="253">
        <f>ROUND((F14)*$A$21*$A$22,0)</f>
        <v>-17196</v>
      </c>
      <c r="G22" s="247"/>
      <c r="H22" s="253">
        <f>SUM(D22,F22)</f>
        <v>76948</v>
      </c>
      <c r="I22" s="247"/>
    </row>
    <row r="23" spans="1:9" ht="15.75" thickTop="1">
      <c r="A23" s="247"/>
      <c r="B23" s="247"/>
      <c r="C23" s="247"/>
      <c r="D23" s="247"/>
      <c r="E23" s="247"/>
      <c r="F23" s="247"/>
      <c r="G23" s="247"/>
      <c r="H23" s="247"/>
      <c r="I23" s="247"/>
    </row>
    <row r="24" spans="1:9" ht="15">
      <c r="A24" s="250" t="s">
        <v>162</v>
      </c>
      <c r="B24" s="250"/>
      <c r="C24" s="247"/>
      <c r="D24" s="247"/>
      <c r="E24" s="247"/>
      <c r="F24" s="247"/>
      <c r="G24" s="247"/>
      <c r="H24" s="247"/>
      <c r="I24" s="247"/>
    </row>
    <row r="25" spans="1:9" ht="15">
      <c r="A25" s="306">
        <f>A17</f>
        <v>0.71289999999999998</v>
      </c>
      <c r="B25" s="246"/>
      <c r="C25" s="247" t="s">
        <v>159</v>
      </c>
      <c r="D25" s="247"/>
      <c r="E25" s="247"/>
      <c r="F25" s="247"/>
      <c r="G25" s="247"/>
      <c r="H25" s="247"/>
      <c r="I25" s="247"/>
    </row>
    <row r="26" spans="1:9" ht="15.75" thickBot="1">
      <c r="A26" s="306">
        <v>0.32323000000000002</v>
      </c>
      <c r="B26" s="246"/>
      <c r="C26" s="247" t="s">
        <v>160</v>
      </c>
      <c r="D26" s="253">
        <f>ROUND((D14)*$A$25*$A$26,0)</f>
        <v>151614</v>
      </c>
      <c r="E26" s="247"/>
      <c r="F26" s="255"/>
      <c r="G26" s="254"/>
      <c r="H26" s="255"/>
      <c r="I26" s="247"/>
    </row>
    <row r="27" spans="1:9" ht="6.75" customHeight="1" thickTop="1">
      <c r="A27" s="247"/>
      <c r="B27" s="247"/>
      <c r="C27" s="247"/>
      <c r="D27" s="247"/>
      <c r="E27" s="247"/>
      <c r="F27" s="254"/>
      <c r="G27" s="254"/>
      <c r="H27" s="254"/>
      <c r="I27" s="247"/>
    </row>
    <row r="28" spans="1:9" ht="15">
      <c r="A28" s="250" t="s">
        <v>163</v>
      </c>
      <c r="B28" s="250"/>
      <c r="C28" s="247"/>
      <c r="D28" s="247"/>
      <c r="E28" s="247"/>
      <c r="F28" s="254"/>
      <c r="G28" s="254"/>
      <c r="H28" s="254"/>
      <c r="I28" s="247"/>
    </row>
    <row r="29" spans="1:9" ht="15">
      <c r="A29" s="306">
        <f>A21</f>
        <v>0.19822000000000001</v>
      </c>
      <c r="B29" s="246"/>
      <c r="C29" s="247" t="s">
        <v>159</v>
      </c>
      <c r="D29" s="247"/>
      <c r="E29" s="247"/>
      <c r="F29" s="254"/>
      <c r="G29" s="254"/>
      <c r="H29" s="254"/>
      <c r="I29" s="247"/>
    </row>
    <row r="30" spans="1:9" ht="15.75" thickBot="1">
      <c r="A30" s="306">
        <v>0.27815000000000001</v>
      </c>
      <c r="B30" s="246"/>
      <c r="C30" s="247" t="s">
        <v>160</v>
      </c>
      <c r="D30" s="253">
        <f>ROUND((D14)*$A$29*$A$30,0)</f>
        <v>36276</v>
      </c>
      <c r="E30" s="247"/>
      <c r="F30" s="255"/>
      <c r="G30" s="254"/>
      <c r="H30" s="255"/>
      <c r="I30" s="247"/>
    </row>
    <row r="31" spans="1:9" ht="15.75" thickTop="1">
      <c r="A31" s="246"/>
      <c r="B31" s="246"/>
      <c r="C31" s="247"/>
      <c r="D31" s="255"/>
      <c r="E31" s="247"/>
      <c r="F31" s="255"/>
      <c r="G31" s="254"/>
      <c r="H31" s="255"/>
      <c r="I31" s="247"/>
    </row>
    <row r="32" spans="1:9" s="254" customFormat="1" ht="15">
      <c r="A32" s="256" t="s">
        <v>164</v>
      </c>
      <c r="B32" s="256"/>
      <c r="D32" s="255"/>
      <c r="F32" s="255"/>
      <c r="H32" s="255"/>
    </row>
    <row r="33" spans="1:9" s="254" customFormat="1" ht="15.75" thickBot="1">
      <c r="A33" s="306">
        <v>8.8880000000000001E-2</v>
      </c>
      <c r="B33" s="258"/>
      <c r="C33" s="254" t="s">
        <v>159</v>
      </c>
      <c r="D33" s="253">
        <f>ROUND((D14)*$A$33,0)</f>
        <v>58479</v>
      </c>
      <c r="F33" s="255"/>
      <c r="H33" s="255"/>
    </row>
    <row r="34" spans="1:9" s="254" customFormat="1" ht="15.75" thickTop="1">
      <c r="A34" s="258"/>
      <c r="B34" s="258"/>
    </row>
    <row r="35" spans="1:9" s="254" customFormat="1" ht="15" hidden="1">
      <c r="A35" s="258"/>
      <c r="B35" s="258"/>
      <c r="D35" s="259">
        <f>D18+D22+D26+D30+D33-D14</f>
        <v>-47.419083612971008</v>
      </c>
    </row>
    <row r="36" spans="1:9" s="254" customFormat="1" ht="15">
      <c r="A36" s="258"/>
      <c r="B36" s="258"/>
      <c r="D36" s="260" t="s">
        <v>165</v>
      </c>
      <c r="E36" s="262"/>
      <c r="F36" s="262"/>
      <c r="G36" s="262"/>
      <c r="H36" s="262" t="s">
        <v>168</v>
      </c>
      <c r="I36" s="262"/>
    </row>
    <row r="37" spans="1:9" ht="15">
      <c r="A37" s="247"/>
      <c r="B37" s="247"/>
      <c r="C37" s="247" t="s">
        <v>166</v>
      </c>
      <c r="D37" s="308">
        <f>$H$18*F37</f>
        <v>181596.09999999998</v>
      </c>
      <c r="E37" s="247"/>
      <c r="F37" s="263">
        <v>0.7</v>
      </c>
      <c r="G37" s="247"/>
      <c r="H37" s="308">
        <f>$H$22*F37</f>
        <v>53863.6</v>
      </c>
      <c r="I37" s="247"/>
    </row>
    <row r="38" spans="1:9" ht="15">
      <c r="A38" s="247"/>
      <c r="B38" s="247"/>
      <c r="C38" s="247" t="s">
        <v>167</v>
      </c>
      <c r="D38" s="308">
        <f>$H$18*F38</f>
        <v>77826.899999999994</v>
      </c>
      <c r="E38" s="247"/>
      <c r="F38" s="263">
        <v>0.3</v>
      </c>
      <c r="G38" s="247"/>
      <c r="H38" s="308">
        <f>$H$22*F38</f>
        <v>23084.399999999998</v>
      </c>
      <c r="I38" s="247"/>
    </row>
    <row r="39" spans="1:9" ht="15">
      <c r="A39" s="247"/>
      <c r="B39" s="247"/>
      <c r="C39" s="247"/>
      <c r="D39" s="309">
        <f>SUM(D37:D38)</f>
        <v>259422.99999999997</v>
      </c>
      <c r="E39" s="247"/>
      <c r="F39" s="247"/>
      <c r="G39" s="247"/>
      <c r="H39" s="309">
        <f>SUM(H37:H38)</f>
        <v>76948</v>
      </c>
      <c r="I39" s="247"/>
    </row>
    <row r="41" spans="1:9" ht="15" hidden="1">
      <c r="A41" s="327">
        <f>A17+A21+A33</f>
        <v>0.99999999999999989</v>
      </c>
      <c r="B41" s="247"/>
      <c r="C41" s="328" t="s">
        <v>210</v>
      </c>
      <c r="D41" s="329" t="s">
        <v>211</v>
      </c>
      <c r="E41" s="247"/>
      <c r="F41" s="247"/>
      <c r="G41" s="247"/>
      <c r="H41" s="247"/>
      <c r="I41" s="247"/>
    </row>
    <row r="42" spans="1:9" ht="15" hidden="1">
      <c r="A42" s="327">
        <f>SUM(A18+A26)</f>
        <v>0.99990000000000001</v>
      </c>
      <c r="B42" s="247"/>
      <c r="C42" s="328" t="s">
        <v>212</v>
      </c>
      <c r="D42" s="329" t="s">
        <v>213</v>
      </c>
      <c r="E42" s="247"/>
      <c r="F42" s="247"/>
      <c r="G42" s="247"/>
      <c r="H42" s="247"/>
      <c r="I42" s="247"/>
    </row>
    <row r="43" spans="1:9" ht="15" hidden="1">
      <c r="A43" s="327">
        <f>SUM(A22+A30)</f>
        <v>1</v>
      </c>
      <c r="B43" s="247"/>
      <c r="C43" s="328" t="s">
        <v>214</v>
      </c>
      <c r="D43" s="329" t="s">
        <v>215</v>
      </c>
      <c r="E43" s="247"/>
      <c r="F43" s="247"/>
      <c r="G43" s="247"/>
      <c r="H43" s="247"/>
      <c r="I43" s="247"/>
    </row>
    <row r="44" spans="1:9" ht="15">
      <c r="A44" s="247"/>
      <c r="B44" s="247"/>
      <c r="C44" s="247"/>
      <c r="D44" s="247"/>
      <c r="E44" s="247"/>
      <c r="F44" s="247"/>
      <c r="G44" s="247"/>
      <c r="H44" s="247"/>
      <c r="I44" s="247"/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6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R23"/>
  <sheetViews>
    <sheetView zoomScaleNormal="100" zoomScaleSheetLayoutView="100" workbookViewId="0">
      <selection activeCell="G28" sqref="G28"/>
    </sheetView>
  </sheetViews>
  <sheetFormatPr defaultColWidth="9.140625" defaultRowHeight="12"/>
  <cols>
    <col min="1" max="1" width="29.7109375" style="268" customWidth="1"/>
    <col min="2" max="5" width="11.140625" style="268" customWidth="1"/>
    <col min="6" max="6" width="13.140625" style="268" customWidth="1"/>
    <col min="7" max="7" width="10.7109375" style="268" bestFit="1" customWidth="1"/>
    <col min="8" max="8" width="4.5703125" style="245" hidden="1" customWidth="1"/>
    <col min="9" max="9" width="9.140625" style="245" hidden="1" customWidth="1"/>
    <col min="10" max="10" width="14" style="245" customWidth="1"/>
    <col min="11" max="11" width="9.28515625" style="245" customWidth="1"/>
    <col min="12" max="12" width="10.42578125" style="245" bestFit="1" customWidth="1"/>
    <col min="13" max="13" width="13.85546875" style="245" bestFit="1" customWidth="1"/>
    <col min="14" max="18" width="9.140625" style="245"/>
    <col min="19" max="16384" width="9.140625" style="268"/>
  </cols>
  <sheetData>
    <row r="1" spans="1:18" s="225" customFormat="1" ht="15" customHeight="1">
      <c r="A1" s="338" t="str">
        <f>'UE-150205 IA-1'!A1:H1</f>
        <v>Avista Utilities</v>
      </c>
      <c r="B1" s="338"/>
      <c r="C1" s="338"/>
      <c r="D1" s="338"/>
      <c r="E1" s="338"/>
      <c r="F1" s="338"/>
      <c r="G1" s="338"/>
      <c r="H1" s="338"/>
      <c r="I1" s="338"/>
      <c r="J1" s="224"/>
      <c r="K1" s="224"/>
      <c r="L1" s="224"/>
      <c r="M1" s="224"/>
      <c r="N1" s="224"/>
      <c r="O1" s="224"/>
    </row>
    <row r="2" spans="1:18" s="225" customFormat="1" ht="15" customHeight="1">
      <c r="A2" s="338" t="str">
        <f>'UE-150205 IA-1'!A2:H2</f>
        <v>Washington Jurisdiction</v>
      </c>
      <c r="B2" s="338"/>
      <c r="C2" s="338"/>
      <c r="D2" s="338"/>
      <c r="E2" s="338"/>
      <c r="F2" s="338"/>
      <c r="G2" s="338"/>
      <c r="H2" s="338"/>
      <c r="I2" s="338"/>
      <c r="J2" s="224"/>
      <c r="K2" s="224"/>
      <c r="L2" s="224"/>
      <c r="M2" s="224"/>
      <c r="N2" s="224"/>
      <c r="O2" s="224"/>
    </row>
    <row r="3" spans="1:18" s="225" customFormat="1" ht="15" customHeight="1">
      <c r="A3" s="338" t="s">
        <v>196</v>
      </c>
      <c r="B3" s="338"/>
      <c r="C3" s="338"/>
      <c r="D3" s="338"/>
      <c r="E3" s="338"/>
      <c r="F3" s="338"/>
      <c r="G3" s="338"/>
      <c r="H3" s="338"/>
      <c r="I3" s="338"/>
      <c r="J3" s="224"/>
      <c r="K3" s="224"/>
      <c r="L3" s="224"/>
      <c r="M3" s="224"/>
      <c r="N3" s="224"/>
      <c r="O3" s="224"/>
    </row>
    <row r="4" spans="1:18" s="225" customFormat="1" ht="15" customHeight="1">
      <c r="A4" s="338" t="str">
        <f>'UE-150205 IA-1'!A4:H4</f>
        <v>For the Twelve Months ended September 30, 2014</v>
      </c>
      <c r="B4" s="338"/>
      <c r="C4" s="338"/>
      <c r="D4" s="338"/>
      <c r="E4" s="338"/>
      <c r="F4" s="338"/>
      <c r="G4" s="338"/>
      <c r="H4" s="338"/>
      <c r="I4" s="338"/>
      <c r="J4" s="224"/>
      <c r="K4" s="224"/>
      <c r="L4" s="224"/>
      <c r="M4" s="224"/>
      <c r="N4" s="224"/>
      <c r="O4" s="224"/>
    </row>
    <row r="5" spans="1:18" ht="12.75" thickBot="1">
      <c r="A5" s="266"/>
      <c r="B5" s="267"/>
      <c r="C5" s="267"/>
      <c r="D5" s="267"/>
      <c r="E5" s="267"/>
      <c r="G5" s="267"/>
      <c r="H5" s="249"/>
    </row>
    <row r="6" spans="1:18" ht="12.75" thickBot="1">
      <c r="A6" s="340" t="s">
        <v>170</v>
      </c>
      <c r="B6" s="341"/>
      <c r="C6" s="341"/>
      <c r="D6" s="341"/>
      <c r="E6" s="341"/>
      <c r="F6" s="341"/>
      <c r="G6" s="342"/>
      <c r="H6" s="249"/>
    </row>
    <row r="7" spans="1:18" s="266" customFormat="1">
      <c r="A7" s="266" t="s">
        <v>171</v>
      </c>
      <c r="B7" s="269"/>
      <c r="C7" s="269"/>
      <c r="D7" s="310" t="s">
        <v>216</v>
      </c>
      <c r="E7" s="311">
        <v>41969</v>
      </c>
      <c r="F7" s="310" t="s">
        <v>197</v>
      </c>
      <c r="G7" s="311">
        <v>41969</v>
      </c>
      <c r="H7" s="312"/>
      <c r="I7" s="273"/>
      <c r="J7" s="273"/>
      <c r="K7" s="273"/>
      <c r="L7" s="273"/>
      <c r="M7" s="273"/>
      <c r="N7" s="273"/>
      <c r="O7" s="273"/>
      <c r="P7" s="273"/>
      <c r="Q7" s="273"/>
      <c r="R7" s="273"/>
    </row>
    <row r="8" spans="1:18" s="266" customFormat="1" ht="29.25" customHeight="1">
      <c r="A8" s="273"/>
      <c r="B8" s="315" t="s">
        <v>217</v>
      </c>
      <c r="C8" s="315"/>
      <c r="D8" s="344" t="s">
        <v>218</v>
      </c>
      <c r="E8" s="345"/>
      <c r="F8" s="344" t="s">
        <v>219</v>
      </c>
      <c r="G8" s="345"/>
      <c r="H8" s="316"/>
      <c r="I8" s="274"/>
      <c r="J8" s="274"/>
      <c r="K8" s="274"/>
      <c r="L8" s="274"/>
      <c r="M8" s="274"/>
      <c r="N8" s="339"/>
      <c r="O8" s="339"/>
      <c r="P8" s="339"/>
      <c r="Q8" s="339"/>
      <c r="R8" s="339"/>
    </row>
    <row r="9" spans="1:18">
      <c r="A9" s="245"/>
      <c r="B9" s="277" t="s">
        <v>175</v>
      </c>
      <c r="C9" s="277"/>
      <c r="D9" s="317" t="s">
        <v>176</v>
      </c>
      <c r="E9" s="277" t="s">
        <v>177</v>
      </c>
      <c r="F9" s="317" t="s">
        <v>176</v>
      </c>
      <c r="G9" s="277" t="s">
        <v>177</v>
      </c>
      <c r="H9" s="249"/>
      <c r="I9" s="280"/>
      <c r="J9" s="281"/>
      <c r="K9" s="281"/>
      <c r="L9" s="280"/>
      <c r="M9" s="280"/>
      <c r="N9" s="282"/>
      <c r="O9" s="282"/>
      <c r="P9" s="282"/>
      <c r="Q9" s="276"/>
      <c r="R9" s="276"/>
    </row>
    <row r="10" spans="1:18">
      <c r="B10" s="267"/>
      <c r="C10" s="267"/>
      <c r="E10" s="267"/>
      <c r="G10" s="267"/>
      <c r="H10" s="249"/>
    </row>
    <row r="11" spans="1:18">
      <c r="A11" s="273" t="s">
        <v>140</v>
      </c>
      <c r="B11" s="330">
        <f>+'[5]9 30 14 GL Calc for IA-2'!G8</f>
        <v>2303209.1619625003</v>
      </c>
      <c r="C11" s="331" t="s">
        <v>201</v>
      </c>
      <c r="D11" s="320">
        <f>+'[5]2015-17 GL Est'!F32</f>
        <v>2806216.6423199996</v>
      </c>
      <c r="E11" s="332" t="s">
        <v>179</v>
      </c>
      <c r="F11" s="320">
        <f>+'[5]2015-17 GL Est'!F47</f>
        <v>2946527.4744360005</v>
      </c>
      <c r="G11" s="319" t="s">
        <v>179</v>
      </c>
      <c r="H11" s="244">
        <f>+F11/F18</f>
        <v>0.50641156271285215</v>
      </c>
      <c r="I11" s="245" t="s">
        <v>166</v>
      </c>
      <c r="K11" s="289"/>
    </row>
    <row r="12" spans="1:18">
      <c r="B12" s="333"/>
      <c r="C12" s="333"/>
      <c r="D12" s="334"/>
      <c r="E12" s="333"/>
      <c r="F12" s="334"/>
      <c r="G12" s="267"/>
      <c r="H12" s="249"/>
    </row>
    <row r="13" spans="1:18">
      <c r="A13" s="273" t="s">
        <v>141</v>
      </c>
      <c r="B13" s="330">
        <f>+'[5]9 30 14  D &amp; O Calcs for IA-2'!G8</f>
        <v>1118003.5377499999</v>
      </c>
      <c r="C13" s="331" t="s">
        <v>201</v>
      </c>
      <c r="D13" s="320">
        <f>+'[5]2015-17 D&amp;O Est'!F42</f>
        <v>1201806.5959480002</v>
      </c>
      <c r="E13" s="332" t="s">
        <v>179</v>
      </c>
      <c r="F13" s="320">
        <f>+'[5]2015-17 D&amp;O Est'!F61</f>
        <v>1192987.2574480001</v>
      </c>
      <c r="G13" s="319" t="s">
        <v>179</v>
      </c>
      <c r="H13" s="244">
        <f>+F13/F18</f>
        <v>0.20503543462000173</v>
      </c>
      <c r="I13" s="245" t="s">
        <v>166</v>
      </c>
      <c r="K13" s="289"/>
    </row>
    <row r="14" spans="1:18">
      <c r="B14" s="333"/>
      <c r="C14" s="333"/>
      <c r="D14" s="334"/>
      <c r="E14" s="333"/>
      <c r="F14" s="334"/>
      <c r="G14" s="267"/>
      <c r="H14" s="249"/>
    </row>
    <row r="15" spans="1:18">
      <c r="A15" s="273" t="s">
        <v>142</v>
      </c>
      <c r="B15" s="331">
        <f>+'[5]2014-16  Prop Calcs for IA-2'!K8</f>
        <v>1496480.108125</v>
      </c>
      <c r="C15" s="331" t="s">
        <v>201</v>
      </c>
      <c r="D15" s="320">
        <f>+'[5]2014-16  Prop Calcs for IA-2'!K14</f>
        <v>1567627.9886531131</v>
      </c>
      <c r="E15" s="332" t="s">
        <v>179</v>
      </c>
      <c r="F15" s="320">
        <f>+'[5]2014-16  Prop Calcs for IA-2'!K20</f>
        <v>1678929.5758474844</v>
      </c>
      <c r="G15" s="324" t="s">
        <v>179</v>
      </c>
      <c r="H15" s="244">
        <f>+F15/F18</f>
        <v>0.28855300266714612</v>
      </c>
      <c r="I15" s="245" t="s">
        <v>167</v>
      </c>
      <c r="K15" s="289"/>
    </row>
    <row r="16" spans="1:18">
      <c r="A16" s="245"/>
      <c r="B16" s="267"/>
      <c r="C16" s="267"/>
      <c r="E16" s="267"/>
      <c r="G16" s="267"/>
      <c r="H16" s="249"/>
    </row>
    <row r="17" spans="1:8">
      <c r="A17" s="245"/>
      <c r="B17" s="267"/>
      <c r="C17" s="267"/>
      <c r="E17" s="267"/>
      <c r="G17" s="267"/>
      <c r="H17" s="249"/>
    </row>
    <row r="18" spans="1:8">
      <c r="A18" s="266" t="s">
        <v>180</v>
      </c>
      <c r="B18" s="319">
        <f>+B11+B13+B15</f>
        <v>4917692.8078375002</v>
      </c>
      <c r="C18" s="267"/>
      <c r="D18" s="318">
        <f>+D11+D13+D15</f>
        <v>5575651.2269211132</v>
      </c>
      <c r="E18" s="267"/>
      <c r="F18" s="318">
        <f>+F11+F13+F15</f>
        <v>5818444.307731485</v>
      </c>
      <c r="G18" s="267"/>
      <c r="H18" s="249"/>
    </row>
    <row r="19" spans="1:8">
      <c r="A19" s="245"/>
      <c r="B19" s="325" t="s">
        <v>181</v>
      </c>
      <c r="C19" s="267"/>
      <c r="D19" s="325" t="s">
        <v>181</v>
      </c>
      <c r="E19" s="267"/>
      <c r="F19" s="325" t="s">
        <v>181</v>
      </c>
      <c r="G19" s="267"/>
      <c r="H19" s="249"/>
    </row>
    <row r="20" spans="1:8">
      <c r="A20" s="245"/>
      <c r="B20" s="267"/>
      <c r="C20" s="267"/>
      <c r="D20" s="267"/>
      <c r="E20" s="267"/>
      <c r="G20" s="267"/>
      <c r="H20" s="249"/>
    </row>
    <row r="21" spans="1:8">
      <c r="A21" s="266" t="s">
        <v>185</v>
      </c>
    </row>
    <row r="23" spans="1:8">
      <c r="A23" s="302" t="s">
        <v>186</v>
      </c>
    </row>
  </sheetData>
  <mergeCells count="8">
    <mergeCell ref="N8:R8"/>
    <mergeCell ref="A1:I1"/>
    <mergeCell ref="A2:I2"/>
    <mergeCell ref="A3:I3"/>
    <mergeCell ref="A4:I4"/>
    <mergeCell ref="A6:G6"/>
    <mergeCell ref="D8:E8"/>
    <mergeCell ref="F8:G8"/>
  </mergeCells>
  <pageMargins left="1.1399999999999999" right="0.45" top="1" bottom="1" header="0.5" footer="0.5"/>
  <pageSetup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D14" sqref="D14"/>
    </sheetView>
  </sheetViews>
  <sheetFormatPr defaultColWidth="8" defaultRowHeight="15"/>
  <cols>
    <col min="1" max="1" width="45.85546875" style="247" customWidth="1"/>
    <col min="2" max="2" width="5.140625" style="247" customWidth="1"/>
    <col min="3" max="3" width="12.85546875" style="247" customWidth="1"/>
    <col min="4" max="4" width="17.85546875" style="247" customWidth="1"/>
    <col min="5" max="5" width="2.140625" style="247" customWidth="1"/>
    <col min="6" max="6" width="10.5703125" style="247" customWidth="1"/>
    <col min="7" max="7" width="18" style="247" customWidth="1"/>
    <col min="8" max="8" width="2.140625" style="247" customWidth="1"/>
    <col min="9" max="9" width="12.5703125" style="247" bestFit="1" customWidth="1"/>
    <col min="10" max="11" width="8" style="247"/>
    <col min="12" max="12" width="14.28515625" style="247" bestFit="1" customWidth="1"/>
    <col min="13" max="257" width="8" style="247"/>
    <col min="258" max="258" width="26.5703125" style="247" customWidth="1"/>
    <col min="259" max="259" width="14.42578125" style="247" bestFit="1" customWidth="1"/>
    <col min="260" max="260" width="16.42578125" style="247" bestFit="1" customWidth="1"/>
    <col min="261" max="261" width="11.7109375" style="247" customWidth="1"/>
    <col min="262" max="513" width="8" style="247"/>
    <col min="514" max="514" width="26.5703125" style="247" customWidth="1"/>
    <col min="515" max="515" width="14.42578125" style="247" bestFit="1" customWidth="1"/>
    <col min="516" max="516" width="16.42578125" style="247" bestFit="1" customWidth="1"/>
    <col min="517" max="517" width="11.7109375" style="247" customWidth="1"/>
    <col min="518" max="769" width="8" style="247"/>
    <col min="770" max="770" width="26.5703125" style="247" customWidth="1"/>
    <col min="771" max="771" width="14.42578125" style="247" bestFit="1" customWidth="1"/>
    <col min="772" max="772" width="16.42578125" style="247" bestFit="1" customWidth="1"/>
    <col min="773" max="773" width="11.7109375" style="247" customWidth="1"/>
    <col min="774" max="1025" width="8" style="247"/>
    <col min="1026" max="1026" width="26.5703125" style="247" customWidth="1"/>
    <col min="1027" max="1027" width="14.42578125" style="247" bestFit="1" customWidth="1"/>
    <col min="1028" max="1028" width="16.42578125" style="247" bestFit="1" customWidth="1"/>
    <col min="1029" max="1029" width="11.7109375" style="247" customWidth="1"/>
    <col min="1030" max="1281" width="8" style="247"/>
    <col min="1282" max="1282" width="26.5703125" style="247" customWidth="1"/>
    <col min="1283" max="1283" width="14.42578125" style="247" bestFit="1" customWidth="1"/>
    <col min="1284" max="1284" width="16.42578125" style="247" bestFit="1" customWidth="1"/>
    <col min="1285" max="1285" width="11.7109375" style="247" customWidth="1"/>
    <col min="1286" max="1537" width="8" style="247"/>
    <col min="1538" max="1538" width="26.5703125" style="247" customWidth="1"/>
    <col min="1539" max="1539" width="14.42578125" style="247" bestFit="1" customWidth="1"/>
    <col min="1540" max="1540" width="16.42578125" style="247" bestFit="1" customWidth="1"/>
    <col min="1541" max="1541" width="11.7109375" style="247" customWidth="1"/>
    <col min="1542" max="1793" width="8" style="247"/>
    <col min="1794" max="1794" width="26.5703125" style="247" customWidth="1"/>
    <col min="1795" max="1795" width="14.42578125" style="247" bestFit="1" customWidth="1"/>
    <col min="1796" max="1796" width="16.42578125" style="247" bestFit="1" customWidth="1"/>
    <col min="1797" max="1797" width="11.7109375" style="247" customWidth="1"/>
    <col min="1798" max="2049" width="8" style="247"/>
    <col min="2050" max="2050" width="26.5703125" style="247" customWidth="1"/>
    <col min="2051" max="2051" width="14.42578125" style="247" bestFit="1" customWidth="1"/>
    <col min="2052" max="2052" width="16.42578125" style="247" bestFit="1" customWidth="1"/>
    <col min="2053" max="2053" width="11.7109375" style="247" customWidth="1"/>
    <col min="2054" max="2305" width="8" style="247"/>
    <col min="2306" max="2306" width="26.5703125" style="247" customWidth="1"/>
    <col min="2307" max="2307" width="14.42578125" style="247" bestFit="1" customWidth="1"/>
    <col min="2308" max="2308" width="16.42578125" style="247" bestFit="1" customWidth="1"/>
    <col min="2309" max="2309" width="11.7109375" style="247" customWidth="1"/>
    <col min="2310" max="2561" width="8" style="247"/>
    <col min="2562" max="2562" width="26.5703125" style="247" customWidth="1"/>
    <col min="2563" max="2563" width="14.42578125" style="247" bestFit="1" customWidth="1"/>
    <col min="2564" max="2564" width="16.42578125" style="247" bestFit="1" customWidth="1"/>
    <col min="2565" max="2565" width="11.7109375" style="247" customWidth="1"/>
    <col min="2566" max="2817" width="8" style="247"/>
    <col min="2818" max="2818" width="26.5703125" style="247" customWidth="1"/>
    <col min="2819" max="2819" width="14.42578125" style="247" bestFit="1" customWidth="1"/>
    <col min="2820" max="2820" width="16.42578125" style="247" bestFit="1" customWidth="1"/>
    <col min="2821" max="2821" width="11.7109375" style="247" customWidth="1"/>
    <col min="2822" max="3073" width="8" style="247"/>
    <col min="3074" max="3074" width="26.5703125" style="247" customWidth="1"/>
    <col min="3075" max="3075" width="14.42578125" style="247" bestFit="1" customWidth="1"/>
    <col min="3076" max="3076" width="16.42578125" style="247" bestFit="1" customWidth="1"/>
    <col min="3077" max="3077" width="11.7109375" style="247" customWidth="1"/>
    <col min="3078" max="3329" width="8" style="247"/>
    <col min="3330" max="3330" width="26.5703125" style="247" customWidth="1"/>
    <col min="3331" max="3331" width="14.42578125" style="247" bestFit="1" customWidth="1"/>
    <col min="3332" max="3332" width="16.42578125" style="247" bestFit="1" customWidth="1"/>
    <col min="3333" max="3333" width="11.7109375" style="247" customWidth="1"/>
    <col min="3334" max="3585" width="8" style="247"/>
    <col min="3586" max="3586" width="26.5703125" style="247" customWidth="1"/>
    <col min="3587" max="3587" width="14.42578125" style="247" bestFit="1" customWidth="1"/>
    <col min="3588" max="3588" width="16.42578125" style="247" bestFit="1" customWidth="1"/>
    <col min="3589" max="3589" width="11.7109375" style="247" customWidth="1"/>
    <col min="3590" max="3841" width="8" style="247"/>
    <col min="3842" max="3842" width="26.5703125" style="247" customWidth="1"/>
    <col min="3843" max="3843" width="14.42578125" style="247" bestFit="1" customWidth="1"/>
    <col min="3844" max="3844" width="16.42578125" style="247" bestFit="1" customWidth="1"/>
    <col min="3845" max="3845" width="11.7109375" style="247" customWidth="1"/>
    <col min="3846" max="4097" width="8" style="247"/>
    <col min="4098" max="4098" width="26.5703125" style="247" customWidth="1"/>
    <col min="4099" max="4099" width="14.42578125" style="247" bestFit="1" customWidth="1"/>
    <col min="4100" max="4100" width="16.42578125" style="247" bestFit="1" customWidth="1"/>
    <col min="4101" max="4101" width="11.7109375" style="247" customWidth="1"/>
    <col min="4102" max="4353" width="8" style="247"/>
    <col min="4354" max="4354" width="26.5703125" style="247" customWidth="1"/>
    <col min="4355" max="4355" width="14.42578125" style="247" bestFit="1" customWidth="1"/>
    <col min="4356" max="4356" width="16.42578125" style="247" bestFit="1" customWidth="1"/>
    <col min="4357" max="4357" width="11.7109375" style="247" customWidth="1"/>
    <col min="4358" max="4609" width="8" style="247"/>
    <col min="4610" max="4610" width="26.5703125" style="247" customWidth="1"/>
    <col min="4611" max="4611" width="14.42578125" style="247" bestFit="1" customWidth="1"/>
    <col min="4612" max="4612" width="16.42578125" style="247" bestFit="1" customWidth="1"/>
    <col min="4613" max="4613" width="11.7109375" style="247" customWidth="1"/>
    <col min="4614" max="4865" width="8" style="247"/>
    <col min="4866" max="4866" width="26.5703125" style="247" customWidth="1"/>
    <col min="4867" max="4867" width="14.42578125" style="247" bestFit="1" customWidth="1"/>
    <col min="4868" max="4868" width="16.42578125" style="247" bestFit="1" customWidth="1"/>
    <col min="4869" max="4869" width="11.7109375" style="247" customWidth="1"/>
    <col min="4870" max="5121" width="8" style="247"/>
    <col min="5122" max="5122" width="26.5703125" style="247" customWidth="1"/>
    <col min="5123" max="5123" width="14.42578125" style="247" bestFit="1" customWidth="1"/>
    <col min="5124" max="5124" width="16.42578125" style="247" bestFit="1" customWidth="1"/>
    <col min="5125" max="5125" width="11.7109375" style="247" customWidth="1"/>
    <col min="5126" max="5377" width="8" style="247"/>
    <col min="5378" max="5378" width="26.5703125" style="247" customWidth="1"/>
    <col min="5379" max="5379" width="14.42578125" style="247" bestFit="1" customWidth="1"/>
    <col min="5380" max="5380" width="16.42578125" style="247" bestFit="1" customWidth="1"/>
    <col min="5381" max="5381" width="11.7109375" style="247" customWidth="1"/>
    <col min="5382" max="5633" width="8" style="247"/>
    <col min="5634" max="5634" width="26.5703125" style="247" customWidth="1"/>
    <col min="5635" max="5635" width="14.42578125" style="247" bestFit="1" customWidth="1"/>
    <col min="5636" max="5636" width="16.42578125" style="247" bestFit="1" customWidth="1"/>
    <col min="5637" max="5637" width="11.7109375" style="247" customWidth="1"/>
    <col min="5638" max="5889" width="8" style="247"/>
    <col min="5890" max="5890" width="26.5703125" style="247" customWidth="1"/>
    <col min="5891" max="5891" width="14.42578125" style="247" bestFit="1" customWidth="1"/>
    <col min="5892" max="5892" width="16.42578125" style="247" bestFit="1" customWidth="1"/>
    <col min="5893" max="5893" width="11.7109375" style="247" customWidth="1"/>
    <col min="5894" max="6145" width="8" style="247"/>
    <col min="6146" max="6146" width="26.5703125" style="247" customWidth="1"/>
    <col min="6147" max="6147" width="14.42578125" style="247" bestFit="1" customWidth="1"/>
    <col min="6148" max="6148" width="16.42578125" style="247" bestFit="1" customWidth="1"/>
    <col min="6149" max="6149" width="11.7109375" style="247" customWidth="1"/>
    <col min="6150" max="6401" width="8" style="247"/>
    <col min="6402" max="6402" width="26.5703125" style="247" customWidth="1"/>
    <col min="6403" max="6403" width="14.42578125" style="247" bestFit="1" customWidth="1"/>
    <col min="6404" max="6404" width="16.42578125" style="247" bestFit="1" customWidth="1"/>
    <col min="6405" max="6405" width="11.7109375" style="247" customWidth="1"/>
    <col min="6406" max="6657" width="8" style="247"/>
    <col min="6658" max="6658" width="26.5703125" style="247" customWidth="1"/>
    <col min="6659" max="6659" width="14.42578125" style="247" bestFit="1" customWidth="1"/>
    <col min="6660" max="6660" width="16.42578125" style="247" bestFit="1" customWidth="1"/>
    <col min="6661" max="6661" width="11.7109375" style="247" customWidth="1"/>
    <col min="6662" max="6913" width="8" style="247"/>
    <col min="6914" max="6914" width="26.5703125" style="247" customWidth="1"/>
    <col min="6915" max="6915" width="14.42578125" style="247" bestFit="1" customWidth="1"/>
    <col min="6916" max="6916" width="16.42578125" style="247" bestFit="1" customWidth="1"/>
    <col min="6917" max="6917" width="11.7109375" style="247" customWidth="1"/>
    <col min="6918" max="7169" width="8" style="247"/>
    <col min="7170" max="7170" width="26.5703125" style="247" customWidth="1"/>
    <col min="7171" max="7171" width="14.42578125" style="247" bestFit="1" customWidth="1"/>
    <col min="7172" max="7172" width="16.42578125" style="247" bestFit="1" customWidth="1"/>
    <col min="7173" max="7173" width="11.7109375" style="247" customWidth="1"/>
    <col min="7174" max="7425" width="8" style="247"/>
    <col min="7426" max="7426" width="26.5703125" style="247" customWidth="1"/>
    <col min="7427" max="7427" width="14.42578125" style="247" bestFit="1" customWidth="1"/>
    <col min="7428" max="7428" width="16.42578125" style="247" bestFit="1" customWidth="1"/>
    <col min="7429" max="7429" width="11.7109375" style="247" customWidth="1"/>
    <col min="7430" max="7681" width="8" style="247"/>
    <col min="7682" max="7682" width="26.5703125" style="247" customWidth="1"/>
    <col min="7683" max="7683" width="14.42578125" style="247" bestFit="1" customWidth="1"/>
    <col min="7684" max="7684" width="16.42578125" style="247" bestFit="1" customWidth="1"/>
    <col min="7685" max="7685" width="11.7109375" style="247" customWidth="1"/>
    <col min="7686" max="7937" width="8" style="247"/>
    <col min="7938" max="7938" width="26.5703125" style="247" customWidth="1"/>
    <col min="7939" max="7939" width="14.42578125" style="247" bestFit="1" customWidth="1"/>
    <col min="7940" max="7940" width="16.42578125" style="247" bestFit="1" customWidth="1"/>
    <col min="7941" max="7941" width="11.7109375" style="247" customWidth="1"/>
    <col min="7942" max="8193" width="8" style="247"/>
    <col min="8194" max="8194" width="26.5703125" style="247" customWidth="1"/>
    <col min="8195" max="8195" width="14.42578125" style="247" bestFit="1" customWidth="1"/>
    <col min="8196" max="8196" width="16.42578125" style="247" bestFit="1" customWidth="1"/>
    <col min="8197" max="8197" width="11.7109375" style="247" customWidth="1"/>
    <col min="8198" max="8449" width="8" style="247"/>
    <col min="8450" max="8450" width="26.5703125" style="247" customWidth="1"/>
    <col min="8451" max="8451" width="14.42578125" style="247" bestFit="1" customWidth="1"/>
    <col min="8452" max="8452" width="16.42578125" style="247" bestFit="1" customWidth="1"/>
    <col min="8453" max="8453" width="11.7109375" style="247" customWidth="1"/>
    <col min="8454" max="8705" width="8" style="247"/>
    <col min="8706" max="8706" width="26.5703125" style="247" customWidth="1"/>
    <col min="8707" max="8707" width="14.42578125" style="247" bestFit="1" customWidth="1"/>
    <col min="8708" max="8708" width="16.42578125" style="247" bestFit="1" customWidth="1"/>
    <col min="8709" max="8709" width="11.7109375" style="247" customWidth="1"/>
    <col min="8710" max="8961" width="8" style="247"/>
    <col min="8962" max="8962" width="26.5703125" style="247" customWidth="1"/>
    <col min="8963" max="8963" width="14.42578125" style="247" bestFit="1" customWidth="1"/>
    <col min="8964" max="8964" width="16.42578125" style="247" bestFit="1" customWidth="1"/>
    <col min="8965" max="8965" width="11.7109375" style="247" customWidth="1"/>
    <col min="8966" max="9217" width="8" style="247"/>
    <col min="9218" max="9218" width="26.5703125" style="247" customWidth="1"/>
    <col min="9219" max="9219" width="14.42578125" style="247" bestFit="1" customWidth="1"/>
    <col min="9220" max="9220" width="16.42578125" style="247" bestFit="1" customWidth="1"/>
    <col min="9221" max="9221" width="11.7109375" style="247" customWidth="1"/>
    <col min="9222" max="9473" width="8" style="247"/>
    <col min="9474" max="9474" width="26.5703125" style="247" customWidth="1"/>
    <col min="9475" max="9475" width="14.42578125" style="247" bestFit="1" customWidth="1"/>
    <col min="9476" max="9476" width="16.42578125" style="247" bestFit="1" customWidth="1"/>
    <col min="9477" max="9477" width="11.7109375" style="247" customWidth="1"/>
    <col min="9478" max="9729" width="8" style="247"/>
    <col min="9730" max="9730" width="26.5703125" style="247" customWidth="1"/>
    <col min="9731" max="9731" width="14.42578125" style="247" bestFit="1" customWidth="1"/>
    <col min="9732" max="9732" width="16.42578125" style="247" bestFit="1" customWidth="1"/>
    <col min="9733" max="9733" width="11.7109375" style="247" customWidth="1"/>
    <col min="9734" max="9985" width="8" style="247"/>
    <col min="9986" max="9986" width="26.5703125" style="247" customWidth="1"/>
    <col min="9987" max="9987" width="14.42578125" style="247" bestFit="1" customWidth="1"/>
    <col min="9988" max="9988" width="16.42578125" style="247" bestFit="1" customWidth="1"/>
    <col min="9989" max="9989" width="11.7109375" style="247" customWidth="1"/>
    <col min="9990" max="10241" width="8" style="247"/>
    <col min="10242" max="10242" width="26.5703125" style="247" customWidth="1"/>
    <col min="10243" max="10243" width="14.42578125" style="247" bestFit="1" customWidth="1"/>
    <col min="10244" max="10244" width="16.42578125" style="247" bestFit="1" customWidth="1"/>
    <col min="10245" max="10245" width="11.7109375" style="247" customWidth="1"/>
    <col min="10246" max="10497" width="8" style="247"/>
    <col min="10498" max="10498" width="26.5703125" style="247" customWidth="1"/>
    <col min="10499" max="10499" width="14.42578125" style="247" bestFit="1" customWidth="1"/>
    <col min="10500" max="10500" width="16.42578125" style="247" bestFit="1" customWidth="1"/>
    <col min="10501" max="10501" width="11.7109375" style="247" customWidth="1"/>
    <col min="10502" max="10753" width="8" style="247"/>
    <col min="10754" max="10754" width="26.5703125" style="247" customWidth="1"/>
    <col min="10755" max="10755" width="14.42578125" style="247" bestFit="1" customWidth="1"/>
    <col min="10756" max="10756" width="16.42578125" style="247" bestFit="1" customWidth="1"/>
    <col min="10757" max="10757" width="11.7109375" style="247" customWidth="1"/>
    <col min="10758" max="11009" width="8" style="247"/>
    <col min="11010" max="11010" width="26.5703125" style="247" customWidth="1"/>
    <col min="11011" max="11011" width="14.42578125" style="247" bestFit="1" customWidth="1"/>
    <col min="11012" max="11012" width="16.42578125" style="247" bestFit="1" customWidth="1"/>
    <col min="11013" max="11013" width="11.7109375" style="247" customWidth="1"/>
    <col min="11014" max="11265" width="8" style="247"/>
    <col min="11266" max="11266" width="26.5703125" style="247" customWidth="1"/>
    <col min="11267" max="11267" width="14.42578125" style="247" bestFit="1" customWidth="1"/>
    <col min="11268" max="11268" width="16.42578125" style="247" bestFit="1" customWidth="1"/>
    <col min="11269" max="11269" width="11.7109375" style="247" customWidth="1"/>
    <col min="11270" max="11521" width="8" style="247"/>
    <col min="11522" max="11522" width="26.5703125" style="247" customWidth="1"/>
    <col min="11523" max="11523" width="14.42578125" style="247" bestFit="1" customWidth="1"/>
    <col min="11524" max="11524" width="16.42578125" style="247" bestFit="1" customWidth="1"/>
    <col min="11525" max="11525" width="11.7109375" style="247" customWidth="1"/>
    <col min="11526" max="11777" width="8" style="247"/>
    <col min="11778" max="11778" width="26.5703125" style="247" customWidth="1"/>
    <col min="11779" max="11779" width="14.42578125" style="247" bestFit="1" customWidth="1"/>
    <col min="11780" max="11780" width="16.42578125" style="247" bestFit="1" customWidth="1"/>
    <col min="11781" max="11781" width="11.7109375" style="247" customWidth="1"/>
    <col min="11782" max="12033" width="8" style="247"/>
    <col min="12034" max="12034" width="26.5703125" style="247" customWidth="1"/>
    <col min="12035" max="12035" width="14.42578125" style="247" bestFit="1" customWidth="1"/>
    <col min="12036" max="12036" width="16.42578125" style="247" bestFit="1" customWidth="1"/>
    <col min="12037" max="12037" width="11.7109375" style="247" customWidth="1"/>
    <col min="12038" max="12289" width="8" style="247"/>
    <col min="12290" max="12290" width="26.5703125" style="247" customWidth="1"/>
    <col min="12291" max="12291" width="14.42578125" style="247" bestFit="1" customWidth="1"/>
    <col min="12292" max="12292" width="16.42578125" style="247" bestFit="1" customWidth="1"/>
    <col min="12293" max="12293" width="11.7109375" style="247" customWidth="1"/>
    <col min="12294" max="12545" width="8" style="247"/>
    <col min="12546" max="12546" width="26.5703125" style="247" customWidth="1"/>
    <col min="12547" max="12547" width="14.42578125" style="247" bestFit="1" customWidth="1"/>
    <col min="12548" max="12548" width="16.42578125" style="247" bestFit="1" customWidth="1"/>
    <col min="12549" max="12549" width="11.7109375" style="247" customWidth="1"/>
    <col min="12550" max="12801" width="8" style="247"/>
    <col min="12802" max="12802" width="26.5703125" style="247" customWidth="1"/>
    <col min="12803" max="12803" width="14.42578125" style="247" bestFit="1" customWidth="1"/>
    <col min="12804" max="12804" width="16.42578125" style="247" bestFit="1" customWidth="1"/>
    <col min="12805" max="12805" width="11.7109375" style="247" customWidth="1"/>
    <col min="12806" max="13057" width="8" style="247"/>
    <col min="13058" max="13058" width="26.5703125" style="247" customWidth="1"/>
    <col min="13059" max="13059" width="14.42578125" style="247" bestFit="1" customWidth="1"/>
    <col min="13060" max="13060" width="16.42578125" style="247" bestFit="1" customWidth="1"/>
    <col min="13061" max="13061" width="11.7109375" style="247" customWidth="1"/>
    <col min="13062" max="13313" width="8" style="247"/>
    <col min="13314" max="13314" width="26.5703125" style="247" customWidth="1"/>
    <col min="13315" max="13315" width="14.42578125" style="247" bestFit="1" customWidth="1"/>
    <col min="13316" max="13316" width="16.42578125" style="247" bestFit="1" customWidth="1"/>
    <col min="13317" max="13317" width="11.7109375" style="247" customWidth="1"/>
    <col min="13318" max="13569" width="8" style="247"/>
    <col min="13570" max="13570" width="26.5703125" style="247" customWidth="1"/>
    <col min="13571" max="13571" width="14.42578125" style="247" bestFit="1" customWidth="1"/>
    <col min="13572" max="13572" width="16.42578125" style="247" bestFit="1" customWidth="1"/>
    <col min="13573" max="13573" width="11.7109375" style="247" customWidth="1"/>
    <col min="13574" max="13825" width="8" style="247"/>
    <col min="13826" max="13826" width="26.5703125" style="247" customWidth="1"/>
    <col min="13827" max="13827" width="14.42578125" style="247" bestFit="1" customWidth="1"/>
    <col min="13828" max="13828" width="16.42578125" style="247" bestFit="1" customWidth="1"/>
    <col min="13829" max="13829" width="11.7109375" style="247" customWidth="1"/>
    <col min="13830" max="14081" width="8" style="247"/>
    <col min="14082" max="14082" width="26.5703125" style="247" customWidth="1"/>
    <col min="14083" max="14083" width="14.42578125" style="247" bestFit="1" customWidth="1"/>
    <col min="14084" max="14084" width="16.42578125" style="247" bestFit="1" customWidth="1"/>
    <col min="14085" max="14085" width="11.7109375" style="247" customWidth="1"/>
    <col min="14086" max="14337" width="8" style="247"/>
    <col min="14338" max="14338" width="26.5703125" style="247" customWidth="1"/>
    <col min="14339" max="14339" width="14.42578125" style="247" bestFit="1" customWidth="1"/>
    <col min="14340" max="14340" width="16.42578125" style="247" bestFit="1" customWidth="1"/>
    <col min="14341" max="14341" width="11.7109375" style="247" customWidth="1"/>
    <col min="14342" max="14593" width="8" style="247"/>
    <col min="14594" max="14594" width="26.5703125" style="247" customWidth="1"/>
    <col min="14595" max="14595" width="14.42578125" style="247" bestFit="1" customWidth="1"/>
    <col min="14596" max="14596" width="16.42578125" style="247" bestFit="1" customWidth="1"/>
    <col min="14597" max="14597" width="11.7109375" style="247" customWidth="1"/>
    <col min="14598" max="14849" width="8" style="247"/>
    <col min="14850" max="14850" width="26.5703125" style="247" customWidth="1"/>
    <col min="14851" max="14851" width="14.42578125" style="247" bestFit="1" customWidth="1"/>
    <col min="14852" max="14852" width="16.42578125" style="247" bestFit="1" customWidth="1"/>
    <col min="14853" max="14853" width="11.7109375" style="247" customWidth="1"/>
    <col min="14854" max="15105" width="8" style="247"/>
    <col min="15106" max="15106" width="26.5703125" style="247" customWidth="1"/>
    <col min="15107" max="15107" width="14.42578125" style="247" bestFit="1" customWidth="1"/>
    <col min="15108" max="15108" width="16.42578125" style="247" bestFit="1" customWidth="1"/>
    <col min="15109" max="15109" width="11.7109375" style="247" customWidth="1"/>
    <col min="15110" max="15361" width="8" style="247"/>
    <col min="15362" max="15362" width="26.5703125" style="247" customWidth="1"/>
    <col min="15363" max="15363" width="14.42578125" style="247" bestFit="1" customWidth="1"/>
    <col min="15364" max="15364" width="16.42578125" style="247" bestFit="1" customWidth="1"/>
    <col min="15365" max="15365" width="11.7109375" style="247" customWidth="1"/>
    <col min="15366" max="15617" width="8" style="247"/>
    <col min="15618" max="15618" width="26.5703125" style="247" customWidth="1"/>
    <col min="15619" max="15619" width="14.42578125" style="247" bestFit="1" customWidth="1"/>
    <col min="15620" max="15620" width="16.42578125" style="247" bestFit="1" customWidth="1"/>
    <col min="15621" max="15621" width="11.7109375" style="247" customWidth="1"/>
    <col min="15622" max="15873" width="8" style="247"/>
    <col min="15874" max="15874" width="26.5703125" style="247" customWidth="1"/>
    <col min="15875" max="15875" width="14.42578125" style="247" bestFit="1" customWidth="1"/>
    <col min="15876" max="15876" width="16.42578125" style="247" bestFit="1" customWidth="1"/>
    <col min="15877" max="15877" width="11.7109375" style="247" customWidth="1"/>
    <col min="15878" max="16129" width="8" style="247"/>
    <col min="16130" max="16130" width="26.5703125" style="247" customWidth="1"/>
    <col min="16131" max="16131" width="14.42578125" style="247" bestFit="1" customWidth="1"/>
    <col min="16132" max="16132" width="16.42578125" style="247" bestFit="1" customWidth="1"/>
    <col min="16133" max="16133" width="11.7109375" style="247" customWidth="1"/>
    <col min="16134" max="16384" width="8" style="247"/>
  </cols>
  <sheetData>
    <row r="1" spans="1:17" s="225" customFormat="1">
      <c r="A1" s="338" t="s">
        <v>144</v>
      </c>
      <c r="B1" s="338"/>
      <c r="C1" s="338"/>
      <c r="D1" s="338"/>
      <c r="E1" s="338"/>
      <c r="F1" s="338"/>
      <c r="G1" s="338"/>
      <c r="H1" s="338"/>
      <c r="I1" s="338"/>
      <c r="J1" s="224"/>
      <c r="K1" s="224"/>
      <c r="L1" s="224"/>
      <c r="M1" s="224"/>
      <c r="N1" s="224"/>
      <c r="O1" s="224"/>
      <c r="P1" s="224"/>
      <c r="Q1" s="224"/>
    </row>
    <row r="2" spans="1:17" s="225" customFormat="1">
      <c r="A2" s="338" t="s">
        <v>145</v>
      </c>
      <c r="B2" s="338"/>
      <c r="C2" s="338"/>
      <c r="D2" s="338"/>
      <c r="E2" s="338"/>
      <c r="F2" s="338"/>
      <c r="G2" s="338"/>
      <c r="H2" s="338"/>
      <c r="I2" s="338"/>
      <c r="J2" s="224"/>
      <c r="K2" s="224"/>
      <c r="L2" s="224"/>
      <c r="M2" s="224"/>
      <c r="N2" s="224"/>
      <c r="O2" s="224"/>
      <c r="P2" s="224"/>
      <c r="Q2" s="224"/>
    </row>
    <row r="3" spans="1:17" s="225" customFormat="1">
      <c r="A3" s="338" t="s">
        <v>146</v>
      </c>
      <c r="B3" s="338"/>
      <c r="C3" s="338"/>
      <c r="D3" s="338"/>
      <c r="E3" s="338"/>
      <c r="F3" s="338"/>
      <c r="G3" s="338"/>
      <c r="H3" s="338"/>
      <c r="I3" s="338"/>
      <c r="J3" s="224"/>
      <c r="K3" s="224"/>
      <c r="L3" s="224"/>
      <c r="M3" s="224"/>
      <c r="N3" s="224"/>
      <c r="O3" s="224"/>
      <c r="P3" s="224"/>
      <c r="Q3" s="224"/>
    </row>
    <row r="4" spans="1:17" s="225" customFormat="1">
      <c r="A4" s="338"/>
      <c r="B4" s="338"/>
      <c r="C4" s="338"/>
      <c r="D4" s="338"/>
      <c r="E4" s="338"/>
      <c r="F4" s="338"/>
      <c r="G4" s="338"/>
      <c r="H4" s="338"/>
      <c r="I4" s="338"/>
      <c r="J4" s="224"/>
      <c r="K4" s="224"/>
      <c r="L4" s="224"/>
      <c r="M4" s="224"/>
      <c r="N4" s="224"/>
      <c r="O4" s="224"/>
      <c r="P4" s="224"/>
      <c r="Q4" s="224"/>
    </row>
    <row r="5" spans="1:17" s="225" customFormat="1">
      <c r="A5" s="226"/>
      <c r="B5" s="226"/>
    </row>
    <row r="6" spans="1:17" s="225" customFormat="1">
      <c r="A6" s="226"/>
      <c r="B6" s="227"/>
      <c r="C6" s="227"/>
      <c r="D6" s="228" t="s">
        <v>147</v>
      </c>
      <c r="G6" s="228" t="s">
        <v>148</v>
      </c>
    </row>
    <row r="7" spans="1:17" s="225" customFormat="1" ht="30">
      <c r="A7" s="229" t="s">
        <v>149</v>
      </c>
      <c r="B7" s="230"/>
      <c r="C7" s="231"/>
      <c r="D7" s="232">
        <f>'UE-160228 IA-2'!B22</f>
        <v>4976390.5900839753</v>
      </c>
      <c r="E7" s="233"/>
      <c r="F7" s="234" t="s">
        <v>150</v>
      </c>
      <c r="G7" s="235">
        <f>D9</f>
        <v>5132185.48852681</v>
      </c>
      <c r="L7" s="236"/>
    </row>
    <row r="8" spans="1:17" s="225" customFormat="1">
      <c r="A8" s="229"/>
      <c r="B8" s="230"/>
      <c r="C8" s="237"/>
      <c r="D8" s="232"/>
      <c r="E8" s="233"/>
    </row>
    <row r="9" spans="1:17" s="225" customFormat="1" ht="30">
      <c r="A9" s="229" t="s">
        <v>151</v>
      </c>
      <c r="B9" s="230"/>
      <c r="C9" s="234" t="s">
        <v>150</v>
      </c>
      <c r="D9" s="238">
        <f>'UE-160228 IA-2'!D22</f>
        <v>5132185.48852681</v>
      </c>
      <c r="E9" s="233"/>
      <c r="F9" s="234" t="s">
        <v>152</v>
      </c>
      <c r="G9" s="238">
        <f>'UE-160228 IA-2'!F22</f>
        <v>5402699.2148960093</v>
      </c>
    </row>
    <row r="10" spans="1:17" s="225" customFormat="1">
      <c r="A10" s="226"/>
      <c r="B10" s="230"/>
      <c r="C10" s="237"/>
      <c r="D10" s="232"/>
      <c r="E10" s="233"/>
    </row>
    <row r="11" spans="1:17" s="225" customFormat="1" ht="15.75" thickBot="1">
      <c r="A11" s="226" t="s">
        <v>153</v>
      </c>
      <c r="B11" s="230"/>
      <c r="C11" s="237"/>
      <c r="D11" s="239">
        <f>D9-D7</f>
        <v>155794.89844283462</v>
      </c>
      <c r="E11" s="233"/>
      <c r="G11" s="239">
        <f>G9-G7</f>
        <v>270513.72636919934</v>
      </c>
    </row>
    <row r="12" spans="1:17" s="225" customFormat="1">
      <c r="A12" s="226"/>
      <c r="B12" s="226"/>
      <c r="E12" s="233"/>
    </row>
    <row r="13" spans="1:17" s="240" customFormat="1" ht="45.75" thickBot="1">
      <c r="C13" s="241"/>
      <c r="D13" s="242" t="s">
        <v>154</v>
      </c>
      <c r="E13" s="243"/>
      <c r="G13" s="242" t="s">
        <v>155</v>
      </c>
      <c r="I13" s="225"/>
      <c r="K13" s="244"/>
      <c r="L13" s="245"/>
    </row>
    <row r="14" spans="1:17" ht="18.75" customHeight="1">
      <c r="A14" s="246" t="s">
        <v>156</v>
      </c>
      <c r="B14" s="246"/>
      <c r="D14" s="232">
        <f>D11</f>
        <v>155794.89844283462</v>
      </c>
      <c r="E14" s="248"/>
      <c r="F14" s="247" t="s">
        <v>157</v>
      </c>
      <c r="G14" s="232">
        <f>G11/2</f>
        <v>135256.86318459967</v>
      </c>
      <c r="I14" s="225"/>
      <c r="K14" s="249"/>
      <c r="L14" s="245"/>
    </row>
    <row r="15" spans="1:17">
      <c r="E15" s="248"/>
      <c r="I15" s="225"/>
      <c r="K15" s="244"/>
      <c r="L15" s="245"/>
    </row>
    <row r="16" spans="1:17">
      <c r="A16" s="250" t="s">
        <v>158</v>
      </c>
      <c r="B16" s="250"/>
      <c r="E16" s="248"/>
      <c r="I16" s="225"/>
      <c r="K16" s="249"/>
      <c r="L16" s="245"/>
    </row>
    <row r="17" spans="1:12">
      <c r="A17" s="251">
        <v>0.71547000000000005</v>
      </c>
      <c r="B17" s="246"/>
      <c r="C17" s="247" t="s">
        <v>159</v>
      </c>
      <c r="E17" s="248"/>
      <c r="I17" s="225"/>
      <c r="K17" s="244"/>
      <c r="L17" s="245"/>
    </row>
    <row r="18" spans="1:12" ht="15.75" thickBot="1">
      <c r="A18" s="252">
        <v>0.67900000000000005</v>
      </c>
      <c r="B18" s="246"/>
      <c r="C18" s="247" t="s">
        <v>160</v>
      </c>
      <c r="D18" s="253">
        <f>ROUND((D14)*$A$17*$A$18,0)</f>
        <v>75686</v>
      </c>
      <c r="E18" s="248"/>
      <c r="G18" s="253">
        <f>ROUND((G14)*$A$17*$A$18,0)</f>
        <v>65708</v>
      </c>
      <c r="I18" s="225"/>
    </row>
    <row r="19" spans="1:12" ht="6.75" customHeight="1" thickTop="1">
      <c r="E19" s="248"/>
      <c r="I19" s="225"/>
    </row>
    <row r="20" spans="1:12">
      <c r="A20" s="250" t="s">
        <v>161</v>
      </c>
      <c r="B20" s="250"/>
      <c r="E20" s="248"/>
      <c r="I20" s="225"/>
    </row>
    <row r="21" spans="1:12">
      <c r="A21" s="252">
        <v>0.19750999999999999</v>
      </c>
      <c r="B21" s="246"/>
      <c r="C21" s="247" t="s">
        <v>159</v>
      </c>
      <c r="E21" s="248"/>
      <c r="I21" s="225"/>
    </row>
    <row r="22" spans="1:12" ht="15.75" thickBot="1">
      <c r="A22" s="251">
        <v>0.70757999999999999</v>
      </c>
      <c r="B22" s="246"/>
      <c r="C22" s="247" t="s">
        <v>160</v>
      </c>
      <c r="D22" s="253">
        <f>ROUND((D14)*$A$21*$A$22,0)</f>
        <v>21773</v>
      </c>
      <c r="E22" s="248"/>
      <c r="G22" s="253">
        <f>ROUND((G14)*$A$21*$A$22,0)</f>
        <v>18903</v>
      </c>
      <c r="I22" s="225"/>
    </row>
    <row r="23" spans="1:12" ht="15.75" thickTop="1">
      <c r="E23" s="248"/>
      <c r="I23" s="225"/>
    </row>
    <row r="24" spans="1:12">
      <c r="A24" s="250" t="s">
        <v>162</v>
      </c>
      <c r="B24" s="250"/>
      <c r="E24" s="248"/>
      <c r="I24" s="225"/>
    </row>
    <row r="25" spans="1:12">
      <c r="A25" s="251">
        <v>0.71547000000000005</v>
      </c>
      <c r="B25" s="246"/>
      <c r="C25" s="247" t="s">
        <v>159</v>
      </c>
      <c r="E25" s="248"/>
    </row>
    <row r="26" spans="1:12" ht="15.75" thickBot="1">
      <c r="A26" s="252">
        <v>0.32100000000000001</v>
      </c>
      <c r="B26" s="246"/>
      <c r="C26" s="247" t="s">
        <v>160</v>
      </c>
      <c r="D26" s="253">
        <f>ROUND((D14)*$A$25*$A$26,0)</f>
        <v>35781</v>
      </c>
      <c r="E26" s="248"/>
      <c r="G26" s="253">
        <f>ROUND((G14)*$A$25*$A$26,0)</f>
        <v>31064</v>
      </c>
      <c r="H26" s="254"/>
      <c r="I26" s="255"/>
    </row>
    <row r="27" spans="1:12" ht="6.75" customHeight="1" thickTop="1">
      <c r="E27" s="248"/>
      <c r="H27" s="254"/>
      <c r="I27" s="254"/>
    </row>
    <row r="28" spans="1:12">
      <c r="A28" s="250" t="s">
        <v>163</v>
      </c>
      <c r="B28" s="250"/>
      <c r="E28" s="248"/>
      <c r="H28" s="254"/>
      <c r="I28" s="254"/>
    </row>
    <row r="29" spans="1:12">
      <c r="A29" s="251">
        <v>0.19750999999999999</v>
      </c>
      <c r="B29" s="246"/>
      <c r="C29" s="247" t="s">
        <v>159</v>
      </c>
      <c r="E29" s="248"/>
      <c r="H29" s="254"/>
      <c r="I29" s="254"/>
    </row>
    <row r="30" spans="1:12" ht="15.75" thickBot="1">
      <c r="A30" s="251">
        <v>0.29242000000000001</v>
      </c>
      <c r="B30" s="246"/>
      <c r="C30" s="247" t="s">
        <v>160</v>
      </c>
      <c r="D30" s="253">
        <f>ROUND((D14)*$A$29*$A$30,0)</f>
        <v>8998</v>
      </c>
      <c r="E30" s="248"/>
      <c r="G30" s="253">
        <f>ROUND((G14)*$A$29*$A$30,0)</f>
        <v>7812</v>
      </c>
      <c r="H30" s="254"/>
      <c r="I30" s="255"/>
    </row>
    <row r="31" spans="1:12" ht="15.75" thickTop="1">
      <c r="A31" s="246"/>
      <c r="B31" s="246"/>
      <c r="D31" s="255"/>
      <c r="E31" s="248"/>
      <c r="G31" s="255"/>
      <c r="H31" s="254"/>
      <c r="I31" s="255"/>
    </row>
    <row r="32" spans="1:12" s="254" customFormat="1">
      <c r="A32" s="256" t="s">
        <v>164</v>
      </c>
      <c r="B32" s="256"/>
      <c r="D32" s="255"/>
      <c r="E32" s="257"/>
      <c r="G32" s="255"/>
      <c r="I32" s="255"/>
    </row>
    <row r="33" spans="1:9" s="254" customFormat="1" ht="15.75" thickBot="1">
      <c r="A33" s="258">
        <v>8.702E-2</v>
      </c>
      <c r="B33" s="258"/>
      <c r="C33" s="254" t="s">
        <v>159</v>
      </c>
      <c r="D33" s="253">
        <f>ROUND((D14)*$A$33,0)</f>
        <v>13557</v>
      </c>
      <c r="E33" s="257"/>
      <c r="G33" s="253">
        <f>ROUND((G14)*$A$33,0)</f>
        <v>11770</v>
      </c>
      <c r="I33" s="255"/>
    </row>
    <row r="34" spans="1:9" s="254" customFormat="1" ht="15.75" thickTop="1">
      <c r="A34" s="258"/>
      <c r="B34" s="258"/>
      <c r="E34" s="257"/>
    </row>
    <row r="35" spans="1:9" s="254" customFormat="1">
      <c r="A35" s="258"/>
      <c r="B35" s="258"/>
      <c r="D35" s="259">
        <f>D18+D22+D26+D30+D33-D14</f>
        <v>0.1015571653842926</v>
      </c>
      <c r="E35" s="257"/>
      <c r="G35" s="259">
        <f>G18+G22+G26+G30+G33-G14</f>
        <v>0.13681540032848716</v>
      </c>
    </row>
    <row r="36" spans="1:9" s="254" customFormat="1">
      <c r="A36" s="258"/>
      <c r="B36" s="258"/>
      <c r="D36" s="259"/>
      <c r="E36" s="257"/>
      <c r="G36" s="259"/>
    </row>
    <row r="37" spans="1:9" s="254" customFormat="1">
      <c r="A37" s="258"/>
      <c r="B37" s="258"/>
      <c r="D37" s="260" t="s">
        <v>165</v>
      </c>
      <c r="E37" s="261"/>
      <c r="F37" s="262"/>
      <c r="G37" s="260" t="s">
        <v>165</v>
      </c>
      <c r="H37" s="262"/>
    </row>
    <row r="38" spans="1:9">
      <c r="B38" s="263">
        <v>0.7</v>
      </c>
      <c r="C38" s="247" t="s">
        <v>166</v>
      </c>
      <c r="D38" s="264">
        <f>D18*B38</f>
        <v>52980.2</v>
      </c>
      <c r="E38" s="248"/>
      <c r="G38" s="264">
        <f>G18*B38</f>
        <v>45995.6</v>
      </c>
    </row>
    <row r="39" spans="1:9" ht="15.75" thickBot="1">
      <c r="B39" s="263">
        <v>0.3</v>
      </c>
      <c r="C39" s="247" t="s">
        <v>167</v>
      </c>
      <c r="D39" s="264">
        <f>D18*B39</f>
        <v>22705.8</v>
      </c>
      <c r="E39" s="248"/>
      <c r="G39" s="264">
        <f>G18*B39</f>
        <v>19712.399999999998</v>
      </c>
    </row>
    <row r="40" spans="1:9" ht="16.5" thickTop="1" thickBot="1">
      <c r="D40" s="265">
        <f>SUM(D38:D39)</f>
        <v>75686</v>
      </c>
      <c r="E40" s="248"/>
      <c r="G40" s="265">
        <f>SUM(G38:G39)</f>
        <v>65708</v>
      </c>
    </row>
    <row r="41" spans="1:9" ht="15.75" thickTop="1">
      <c r="E41" s="248"/>
    </row>
    <row r="42" spans="1:9">
      <c r="D42" s="262" t="s">
        <v>168</v>
      </c>
      <c r="E42" s="248"/>
      <c r="G42" s="262" t="s">
        <v>168</v>
      </c>
    </row>
    <row r="43" spans="1:9">
      <c r="B43" s="263">
        <v>0.7</v>
      </c>
      <c r="C43" s="247" t="s">
        <v>166</v>
      </c>
      <c r="D43" s="264">
        <f>D22*B43</f>
        <v>15241.099999999999</v>
      </c>
      <c r="E43" s="248"/>
      <c r="G43" s="264">
        <f>G22*B43</f>
        <v>13232.099999999999</v>
      </c>
    </row>
    <row r="44" spans="1:9" ht="15.75" thickBot="1">
      <c r="B44" s="263">
        <v>0.3</v>
      </c>
      <c r="C44" s="247" t="s">
        <v>167</v>
      </c>
      <c r="D44" s="264">
        <f>D22*B44</f>
        <v>6531.9</v>
      </c>
      <c r="E44" s="248"/>
      <c r="G44" s="264">
        <f>G22*B44</f>
        <v>5670.9</v>
      </c>
    </row>
    <row r="45" spans="1:9" ht="16.5" thickTop="1" thickBot="1">
      <c r="D45" s="265">
        <f>SUM(D43:D44)</f>
        <v>21773</v>
      </c>
      <c r="E45" s="248"/>
      <c r="G45" s="265">
        <f>SUM(G43:G44)</f>
        <v>18903</v>
      </c>
    </row>
    <row r="46" spans="1:9" ht="15.75" thickTop="1"/>
  </sheetData>
  <mergeCells count="4">
    <mergeCell ref="A1:I1"/>
    <mergeCell ref="A2:I2"/>
    <mergeCell ref="A3:I3"/>
    <mergeCell ref="A4:I4"/>
  </mergeCells>
  <pageMargins left="1.1399999999999999" right="0.45" top="1" bottom="1" header="0.5" footer="0.5"/>
  <pageSetup scale="70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Normal="100" zoomScaleSheetLayoutView="100" workbookViewId="0">
      <selection activeCell="D14" sqref="D14"/>
    </sheetView>
  </sheetViews>
  <sheetFormatPr defaultColWidth="9.140625" defaultRowHeight="12"/>
  <cols>
    <col min="1" max="1" width="29.7109375" style="268" customWidth="1"/>
    <col min="2" max="2" width="13.42578125" style="268" customWidth="1"/>
    <col min="3" max="3" width="11.140625" style="268" customWidth="1"/>
    <col min="4" max="4" width="14" style="245" customWidth="1"/>
    <col min="5" max="5" width="15.140625" style="245" customWidth="1"/>
    <col min="6" max="7" width="14" style="245" customWidth="1"/>
    <col min="8" max="8" width="9.140625" style="245" bestFit="1" customWidth="1"/>
    <col min="9" max="9" width="14" style="245" customWidth="1"/>
    <col min="10" max="10" width="9.28515625" style="245" customWidth="1"/>
    <col min="11" max="11" width="12.5703125" style="245" customWidth="1"/>
    <col min="12" max="12" width="13.85546875" style="245" bestFit="1" customWidth="1"/>
    <col min="13" max="13" width="13.85546875" style="245" customWidth="1"/>
    <col min="14" max="14" width="12.140625" style="245" customWidth="1"/>
    <col min="15" max="15" width="13.140625" style="245" customWidth="1"/>
    <col min="16" max="16" width="13" style="245" customWidth="1"/>
    <col min="17" max="17" width="12.85546875" style="245" customWidth="1"/>
    <col min="18" max="19" width="9.140625" style="245"/>
    <col min="20" max="16384" width="9.140625" style="268"/>
  </cols>
  <sheetData>
    <row r="1" spans="1:19" s="225" customFormat="1" ht="15" customHeight="1">
      <c r="A1" s="224"/>
      <c r="B1" s="224"/>
      <c r="C1" s="224"/>
    </row>
    <row r="2" spans="1:19" s="225" customFormat="1" ht="15" customHeight="1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  <c r="O2" s="224"/>
      <c r="P2" s="224"/>
    </row>
    <row r="3" spans="1:19" s="225" customFormat="1" ht="15" customHeight="1">
      <c r="A3" s="338" t="s">
        <v>169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  <c r="O3" s="224"/>
      <c r="P3" s="224"/>
    </row>
    <row r="4" spans="1:19" s="225" customFormat="1" ht="15" customHeight="1">
      <c r="A4" s="338"/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  <c r="O4" s="224"/>
      <c r="P4" s="224"/>
    </row>
    <row r="5" spans="1:19" ht="12.75" thickBot="1">
      <c r="A5" s="266"/>
      <c r="B5" s="267"/>
      <c r="C5" s="267"/>
      <c r="D5" s="249"/>
      <c r="E5" s="249"/>
      <c r="F5" s="249"/>
      <c r="G5" s="249"/>
    </row>
    <row r="6" spans="1:19" ht="13.5" customHeight="1" thickBot="1">
      <c r="A6" s="340" t="s">
        <v>170</v>
      </c>
      <c r="B6" s="341"/>
      <c r="C6" s="341"/>
      <c r="D6" s="346"/>
      <c r="E6" s="346"/>
      <c r="F6" s="346"/>
      <c r="G6" s="347"/>
    </row>
    <row r="7" spans="1:19" s="266" customFormat="1">
      <c r="A7" s="266" t="s">
        <v>171</v>
      </c>
      <c r="B7" s="269"/>
      <c r="C7" s="270"/>
      <c r="D7" s="271"/>
      <c r="E7" s="272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</row>
    <row r="8" spans="1:19" s="266" customFormat="1" ht="29.25" customHeight="1">
      <c r="A8" s="273"/>
      <c r="B8" s="348" t="s">
        <v>172</v>
      </c>
      <c r="C8" s="349"/>
      <c r="D8" s="350" t="s">
        <v>173</v>
      </c>
      <c r="E8" s="351"/>
      <c r="F8" s="350" t="s">
        <v>174</v>
      </c>
      <c r="G8" s="351"/>
      <c r="H8" s="274"/>
      <c r="I8" s="274"/>
      <c r="J8" s="274"/>
      <c r="K8" s="275"/>
      <c r="L8" s="275"/>
      <c r="M8" s="276"/>
      <c r="N8" s="275"/>
      <c r="O8" s="276"/>
      <c r="P8" s="275"/>
      <c r="Q8" s="276"/>
      <c r="R8" s="274"/>
      <c r="S8" s="274"/>
    </row>
    <row r="9" spans="1:19">
      <c r="A9" s="245"/>
      <c r="B9" s="277" t="s">
        <v>175</v>
      </c>
      <c r="C9" s="278"/>
      <c r="D9" s="279" t="s">
        <v>176</v>
      </c>
      <c r="E9" s="278" t="s">
        <v>177</v>
      </c>
      <c r="F9" s="279" t="s">
        <v>176</v>
      </c>
      <c r="G9" s="278" t="s">
        <v>177</v>
      </c>
      <c r="H9" s="280"/>
      <c r="I9" s="281"/>
      <c r="J9" s="281"/>
      <c r="K9" s="280"/>
      <c r="L9" s="280"/>
      <c r="M9" s="280"/>
      <c r="N9" s="282"/>
      <c r="O9" s="282"/>
      <c r="P9" s="282"/>
      <c r="Q9" s="282"/>
      <c r="R9" s="276"/>
      <c r="S9" s="276"/>
    </row>
    <row r="10" spans="1:19">
      <c r="B10" s="283"/>
      <c r="C10" s="284"/>
      <c r="D10" s="285"/>
      <c r="E10" s="284"/>
      <c r="F10" s="285"/>
      <c r="G10" s="284"/>
    </row>
    <row r="11" spans="1:19">
      <c r="A11" s="273" t="s">
        <v>140</v>
      </c>
      <c r="B11" s="286">
        <f>'[6]2015-18 GL Est'!T31</f>
        <v>2443076.9591289749</v>
      </c>
      <c r="C11" s="287" t="s">
        <v>178</v>
      </c>
      <c r="D11" s="286">
        <f>+'[6]2015-18 GL Est'!V57</f>
        <v>2739192.2328445935</v>
      </c>
      <c r="E11" s="288" t="s">
        <v>179</v>
      </c>
      <c r="F11" s="286">
        <f>+'[6]2015-18 GL Est'!V71</f>
        <v>2882241.4245668231</v>
      </c>
      <c r="G11" s="288" t="s">
        <v>179</v>
      </c>
      <c r="H11" s="245" t="s">
        <v>166</v>
      </c>
      <c r="J11" s="289"/>
      <c r="K11" s="290"/>
      <c r="L11" s="290"/>
      <c r="M11" s="291"/>
      <c r="N11" s="290"/>
      <c r="O11" s="291"/>
      <c r="P11" s="290"/>
      <c r="Q11" s="291"/>
    </row>
    <row r="12" spans="1:19">
      <c r="B12" s="283"/>
      <c r="C12" s="284"/>
      <c r="D12" s="285"/>
      <c r="E12" s="284"/>
      <c r="F12" s="285"/>
      <c r="G12" s="284"/>
    </row>
    <row r="13" spans="1:19">
      <c r="A13" s="273" t="s">
        <v>141</v>
      </c>
      <c r="B13" s="292">
        <f>'[6]2015-18 D&amp;O Est'!X38</f>
        <v>1189189.5899499999</v>
      </c>
      <c r="C13" s="287" t="s">
        <v>178</v>
      </c>
      <c r="D13" s="292">
        <f>+'[6]2015-18 D&amp;O Est'!X107</f>
        <v>1099187.92172</v>
      </c>
      <c r="E13" s="288" t="s">
        <v>179</v>
      </c>
      <c r="F13" s="292">
        <f>+'[6]2015-18 D&amp;O Est'!X129</f>
        <v>1130076.9458215998</v>
      </c>
      <c r="G13" s="288" t="s">
        <v>179</v>
      </c>
      <c r="H13" s="245" t="s">
        <v>166</v>
      </c>
      <c r="J13" s="289"/>
      <c r="K13" s="290"/>
      <c r="L13" s="290"/>
      <c r="M13" s="291"/>
      <c r="N13" s="290"/>
      <c r="O13" s="291"/>
      <c r="P13" s="290"/>
      <c r="Q13" s="291"/>
    </row>
    <row r="14" spans="1:19">
      <c r="B14" s="283"/>
      <c r="C14" s="284"/>
      <c r="D14" s="285"/>
      <c r="E14" s="284"/>
      <c r="F14" s="285"/>
      <c r="G14" s="284"/>
    </row>
    <row r="15" spans="1:19">
      <c r="A15" s="273" t="s">
        <v>142</v>
      </c>
      <c r="B15" s="292">
        <v>1463043</v>
      </c>
      <c r="C15" s="287" t="s">
        <v>178</v>
      </c>
      <c r="D15" s="292">
        <f>+'[6]2014-18  Prop Calcs for IA-2'!N36</f>
        <v>1403724.1261342163</v>
      </c>
      <c r="E15" s="293" t="s">
        <v>179</v>
      </c>
      <c r="F15" s="292">
        <f>+'[6]2014-18  Prop Calcs for IA-2'!N42</f>
        <v>1503388.5390897456</v>
      </c>
      <c r="G15" s="293" t="s">
        <v>179</v>
      </c>
      <c r="H15" s="245" t="s">
        <v>167</v>
      </c>
      <c r="J15" s="289"/>
      <c r="K15" s="290"/>
      <c r="L15" s="290"/>
      <c r="M15" s="291"/>
      <c r="N15" s="290"/>
      <c r="O15" s="291"/>
      <c r="P15" s="290"/>
      <c r="Q15" s="291"/>
    </row>
    <row r="16" spans="1:19">
      <c r="A16" s="245"/>
      <c r="B16" s="283"/>
      <c r="C16" s="284"/>
      <c r="D16" s="285"/>
      <c r="E16" s="284"/>
      <c r="F16" s="285"/>
      <c r="G16" s="284"/>
    </row>
    <row r="17" spans="1:7">
      <c r="A17" s="245"/>
      <c r="B17" s="283"/>
      <c r="C17" s="284"/>
      <c r="D17" s="285"/>
      <c r="E17" s="284"/>
      <c r="F17" s="285"/>
      <c r="G17" s="284"/>
    </row>
    <row r="18" spans="1:7">
      <c r="A18" s="266" t="s">
        <v>180</v>
      </c>
      <c r="B18" s="294">
        <f>+B11+B13+B15</f>
        <v>5095309.5490789749</v>
      </c>
      <c r="C18" s="284"/>
      <c r="D18" s="286">
        <f>SUM(D11:D15)</f>
        <v>5242104.2806988098</v>
      </c>
      <c r="E18" s="295"/>
      <c r="F18" s="286">
        <f>SUM(F11:F15)</f>
        <v>5515706.9094781689</v>
      </c>
      <c r="G18" s="295"/>
    </row>
    <row r="19" spans="1:7">
      <c r="A19" s="245"/>
      <c r="B19" s="296" t="s">
        <v>181</v>
      </c>
      <c r="C19" s="297"/>
      <c r="D19" s="298" t="s">
        <v>181</v>
      </c>
      <c r="E19" s="299"/>
      <c r="F19" s="298" t="s">
        <v>181</v>
      </c>
      <c r="G19" s="300"/>
    </row>
    <row r="20" spans="1:7">
      <c r="A20" s="245"/>
      <c r="B20" s="267"/>
      <c r="C20" s="267"/>
      <c r="D20" s="249"/>
      <c r="E20" s="249"/>
      <c r="F20" s="249"/>
      <c r="G20" s="249"/>
    </row>
    <row r="21" spans="1:7">
      <c r="A21" s="245" t="s">
        <v>182</v>
      </c>
      <c r="B21" s="267">
        <f>-B13*0.1</f>
        <v>-118918.95899499999</v>
      </c>
      <c r="C21" s="267"/>
      <c r="D21" s="267">
        <f>-D13*0.1</f>
        <v>-109918.792172</v>
      </c>
      <c r="E21" s="249"/>
      <c r="F21" s="267">
        <f>-F13*0.1</f>
        <v>-113007.69458215998</v>
      </c>
      <c r="G21" s="249"/>
    </row>
    <row r="22" spans="1:7">
      <c r="A22" s="273" t="s">
        <v>183</v>
      </c>
      <c r="B22" s="301">
        <f>B18+B21</f>
        <v>4976390.5900839753</v>
      </c>
      <c r="C22" s="267"/>
      <c r="D22" s="301">
        <f>D18+D21</f>
        <v>5132185.48852681</v>
      </c>
      <c r="E22" s="249"/>
      <c r="F22" s="301">
        <f>F18+F21</f>
        <v>5402699.2148960093</v>
      </c>
      <c r="G22" s="249" t="s">
        <v>184</v>
      </c>
    </row>
    <row r="23" spans="1:7">
      <c r="A23" s="245"/>
      <c r="B23" s="267"/>
      <c r="C23" s="267"/>
      <c r="D23" s="249"/>
      <c r="E23" s="249"/>
      <c r="F23" s="249"/>
      <c r="G23" s="249"/>
    </row>
    <row r="24" spans="1:7">
      <c r="A24" s="266" t="s">
        <v>185</v>
      </c>
      <c r="E24" s="249"/>
    </row>
    <row r="26" spans="1:7">
      <c r="A26" s="302" t="s">
        <v>186</v>
      </c>
    </row>
    <row r="29" spans="1:7">
      <c r="B29" s="303"/>
      <c r="D29" s="303"/>
      <c r="F29" s="303"/>
    </row>
    <row r="30" spans="1:7">
      <c r="D30" s="268"/>
      <c r="F30" s="268"/>
    </row>
    <row r="31" spans="1:7">
      <c r="B31" s="303"/>
      <c r="D31" s="303"/>
      <c r="F31" s="303"/>
    </row>
    <row r="32" spans="1:7">
      <c r="D32" s="268"/>
      <c r="F32" s="268"/>
    </row>
    <row r="33" spans="2:6">
      <c r="D33" s="268"/>
      <c r="F33" s="268"/>
    </row>
    <row r="34" spans="2:6">
      <c r="D34" s="268"/>
      <c r="F34" s="268"/>
    </row>
    <row r="35" spans="2:6">
      <c r="D35" s="268"/>
      <c r="F35" s="268"/>
    </row>
    <row r="36" spans="2:6">
      <c r="D36" s="268"/>
      <c r="F36" s="268"/>
    </row>
    <row r="37" spans="2:6">
      <c r="D37" s="268"/>
      <c r="F37" s="268"/>
    </row>
    <row r="40" spans="2:6">
      <c r="B40" s="303"/>
      <c r="C40" s="304"/>
    </row>
    <row r="41" spans="2:6">
      <c r="B41" s="303"/>
      <c r="C41" s="304"/>
    </row>
    <row r="42" spans="2:6">
      <c r="B42" s="303"/>
      <c r="C42" s="304"/>
    </row>
  </sheetData>
  <mergeCells count="7">
    <mergeCell ref="A2:H2"/>
    <mergeCell ref="A3:H3"/>
    <mergeCell ref="A4:H4"/>
    <mergeCell ref="A6:G6"/>
    <mergeCell ref="B8:C8"/>
    <mergeCell ref="D8:E8"/>
    <mergeCell ref="F8:G8"/>
  </mergeCells>
  <pageMargins left="1.1399999999999999" right="0.45" top="1" bottom="1" header="0.5" footer="0.5"/>
  <pageSetup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E4CCC-B132-4AA3-8231-622738568B4F}">
  <ds:schemaRefs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E7EDA0-183E-4B83-BAE8-80F3FAC47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22BDFF-58BB-4069-9F90-D8B5E86F5754}"/>
</file>

<file path=customXml/itemProps4.xml><?xml version="1.0" encoding="utf-8"?>
<ds:datastoreItem xmlns:ds="http://schemas.openxmlformats.org/officeDocument/2006/customXml" ds:itemID="{1503AA9D-7769-4236-AE81-11729B1E6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Electric staff</vt:lpstr>
      <vt:lpstr>Gas Staff</vt:lpstr>
      <vt:lpstr>Insurance</vt:lpstr>
      <vt:lpstr>UE-140188 IA-1</vt:lpstr>
      <vt:lpstr>UE-140188 IA-2</vt:lpstr>
      <vt:lpstr>UE-150205 IA-1</vt:lpstr>
      <vt:lpstr>UE-150205 IA-2</vt:lpstr>
      <vt:lpstr>UE-160228 IA-1</vt:lpstr>
      <vt:lpstr>UE-160228 IA-2</vt:lpstr>
      <vt:lpstr>Insurance History</vt:lpstr>
      <vt:lpstr>Sheet4</vt:lpstr>
      <vt:lpstr>'Electric staff'!Print_Area</vt:lpstr>
      <vt:lpstr>'Gas Staff'!Print_Area</vt:lpstr>
      <vt:lpstr>Insurance!Print_Area</vt:lpstr>
      <vt:lpstr>'UE-140188 IA-1'!Print_Area</vt:lpstr>
      <vt:lpstr>'UE-140188 IA-2'!Print_Area</vt:lpstr>
      <vt:lpstr>'UE-150205 IA-1'!Print_Area</vt:lpstr>
      <vt:lpstr>'UE-150205 IA-2'!Print_Area</vt:lpstr>
      <vt:lpstr>'UE-160228 IA-1'!Print_Area</vt:lpstr>
      <vt:lpstr>'UE-160228 IA-2'!Print_Area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dc:description/>
  <cp:lastModifiedBy>Brewster, Stacey (UTC)</cp:lastModifiedBy>
  <cp:lastPrinted>2019-10-01T16:59:59Z</cp:lastPrinted>
  <dcterms:created xsi:type="dcterms:W3CDTF">2019-08-29T21:51:25Z</dcterms:created>
  <dcterms:modified xsi:type="dcterms:W3CDTF">2020-03-30T16:46:38Z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