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0" yWindow="0" windowWidth="21180" windowHeight="11355" tabRatio="914" activeTab="3"/>
  </bookViews>
  <sheets>
    <sheet name="Lead Sheet Electric" sheetId="4" r:id="rId1"/>
    <sheet name="Lead Sheet Gas" sheetId="3" r:id="rId2"/>
    <sheet name="Medical" sheetId="2" r:id="rId3"/>
    <sheet name="5-Y historical data " sheetId="9" r:id="rId4"/>
    <sheet name="UE-140188 Pension &amp; Medical" sheetId="6" r:id="rId5"/>
    <sheet name="UE-150204 Pension &amp; Medical" sheetId="7" r:id="rId6"/>
    <sheet name="UE-160228 Retirement" sheetId="8" r:id="rId7"/>
    <sheet name="UE-170485 Pension and Medical" sheetId="5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3">'5-Y historical data '!$B$1:$K$23</definedName>
    <definedName name="_xlnm.Print_Area" localSheetId="0">'Lead Sheet Electric'!$A$1:$G$80</definedName>
    <definedName name="_xlnm.Print_Area" localSheetId="1">'Lead Sheet Gas'!$A$1:$H$82</definedName>
    <definedName name="_xlnm.Print_Area" localSheetId="2">Medical!$B$1:$N$45</definedName>
    <definedName name="_xlnm.Print_Area" localSheetId="4">'UE-140188 Pension &amp; Medical'!$A$1:$I$45</definedName>
    <definedName name="_xlnm.Print_Area" localSheetId="5">'UE-150204 Pension &amp; Medical'!$A$1:$J$61</definedName>
    <definedName name="_xlnm.Print_Titles" localSheetId="4">'UE-140188 Pension &amp; Medical'!$1:$11</definedName>
    <definedName name="_xlnm.Print_Titles" localSheetId="5">'UE-150204 Pension &amp; Medical'!$1:$15</definedName>
    <definedName name="_xlnm.Print_Titles" localSheetId="6">'UE-160228 Retirement'!$1:$11</definedName>
    <definedName name="Recover" localSheetId="4">[1]Macro1!$A$69</definedName>
    <definedName name="Recover" localSheetId="5">[1]Macro1!$A$69</definedName>
    <definedName name="Recover" localSheetId="6">[1]Macro1!$A$69</definedName>
    <definedName name="Recover">[2]Macro1!$A$69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7" i="9" l="1"/>
  <c r="W37" i="9"/>
  <c r="K23" i="9"/>
  <c r="J23" i="9"/>
  <c r="I23" i="9"/>
  <c r="H23" i="9"/>
  <c r="G23" i="9"/>
  <c r="F23" i="9"/>
  <c r="E23" i="9"/>
  <c r="D23" i="9"/>
  <c r="M35" i="2" l="1"/>
  <c r="M45" i="2"/>
  <c r="G55" i="8" l="1"/>
  <c r="D26" i="8"/>
  <c r="E27" i="8" s="1"/>
  <c r="A22" i="8"/>
  <c r="A26" i="8" s="1"/>
  <c r="A30" i="8" s="1"/>
  <c r="D18" i="8"/>
  <c r="E19" i="8" s="1"/>
  <c r="A18" i="8"/>
  <c r="E15" i="8"/>
  <c r="D14" i="8"/>
  <c r="D30" i="8" s="1"/>
  <c r="E31" i="8" s="1"/>
  <c r="G9" i="8"/>
  <c r="H9" i="8" s="1"/>
  <c r="I9" i="8" s="1"/>
  <c r="C2" i="8"/>
  <c r="C1" i="8"/>
  <c r="D22" i="8" l="1"/>
  <c r="E23" i="8" s="1"/>
  <c r="E33" i="8" s="1"/>
  <c r="H7" i="8" l="1"/>
  <c r="G7" i="8"/>
  <c r="I7" i="8" s="1"/>
  <c r="H6" i="8"/>
  <c r="H8" i="8" s="1"/>
  <c r="H10" i="8" s="1"/>
  <c r="H27" i="8" l="1"/>
  <c r="H19" i="8"/>
  <c r="H31" i="8"/>
  <c r="H23" i="8"/>
  <c r="H15" i="8"/>
  <c r="G6" i="8"/>
  <c r="G8" i="8" l="1"/>
  <c r="I6" i="8"/>
  <c r="H33" i="8"/>
  <c r="G10" i="8" l="1"/>
  <c r="I8" i="8"/>
  <c r="I10" i="8" l="1"/>
  <c r="G27" i="8"/>
  <c r="I27" i="8" s="1"/>
  <c r="G19" i="8"/>
  <c r="I19" i="8" s="1"/>
  <c r="G23" i="8"/>
  <c r="I23" i="8" s="1"/>
  <c r="G15" i="8"/>
  <c r="G31" i="8"/>
  <c r="I31" i="8" s="1"/>
  <c r="I15" i="8" l="1"/>
  <c r="I33" i="8" s="1"/>
  <c r="G33" i="8"/>
  <c r="I61" i="7" l="1"/>
  <c r="H61" i="7"/>
  <c r="G61" i="7"/>
  <c r="G51" i="7" s="1"/>
  <c r="G55" i="7" s="1"/>
  <c r="H6" i="7" s="1"/>
  <c r="H8" i="7" s="1"/>
  <c r="I55" i="7"/>
  <c r="H12" i="7" s="1"/>
  <c r="I53" i="7"/>
  <c r="H51" i="7"/>
  <c r="H55" i="7" s="1"/>
  <c r="I47" i="7"/>
  <c r="G47" i="7"/>
  <c r="H46" i="7"/>
  <c r="H48" i="7" s="1"/>
  <c r="G44" i="7"/>
  <c r="G46" i="7" s="1"/>
  <c r="G48" i="7" s="1"/>
  <c r="G6" i="7" s="1"/>
  <c r="D33" i="7"/>
  <c r="A30" i="7"/>
  <c r="A34" i="7" s="1"/>
  <c r="D29" i="7"/>
  <c r="A26" i="7"/>
  <c r="D25" i="7"/>
  <c r="A22" i="7"/>
  <c r="D21" i="7"/>
  <c r="D18" i="7"/>
  <c r="D22" i="7" s="1"/>
  <c r="E23" i="7" s="1"/>
  <c r="D17" i="7"/>
  <c r="G9" i="7"/>
  <c r="H9" i="7" s="1"/>
  <c r="I9" i="7" s="1"/>
  <c r="I7" i="7"/>
  <c r="G7" i="7"/>
  <c r="C2" i="7"/>
  <c r="C1" i="7"/>
  <c r="H10" i="7" l="1"/>
  <c r="I6" i="7"/>
  <c r="G8" i="7"/>
  <c r="D34" i="7"/>
  <c r="E35" i="7" s="1"/>
  <c r="G13" i="7"/>
  <c r="H13" i="7" s="1"/>
  <c r="I13" i="7" s="1"/>
  <c r="E19" i="7"/>
  <c r="D30" i="7"/>
  <c r="E31" i="7" s="1"/>
  <c r="D26" i="7"/>
  <c r="E27" i="7" s="1"/>
  <c r="I44" i="7"/>
  <c r="I46" i="7" s="1"/>
  <c r="I48" i="7" s="1"/>
  <c r="G12" i="7" s="1"/>
  <c r="G14" i="7" l="1"/>
  <c r="I12" i="7"/>
  <c r="I14" i="7" s="1"/>
  <c r="G35" i="7"/>
  <c r="H14" i="7"/>
  <c r="E37" i="7"/>
  <c r="G10" i="7"/>
  <c r="I10" i="7" s="1"/>
  <c r="I8" i="7"/>
  <c r="H35" i="7" l="1"/>
  <c r="I35" i="7" s="1"/>
  <c r="H19" i="7"/>
  <c r="H31" i="7"/>
  <c r="H23" i="7"/>
  <c r="H27" i="7"/>
  <c r="G31" i="7"/>
  <c r="I31" i="7" s="1"/>
  <c r="G27" i="7"/>
  <c r="I27" i="7" s="1"/>
  <c r="G19" i="7"/>
  <c r="G23" i="7"/>
  <c r="I23" i="7" s="1"/>
  <c r="H37" i="7" l="1"/>
  <c r="G37" i="7"/>
  <c r="I19" i="7"/>
  <c r="I37" i="7" s="1"/>
  <c r="G43" i="6" l="1"/>
  <c r="D29" i="6"/>
  <c r="D25" i="6"/>
  <c r="D21" i="6"/>
  <c r="D17" i="6"/>
  <c r="D14" i="6"/>
  <c r="D26" i="6" s="1"/>
  <c r="E27" i="6" s="1"/>
  <c r="D13" i="6"/>
  <c r="E15" i="6" s="1"/>
  <c r="G10" i="6"/>
  <c r="G9" i="6"/>
  <c r="H9" i="6" s="1"/>
  <c r="I9" i="6" s="1"/>
  <c r="G8" i="6"/>
  <c r="H7" i="6"/>
  <c r="H8" i="6" s="1"/>
  <c r="I6" i="6"/>
  <c r="H6" i="6"/>
  <c r="C2" i="6"/>
  <c r="C1" i="6"/>
  <c r="I8" i="6" l="1"/>
  <c r="H10" i="6"/>
  <c r="D22" i="6"/>
  <c r="E23" i="6" s="1"/>
  <c r="G23" i="6" s="1"/>
  <c r="G27" i="6"/>
  <c r="D30" i="6"/>
  <c r="E31" i="6" s="1"/>
  <c r="G31" i="6" s="1"/>
  <c r="I7" i="6"/>
  <c r="G15" i="6"/>
  <c r="D18" i="6"/>
  <c r="E19" i="6" s="1"/>
  <c r="G19" i="6" s="1"/>
  <c r="I23" i="6" l="1"/>
  <c r="H31" i="6"/>
  <c r="I31" i="6" s="1"/>
  <c r="H23" i="6"/>
  <c r="H15" i="6"/>
  <c r="H19" i="6"/>
  <c r="I19" i="6" s="1"/>
  <c r="H27" i="6"/>
  <c r="I27" i="6" s="1"/>
  <c r="I10" i="6"/>
  <c r="I15" i="6"/>
  <c r="G33" i="6"/>
  <c r="G34" i="6" s="1"/>
  <c r="I33" i="6" l="1"/>
  <c r="I34" i="6" s="1"/>
  <c r="H33" i="6"/>
  <c r="H34" i="6" s="1"/>
  <c r="H72" i="3" l="1"/>
  <c r="H66" i="3"/>
  <c r="H73" i="3" s="1"/>
  <c r="H75" i="3" s="1"/>
  <c r="H82" i="3" s="1"/>
  <c r="H48" i="3"/>
  <c r="H37" i="3"/>
  <c r="H31" i="3"/>
  <c r="H25" i="3"/>
  <c r="H18" i="3"/>
  <c r="G72" i="4"/>
  <c r="G65" i="4"/>
  <c r="G45" i="4"/>
  <c r="G34" i="4"/>
  <c r="G28" i="4"/>
  <c r="G17" i="4"/>
  <c r="G19" i="4" s="1"/>
  <c r="G73" i="4" l="1"/>
  <c r="G76" i="4" s="1"/>
  <c r="G80" i="4" s="1"/>
  <c r="G46" i="4"/>
  <c r="H49" i="3"/>
  <c r="H51" i="3" s="1"/>
  <c r="H54" i="3"/>
  <c r="H55" i="3"/>
  <c r="G48" i="4"/>
  <c r="G52" i="4"/>
  <c r="L45" i="2"/>
  <c r="N40" i="2"/>
  <c r="M40" i="2"/>
  <c r="L40" i="2"/>
  <c r="L35" i="2"/>
  <c r="N30" i="2"/>
  <c r="E30" i="2"/>
  <c r="M25" i="2"/>
  <c r="L25" i="2"/>
  <c r="M20" i="2"/>
  <c r="M17" i="2"/>
  <c r="N25" i="2" l="1"/>
  <c r="M30" i="2"/>
  <c r="H59" i="3"/>
  <c r="G51" i="4"/>
  <c r="G56" i="4" s="1"/>
  <c r="L30" i="2"/>
</calcChain>
</file>

<file path=xl/comments1.xml><?xml version="1.0" encoding="utf-8"?>
<comments xmlns="http://schemas.openxmlformats.org/spreadsheetml/2006/main">
  <authors>
    <author>Huang, Joanna (UTC)</author>
  </authors>
  <commentList>
    <comment ref="F25" authorId="0" shapeId="0">
      <text>
        <r>
          <rPr>
            <b/>
            <sz val="9"/>
            <color indexed="81"/>
            <rFont val="Tahoma"/>
            <family val="2"/>
          </rPr>
          <t>Huang, Joanna (UTC):</t>
        </r>
        <r>
          <rPr>
            <sz val="9"/>
            <color indexed="81"/>
            <rFont val="Tahoma"/>
            <family val="2"/>
          </rPr>
          <t xml:space="preserve">
2015</t>
        </r>
      </text>
    </comment>
  </commentList>
</comments>
</file>

<file path=xl/comments2.xml><?xml version="1.0" encoding="utf-8"?>
<comments xmlns="http://schemas.openxmlformats.org/spreadsheetml/2006/main">
  <authors>
    <author>annette brandon</author>
  </authors>
  <commentList>
    <comment ref="D44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Based on September 22, 2014 Assets and a Discount rate of 4.4% 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2017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2017</t>
        </r>
      </text>
    </comment>
  </commentList>
</comments>
</file>

<file path=xl/sharedStrings.xml><?xml version="1.0" encoding="utf-8"?>
<sst xmlns="http://schemas.openxmlformats.org/spreadsheetml/2006/main" count="410" uniqueCount="234">
  <si>
    <t>Approved</t>
  </si>
  <si>
    <t xml:space="preserve">Requested </t>
  </si>
  <si>
    <t xml:space="preserve">Overestimated </t>
  </si>
  <si>
    <t>Docket</t>
  </si>
  <si>
    <t>Test Period</t>
  </si>
  <si>
    <t>Pro Forma increase</t>
  </si>
  <si>
    <t>UE-100467</t>
  </si>
  <si>
    <t>21/31/2009</t>
  </si>
  <si>
    <t>Do not present this portion</t>
  </si>
  <si>
    <t>UE-110876</t>
  </si>
  <si>
    <t>UE-120436</t>
  </si>
  <si>
    <t>UE-140188</t>
  </si>
  <si>
    <t>UE-140448</t>
  </si>
  <si>
    <t>UE-150205</t>
  </si>
  <si>
    <t>UE-160228</t>
  </si>
  <si>
    <t>UE-170485</t>
  </si>
  <si>
    <t>Test year</t>
  </si>
  <si>
    <t>UE-190335</t>
  </si>
  <si>
    <t>This requested amount of $9,754,394 or 10.14% increase is ubsurd and outrageous.</t>
  </si>
  <si>
    <t>Actual</t>
  </si>
  <si>
    <t>Pro-Forma 2019</t>
  </si>
  <si>
    <t>Task Number</t>
  </si>
  <si>
    <t>Task Name</t>
  </si>
  <si>
    <t>Sum of Transaction Amount</t>
  </si>
  <si>
    <t>926220</t>
  </si>
  <si>
    <t>Health Insurance</t>
  </si>
  <si>
    <t>926221</t>
  </si>
  <si>
    <t>Health Insure - HDHP</t>
  </si>
  <si>
    <t>926240</t>
  </si>
  <si>
    <t>FAS 106</t>
  </si>
  <si>
    <t>926251</t>
  </si>
  <si>
    <t>FAS 106 NS</t>
  </si>
  <si>
    <t>926225</t>
  </si>
  <si>
    <t>401 (k)</t>
  </si>
  <si>
    <t>926226</t>
  </si>
  <si>
    <t>401(K) Non-Elect Con</t>
  </si>
  <si>
    <t>926230</t>
  </si>
  <si>
    <t>Pension FAS 87</t>
  </si>
  <si>
    <t>926253</t>
  </si>
  <si>
    <t>Pension FAS 87 NS</t>
  </si>
  <si>
    <t>Grand Total</t>
  </si>
  <si>
    <t>5-Year Average</t>
  </si>
  <si>
    <t>2014-2018</t>
  </si>
  <si>
    <t xml:space="preserve">AVISTA UTILITIES  </t>
  </si>
  <si>
    <t xml:space="preserve">WASHINGTON ELECTRIC RESULTS </t>
  </si>
  <si>
    <t>TWELVE MONTHS ENDED DECEMBER 31, 2018</t>
  </si>
  <si>
    <t xml:space="preserve">(000'S OF DOLLARS)  </t>
  </si>
  <si>
    <t xml:space="preserve">Employee Benefits Analysis </t>
  </si>
  <si>
    <t xml:space="preserve">Pro-Forma </t>
  </si>
  <si>
    <t>Line</t>
  </si>
  <si>
    <t>No.</t>
  </si>
  <si>
    <t>DESCRIPTION</t>
  </si>
  <si>
    <t xml:space="preserve">Adjustment Number </t>
  </si>
  <si>
    <t>Workpaper Reference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</si>
  <si>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</si>
  <si>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</si>
  <si>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</si>
  <si>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</si>
  <si>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</si>
  <si>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</si>
  <si>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</si>
  <si>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</si>
  <si>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</si>
  <si>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</si>
  <si>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</si>
  <si>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</si>
  <si>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</si>
  <si>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</si>
  <si>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</si>
  <si>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</si>
  <si>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</si>
  <si>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</si>
  <si>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</si>
  <si>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</si>
  <si>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</si>
  <si>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</si>
  <si>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>Regulatory Deferrals/Amortization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</si>
  <si>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</si>
  <si>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</si>
  <si>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</si>
  <si>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</si>
  <si>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</si>
  <si>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</si>
  <si>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</si>
  <si>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</si>
  <si>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</si>
  <si>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</si>
  <si>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</si>
  <si>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</si>
  <si>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</si>
  <si>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</si>
  <si>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</si>
  <si>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</si>
  <si>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</si>
  <si>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</si>
  <si>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</si>
  <si>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</si>
  <si>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</si>
  <si>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</si>
  <si>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</si>
  <si>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</si>
  <si>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>a</t>
  </si>
  <si>
    <t>REVENUES</t>
  </si>
  <si>
    <t>Total General Business</t>
  </si>
  <si>
    <t>Total Transportation</t>
  </si>
  <si>
    <t>Other Revenues</t>
  </si>
  <si>
    <t>Total Gas Revenues</t>
  </si>
  <si>
    <t>EXPENSES</t>
  </si>
  <si>
    <t xml:space="preserve">Production Expenses 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</si>
  <si>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</si>
  <si>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</si>
  <si>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</si>
  <si>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</si>
  <si>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</si>
  <si>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</si>
  <si>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</si>
  <si>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</si>
  <si>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</si>
  <si>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</si>
  <si>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</si>
  <si>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</si>
  <si>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</si>
  <si>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</si>
  <si>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</si>
  <si>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</si>
  <si>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</si>
  <si>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</si>
  <si>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</si>
  <si>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</si>
  <si>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</si>
  <si>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</si>
  <si>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</si>
  <si>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</si>
  <si>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</si>
  <si>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</si>
  <si>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</si>
  <si>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</si>
  <si>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DEPREC/AMORT</t>
  </si>
  <si>
    <t>Total Accum. Depreciation/Amort.</t>
  </si>
  <si>
    <t>NET PLANT</t>
  </si>
  <si>
    <t>DEFERRED FIT</t>
  </si>
  <si>
    <t>GAS INVENTORY</t>
  </si>
  <si>
    <t>GAIN ON SALE OF BUILDING</t>
  </si>
  <si>
    <t>OTHER</t>
  </si>
  <si>
    <t>WORKING CAsITAL</t>
  </si>
  <si>
    <t>TOTAL RATE BASE</t>
  </si>
  <si>
    <t xml:space="preserve">RATE OF RETURN </t>
  </si>
  <si>
    <t xml:space="preserve">Pro Forma </t>
  </si>
  <si>
    <t xml:space="preserve">Employee </t>
  </si>
  <si>
    <t>Benefits</t>
  </si>
  <si>
    <t>E-PEB</t>
  </si>
  <si>
    <t>Pro Forma</t>
  </si>
  <si>
    <t>Employee</t>
  </si>
  <si>
    <t>G-PEB</t>
  </si>
  <si>
    <t xml:space="preserve">WASHINGTON GAS RESULTS </t>
  </si>
  <si>
    <t xml:space="preserve">SYSTEM RESULTS </t>
  </si>
  <si>
    <t xml:space="preserve">Test period actual </t>
  </si>
  <si>
    <t>Rate year pro forma</t>
  </si>
  <si>
    <t xml:space="preserve">(1)  2015 projected expense less 12ME 06/30/2013 actual expense </t>
  </si>
  <si>
    <t>Pension</t>
  </si>
  <si>
    <t>Medical</t>
  </si>
  <si>
    <t>TOTAL</t>
  </si>
  <si>
    <t>2015 projection (medical), 2015 projection (pension)</t>
  </si>
  <si>
    <t>**</t>
  </si>
  <si>
    <t>12 month ended June 2013 actual</t>
  </si>
  <si>
    <t>Difference</t>
  </si>
  <si>
    <t>Allocation to utility</t>
  </si>
  <si>
    <t xml:space="preserve">   Net increase to utility</t>
  </si>
  <si>
    <t>12 month period end 06/30/2013</t>
  </si>
  <si>
    <t>Washington Electric Labor</t>
  </si>
  <si>
    <t>Total Company Labor</t>
  </si>
  <si>
    <t>G_FLB-8</t>
  </si>
  <si>
    <t>% of total</t>
  </si>
  <si>
    <t xml:space="preserve"> Idaho Electric Labor</t>
  </si>
  <si>
    <t>Washington Gas Labor</t>
  </si>
  <si>
    <t>Idaho Gas Labor</t>
  </si>
  <si>
    <t>Oregon Gas Labor</t>
  </si>
  <si>
    <t>O&amp;M</t>
  </si>
  <si>
    <t>O &amp; M %</t>
  </si>
  <si>
    <t>Source</t>
  </si>
  <si>
    <t>TW</t>
  </si>
  <si>
    <t>Towers Watson Estimated 2014-2017 Pension Expense</t>
  </si>
  <si>
    <t>Medical:</t>
  </si>
  <si>
    <t>MC</t>
  </si>
  <si>
    <t>Mercer</t>
  </si>
  <si>
    <t>EBA Medical Health Insurance</t>
  </si>
  <si>
    <t>Group Health Medical Insurance</t>
  </si>
  <si>
    <t>(2014 Amount)</t>
  </si>
  <si>
    <t xml:space="preserve">(1)  2015 projected expense less 12ME 12/31/2013 actual expense </t>
  </si>
  <si>
    <t>2016 projection (medical), 2016 projection (pension)</t>
  </si>
  <si>
    <t>12 month ended September 2014 actual</t>
  </si>
  <si>
    <t>Incremental Increase for 6 months ending 06.30.2017</t>
  </si>
  <si>
    <t>12 month period end 09/30/2014</t>
  </si>
  <si>
    <t>Total OPER Labor</t>
  </si>
  <si>
    <t>2 ME 12.2016</t>
  </si>
  <si>
    <t>12 ME 2017</t>
  </si>
  <si>
    <t>difference @ 6 months</t>
  </si>
  <si>
    <t>Task</t>
  </si>
  <si>
    <t>Towers Watson Estimated 2014-2019 Pension Expense</t>
  </si>
  <si>
    <t>2016  /2017</t>
  </si>
  <si>
    <t>2016 estimate</t>
  </si>
  <si>
    <t>Admin</t>
  </si>
  <si>
    <t>Plus 401K</t>
  </si>
  <si>
    <t>Total</t>
  </si>
  <si>
    <t>2015 estimate</t>
  </si>
  <si>
    <t>Medical from Mercer</t>
  </si>
  <si>
    <t>Adjustment for IBNR</t>
  </si>
  <si>
    <t>Admin Fees</t>
  </si>
  <si>
    <t>Retirement</t>
  </si>
  <si>
    <t>Pro-Forma Adjustment</t>
  </si>
  <si>
    <t>12 Months Ending</t>
  </si>
  <si>
    <t>Total Adjustment</t>
  </si>
  <si>
    <t>O &amp; M Allocation Percent</t>
  </si>
  <si>
    <t xml:space="preserve">   Net O &amp; M increase to utility</t>
  </si>
  <si>
    <t>**Retirement based on 2016 Projection; medical based on 2016 Projection.</t>
  </si>
  <si>
    <t>Source: non-executive officer adjustment plus executive officer adjustment (test period)</t>
  </si>
  <si>
    <t>Year End</t>
  </si>
  <si>
    <t>Pro-Forma</t>
  </si>
  <si>
    <t>YE 12.31.2016</t>
  </si>
  <si>
    <t>YE 12.31.2017</t>
  </si>
  <si>
    <t>Adjustment</t>
  </si>
  <si>
    <t>Health Insurance (Premera and Group Health)</t>
  </si>
  <si>
    <t xml:space="preserve">FAS 106 (Post-Retirement Medical) </t>
  </si>
  <si>
    <t>Total Medical</t>
  </si>
  <si>
    <t>Total Retirement</t>
  </si>
  <si>
    <t>O &amp; M Percent</t>
  </si>
  <si>
    <t>Total O&amp;M</t>
  </si>
  <si>
    <t>YE 12.31.2018</t>
  </si>
  <si>
    <t>YE 12.31.2019</t>
  </si>
  <si>
    <t xml:space="preserve">Pro Froma </t>
  </si>
  <si>
    <t xml:space="preserve"> increase</t>
  </si>
  <si>
    <t>Percentage</t>
  </si>
  <si>
    <t>Avista Proposed 2020</t>
  </si>
  <si>
    <t>Staff Proposed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</si>
</sst>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  <numFmt numFmtId="167" formatCode="###,###,##0"/>
    <numFmt numFmtId="168" formatCode="0.000%"/>
    <numFmt numFmtId="169" formatCode="&quot;$&quot;#,##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Geneva"/>
      <family val="2"/>
    </font>
    <font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0"/>
      <name val="Geneva"/>
    </font>
    <font>
      <i/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u/>
      <sz val="7.5"/>
      <color theme="0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color indexed="12"/>
      <name val="Times New Roman"/>
      <family val="1"/>
    </font>
    <font>
      <sz val="10"/>
      <color rgb="FFFF0000"/>
      <name val="Times New Roman"/>
      <family val="1"/>
    </font>
    <font>
      <sz val="10"/>
      <color indexed="56"/>
      <name val="Times New Roman"/>
      <family val="1"/>
    </font>
    <font>
      <b/>
      <u/>
      <sz val="10"/>
      <name val="Times New Roman"/>
      <family val="1"/>
    </font>
    <font>
      <i/>
      <sz val="10"/>
      <color indexed="12"/>
      <name val="Times New Roman"/>
      <family val="1"/>
    </font>
    <font>
      <i/>
      <sz val="8"/>
      <color indexed="10"/>
      <name val="Times New Roman"/>
      <family val="1"/>
    </font>
    <font>
      <sz val="9"/>
      <color rgb="FFFF000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3333FF"/>
      <name val="Times New Roman"/>
      <family val="1"/>
    </font>
    <font>
      <i/>
      <sz val="8"/>
      <name val="Times New Roman"/>
      <family val="1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theme="3" tint="0.59996337778862885"/>
      </bottom>
      <diagonal/>
    </border>
    <border>
      <left/>
      <right style="thin">
        <color indexed="64"/>
      </right>
      <top/>
      <bottom style="thin">
        <color theme="3" tint="0.59996337778862885"/>
      </bottom>
      <diagonal/>
    </border>
    <border>
      <left style="thin">
        <color indexed="64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indexed="64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/>
      <top style="thin">
        <color theme="3" tint="0.59996337778862885"/>
      </top>
      <bottom/>
      <diagonal/>
    </border>
    <border>
      <left/>
      <right style="thin">
        <color indexed="64"/>
      </right>
      <top style="thin">
        <color theme="3" tint="0.59996337778862885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8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1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0" xfId="0" applyNumberFormat="1"/>
    <xf numFmtId="164" fontId="0" fillId="0" borderId="0" xfId="1" applyNumberFormat="1" applyFont="1"/>
    <xf numFmtId="10" fontId="2" fillId="0" borderId="0" xfId="3" applyNumberFormat="1" applyFont="1"/>
    <xf numFmtId="0" fontId="6" fillId="0" borderId="0" xfId="0" applyFont="1"/>
    <xf numFmtId="166" fontId="7" fillId="0" borderId="0" xfId="2" applyNumberFormat="1" applyFont="1" applyFill="1" applyBorder="1"/>
    <xf numFmtId="167" fontId="0" fillId="0" borderId="0" xfId="0" applyNumberFormat="1"/>
    <xf numFmtId="167" fontId="3" fillId="0" borderId="0" xfId="0" applyNumberFormat="1" applyFont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1" fillId="0" borderId="1" xfId="0" applyFont="1" applyBorder="1"/>
    <xf numFmtId="166" fontId="1" fillId="0" borderId="1" xfId="2" applyNumberFormat="1" applyFont="1" applyBorder="1"/>
    <xf numFmtId="166" fontId="1" fillId="0" borderId="0" xfId="2" applyNumberFormat="1" applyFont="1" applyBorder="1"/>
    <xf numFmtId="0" fontId="1" fillId="0" borderId="2" xfId="0" applyFont="1" applyBorder="1"/>
    <xf numFmtId="166" fontId="1" fillId="0" borderId="2" xfId="2" applyNumberFormat="1" applyFont="1" applyBorder="1"/>
    <xf numFmtId="166" fontId="1" fillId="0" borderId="2" xfId="0" applyNumberFormat="1" applyFont="1" applyBorder="1"/>
    <xf numFmtId="166" fontId="1" fillId="0" borderId="0" xfId="0" applyNumberFormat="1" applyFont="1" applyBorder="1"/>
    <xf numFmtId="0" fontId="1" fillId="0" borderId="3" xfId="0" applyFont="1" applyBorder="1"/>
    <xf numFmtId="166" fontId="1" fillId="0" borderId="3" xfId="2" applyNumberFormat="1" applyFont="1" applyBorder="1"/>
    <xf numFmtId="0" fontId="1" fillId="3" borderId="0" xfId="0" applyFont="1" applyFill="1"/>
    <xf numFmtId="166" fontId="3" fillId="3" borderId="0" xfId="2" applyNumberFormat="1" applyFont="1" applyFill="1"/>
    <xf numFmtId="0" fontId="10" fillId="0" borderId="0" xfId="5" applyNumberFormat="1" applyFont="1" applyAlignment="1">
      <alignment horizontal="left"/>
    </xf>
    <xf numFmtId="0" fontId="11" fillId="0" borderId="0" xfId="5" applyFont="1"/>
    <xf numFmtId="0" fontId="11" fillId="0" borderId="0" xfId="5" applyNumberFormat="1" applyFont="1" applyAlignment="1">
      <alignment horizontal="center"/>
    </xf>
    <xf numFmtId="0" fontId="11" fillId="0" borderId="0" xfId="5" applyNumberFormat="1" applyFont="1" applyAlignment="1">
      <alignment horizontal="left"/>
    </xf>
    <xf numFmtId="0" fontId="12" fillId="0" borderId="0" xfId="5" applyNumberFormat="1" applyFont="1" applyAlignment="1">
      <alignment horizontal="left"/>
    </xf>
    <xf numFmtId="0" fontId="13" fillId="0" borderId="0" xfId="5" applyFont="1" applyAlignment="1">
      <alignment horizontal="center"/>
    </xf>
    <xf numFmtId="0" fontId="13" fillId="0" borderId="0" xfId="5" applyNumberFormat="1" applyFont="1" applyAlignment="1">
      <alignment horizontal="center"/>
    </xf>
    <xf numFmtId="0" fontId="13" fillId="0" borderId="4" xfId="5" applyNumberFormat="1" applyFont="1" applyBorder="1" applyAlignment="1">
      <alignment horizontal="center"/>
    </xf>
    <xf numFmtId="0" fontId="13" fillId="0" borderId="5" xfId="5" applyFont="1" applyBorder="1" applyAlignment="1">
      <alignment horizontal="center"/>
    </xf>
    <xf numFmtId="0" fontId="13" fillId="0" borderId="6" xfId="5" applyFont="1" applyBorder="1" applyAlignment="1">
      <alignment horizontal="center"/>
    </xf>
    <xf numFmtId="0" fontId="13" fillId="0" borderId="7" xfId="5" applyNumberFormat="1" applyFont="1" applyBorder="1" applyAlignment="1">
      <alignment horizontal="center"/>
    </xf>
    <xf numFmtId="0" fontId="13" fillId="0" borderId="8" xfId="5" applyFont="1" applyBorder="1" applyAlignment="1">
      <alignment horizontal="center"/>
    </xf>
    <xf numFmtId="0" fontId="13" fillId="0" borderId="0" xfId="5" applyFont="1" applyBorder="1" applyAlignment="1">
      <alignment horizontal="center"/>
    </xf>
    <xf numFmtId="0" fontId="13" fillId="0" borderId="9" xfId="5" applyNumberFormat="1" applyFont="1" applyBorder="1" applyAlignment="1">
      <alignment horizontal="center"/>
    </xf>
    <xf numFmtId="0" fontId="13" fillId="0" borderId="10" xfId="5" applyFont="1" applyBorder="1" applyAlignment="1">
      <alignment horizontal="center"/>
    </xf>
    <xf numFmtId="0" fontId="13" fillId="0" borderId="11" xfId="5" applyFont="1" applyBorder="1" applyAlignment="1">
      <alignment horizontal="center"/>
    </xf>
    <xf numFmtId="2" fontId="13" fillId="0" borderId="0" xfId="5" applyNumberFormat="1" applyFont="1" applyAlignment="1">
      <alignment horizontal="center"/>
    </xf>
    <xf numFmtId="2" fontId="11" fillId="0" borderId="0" xfId="5" applyNumberFormat="1" applyFont="1" applyAlignment="1">
      <alignment horizontal="left"/>
    </xf>
    <xf numFmtId="37" fontId="11" fillId="0" borderId="0" xfId="5" applyNumberFormat="1" applyFont="1" applyAlignment="1">
      <alignment horizontal="center"/>
    </xf>
    <xf numFmtId="5" fontId="11" fillId="0" borderId="0" xfId="5" applyNumberFormat="1" applyFont="1"/>
    <xf numFmtId="37" fontId="11" fillId="0" borderId="0" xfId="5" applyNumberFormat="1" applyFont="1"/>
    <xf numFmtId="37" fontId="11" fillId="0" borderId="0" xfId="5" applyNumberFormat="1" applyFont="1" applyFill="1"/>
    <xf numFmtId="37" fontId="11" fillId="0" borderId="0" xfId="5" applyNumberFormat="1" applyFont="1" applyFill="1" applyAlignment="1">
      <alignment horizontal="center"/>
    </xf>
    <xf numFmtId="1" fontId="11" fillId="0" borderId="0" xfId="6" applyNumberFormat="1" applyFont="1" applyAlignment="1">
      <alignment horizontal="center"/>
    </xf>
    <xf numFmtId="9" fontId="11" fillId="0" borderId="0" xfId="3" applyFont="1" applyFill="1"/>
    <xf numFmtId="3" fontId="11" fillId="0" borderId="0" xfId="6" applyNumberFormat="1" applyFont="1" applyAlignment="1">
      <alignment horizontal="center"/>
    </xf>
    <xf numFmtId="3" fontId="11" fillId="0" borderId="0" xfId="6" applyNumberFormat="1" applyFont="1" applyFill="1" applyAlignment="1">
      <alignment horizontal="center"/>
    </xf>
    <xf numFmtId="0" fontId="11" fillId="0" borderId="0" xfId="5" applyFont="1" applyAlignment="1">
      <alignment vertical="top"/>
    </xf>
    <xf numFmtId="0" fontId="11" fillId="0" borderId="0" xfId="5" applyNumberFormat="1" applyFont="1" applyFill="1" applyAlignment="1">
      <alignment horizontal="center"/>
    </xf>
    <xf numFmtId="0" fontId="11" fillId="0" borderId="0" xfId="5" applyFont="1" applyFill="1"/>
    <xf numFmtId="0" fontId="11" fillId="0" borderId="0" xfId="5" applyNumberFormat="1" applyFont="1" applyFill="1" applyBorder="1" applyAlignment="1">
      <alignment horizontal="center"/>
    </xf>
    <xf numFmtId="0" fontId="11" fillId="0" borderId="0" xfId="5" applyFont="1" applyFill="1" applyBorder="1"/>
    <xf numFmtId="0" fontId="11" fillId="0" borderId="0" xfId="5" applyNumberFormat="1" applyFont="1" applyBorder="1" applyAlignment="1">
      <alignment horizontal="center"/>
    </xf>
    <xf numFmtId="0" fontId="11" fillId="0" borderId="0" xfId="5" applyFont="1" applyBorder="1"/>
    <xf numFmtId="3" fontId="11" fillId="0" borderId="0" xfId="0" applyNumberFormat="1" applyFont="1"/>
    <xf numFmtId="0" fontId="13" fillId="0" borderId="5" xfId="5" applyNumberFormat="1" applyFont="1" applyBorder="1" applyAlignment="1">
      <alignment horizontal="center"/>
    </xf>
    <xf numFmtId="0" fontId="13" fillId="0" borderId="8" xfId="5" applyNumberFormat="1" applyFont="1" applyBorder="1" applyAlignment="1">
      <alignment horizontal="center"/>
    </xf>
    <xf numFmtId="0" fontId="13" fillId="0" borderId="10" xfId="5" applyNumberFormat="1" applyFont="1" applyBorder="1" applyAlignment="1">
      <alignment horizontal="center"/>
    </xf>
    <xf numFmtId="0" fontId="15" fillId="0" borderId="0" xfId="5" applyNumberFormat="1" applyFont="1" applyAlignment="1">
      <alignment horizontal="center"/>
    </xf>
    <xf numFmtId="0" fontId="15" fillId="0" borderId="0" xfId="5" applyFont="1" applyAlignment="1">
      <alignment horizontal="center"/>
    </xf>
    <xf numFmtId="0" fontId="11" fillId="0" borderId="0" xfId="7" applyNumberFormat="1" applyFont="1" applyAlignment="1">
      <alignment horizontal="center"/>
    </xf>
    <xf numFmtId="0" fontId="11" fillId="0" borderId="0" xfId="7" applyFont="1"/>
    <xf numFmtId="5" fontId="11" fillId="0" borderId="0" xfId="7" applyNumberFormat="1" applyFont="1"/>
    <xf numFmtId="37" fontId="11" fillId="0" borderId="0" xfId="7" applyNumberFormat="1" applyFont="1"/>
    <xf numFmtId="0" fontId="11" fillId="0" borderId="0" xfId="7" applyNumberFormat="1" applyFont="1" applyFill="1" applyAlignment="1">
      <alignment horizontal="center"/>
    </xf>
    <xf numFmtId="0" fontId="11" fillId="0" borderId="0" xfId="0" applyFont="1"/>
    <xf numFmtId="0" fontId="12" fillId="0" borderId="0" xfId="0" applyFont="1"/>
    <xf numFmtId="37" fontId="16" fillId="0" borderId="0" xfId="7" applyNumberFormat="1" applyFont="1"/>
    <xf numFmtId="0" fontId="11" fillId="0" borderId="0" xfId="7" applyNumberFormat="1" applyFont="1" applyBorder="1" applyAlignment="1">
      <alignment horizontal="center"/>
    </xf>
    <xf numFmtId="37" fontId="11" fillId="0" borderId="0" xfId="7" applyNumberFormat="1" applyFont="1" applyBorder="1"/>
    <xf numFmtId="37" fontId="16" fillId="0" borderId="0" xfId="7" applyNumberFormat="1" applyFont="1" applyBorder="1"/>
    <xf numFmtId="37" fontId="11" fillId="0" borderId="0" xfId="7" applyNumberFormat="1" applyFont="1" applyFill="1"/>
    <xf numFmtId="37" fontId="17" fillId="0" borderId="0" xfId="5" applyNumberFormat="1" applyFont="1" applyBorder="1" applyAlignment="1">
      <alignment vertical="top"/>
    </xf>
    <xf numFmtId="37" fontId="11" fillId="0" borderId="0" xfId="5" applyNumberFormat="1" applyFont="1" applyBorder="1" applyAlignment="1">
      <alignment horizontal="center"/>
    </xf>
    <xf numFmtId="168" fontId="11" fillId="0" borderId="0" xfId="3" applyNumberFormat="1" applyFont="1" applyBorder="1"/>
    <xf numFmtId="41" fontId="11" fillId="0" borderId="0" xfId="5" applyNumberFormat="1" applyFont="1" applyFill="1"/>
    <xf numFmtId="41" fontId="13" fillId="0" borderId="0" xfId="5" applyNumberFormat="1" applyFont="1" applyFill="1" applyBorder="1" applyAlignment="1">
      <alignment horizontal="center" wrapText="1"/>
    </xf>
    <xf numFmtId="41" fontId="13" fillId="0" borderId="0" xfId="5" applyNumberFormat="1" applyFont="1" applyFill="1" applyAlignment="1"/>
    <xf numFmtId="41" fontId="11" fillId="0" borderId="0" xfId="7" applyNumberFormat="1" applyFont="1" applyFill="1" applyAlignment="1">
      <alignment horizontal="center"/>
    </xf>
    <xf numFmtId="0" fontId="13" fillId="0" borderId="0" xfId="5" applyFont="1" applyFill="1" applyAlignment="1">
      <alignment horizontal="center"/>
    </xf>
    <xf numFmtId="41" fontId="13" fillId="0" borderId="4" xfId="5" applyNumberFormat="1" applyFont="1" applyFill="1" applyBorder="1" applyAlignment="1">
      <alignment horizontal="center"/>
    </xf>
    <xf numFmtId="41" fontId="13" fillId="0" borderId="7" xfId="5" applyNumberFormat="1" applyFont="1" applyFill="1" applyBorder="1" applyAlignment="1">
      <alignment horizontal="center"/>
    </xf>
    <xf numFmtId="41" fontId="13" fillId="0" borderId="9" xfId="5" applyNumberFormat="1" applyFont="1" applyFill="1" applyBorder="1" applyAlignment="1">
      <alignment horizontal="center"/>
    </xf>
    <xf numFmtId="2" fontId="13" fillId="0" borderId="0" xfId="8" applyNumberFormat="1" applyFont="1" applyFill="1" applyAlignment="1" applyProtection="1">
      <alignment horizontal="center"/>
    </xf>
    <xf numFmtId="2" fontId="13" fillId="0" borderId="0" xfId="8" applyNumberFormat="1" applyFont="1" applyAlignment="1" applyProtection="1">
      <alignment horizontal="center"/>
    </xf>
    <xf numFmtId="41" fontId="11" fillId="0" borderId="0" xfId="5" applyNumberFormat="1" applyFont="1"/>
    <xf numFmtId="5" fontId="11" fillId="0" borderId="0" xfId="9" applyNumberFormat="1" applyFont="1" applyFill="1" applyBorder="1"/>
    <xf numFmtId="41" fontId="11" fillId="0" borderId="11" xfId="5" applyNumberFormat="1" applyFont="1" applyBorder="1"/>
    <xf numFmtId="41" fontId="11" fillId="0" borderId="11" xfId="5" applyNumberFormat="1" applyFont="1" applyFill="1" applyBorder="1"/>
    <xf numFmtId="5" fontId="11" fillId="0" borderId="15" xfId="5" applyNumberFormat="1" applyFont="1" applyBorder="1"/>
    <xf numFmtId="41" fontId="11" fillId="0" borderId="6" xfId="5" applyNumberFormat="1" applyFont="1" applyFill="1" applyBorder="1"/>
    <xf numFmtId="41" fontId="11" fillId="0" borderId="0" xfId="5" applyNumberFormat="1" applyFont="1" applyFill="1" applyBorder="1"/>
    <xf numFmtId="5" fontId="11" fillId="0" borderId="15" xfId="5" applyNumberFormat="1" applyFont="1" applyFill="1" applyBorder="1"/>
    <xf numFmtId="41" fontId="11" fillId="0" borderId="0" xfId="3" applyNumberFormat="1" applyFont="1" applyFill="1"/>
    <xf numFmtId="41" fontId="11" fillId="0" borderId="0" xfId="5" applyNumberFormat="1" applyFont="1" applyFill="1" applyAlignment="1">
      <alignment vertical="top"/>
    </xf>
    <xf numFmtId="41" fontId="11" fillId="0" borderId="0" xfId="5" applyNumberFormat="1" applyFont="1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3" fontId="13" fillId="0" borderId="0" xfId="7" applyNumberFormat="1" applyFont="1" applyFill="1"/>
    <xf numFmtId="3" fontId="13" fillId="0" borderId="0" xfId="7" applyNumberFormat="1" applyFont="1" applyFill="1" applyAlignment="1">
      <alignment horizontal="center"/>
    </xf>
    <xf numFmtId="0" fontId="13" fillId="0" borderId="0" xfId="7" applyNumberFormat="1" applyFont="1" applyFill="1" applyAlignment="1">
      <alignment horizontal="center"/>
    </xf>
    <xf numFmtId="41" fontId="13" fillId="0" borderId="0" xfId="10" applyNumberFormat="1" applyFont="1" applyFill="1"/>
    <xf numFmtId="3" fontId="11" fillId="0" borderId="0" xfId="7" applyNumberFormat="1" applyFont="1" applyFill="1" applyAlignment="1">
      <alignment horizontal="center"/>
    </xf>
    <xf numFmtId="3" fontId="13" fillId="0" borderId="4" xfId="7" applyNumberFormat="1" applyFont="1" applyFill="1" applyBorder="1" applyAlignment="1">
      <alignment horizontal="center"/>
    </xf>
    <xf numFmtId="3" fontId="13" fillId="0" borderId="7" xfId="5" applyNumberFormat="1" applyFont="1" applyFill="1" applyBorder="1" applyAlignment="1">
      <alignment horizontal="center"/>
    </xf>
    <xf numFmtId="3" fontId="13" fillId="0" borderId="9" xfId="5" applyNumberFormat="1" applyFont="1" applyFill="1" applyBorder="1" applyAlignment="1">
      <alignment horizontal="center"/>
    </xf>
    <xf numFmtId="4" fontId="13" fillId="0" borderId="0" xfId="7" applyNumberFormat="1" applyFont="1" applyFill="1" applyBorder="1" applyAlignment="1">
      <alignment horizontal="center"/>
    </xf>
    <xf numFmtId="3" fontId="11" fillId="0" borderId="0" xfId="7" applyNumberFormat="1" applyFont="1" applyFill="1"/>
    <xf numFmtId="42" fontId="11" fillId="0" borderId="0" xfId="9" applyNumberFormat="1" applyFont="1" applyFill="1"/>
    <xf numFmtId="41" fontId="11" fillId="0" borderId="0" xfId="9" applyNumberFormat="1" applyFont="1" applyFill="1"/>
    <xf numFmtId="41" fontId="11" fillId="0" borderId="11" xfId="9" applyNumberFormat="1" applyFont="1" applyFill="1" applyBorder="1"/>
    <xf numFmtId="41" fontId="11" fillId="0" borderId="0" xfId="7" applyNumberFormat="1" applyFont="1" applyFill="1"/>
    <xf numFmtId="41" fontId="11" fillId="0" borderId="11" xfId="7" applyNumberFormat="1" applyFont="1" applyFill="1" applyBorder="1"/>
    <xf numFmtId="42" fontId="11" fillId="0" borderId="15" xfId="7" applyNumberFormat="1" applyFont="1" applyFill="1" applyBorder="1"/>
    <xf numFmtId="41" fontId="13" fillId="0" borderId="0" xfId="7" applyNumberFormat="1" applyFont="1" applyFill="1"/>
    <xf numFmtId="41" fontId="13" fillId="0" borderId="0" xfId="9" applyNumberFormat="1" applyFont="1" applyFill="1"/>
    <xf numFmtId="42" fontId="13" fillId="0" borderId="0" xfId="9" applyNumberFormat="1" applyFont="1" applyFill="1"/>
    <xf numFmtId="41" fontId="13" fillId="0" borderId="11" xfId="9" applyNumberFormat="1" applyFont="1" applyFill="1" applyBorder="1"/>
    <xf numFmtId="41" fontId="11" fillId="0" borderId="16" xfId="7" applyNumberFormat="1" applyFont="1" applyFill="1" applyBorder="1"/>
    <xf numFmtId="41" fontId="11" fillId="0" borderId="0" xfId="7" applyNumberFormat="1" applyFont="1" applyFill="1" applyBorder="1"/>
    <xf numFmtId="41" fontId="11" fillId="0" borderId="0" xfId="9" applyNumberFormat="1" applyFont="1" applyFill="1" applyBorder="1"/>
    <xf numFmtId="42" fontId="13" fillId="0" borderId="15" xfId="7" applyNumberFormat="1" applyFont="1" applyFill="1" applyBorder="1"/>
    <xf numFmtId="3" fontId="11" fillId="0" borderId="0" xfId="5" applyNumberFormat="1" applyFont="1" applyFill="1"/>
    <xf numFmtId="3" fontId="11" fillId="0" borderId="0" xfId="5" applyNumberFormat="1" applyFont="1" applyFill="1" applyBorder="1"/>
    <xf numFmtId="3" fontId="13" fillId="0" borderId="0" xfId="7" applyNumberFormat="1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9" fillId="0" borderId="0" xfId="5" applyNumberFormat="1" applyFont="1" applyAlignment="1">
      <alignment horizontal="left"/>
    </xf>
    <xf numFmtId="0" fontId="0" fillId="0" borderId="0" xfId="0" applyFill="1"/>
    <xf numFmtId="0" fontId="19" fillId="0" borderId="17" xfId="5" applyNumberFormat="1" applyFont="1" applyBorder="1" applyAlignment="1">
      <alignment horizontal="center"/>
    </xf>
    <xf numFmtId="0" fontId="19" fillId="0" borderId="18" xfId="5" applyNumberFormat="1" applyFont="1" applyBorder="1" applyAlignment="1">
      <alignment horizontal="center"/>
    </xf>
    <xf numFmtId="0" fontId="19" fillId="0" borderId="19" xfId="5" applyNumberFormat="1" applyFont="1" applyBorder="1" applyAlignment="1">
      <alignment horizontal="center"/>
    </xf>
    <xf numFmtId="0" fontId="19" fillId="0" borderId="20" xfId="5" applyNumberFormat="1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10" fillId="0" borderId="20" xfId="5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2" borderId="2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0" fontId="0" fillId="0" borderId="21" xfId="0" applyBorder="1"/>
    <xf numFmtId="14" fontId="0" fillId="2" borderId="0" xfId="0" applyNumberFormat="1" applyFill="1" applyBorder="1"/>
    <xf numFmtId="165" fontId="0" fillId="2" borderId="0" xfId="1" applyNumberFormat="1" applyFont="1" applyFill="1" applyBorder="1"/>
    <xf numFmtId="10" fontId="0" fillId="2" borderId="0" xfId="3" applyNumberFormat="1" applyFont="1" applyFill="1" applyBorder="1"/>
    <xf numFmtId="0" fontId="0" fillId="0" borderId="2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14" fontId="0" fillId="0" borderId="0" xfId="0" applyNumberFormat="1" applyBorder="1"/>
    <xf numFmtId="164" fontId="0" fillId="0" borderId="0" xfId="1" applyNumberFormat="1" applyFont="1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4" fontId="0" fillId="0" borderId="21" xfId="3" applyNumberFormat="1" applyFont="1" applyBorder="1"/>
    <xf numFmtId="0" fontId="0" fillId="0" borderId="0" xfId="0" applyFill="1" applyBorder="1"/>
    <xf numFmtId="164" fontId="0" fillId="6" borderId="0" xfId="1" applyNumberFormat="1" applyFont="1" applyFill="1" applyBorder="1"/>
    <xf numFmtId="0" fontId="6" fillId="0" borderId="0" xfId="0" applyFont="1" applyBorder="1"/>
    <xf numFmtId="164" fontId="0" fillId="0" borderId="21" xfId="0" applyNumberFormat="1" applyBorder="1"/>
    <xf numFmtId="164" fontId="1" fillId="0" borderId="0" xfId="1" applyNumberFormat="1" applyFont="1" applyBorder="1"/>
    <xf numFmtId="164" fontId="1" fillId="5" borderId="0" xfId="1" applyNumberFormat="1" applyFont="1" applyFill="1" applyBorder="1"/>
    <xf numFmtId="167" fontId="0" fillId="0" borderId="21" xfId="0" applyNumberFormat="1" applyBorder="1"/>
    <xf numFmtId="0" fontId="0" fillId="0" borderId="0" xfId="1" applyNumberFormat="1" applyFont="1" applyBorder="1" applyAlignment="1">
      <alignment horizontal="center"/>
    </xf>
    <xf numFmtId="0" fontId="0" fillId="0" borderId="22" xfId="0" applyBorder="1"/>
    <xf numFmtId="14" fontId="0" fillId="0" borderId="23" xfId="0" applyNumberFormat="1" applyBorder="1"/>
    <xf numFmtId="164" fontId="0" fillId="5" borderId="23" xfId="1" applyNumberFormat="1" applyFont="1" applyFill="1" applyBorder="1"/>
    <xf numFmtId="164" fontId="0" fillId="0" borderId="23" xfId="1" applyNumberFormat="1" applyFont="1" applyBorder="1"/>
    <xf numFmtId="0" fontId="0" fillId="0" borderId="23" xfId="0" applyBorder="1"/>
    <xf numFmtId="167" fontId="3" fillId="0" borderId="23" xfId="0" applyNumberFormat="1" applyFont="1" applyBorder="1"/>
    <xf numFmtId="0" fontId="0" fillId="0" borderId="24" xfId="0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10" fontId="1" fillId="0" borderId="0" xfId="3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0" fontId="3" fillId="0" borderId="23" xfId="3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1" fillId="0" borderId="1" xfId="0" applyFont="1" applyFill="1" applyBorder="1"/>
    <xf numFmtId="166" fontId="1" fillId="0" borderId="1" xfId="2" applyNumberFormat="1" applyFont="1" applyFill="1" applyBorder="1"/>
    <xf numFmtId="166" fontId="1" fillId="0" borderId="0" xfId="2" applyNumberFormat="1" applyFont="1" applyFill="1" applyBorder="1"/>
    <xf numFmtId="0" fontId="1" fillId="0" borderId="2" xfId="0" applyFont="1" applyFill="1" applyBorder="1"/>
    <xf numFmtId="166" fontId="1" fillId="0" borderId="2" xfId="2" applyNumberFormat="1" applyFont="1" applyFill="1" applyBorder="1"/>
    <xf numFmtId="166" fontId="1" fillId="0" borderId="2" xfId="0" applyNumberFormat="1" applyFont="1" applyFill="1" applyBorder="1"/>
    <xf numFmtId="166" fontId="1" fillId="0" borderId="0" xfId="0" applyNumberFormat="1" applyFont="1" applyFill="1" applyBorder="1"/>
    <xf numFmtId="0" fontId="1" fillId="0" borderId="3" xfId="0" applyFont="1" applyFill="1" applyBorder="1"/>
    <xf numFmtId="166" fontId="1" fillId="0" borderId="3" xfId="2" applyNumberFormat="1" applyFont="1" applyFill="1" applyBorder="1"/>
    <xf numFmtId="0" fontId="1" fillId="0" borderId="0" xfId="0" applyFont="1" applyFill="1"/>
    <xf numFmtId="166" fontId="3" fillId="0" borderId="0" xfId="2" applyNumberFormat="1" applyFont="1" applyFill="1"/>
    <xf numFmtId="0" fontId="12" fillId="0" borderId="0" xfId="11" applyFont="1"/>
    <xf numFmtId="0" fontId="22" fillId="0" borderId="0" xfId="11" applyFont="1" applyAlignment="1">
      <alignment horizontal="center"/>
    </xf>
    <xf numFmtId="0" fontId="12" fillId="0" borderId="0" xfId="11" applyFont="1" applyAlignment="1">
      <alignment horizontal="center"/>
    </xf>
    <xf numFmtId="0" fontId="23" fillId="0" borderId="0" xfId="11" applyFont="1"/>
    <xf numFmtId="0" fontId="24" fillId="0" borderId="0" xfId="11" applyFont="1"/>
    <xf numFmtId="169" fontId="12" fillId="0" borderId="0" xfId="11" applyNumberFormat="1" applyFont="1"/>
    <xf numFmtId="0" fontId="12" fillId="0" borderId="11" xfId="11" applyFont="1" applyFill="1" applyBorder="1" applyAlignment="1">
      <alignment horizontal="center"/>
    </xf>
    <xf numFmtId="0" fontId="12" fillId="0" borderId="0" xfId="11" applyFont="1" applyFill="1" applyBorder="1" applyAlignment="1">
      <alignment horizontal="center"/>
    </xf>
    <xf numFmtId="0" fontId="24" fillId="0" borderId="0" xfId="11" applyFont="1" applyFill="1"/>
    <xf numFmtId="169" fontId="25" fillId="0" borderId="0" xfId="11" applyNumberFormat="1" applyFont="1"/>
    <xf numFmtId="166" fontId="24" fillId="0" borderId="0" xfId="12" applyNumberFormat="1" applyFont="1" applyFill="1" applyBorder="1"/>
    <xf numFmtId="164" fontId="24" fillId="0" borderId="0" xfId="13" applyNumberFormat="1" applyFont="1" applyFill="1" applyBorder="1"/>
    <xf numFmtId="0" fontId="12" fillId="0" borderId="0" xfId="11" applyFont="1" applyFill="1"/>
    <xf numFmtId="166" fontId="24" fillId="0" borderId="11" xfId="12" applyNumberFormat="1" applyFont="1" applyFill="1" applyBorder="1"/>
    <xf numFmtId="3" fontId="26" fillId="0" borderId="0" xfId="11" applyNumberFormat="1" applyFont="1" applyFill="1" applyBorder="1" applyAlignment="1">
      <alignment horizontal="center"/>
    </xf>
    <xf numFmtId="169" fontId="12" fillId="0" borderId="0" xfId="11" applyNumberFormat="1" applyFont="1" applyFill="1"/>
    <xf numFmtId="0" fontId="12" fillId="0" borderId="0" xfId="11" applyFont="1" applyFill="1" applyBorder="1"/>
    <xf numFmtId="10" fontId="12" fillId="0" borderId="11" xfId="11" applyNumberFormat="1" applyFont="1" applyFill="1" applyBorder="1"/>
    <xf numFmtId="0" fontId="12" fillId="0" borderId="0" xfId="11" applyFont="1" applyBorder="1"/>
    <xf numFmtId="0" fontId="27" fillId="0" borderId="0" xfId="11" applyFont="1" applyBorder="1"/>
    <xf numFmtId="43" fontId="12" fillId="0" borderId="0" xfId="13" applyFont="1" applyBorder="1"/>
    <xf numFmtId="0" fontId="24" fillId="0" borderId="0" xfId="11" applyFont="1" applyFill="1" applyBorder="1"/>
    <xf numFmtId="0" fontId="28" fillId="0" borderId="0" xfId="11" applyFont="1" applyFill="1" applyBorder="1"/>
    <xf numFmtId="44" fontId="12" fillId="0" borderId="0" xfId="12" applyFont="1" applyFill="1" applyBorder="1"/>
    <xf numFmtId="0" fontId="29" fillId="0" borderId="0" xfId="11" applyFont="1" applyFill="1" applyBorder="1"/>
    <xf numFmtId="0" fontId="30" fillId="0" borderId="0" xfId="11" applyFont="1"/>
    <xf numFmtId="44" fontId="24" fillId="0" borderId="0" xfId="12" applyFont="1" applyFill="1"/>
    <xf numFmtId="44" fontId="12" fillId="0" borderId="0" xfId="11" applyNumberFormat="1" applyFont="1" applyFill="1" applyBorder="1"/>
    <xf numFmtId="168" fontId="12" fillId="0" borderId="11" xfId="14" applyNumberFormat="1" applyFont="1" applyFill="1" applyBorder="1"/>
    <xf numFmtId="169" fontId="12" fillId="0" borderId="15" xfId="11" applyNumberFormat="1" applyFont="1" applyFill="1" applyBorder="1"/>
    <xf numFmtId="0" fontId="31" fillId="0" borderId="0" xfId="11" applyFont="1"/>
    <xf numFmtId="44" fontId="12" fillId="0" borderId="0" xfId="12" applyFont="1" applyFill="1"/>
    <xf numFmtId="0" fontId="29" fillId="0" borderId="0" xfId="11" applyFont="1" applyFill="1"/>
    <xf numFmtId="169" fontId="12" fillId="8" borderId="25" xfId="11" applyNumberFormat="1" applyFont="1" applyFill="1" applyBorder="1"/>
    <xf numFmtId="169" fontId="12" fillId="8" borderId="26" xfId="11" applyNumberFormat="1" applyFont="1" applyFill="1" applyBorder="1"/>
    <xf numFmtId="0" fontId="12" fillId="0" borderId="0" xfId="11" applyFont="1" applyFill="1" applyAlignment="1">
      <alignment horizontal="right"/>
    </xf>
    <xf numFmtId="169" fontId="12" fillId="9" borderId="0" xfId="11" applyNumberFormat="1" applyFont="1" applyFill="1"/>
    <xf numFmtId="10" fontId="12" fillId="0" borderId="0" xfId="14" applyNumberFormat="1" applyFont="1"/>
    <xf numFmtId="0" fontId="12" fillId="0" borderId="11" xfId="11" applyFont="1" applyBorder="1"/>
    <xf numFmtId="0" fontId="12" fillId="0" borderId="0" xfId="11" applyFont="1" applyAlignment="1">
      <alignment vertical="top"/>
    </xf>
    <xf numFmtId="0" fontId="12" fillId="0" borderId="0" xfId="11" applyFont="1" applyAlignment="1">
      <alignment horizontal="left" wrapText="1"/>
    </xf>
    <xf numFmtId="166" fontId="12" fillId="0" borderId="0" xfId="12" applyNumberFormat="1" applyFont="1"/>
    <xf numFmtId="166" fontId="12" fillId="0" borderId="11" xfId="12" applyNumberFormat="1" applyFont="1" applyBorder="1"/>
    <xf numFmtId="0" fontId="12" fillId="0" borderId="0" xfId="11" applyNumberFormat="1" applyFont="1" applyAlignment="1">
      <alignment horizontal="center"/>
    </xf>
    <xf numFmtId="0" fontId="32" fillId="0" borderId="0" xfId="11" applyFont="1"/>
    <xf numFmtId="169" fontId="32" fillId="0" borderId="0" xfId="11" applyNumberFormat="1" applyFont="1"/>
    <xf numFmtId="0" fontId="32" fillId="0" borderId="0" xfId="11" applyNumberFormat="1" applyFont="1" applyAlignment="1">
      <alignment horizontal="center"/>
    </xf>
    <xf numFmtId="169" fontId="32" fillId="0" borderId="0" xfId="11" applyNumberFormat="1" applyFont="1" applyFill="1"/>
    <xf numFmtId="169" fontId="33" fillId="0" borderId="0" xfId="11" applyNumberFormat="1" applyFont="1" applyAlignment="1">
      <alignment horizontal="center"/>
    </xf>
    <xf numFmtId="10" fontId="32" fillId="0" borderId="11" xfId="11" applyNumberFormat="1" applyFont="1" applyFill="1" applyBorder="1"/>
    <xf numFmtId="0" fontId="32" fillId="0" borderId="0" xfId="11" applyFont="1" applyAlignment="1">
      <alignment horizontal="center"/>
    </xf>
    <xf numFmtId="169" fontId="12" fillId="0" borderId="27" xfId="11" applyNumberFormat="1" applyFont="1" applyFill="1" applyBorder="1"/>
    <xf numFmtId="169" fontId="12" fillId="0" borderId="28" xfId="11" applyNumberFormat="1" applyFont="1" applyFill="1" applyBorder="1"/>
    <xf numFmtId="44" fontId="12" fillId="0" borderId="0" xfId="12" applyFont="1"/>
    <xf numFmtId="10" fontId="12" fillId="0" borderId="0" xfId="11" applyNumberFormat="1" applyFont="1" applyFill="1" applyAlignment="1">
      <alignment horizontal="right"/>
    </xf>
    <xf numFmtId="0" fontId="12" fillId="0" borderId="0" xfId="11" applyFont="1" applyAlignment="1">
      <alignment horizontal="center" wrapText="1"/>
    </xf>
    <xf numFmtId="0" fontId="12" fillId="0" borderId="0" xfId="11" quotePrefix="1" applyFont="1" applyAlignment="1">
      <alignment horizontal="center"/>
    </xf>
    <xf numFmtId="0" fontId="12" fillId="0" borderId="0" xfId="11" applyFont="1" applyAlignment="1"/>
    <xf numFmtId="164" fontId="12" fillId="0" borderId="0" xfId="13" applyNumberFormat="1" applyFont="1" applyFill="1" applyAlignment="1">
      <alignment wrapText="1"/>
    </xf>
    <xf numFmtId="164" fontId="12" fillId="8" borderId="0" xfId="13" applyNumberFormat="1" applyFont="1" applyFill="1" applyAlignment="1">
      <alignment wrapText="1"/>
    </xf>
    <xf numFmtId="0" fontId="12" fillId="0" borderId="0" xfId="11" applyFont="1" applyAlignment="1">
      <alignment horizontal="left" vertical="center" wrapText="1"/>
    </xf>
    <xf numFmtId="0" fontId="12" fillId="0" borderId="0" xfId="11" applyFont="1" applyAlignment="1">
      <alignment horizontal="center" vertical="center" wrapText="1"/>
    </xf>
    <xf numFmtId="164" fontId="12" fillId="0" borderId="11" xfId="13" applyNumberFormat="1" applyFont="1" applyBorder="1" applyAlignment="1">
      <alignment wrapText="1"/>
    </xf>
    <xf numFmtId="164" fontId="12" fillId="0" borderId="0" xfId="13" applyNumberFormat="1" applyFont="1" applyAlignment="1">
      <alignment wrapText="1"/>
    </xf>
    <xf numFmtId="164" fontId="12" fillId="8" borderId="11" xfId="13" applyNumberFormat="1" applyFont="1" applyFill="1" applyBorder="1" applyAlignment="1">
      <alignment wrapText="1"/>
    </xf>
    <xf numFmtId="0" fontId="12" fillId="0" borderId="0" xfId="11" applyFont="1" applyAlignment="1">
      <alignment wrapText="1"/>
    </xf>
    <xf numFmtId="166" fontId="12" fillId="0" borderId="0" xfId="12" applyNumberFormat="1" applyFont="1" applyBorder="1"/>
    <xf numFmtId="169" fontId="12" fillId="0" borderId="0" xfId="11" applyNumberFormat="1" applyFont="1" applyAlignment="1">
      <alignment horizontal="center"/>
    </xf>
    <xf numFmtId="166" fontId="12" fillId="0" borderId="0" xfId="12" applyNumberFormat="1" applyFont="1" applyFill="1" applyBorder="1"/>
    <xf numFmtId="164" fontId="12" fillId="0" borderId="0" xfId="13" applyNumberFormat="1" applyFont="1" applyFill="1" applyBorder="1"/>
    <xf numFmtId="14" fontId="34" fillId="0" borderId="0" xfId="11" applyNumberFormat="1" applyFont="1"/>
    <xf numFmtId="166" fontId="12" fillId="0" borderId="11" xfId="12" applyNumberFormat="1" applyFont="1" applyFill="1" applyBorder="1"/>
    <xf numFmtId="3" fontId="12" fillId="0" borderId="0" xfId="11" applyNumberFormat="1" applyFont="1" applyFill="1" applyBorder="1" applyAlignment="1">
      <alignment horizontal="center"/>
    </xf>
    <xf numFmtId="0" fontId="12" fillId="0" borderId="0" xfId="11" applyFont="1" applyBorder="1" applyAlignment="1">
      <alignment horizontal="center"/>
    </xf>
    <xf numFmtId="44" fontId="34" fillId="0" borderId="0" xfId="12" applyFont="1" applyFill="1"/>
    <xf numFmtId="0" fontId="35" fillId="0" borderId="0" xfId="11" applyFont="1" applyFill="1"/>
    <xf numFmtId="0" fontId="11" fillId="0" borderId="0" xfId="11" applyFont="1"/>
    <xf numFmtId="0" fontId="36" fillId="0" borderId="0" xfId="4" applyFont="1" applyFill="1" applyBorder="1" applyAlignment="1">
      <alignment horizontal="right" vertical="top"/>
    </xf>
    <xf numFmtId="0" fontId="36" fillId="0" borderId="0" xfId="4" applyFont="1" applyFill="1" applyBorder="1" applyAlignment="1">
      <alignment horizontal="right" vertical="center"/>
    </xf>
    <xf numFmtId="0" fontId="37" fillId="0" borderId="0" xfId="4" applyFont="1" applyFill="1" applyBorder="1" applyAlignment="1">
      <alignment horizontal="center" vertical="top"/>
    </xf>
    <xf numFmtId="0" fontId="36" fillId="0" borderId="0" xfId="4" applyFont="1" applyFill="1" applyBorder="1" applyAlignment="1">
      <alignment horizontal="left" vertical="top"/>
    </xf>
    <xf numFmtId="167" fontId="36" fillId="0" borderId="0" xfId="4" applyNumberFormat="1" applyFont="1" applyFill="1" applyBorder="1" applyAlignment="1">
      <alignment horizontal="right" vertical="center"/>
    </xf>
    <xf numFmtId="167" fontId="36" fillId="0" borderId="11" xfId="4" applyNumberFormat="1" applyFont="1" applyFill="1" applyBorder="1" applyAlignment="1">
      <alignment horizontal="right" vertical="center"/>
    </xf>
    <xf numFmtId="167" fontId="36" fillId="10" borderId="11" xfId="4" applyNumberFormat="1" applyFont="1" applyFill="1" applyBorder="1" applyAlignment="1">
      <alignment horizontal="right" vertical="center"/>
    </xf>
    <xf numFmtId="0" fontId="37" fillId="0" borderId="0" xfId="4" applyFont="1" applyFill="1" applyBorder="1" applyAlignment="1">
      <alignment horizontal="left" vertical="top"/>
    </xf>
    <xf numFmtId="167" fontId="37" fillId="0" borderId="0" xfId="4" applyNumberFormat="1" applyFont="1" applyFill="1" applyBorder="1" applyAlignment="1">
      <alignment horizontal="right" vertical="center"/>
    </xf>
    <xf numFmtId="0" fontId="38" fillId="0" borderId="0" xfId="0" applyFont="1" applyBorder="1"/>
    <xf numFmtId="10" fontId="38" fillId="0" borderId="11" xfId="0" applyNumberFormat="1" applyFont="1" applyBorder="1"/>
    <xf numFmtId="166" fontId="38" fillId="0" borderId="0" xfId="12" applyNumberFormat="1" applyFont="1" applyBorder="1"/>
    <xf numFmtId="0" fontId="0" fillId="0" borderId="0" xfId="1" applyNumberFormat="1" applyFont="1" applyFill="1" applyBorder="1" applyAlignment="1">
      <alignment horizontal="center"/>
    </xf>
    <xf numFmtId="164" fontId="0" fillId="0" borderId="23" xfId="1" applyNumberFormat="1" applyFont="1" applyFill="1" applyBorder="1"/>
    <xf numFmtId="164" fontId="0" fillId="0" borderId="0" xfId="1" applyNumberFormat="1" applyFont="1" applyFill="1" applyBorder="1"/>
    <xf numFmtId="0" fontId="19" fillId="0" borderId="0" xfId="5" applyNumberFormat="1" applyFont="1" applyBorder="1" applyAlignment="1">
      <alignment horizontal="center"/>
    </xf>
    <xf numFmtId="0" fontId="3" fillId="7" borderId="0" xfId="0" applyFont="1" applyFill="1" applyBorder="1" applyAlignment="1">
      <alignment horizontal="center" wrapText="1"/>
    </xf>
    <xf numFmtId="164" fontId="1" fillId="0" borderId="1" xfId="1" applyNumberFormat="1" applyFont="1" applyBorder="1"/>
    <xf numFmtId="164" fontId="1" fillId="0" borderId="2" xfId="1" applyNumberFormat="1" applyFont="1" applyBorder="1"/>
    <xf numFmtId="0" fontId="1" fillId="0" borderId="0" xfId="0" applyFont="1" applyBorder="1"/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 wrapText="1"/>
    </xf>
    <xf numFmtId="0" fontId="1" fillId="0" borderId="29" xfId="0" applyFont="1" applyBorder="1"/>
    <xf numFmtId="166" fontId="1" fillId="0" borderId="30" xfId="2" applyNumberFormat="1" applyFont="1" applyBorder="1"/>
    <xf numFmtId="0" fontId="1" fillId="0" borderId="31" xfId="0" applyFont="1" applyBorder="1"/>
    <xf numFmtId="166" fontId="1" fillId="0" borderId="32" xfId="2" applyNumberFormat="1" applyFont="1" applyBorder="1"/>
    <xf numFmtId="166" fontId="1" fillId="0" borderId="32" xfId="0" applyNumberFormat="1" applyFont="1" applyBorder="1"/>
    <xf numFmtId="0" fontId="1" fillId="0" borderId="33" xfId="0" applyFont="1" applyBorder="1"/>
    <xf numFmtId="166" fontId="1" fillId="0" borderId="34" xfId="2" applyNumberFormat="1" applyFont="1" applyBorder="1"/>
    <xf numFmtId="0" fontId="1" fillId="0" borderId="8" xfId="0" applyFont="1" applyBorder="1"/>
    <xf numFmtId="166" fontId="1" fillId="0" borderId="13" xfId="2" applyNumberFormat="1" applyFont="1" applyBorder="1"/>
    <xf numFmtId="0" fontId="1" fillId="7" borderId="10" xfId="0" applyFont="1" applyFill="1" applyBorder="1"/>
    <xf numFmtId="0" fontId="1" fillId="7" borderId="11" xfId="0" applyFont="1" applyFill="1" applyBorder="1"/>
    <xf numFmtId="166" fontId="3" fillId="7" borderId="11" xfId="2" applyNumberFormat="1" applyFont="1" applyFill="1" applyBorder="1"/>
    <xf numFmtId="166" fontId="3" fillId="7" borderId="14" xfId="2" applyNumberFormat="1" applyFont="1" applyFill="1" applyBorder="1"/>
    <xf numFmtId="0" fontId="12" fillId="0" borderId="0" xfId="11" applyFont="1" applyAlignment="1">
      <alignment horizontal="center" wrapText="1"/>
    </xf>
    <xf numFmtId="0" fontId="12" fillId="0" borderId="0" xfId="11" applyFont="1" applyAlignment="1">
      <alignment horizontal="left" wrapText="1"/>
    </xf>
    <xf numFmtId="0" fontId="12" fillId="0" borderId="0" xfId="11" applyFont="1" applyAlignment="1">
      <alignment horizontal="left" vertical="center" wrapText="1"/>
    </xf>
  </cellXfs>
  <cellStyles count="15">
    <cellStyle name="Comma" xfId="1" builtinId="3"/>
    <cellStyle name="Comma 2" xfId="13"/>
    <cellStyle name="Currency" xfId="2" builtinId="4"/>
    <cellStyle name="Currency 2" xfId="12"/>
    <cellStyle name="Followed Hyperlink" xfId="8" builtinId="9"/>
    <cellStyle name="Normal" xfId="0" builtinId="0"/>
    <cellStyle name="Normal 3" xfId="4"/>
    <cellStyle name="Normal_DFIT-WaEle_SUM" xfId="6"/>
    <cellStyle name="Normal_IDGas6_97" xfId="9"/>
    <cellStyle name="Normal_Loadings" xfId="11"/>
    <cellStyle name="Normal_WAElec6_97" xfId="5"/>
    <cellStyle name="Normal_WAElec6_97 2" xfId="10"/>
    <cellStyle name="Normal_WAGas6_97" xfId="7"/>
    <cellStyle name="Percent" xfId="3" builtinId="5"/>
    <cellStyle name="Percent 2" xfId="14"/>
  </cellStyles>
  <dxfs count="0"/>
  <tableStyles count="0" defaultTableStyle="TableStyleMedium2" defaultPivotStyle="PivotStyleLight16"/>
  <colors>
    <mruColors>
      <color rgb="FFCC99FF"/>
      <color rgb="FFCCCCFF"/>
      <color rgb="FFFF99FF"/>
      <color rgb="FFCC6600"/>
      <color rgb="FF99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2012/2012%20WA%20GRC/Adjustments/Adjustments/PF%20-%20Labor&amp;Benefit/2012%20Info/Downloads/Total%20Labor%20for%20Pension-Medic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sers/jhuang215/OneDrive%20-%20Washington%20State%20Executive%20Branch%20Agencies/Documents/Avista/GRC/UE-190334%20GRC/Huang%20workpaper/RR/Exh%20JH-2%20-2018%20WA%20Electric%20RR%20Model%208-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sers/jhuang215/OneDrive%20-%20Washington%20State%20Executive%20Branch%20Agencies/Documents/Avista/GRC/UE-190334%20GRC/Huang%20workpaper/RR/EXh%20JH-3%20-2018%20WA%20Natural%20Gas%20RR%20Model%208-2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40188/Company%20Work%20Papers/3.%20UE__AVA%20WP's%20(Feb2014)/N.%20UE__Andrews%20Workpapers%20(AVA-Feb2014)/WP2-Pro%20Forma/Elect-PF/3.04%20PF-Benefits/Forecast%20Labor%20and%20Benefi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50204/Company%20Work%20Papers/N.%20UE__Smith%20Workpapers%20(AVA-Feb2015)/PF-LABOR%20%20BENEFITS/4)%20(WA%202015)%20FLB%20Forecast%20Labor%20and%20Benefits%20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60228/Initial%20Filing/AVA160288/I.%20UE%20AVA%20Dir%20Evidence-(Feb16)/3.%20UE%20AVA%20WP's%20(Feb16)/L.%20UE%20%20Smith%20WP(AVA-Feb16)/Elec.%20WP's/PF%20CC-LABOR%20BENEFIT/3)%20(WA%202016)%20FLB%20Retirement%20and%20Medic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cerno_Cache_XXXXX"/>
      <sheetName val="ADJ DETAIL-INPUT"/>
      <sheetName val="ADJ SUMMARY"/>
      <sheetName val="LEAD SHEETS-DO NOT ENTER"/>
      <sheetName val="ROO INPUT"/>
      <sheetName val="DEBT CALC"/>
      <sheetName val="COMPARISON"/>
      <sheetName val="Normalized ROE - Elec&amp;Gas"/>
    </sheetNames>
    <sheetDataSet>
      <sheetData sheetId="0"/>
      <sheetData sheetId="1">
        <row r="12">
          <cell r="O12">
            <v>2.5700000000000001E-2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cerno_Cache_XXXXX"/>
      <sheetName val="ADJ DETAIL INPUT"/>
      <sheetName val="ADJ SUMMARY"/>
      <sheetName val="DEBT CALC"/>
      <sheetName val="ROO INPUT"/>
      <sheetName val="LEAD SHEETS-DO NOT ENTER"/>
      <sheetName val="Recap Summary"/>
    </sheetNames>
    <sheetDataSet>
      <sheetData sheetId="0"/>
      <sheetData sheetId="1">
        <row r="12">
          <cell r="P12">
            <v>2.5700000000000001E-2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N Electric"/>
      <sheetName val="Washington Electric"/>
      <sheetName val="Idaho Electric"/>
      <sheetName val="Pro-Forma Increases"/>
      <sheetName val="Exec Utility Split"/>
      <sheetName val="Exec Removal Prior"/>
      <sheetName val="Pro-Forma Exec Salary"/>
      <sheetName val="AN Gas"/>
      <sheetName val="Washington Gas"/>
      <sheetName val="Idaho Gas"/>
      <sheetName val="Oregon Gas"/>
      <sheetName val="Oregon Total"/>
      <sheetName val="Non-Util Benefit Calc"/>
      <sheetName val="Pension &amp; Medical"/>
      <sheetName val=" TTL Download"/>
      <sheetName val="Total Electric Download"/>
      <sheetName val="Gas North Download"/>
      <sheetName val="Gas South Dowload"/>
    </sheetNames>
    <sheetDataSet>
      <sheetData sheetId="0">
        <row r="1">
          <cell r="A1" t="str">
            <v>AVISTA UTILITIES</v>
          </cell>
        </row>
      </sheetData>
      <sheetData sheetId="1">
        <row r="129">
          <cell r="M129">
            <v>39801720.07</v>
          </cell>
          <cell r="P129">
            <v>19883337.440000001</v>
          </cell>
        </row>
      </sheetData>
      <sheetData sheetId="2"/>
      <sheetData sheetId="3"/>
      <sheetData sheetId="4"/>
      <sheetData sheetId="5">
        <row r="3">
          <cell r="A3" t="str">
            <v>Twelve Months Ended June 30, 2013</v>
          </cell>
        </row>
      </sheetData>
      <sheetData sheetId="6"/>
      <sheetData sheetId="7"/>
      <sheetData sheetId="8">
        <row r="79">
          <cell r="L79">
            <v>11005633.890000001</v>
          </cell>
          <cell r="O79">
            <v>4743488.5199999996</v>
          </cell>
        </row>
      </sheetData>
      <sheetData sheetId="9"/>
      <sheetData sheetId="10"/>
      <sheetData sheetId="11"/>
      <sheetData sheetId="12">
        <row r="79">
          <cell r="G79">
            <v>6071357.3799999999</v>
          </cell>
        </row>
      </sheetData>
      <sheetData sheetId="13">
        <row r="9">
          <cell r="B9">
            <v>0.98799999999999999</v>
          </cell>
        </row>
      </sheetData>
      <sheetData sheetId="14"/>
      <sheetData sheetId="15">
        <row r="135">
          <cell r="B135">
            <v>158714501</v>
          </cell>
        </row>
      </sheetData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N Electric"/>
      <sheetName val="Washington Electric"/>
      <sheetName val="Idaho Electric"/>
      <sheetName val="Oregon Total"/>
      <sheetName val="AN Gas"/>
      <sheetName val="Washington Gas"/>
      <sheetName val="Idaho Gas"/>
      <sheetName val="Oregon Gas"/>
      <sheetName val="Pro-Forma Increases"/>
      <sheetName val="Exec Utility Split"/>
      <sheetName val="Exec Removal Prior"/>
      <sheetName val="Pro-Forma Exec Salary"/>
      <sheetName val="Non-Util Benefit Calc"/>
      <sheetName val="Pension &amp; Medical"/>
      <sheetName val="Total Electric Download"/>
      <sheetName val="Gas North Download"/>
      <sheetName val="Gas South Dowload"/>
      <sheetName val="Compass"/>
    </sheetNames>
    <sheetDataSet>
      <sheetData sheetId="0">
        <row r="1">
          <cell r="A1" t="str">
            <v>AVISTA UTILITIES</v>
          </cell>
        </row>
      </sheetData>
      <sheetData sheetId="1"/>
      <sheetData sheetId="2">
        <row r="122">
          <cell r="E122">
            <v>37300870</v>
          </cell>
        </row>
      </sheetData>
      <sheetData sheetId="3">
        <row r="122">
          <cell r="E122">
            <v>18117499</v>
          </cell>
        </row>
      </sheetData>
      <sheetData sheetId="4">
        <row r="79">
          <cell r="G79">
            <v>6377679.6100000003</v>
          </cell>
        </row>
      </sheetData>
      <sheetData sheetId="5"/>
      <sheetData sheetId="6">
        <row r="75">
          <cell r="E75">
            <v>11221033</v>
          </cell>
        </row>
      </sheetData>
      <sheetData sheetId="7">
        <row r="75">
          <cell r="E75">
            <v>4772058</v>
          </cell>
        </row>
      </sheetData>
      <sheetData sheetId="8"/>
      <sheetData sheetId="9"/>
      <sheetData sheetId="10">
        <row r="3">
          <cell r="A3" t="str">
            <v>6 Months Ending 06/30/14</v>
          </cell>
        </row>
      </sheetData>
      <sheetData sheetId="11"/>
      <sheetData sheetId="12"/>
      <sheetData sheetId="13">
        <row r="9">
          <cell r="B9">
            <v>0.56999999999999995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regon Gas"/>
      <sheetName val="Oregon Total"/>
      <sheetName val="Retirement"/>
      <sheetName val="Expense"/>
      <sheetName val="Non-Util Benefit Calc"/>
    </sheetNames>
    <sheetDataSet>
      <sheetData sheetId="0">
        <row r="1">
          <cell r="A1" t="str">
            <v>AVISTA UTILITIES</v>
          </cell>
        </row>
        <row r="3">
          <cell r="A3" t="str">
            <v>12 Months Ending 09/30/15</v>
          </cell>
        </row>
      </sheetData>
      <sheetData sheetId="1" refreshError="1"/>
      <sheetData sheetId="2" refreshError="1"/>
      <sheetData sheetId="3"/>
      <sheetData sheetId="4">
        <row r="8">
          <cell r="D8">
            <v>28606546</v>
          </cell>
        </row>
        <row r="12">
          <cell r="D12">
            <v>29295624</v>
          </cell>
        </row>
        <row r="13">
          <cell r="F13">
            <v>30710000</v>
          </cell>
          <cell r="G13">
            <v>31435878</v>
          </cell>
        </row>
      </sheetData>
      <sheetData sheetId="5">
        <row r="9">
          <cell r="E9">
            <v>0.57092904098394781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N93"/>
  <sheetViews>
    <sheetView tabSelected="1" zoomScale="75" zoomScaleNormal="75" workbookViewId="0">
      <selection activeCell="K12" sqref="K12"/>
    </sheetView>
  </sheetViews>
  <sheetFormatPr defaultRowHeight="15"/>
  <cols>
    <col min="1" max="1" width="2.42578125" customWidth="1"/>
    <col min="2" max="2" width="13.5703125" style="26" customWidth="1"/>
    <col min="3" max="4" width="1.5703125" style="25" customWidth="1"/>
    <col min="5" max="5" width="35.42578125" style="25" customWidth="1"/>
    <col min="7" max="7" width="12.5703125" style="89" customWidth="1"/>
    <col min="9" max="9" width="8.7109375" style="101"/>
    <col min="10" max="10" width="12.7109375" style="101" customWidth="1"/>
    <col min="11" max="11" width="17.7109375" style="101" customWidth="1"/>
    <col min="12" max="12" width="14.85546875" style="101" customWidth="1"/>
    <col min="13" max="13" width="12.42578125" style="101" customWidth="1"/>
    <col min="14" max="14" width="8.7109375" style="101"/>
  </cols>
  <sheetData>
    <row r="1" spans="2:7">
      <c r="E1"/>
      <c r="G1" s="79"/>
    </row>
    <row r="2" spans="2:7">
      <c r="B2" s="28" t="s">
        <v>43</v>
      </c>
      <c r="E2" s="26"/>
      <c r="G2" s="79"/>
    </row>
    <row r="3" spans="2:7">
      <c r="B3" s="28" t="s">
        <v>44</v>
      </c>
      <c r="E3" s="26"/>
      <c r="G3" s="80"/>
    </row>
    <row r="4" spans="2:7">
      <c r="B4" s="28" t="s">
        <v>45</v>
      </c>
      <c r="E4" s="26"/>
      <c r="G4" s="81"/>
    </row>
    <row r="5" spans="2:7">
      <c r="B5" s="28" t="s">
        <v>46</v>
      </c>
      <c r="E5" s="26"/>
      <c r="G5" s="82"/>
    </row>
    <row r="6" spans="2:7">
      <c r="B6" s="27"/>
      <c r="C6" s="29"/>
      <c r="D6" s="29"/>
      <c r="E6" s="30"/>
      <c r="G6" s="83"/>
    </row>
    <row r="7" spans="2:7">
      <c r="B7" s="31"/>
      <c r="C7" s="32"/>
      <c r="D7" s="33"/>
      <c r="E7" s="33"/>
      <c r="F7" s="130"/>
      <c r="G7" s="84" t="s">
        <v>147</v>
      </c>
    </row>
    <row r="8" spans="2:7">
      <c r="B8" s="34" t="s">
        <v>49</v>
      </c>
      <c r="C8" s="35"/>
      <c r="D8" s="36"/>
      <c r="E8" s="36"/>
      <c r="F8" s="131"/>
      <c r="G8" s="85" t="s">
        <v>148</v>
      </c>
    </row>
    <row r="9" spans="2:7">
      <c r="B9" s="37" t="s">
        <v>50</v>
      </c>
      <c r="C9" s="38"/>
      <c r="D9" s="39"/>
      <c r="E9" s="39" t="s">
        <v>51</v>
      </c>
      <c r="F9" s="132"/>
      <c r="G9" s="86" t="s">
        <v>149</v>
      </c>
    </row>
    <row r="10" spans="2:7">
      <c r="B10" s="40"/>
      <c r="C10" s="41" t="s">
        <v>52</v>
      </c>
      <c r="D10" s="40"/>
      <c r="E10" s="40"/>
      <c r="G10" s="87">
        <v>3.05</v>
      </c>
    </row>
    <row r="11" spans="2:7">
      <c r="B11" s="40"/>
      <c r="C11" s="41" t="s">
        <v>53</v>
      </c>
      <c r="D11" s="40"/>
      <c r="E11" s="40"/>
      <c r="G11" s="87" t="s">
        <v>150</v>
      </c>
    </row>
    <row r="12" spans="2:7">
      <c r="B12" s="40"/>
      <c r="C12" s="41"/>
      <c r="D12" s="40"/>
      <c r="E12" s="40"/>
      <c r="G12" s="88"/>
    </row>
    <row r="13" spans="2:7">
      <c r="C13" s="25" t="s">
        <v>54</v>
      </c>
    </row>
    <row r="14" spans="2:7">
      <c r="B14" s="42">
        <v>1</v>
      </c>
      <c r="C14" s="43" t="s">
        <v>55</v>
      </c>
      <c r="D14" s="43"/>
      <c r="E14" s="43"/>
      <c r="G14" s="90">
        <v>0</v>
      </c>
    </row>
    <row r="15" spans="2:7">
      <c r="B15" s="42">
        <v>2</v>
      </c>
      <c r="C15" s="44" t="s">
        <v>56</v>
      </c>
      <c r="D15" s="44"/>
      <c r="E15" s="44"/>
      <c r="G15" s="89">
        <v>0</v>
      </c>
    </row>
    <row r="16" spans="2:7">
      <c r="B16" s="42">
        <v>3</v>
      </c>
      <c r="C16" s="44" t="s">
        <v>57</v>
      </c>
      <c r="D16" s="44"/>
      <c r="E16" s="44"/>
      <c r="G16" s="91">
        <v>0</v>
      </c>
    </row>
    <row r="17" spans="2:7">
      <c r="B17" s="42">
        <v>4</v>
      </c>
      <c r="C17" s="44" t="s">
        <v>58</v>
      </c>
      <c r="D17" s="44"/>
      <c r="E17" s="44"/>
      <c r="G17" s="89">
        <f>SUM(G14:G16)</f>
        <v>0</v>
      </c>
    </row>
    <row r="18" spans="2:7">
      <c r="B18" s="42">
        <v>5</v>
      </c>
      <c r="C18" s="44" t="s">
        <v>59</v>
      </c>
      <c r="D18" s="44"/>
      <c r="E18" s="44"/>
      <c r="G18" s="91">
        <v>0</v>
      </c>
    </row>
    <row r="19" spans="2:7">
      <c r="B19" s="42">
        <v>6</v>
      </c>
      <c r="C19" s="44" t="s">
        <v>60</v>
      </c>
      <c r="D19" s="44"/>
      <c r="E19" s="44"/>
      <c r="G19" s="79">
        <f>SUM(G17:G18)</f>
        <v>0</v>
      </c>
    </row>
    <row r="20" spans="2:7">
      <c r="B20" s="42"/>
      <c r="C20" s="44"/>
      <c r="D20" s="44"/>
      <c r="E20" s="44"/>
      <c r="G20" s="79"/>
    </row>
    <row r="21" spans="2:7">
      <c r="B21" s="42"/>
      <c r="C21" s="44" t="s">
        <v>61</v>
      </c>
      <c r="D21" s="44"/>
      <c r="E21" s="44"/>
      <c r="G21" s="79"/>
    </row>
    <row r="22" spans="2:7">
      <c r="B22" s="42"/>
      <c r="C22" s="44" t="s">
        <v>62</v>
      </c>
      <c r="D22" s="44"/>
      <c r="E22" s="44"/>
      <c r="G22" s="79"/>
    </row>
    <row r="23" spans="2:7">
      <c r="B23" s="42">
        <v>7</v>
      </c>
      <c r="C23" s="44"/>
      <c r="D23" s="44" t="s">
        <v>63</v>
      </c>
      <c r="E23" s="44"/>
      <c r="G23" s="79">
        <v>0</v>
      </c>
    </row>
    <row r="24" spans="2:7">
      <c r="B24" s="42">
        <v>8</v>
      </c>
      <c r="C24" s="44"/>
      <c r="D24" s="44" t="s">
        <v>64</v>
      </c>
      <c r="E24" s="44"/>
      <c r="G24" s="79"/>
    </row>
    <row r="25" spans="2:7">
      <c r="B25" s="42">
        <v>9</v>
      </c>
      <c r="C25" s="44"/>
      <c r="D25" s="44" t="s">
        <v>65</v>
      </c>
      <c r="E25" s="44"/>
      <c r="G25" s="79">
        <v>0</v>
      </c>
    </row>
    <row r="26" spans="2:7">
      <c r="B26" s="42">
        <v>10</v>
      </c>
      <c r="C26" s="44"/>
      <c r="D26" s="45" t="s">
        <v>66</v>
      </c>
      <c r="E26" s="45"/>
      <c r="G26" s="79"/>
    </row>
    <row r="27" spans="2:7">
      <c r="B27" s="42">
        <v>11</v>
      </c>
      <c r="C27" s="44"/>
      <c r="D27" s="44" t="s">
        <v>67</v>
      </c>
      <c r="E27" s="44"/>
      <c r="G27" s="92">
        <v>0</v>
      </c>
    </row>
    <row r="28" spans="2:7">
      <c r="B28" s="42">
        <v>12</v>
      </c>
      <c r="C28" s="44" t="s">
        <v>68</v>
      </c>
      <c r="D28" s="44"/>
      <c r="E28" s="44"/>
      <c r="G28" s="79">
        <f>SUM(G23:G27)</f>
        <v>0</v>
      </c>
    </row>
    <row r="29" spans="2:7">
      <c r="B29" s="42"/>
      <c r="C29" s="44"/>
      <c r="D29" s="44"/>
      <c r="E29" s="44"/>
      <c r="G29" s="79"/>
    </row>
    <row r="30" spans="2:7">
      <c r="B30" s="42"/>
      <c r="C30" s="44" t="s">
        <v>69</v>
      </c>
      <c r="D30" s="44"/>
      <c r="E30" s="44"/>
      <c r="G30" s="79"/>
    </row>
    <row r="31" spans="2:7">
      <c r="B31" s="42">
        <v>13</v>
      </c>
      <c r="C31" s="44"/>
      <c r="D31" s="44" t="s">
        <v>63</v>
      </c>
      <c r="E31" s="44"/>
      <c r="G31" s="79">
        <v>0</v>
      </c>
    </row>
    <row r="32" spans="2:7">
      <c r="B32" s="42">
        <v>14</v>
      </c>
      <c r="C32" s="44"/>
      <c r="D32" s="44" t="s">
        <v>70</v>
      </c>
      <c r="E32" s="44"/>
      <c r="G32" s="79">
        <v>0</v>
      </c>
    </row>
    <row r="33" spans="2:7">
      <c r="B33" s="42">
        <v>15</v>
      </c>
      <c r="C33" s="44"/>
      <c r="D33" s="44" t="s">
        <v>67</v>
      </c>
      <c r="E33" s="44"/>
      <c r="G33" s="92">
        <v>0</v>
      </c>
    </row>
    <row r="34" spans="2:7">
      <c r="B34" s="42">
        <v>16</v>
      </c>
      <c r="C34" s="44" t="s">
        <v>71</v>
      </c>
      <c r="D34" s="44"/>
      <c r="E34" s="44"/>
      <c r="G34" s="79">
        <f>SUM(G31:G33)</f>
        <v>0</v>
      </c>
    </row>
    <row r="35" spans="2:7">
      <c r="B35" s="44"/>
      <c r="C35" s="44"/>
      <c r="D35" s="44"/>
      <c r="E35" s="44"/>
      <c r="G35" s="79"/>
    </row>
    <row r="36" spans="2:7">
      <c r="B36" s="42">
        <v>17</v>
      </c>
      <c r="C36" s="44" t="s">
        <v>72</v>
      </c>
      <c r="D36" s="44"/>
      <c r="E36" s="44"/>
      <c r="G36" s="79">
        <v>0</v>
      </c>
    </row>
    <row r="37" spans="2:7">
      <c r="B37" s="42">
        <v>18</v>
      </c>
      <c r="C37" s="44" t="s">
        <v>73</v>
      </c>
      <c r="D37" s="44"/>
      <c r="E37" s="44"/>
      <c r="G37" s="79">
        <v>0</v>
      </c>
    </row>
    <row r="38" spans="2:7">
      <c r="B38" s="42">
        <v>19</v>
      </c>
      <c r="C38" s="44" t="s">
        <v>74</v>
      </c>
      <c r="D38" s="44"/>
      <c r="E38" s="44"/>
      <c r="G38" s="79"/>
    </row>
    <row r="39" spans="2:7">
      <c r="B39" s="42"/>
      <c r="C39" s="44"/>
      <c r="D39" s="44"/>
      <c r="E39" s="44"/>
      <c r="G39" s="79"/>
    </row>
    <row r="40" spans="2:7">
      <c r="B40" s="44"/>
      <c r="C40" s="44" t="s">
        <v>75</v>
      </c>
      <c r="D40" s="44"/>
      <c r="E40" s="44"/>
      <c r="G40" s="79"/>
    </row>
    <row r="41" spans="2:7">
      <c r="B41" s="42">
        <v>20</v>
      </c>
      <c r="C41" s="44"/>
      <c r="D41" s="44" t="s">
        <v>63</v>
      </c>
      <c r="E41" s="44"/>
      <c r="G41" s="95">
        <v>0</v>
      </c>
    </row>
    <row r="42" spans="2:7">
      <c r="B42" s="42">
        <v>21</v>
      </c>
      <c r="C42" s="44"/>
      <c r="D42" s="44" t="s">
        <v>70</v>
      </c>
      <c r="E42" s="44"/>
      <c r="G42" s="79">
        <v>0</v>
      </c>
    </row>
    <row r="43" spans="2:7">
      <c r="B43" s="42">
        <v>22</v>
      </c>
      <c r="C43" s="44"/>
      <c r="D43" s="44" t="s">
        <v>76</v>
      </c>
      <c r="E43" s="44"/>
      <c r="G43" s="79">
        <v>0</v>
      </c>
    </row>
    <row r="44" spans="2:7">
      <c r="B44" s="46">
        <v>23</v>
      </c>
      <c r="C44" s="44"/>
      <c r="D44" s="44" t="s">
        <v>67</v>
      </c>
      <c r="E44" s="44"/>
      <c r="G44" s="91">
        <v>0</v>
      </c>
    </row>
    <row r="45" spans="2:7">
      <c r="B45" s="42">
        <v>24</v>
      </c>
      <c r="C45" s="44" t="s">
        <v>77</v>
      </c>
      <c r="D45" s="44"/>
      <c r="E45" s="44"/>
      <c r="G45" s="91">
        <f>SUM(G41:G44)</f>
        <v>0</v>
      </c>
    </row>
    <row r="46" spans="2:7">
      <c r="B46" s="42">
        <v>25</v>
      </c>
      <c r="C46" s="44" t="s">
        <v>78</v>
      </c>
      <c r="D46" s="44"/>
      <c r="E46" s="44"/>
      <c r="G46" s="91">
        <f>G45+G38+G37+G36+G34+G28</f>
        <v>0</v>
      </c>
    </row>
    <row r="47" spans="2:7">
      <c r="B47" s="44"/>
      <c r="C47" s="44"/>
      <c r="D47" s="44"/>
      <c r="E47" s="44"/>
    </row>
    <row r="48" spans="2:7">
      <c r="B48" s="42">
        <v>26</v>
      </c>
      <c r="C48" s="44" t="s">
        <v>79</v>
      </c>
      <c r="D48" s="44"/>
      <c r="E48" s="44"/>
      <c r="G48" s="89">
        <f>G19-G46</f>
        <v>0</v>
      </c>
    </row>
    <row r="49" spans="2:7">
      <c r="B49" s="42"/>
      <c r="C49" s="44"/>
      <c r="D49" s="44"/>
      <c r="E49" s="44"/>
    </row>
    <row r="50" spans="2:7">
      <c r="B50" s="47"/>
      <c r="C50" s="44" t="s">
        <v>80</v>
      </c>
      <c r="D50" s="44"/>
      <c r="E50" s="44"/>
    </row>
    <row r="51" spans="2:7">
      <c r="B51" s="46">
        <v>27</v>
      </c>
      <c r="C51" s="45" t="s">
        <v>81</v>
      </c>
      <c r="D51" s="45"/>
      <c r="E51" s="48"/>
      <c r="G51" s="79">
        <f>G48*0.21</f>
        <v>0</v>
      </c>
    </row>
    <row r="52" spans="2:7">
      <c r="B52" s="46">
        <v>28</v>
      </c>
      <c r="C52" s="45" t="s">
        <v>82</v>
      </c>
      <c r="D52" s="45"/>
      <c r="E52" s="45"/>
      <c r="G52" s="79">
        <f>(G80*'[3]RR SUMMARY'!$O$12)*-0.21</f>
        <v>0</v>
      </c>
    </row>
    <row r="53" spans="2:7">
      <c r="B53" s="46">
        <v>29</v>
      </c>
      <c r="C53" s="45" t="s">
        <v>83</v>
      </c>
      <c r="D53" s="45"/>
      <c r="E53" s="45"/>
      <c r="G53" s="79">
        <v>0</v>
      </c>
    </row>
    <row r="54" spans="2:7">
      <c r="B54" s="47">
        <v>30</v>
      </c>
      <c r="C54" s="44" t="s">
        <v>84</v>
      </c>
      <c r="D54" s="44"/>
      <c r="E54" s="44"/>
      <c r="G54" s="91">
        <v>0</v>
      </c>
    </row>
    <row r="56" spans="2:7" ht="15.75" thickBot="1">
      <c r="B56" s="49">
        <v>31</v>
      </c>
      <c r="C56" s="43" t="s">
        <v>85</v>
      </c>
      <c r="D56" s="43"/>
      <c r="E56" s="43"/>
      <c r="G56" s="93">
        <f>G48-SUM(G51:G54)</f>
        <v>0</v>
      </c>
    </row>
    <row r="57" spans="2:7" ht="15.75" thickTop="1">
      <c r="B57" s="49"/>
    </row>
    <row r="58" spans="2:7">
      <c r="B58" s="49"/>
      <c r="C58" s="25" t="s">
        <v>86</v>
      </c>
    </row>
    <row r="59" spans="2:7">
      <c r="C59" s="25" t="s">
        <v>87</v>
      </c>
    </row>
    <row r="60" spans="2:7">
      <c r="B60" s="50">
        <v>32</v>
      </c>
      <c r="C60" s="43"/>
      <c r="D60" s="43" t="s">
        <v>88</v>
      </c>
      <c r="E60" s="43"/>
      <c r="G60" s="43">
        <v>0</v>
      </c>
    </row>
    <row r="61" spans="2:7">
      <c r="B61" s="49">
        <v>33</v>
      </c>
      <c r="C61" s="44"/>
      <c r="D61" s="44" t="s">
        <v>89</v>
      </c>
      <c r="E61" s="44"/>
      <c r="G61" s="89">
        <v>0</v>
      </c>
    </row>
    <row r="62" spans="2:7">
      <c r="B62" s="49">
        <v>34</v>
      </c>
      <c r="C62" s="44"/>
      <c r="D62" s="44" t="s">
        <v>90</v>
      </c>
      <c r="E62" s="44"/>
      <c r="G62" s="89">
        <v>0</v>
      </c>
    </row>
    <row r="63" spans="2:7">
      <c r="B63" s="49">
        <v>35</v>
      </c>
      <c r="C63" s="44"/>
      <c r="D63" s="44" t="s">
        <v>69</v>
      </c>
      <c r="E63" s="44"/>
      <c r="G63" s="89">
        <v>0</v>
      </c>
    </row>
    <row r="64" spans="2:7">
      <c r="B64" s="49">
        <v>36</v>
      </c>
      <c r="C64" s="44"/>
      <c r="D64" s="44" t="s">
        <v>91</v>
      </c>
      <c r="E64" s="44"/>
      <c r="G64" s="91">
        <v>0</v>
      </c>
    </row>
    <row r="65" spans="2:7">
      <c r="B65" s="49">
        <v>37</v>
      </c>
      <c r="C65" s="44" t="s">
        <v>92</v>
      </c>
      <c r="D65" s="44"/>
      <c r="E65" s="44"/>
      <c r="G65" s="89">
        <f>SUM(G60:G64)</f>
        <v>0</v>
      </c>
    </row>
    <row r="66" spans="2:7">
      <c r="B66" s="49"/>
      <c r="C66" s="44" t="s">
        <v>93</v>
      </c>
      <c r="D66" s="44"/>
      <c r="E66" s="44"/>
      <c r="G66" s="89">
        <v>0</v>
      </c>
    </row>
    <row r="67" spans="2:7">
      <c r="B67" s="49">
        <v>38</v>
      </c>
      <c r="C67" s="44"/>
      <c r="D67" s="43" t="s">
        <v>88</v>
      </c>
      <c r="E67" s="44"/>
      <c r="G67" s="89">
        <v>0</v>
      </c>
    </row>
    <row r="68" spans="2:7">
      <c r="B68" s="49">
        <v>39</v>
      </c>
      <c r="C68" s="44"/>
      <c r="D68" s="44" t="s">
        <v>89</v>
      </c>
      <c r="E68" s="44"/>
      <c r="G68" s="89">
        <v>0</v>
      </c>
    </row>
    <row r="69" spans="2:7">
      <c r="B69" s="49">
        <v>40</v>
      </c>
      <c r="C69" s="44"/>
      <c r="D69" s="44" t="s">
        <v>90</v>
      </c>
      <c r="E69" s="44"/>
      <c r="G69" s="89">
        <v>0</v>
      </c>
    </row>
    <row r="70" spans="2:7">
      <c r="B70" s="49">
        <v>41</v>
      </c>
      <c r="C70" s="44"/>
      <c r="D70" s="44" t="s">
        <v>69</v>
      </c>
      <c r="E70" s="44"/>
      <c r="G70" s="89">
        <v>0</v>
      </c>
    </row>
    <row r="71" spans="2:7">
      <c r="B71" s="49">
        <v>42</v>
      </c>
      <c r="C71" s="44"/>
      <c r="D71" s="44" t="s">
        <v>91</v>
      </c>
      <c r="E71" s="44"/>
      <c r="G71" s="89">
        <v>0</v>
      </c>
    </row>
    <row r="72" spans="2:7">
      <c r="B72" s="49">
        <v>43</v>
      </c>
      <c r="C72" s="44" t="s">
        <v>94</v>
      </c>
      <c r="D72" s="44"/>
      <c r="E72" s="44"/>
      <c r="G72" s="94">
        <f>SUM(G67:G71)</f>
        <v>0</v>
      </c>
    </row>
    <row r="73" spans="2:7">
      <c r="B73" s="49">
        <v>44</v>
      </c>
      <c r="C73" s="44" t="s">
        <v>95</v>
      </c>
      <c r="D73" s="44"/>
      <c r="E73" s="44"/>
      <c r="G73" s="94">
        <f>G65+G72</f>
        <v>0</v>
      </c>
    </row>
    <row r="74" spans="2:7">
      <c r="B74" s="49"/>
      <c r="C74" s="44"/>
      <c r="D74" s="44"/>
      <c r="E74" s="44"/>
      <c r="G74" s="95"/>
    </row>
    <row r="75" spans="2:7">
      <c r="B75" s="47">
        <v>45</v>
      </c>
      <c r="C75" s="44" t="s">
        <v>96</v>
      </c>
      <c r="D75" s="44"/>
      <c r="E75" s="44"/>
      <c r="G75" s="91">
        <v>0</v>
      </c>
    </row>
    <row r="76" spans="2:7">
      <c r="B76" s="47">
        <v>46</v>
      </c>
      <c r="C76" s="44"/>
      <c r="D76" s="44" t="s">
        <v>97</v>
      </c>
      <c r="E76" s="44"/>
      <c r="G76" s="95">
        <f>SUM(G73:G75)</f>
        <v>0</v>
      </c>
    </row>
    <row r="77" spans="2:7">
      <c r="B77" s="49">
        <v>47</v>
      </c>
      <c r="C77" s="44" t="s">
        <v>98</v>
      </c>
      <c r="D77" s="44"/>
      <c r="E77" s="44"/>
      <c r="G77" s="89">
        <v>0</v>
      </c>
    </row>
    <row r="78" spans="2:7">
      <c r="B78" s="49">
        <v>48</v>
      </c>
      <c r="C78" s="44" t="s">
        <v>99</v>
      </c>
      <c r="D78" s="44"/>
      <c r="E78" s="44"/>
      <c r="G78" s="91">
        <v>0</v>
      </c>
    </row>
    <row r="79" spans="2:7">
      <c r="B79" s="47"/>
      <c r="C79" s="44"/>
      <c r="D79" s="44"/>
      <c r="E79" s="44"/>
    </row>
    <row r="80" spans="2:7" ht="15.75" thickBot="1">
      <c r="B80" s="42">
        <v>49</v>
      </c>
      <c r="C80" s="43" t="s">
        <v>100</v>
      </c>
      <c r="D80" s="43"/>
      <c r="E80" s="43"/>
      <c r="G80" s="96">
        <f>SUM(G76:G78)</f>
        <v>0</v>
      </c>
    </row>
    <row r="81" spans="2:7" ht="15.75" thickTop="1">
      <c r="B81" s="42"/>
    </row>
    <row r="82" spans="2:7">
      <c r="G82" s="97"/>
    </row>
    <row r="83" spans="2:7">
      <c r="C83" s="51"/>
      <c r="G83" s="98"/>
    </row>
    <row r="86" spans="2:7">
      <c r="F86" s="101"/>
      <c r="G86" s="99"/>
    </row>
    <row r="87" spans="2:7">
      <c r="F87" s="101"/>
      <c r="G87" s="95"/>
    </row>
    <row r="88" spans="2:7">
      <c r="B88" s="52"/>
      <c r="C88" s="53"/>
      <c r="D88" s="53"/>
      <c r="E88" s="53"/>
      <c r="F88" s="101"/>
      <c r="G88" s="95"/>
    </row>
    <row r="89" spans="2:7">
      <c r="B89" s="54"/>
      <c r="C89" s="55"/>
      <c r="D89" s="55"/>
      <c r="E89" s="55"/>
      <c r="G89" s="95"/>
    </row>
    <row r="90" spans="2:7">
      <c r="B90" s="54"/>
      <c r="C90" s="55"/>
      <c r="D90" s="55"/>
      <c r="E90" s="55"/>
      <c r="G90" s="95"/>
    </row>
    <row r="91" spans="2:7">
      <c r="B91" s="54"/>
      <c r="C91" s="55"/>
      <c r="D91" s="55"/>
      <c r="E91" s="55"/>
      <c r="G91" s="95"/>
    </row>
    <row r="92" spans="2:7">
      <c r="B92" s="56"/>
      <c r="C92" s="57"/>
      <c r="D92" s="57"/>
      <c r="E92" s="57"/>
      <c r="G92" s="99"/>
    </row>
    <row r="93" spans="2:7">
      <c r="B93" s="56"/>
      <c r="C93" s="57"/>
      <c r="D93" s="57"/>
      <c r="E93" s="57"/>
      <c r="G93" s="99"/>
    </row>
  </sheetData>
  <pageMargins left="0.7" right="0.7" top="0.75" bottom="0.75" header="0.3" footer="0.3"/>
  <pageSetup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N98"/>
  <sheetViews>
    <sheetView tabSelected="1" zoomScale="75" zoomScaleNormal="75" workbookViewId="0">
      <selection activeCell="K12" sqref="K12"/>
    </sheetView>
  </sheetViews>
  <sheetFormatPr defaultRowHeight="15"/>
  <cols>
    <col min="1" max="1" width="2.42578125" customWidth="1"/>
    <col min="2" max="2" width="13.5703125" style="26" customWidth="1"/>
    <col min="3" max="4" width="1.5703125" style="25" customWidth="1"/>
    <col min="5" max="5" width="2.5703125" style="25" customWidth="1"/>
    <col min="6" max="6" width="33.5703125" style="58" customWidth="1"/>
    <col min="8" max="8" width="13.140625" style="103" customWidth="1"/>
    <col min="10" max="10" width="12.7109375" style="101" customWidth="1"/>
    <col min="11" max="11" width="17.7109375" style="101" customWidth="1"/>
    <col min="12" max="12" width="14.85546875" style="101" customWidth="1"/>
    <col min="13" max="13" width="12.42578125" style="101" customWidth="1"/>
    <col min="14" max="14" width="8.7109375" style="101"/>
  </cols>
  <sheetData>
    <row r="1" spans="2:8">
      <c r="B1" s="28" t="s">
        <v>43</v>
      </c>
      <c r="E1" s="26"/>
    </row>
    <row r="2" spans="2:8">
      <c r="B2" s="28" t="s">
        <v>154</v>
      </c>
      <c r="E2" s="26"/>
    </row>
    <row r="3" spans="2:8">
      <c r="B3" s="28" t="s">
        <v>45</v>
      </c>
      <c r="E3" s="26"/>
      <c r="H3" s="104"/>
    </row>
    <row r="4" spans="2:8">
      <c r="B4" s="28" t="s">
        <v>46</v>
      </c>
      <c r="E4" s="26"/>
      <c r="H4" s="105"/>
    </row>
    <row r="5" spans="2:8">
      <c r="E5" s="26"/>
      <c r="H5" s="106"/>
    </row>
    <row r="6" spans="2:8">
      <c r="E6" s="26"/>
      <c r="H6" s="106"/>
    </row>
    <row r="7" spans="2:8">
      <c r="B7" s="30"/>
      <c r="C7" s="30"/>
      <c r="D7" s="29"/>
      <c r="E7" s="29"/>
      <c r="F7" s="30"/>
      <c r="H7" s="107"/>
    </row>
    <row r="8" spans="2:8">
      <c r="B8" s="31"/>
      <c r="C8" s="59"/>
      <c r="D8" s="33"/>
      <c r="E8" s="33"/>
      <c r="F8" s="33"/>
      <c r="G8" s="100"/>
      <c r="H8" s="108" t="s">
        <v>151</v>
      </c>
    </row>
    <row r="9" spans="2:8">
      <c r="B9" s="34" t="s">
        <v>49</v>
      </c>
      <c r="C9" s="60"/>
      <c r="D9" s="36"/>
      <c r="E9" s="36"/>
      <c r="F9" s="36"/>
      <c r="G9" s="101"/>
      <c r="H9" s="109" t="s">
        <v>152</v>
      </c>
    </row>
    <row r="10" spans="2:8">
      <c r="B10" s="37" t="s">
        <v>50</v>
      </c>
      <c r="C10" s="61"/>
      <c r="D10" s="39"/>
      <c r="E10" s="39"/>
      <c r="F10" s="39" t="s">
        <v>51</v>
      </c>
      <c r="G10" s="102"/>
      <c r="H10" s="110" t="s">
        <v>149</v>
      </c>
    </row>
    <row r="11" spans="2:8">
      <c r="B11" s="62"/>
      <c r="C11" s="62"/>
      <c r="D11" s="63"/>
      <c r="E11" s="63"/>
      <c r="F11" s="63" t="s">
        <v>101</v>
      </c>
      <c r="H11" s="111">
        <v>3.05</v>
      </c>
    </row>
    <row r="12" spans="2:8">
      <c r="B12" s="62"/>
      <c r="C12" s="62"/>
      <c r="D12" s="63"/>
      <c r="E12" s="63"/>
      <c r="F12" s="63"/>
      <c r="H12" s="104" t="s">
        <v>153</v>
      </c>
    </row>
    <row r="13" spans="2:8">
      <c r="B13" s="62"/>
      <c r="C13" s="62"/>
      <c r="D13" s="63"/>
      <c r="E13" s="63"/>
      <c r="F13" s="63"/>
      <c r="H13" s="112"/>
    </row>
    <row r="14" spans="2:8">
      <c r="B14" s="64"/>
      <c r="C14" s="65" t="s">
        <v>102</v>
      </c>
      <c r="D14" s="65"/>
      <c r="E14" s="65"/>
      <c r="F14" s="65"/>
      <c r="H14" s="112"/>
    </row>
    <row r="15" spans="2:8">
      <c r="B15" s="64">
        <v>1</v>
      </c>
      <c r="C15" s="66"/>
      <c r="D15" s="66" t="s">
        <v>103</v>
      </c>
      <c r="E15" s="66"/>
      <c r="F15" s="66"/>
      <c r="H15" s="113">
        <v>0</v>
      </c>
    </row>
    <row r="16" spans="2:8">
      <c r="B16" s="64">
        <v>2</v>
      </c>
      <c r="C16" s="65"/>
      <c r="D16" s="67" t="s">
        <v>104</v>
      </c>
      <c r="E16" s="67"/>
      <c r="F16" s="67"/>
      <c r="H16" s="114">
        <v>0</v>
      </c>
    </row>
    <row r="17" spans="2:8">
      <c r="B17" s="64">
        <v>3</v>
      </c>
      <c r="C17" s="65"/>
      <c r="D17" s="67" t="s">
        <v>105</v>
      </c>
      <c r="E17" s="67"/>
      <c r="F17" s="67"/>
      <c r="H17" s="115">
        <v>0</v>
      </c>
    </row>
    <row r="18" spans="2:8">
      <c r="B18" s="64">
        <v>4</v>
      </c>
      <c r="C18" s="65" t="s">
        <v>106</v>
      </c>
      <c r="D18" s="67"/>
      <c r="E18" s="67"/>
      <c r="F18" s="67"/>
      <c r="H18" s="116">
        <f t="shared" ref="H18" si="0">SUM(H15:H17)</f>
        <v>0</v>
      </c>
    </row>
    <row r="19" spans="2:8">
      <c r="B19" s="64"/>
      <c r="C19" s="65"/>
      <c r="D19" s="67"/>
      <c r="E19" s="67"/>
      <c r="F19" s="67"/>
      <c r="H19" s="114"/>
    </row>
    <row r="20" spans="2:8">
      <c r="B20" s="64"/>
      <c r="C20" s="65" t="s">
        <v>107</v>
      </c>
      <c r="D20" s="67"/>
      <c r="E20" s="67"/>
      <c r="F20" s="67"/>
      <c r="H20" s="114"/>
    </row>
    <row r="21" spans="2:8">
      <c r="B21" s="64"/>
      <c r="C21" s="65"/>
      <c r="D21" s="67" t="s">
        <v>108</v>
      </c>
      <c r="E21" s="67"/>
      <c r="F21" s="67"/>
      <c r="H21" s="114"/>
    </row>
    <row r="22" spans="2:8">
      <c r="B22" s="64">
        <v>5</v>
      </c>
      <c r="C22" s="65"/>
      <c r="D22" s="67"/>
      <c r="E22" s="67" t="s">
        <v>109</v>
      </c>
      <c r="F22" s="67"/>
      <c r="H22" s="114">
        <v>0</v>
      </c>
    </row>
    <row r="23" spans="2:8">
      <c r="B23" s="64">
        <v>6</v>
      </c>
      <c r="C23" s="65"/>
      <c r="D23" s="67"/>
      <c r="E23" s="67" t="s">
        <v>110</v>
      </c>
      <c r="F23" s="67"/>
      <c r="H23" s="114"/>
    </row>
    <row r="24" spans="2:8">
      <c r="B24" s="64">
        <v>7</v>
      </c>
      <c r="C24" s="65"/>
      <c r="D24" s="67"/>
      <c r="E24" s="67" t="s">
        <v>111</v>
      </c>
      <c r="F24" s="67"/>
      <c r="H24" s="115">
        <v>0</v>
      </c>
    </row>
    <row r="25" spans="2:8">
      <c r="B25" s="64">
        <v>8</v>
      </c>
      <c r="C25" s="65"/>
      <c r="D25" s="67"/>
      <c r="E25" s="67"/>
      <c r="F25" s="67" t="s">
        <v>112</v>
      </c>
      <c r="H25" s="116">
        <f>SUM(H22:H24)</f>
        <v>0</v>
      </c>
    </row>
    <row r="26" spans="2:8">
      <c r="B26" s="64"/>
      <c r="C26" s="65"/>
      <c r="D26" s="67"/>
      <c r="E26" s="67"/>
      <c r="F26" s="67"/>
      <c r="H26" s="116"/>
    </row>
    <row r="27" spans="2:8">
      <c r="B27" s="64"/>
      <c r="C27" s="65"/>
      <c r="D27" s="67" t="s">
        <v>113</v>
      </c>
      <c r="E27" s="67"/>
      <c r="F27" s="67"/>
      <c r="H27" s="114"/>
    </row>
    <row r="28" spans="2:8">
      <c r="B28" s="64">
        <v>9</v>
      </c>
      <c r="C28" s="65"/>
      <c r="D28" s="67"/>
      <c r="E28" s="67" t="s">
        <v>114</v>
      </c>
      <c r="F28" s="67"/>
      <c r="H28" s="114">
        <v>0</v>
      </c>
    </row>
    <row r="29" spans="2:8">
      <c r="B29" s="64">
        <v>10</v>
      </c>
      <c r="C29" s="65"/>
      <c r="D29" s="67"/>
      <c r="E29" s="67" t="s">
        <v>115</v>
      </c>
      <c r="F29" s="67"/>
      <c r="H29" s="114">
        <v>0</v>
      </c>
    </row>
    <row r="30" spans="2:8">
      <c r="B30" s="68">
        <v>11</v>
      </c>
      <c r="C30" s="65"/>
      <c r="D30" s="67"/>
      <c r="E30" s="67" t="s">
        <v>116</v>
      </c>
      <c r="F30" s="67"/>
      <c r="H30" s="115">
        <v>0</v>
      </c>
    </row>
    <row r="31" spans="2:8">
      <c r="B31" s="64">
        <v>12</v>
      </c>
      <c r="C31" s="65"/>
      <c r="D31" s="67"/>
      <c r="E31" s="67"/>
      <c r="F31" s="67" t="s">
        <v>117</v>
      </c>
      <c r="H31" s="116">
        <f t="shared" ref="H31" si="1">SUM(H28:H30)</f>
        <v>0</v>
      </c>
    </row>
    <row r="32" spans="2:8">
      <c r="B32" s="64"/>
      <c r="C32" s="65"/>
      <c r="D32" s="67"/>
      <c r="E32" s="67"/>
      <c r="F32" s="67"/>
      <c r="H32" s="116"/>
    </row>
    <row r="33" spans="2:8">
      <c r="B33" s="64"/>
      <c r="C33" s="65"/>
      <c r="D33" s="67" t="s">
        <v>118</v>
      </c>
      <c r="E33" s="67"/>
      <c r="F33" s="67"/>
      <c r="H33" s="114"/>
    </row>
    <row r="34" spans="2:8">
      <c r="B34" s="64">
        <v>13</v>
      </c>
      <c r="C34" s="65"/>
      <c r="D34" s="67"/>
      <c r="E34" s="67" t="s">
        <v>114</v>
      </c>
      <c r="F34" s="67"/>
      <c r="H34" s="114">
        <v>0</v>
      </c>
    </row>
    <row r="35" spans="2:8">
      <c r="B35" s="64">
        <v>14</v>
      </c>
      <c r="C35" s="65"/>
      <c r="D35" s="67"/>
      <c r="E35" s="67" t="s">
        <v>115</v>
      </c>
      <c r="F35" s="67"/>
      <c r="H35" s="114">
        <v>0</v>
      </c>
    </row>
    <row r="36" spans="2:8">
      <c r="B36" s="64">
        <v>15</v>
      </c>
      <c r="C36" s="65"/>
      <c r="D36" s="67"/>
      <c r="E36" s="67" t="s">
        <v>116</v>
      </c>
      <c r="F36" s="67"/>
      <c r="H36" s="115">
        <v>0</v>
      </c>
    </row>
    <row r="37" spans="2:8">
      <c r="B37" s="64">
        <v>16</v>
      </c>
      <c r="C37" s="65"/>
      <c r="D37" s="67"/>
      <c r="E37" s="67"/>
      <c r="F37" s="67" t="s">
        <v>119</v>
      </c>
      <c r="H37" s="116">
        <f t="shared" ref="H37" si="2">SUM(H34:H36)</f>
        <v>0</v>
      </c>
    </row>
    <row r="38" spans="2:8">
      <c r="B38" s="64"/>
      <c r="C38" s="65"/>
      <c r="D38" s="67"/>
      <c r="E38" s="67"/>
      <c r="F38" s="67"/>
      <c r="H38" s="116"/>
    </row>
    <row r="39" spans="2:8">
      <c r="B39" s="64">
        <v>17</v>
      </c>
      <c r="C39" s="65" t="s">
        <v>120</v>
      </c>
      <c r="D39" s="67"/>
      <c r="E39" s="67"/>
      <c r="F39" s="67"/>
      <c r="H39" s="114">
        <v>0</v>
      </c>
    </row>
    <row r="40" spans="2:8">
      <c r="B40" s="64">
        <v>18</v>
      </c>
      <c r="C40" s="65" t="s">
        <v>121</v>
      </c>
      <c r="D40" s="67"/>
      <c r="E40" s="67"/>
      <c r="F40" s="67"/>
      <c r="H40" s="114">
        <v>0</v>
      </c>
    </row>
    <row r="41" spans="2:8">
      <c r="B41" s="64">
        <v>19</v>
      </c>
      <c r="C41" s="65" t="s">
        <v>122</v>
      </c>
      <c r="D41" s="67"/>
      <c r="E41" s="67"/>
      <c r="F41" s="67"/>
      <c r="H41" s="114">
        <v>0</v>
      </c>
    </row>
    <row r="42" spans="2:8">
      <c r="B42" s="64"/>
      <c r="C42" s="65"/>
      <c r="D42" s="67"/>
      <c r="E42" s="67"/>
      <c r="F42" s="67"/>
      <c r="H42" s="114"/>
    </row>
    <row r="43" spans="2:8">
      <c r="B43" s="64"/>
      <c r="C43" s="65" t="s">
        <v>123</v>
      </c>
      <c r="D43" s="67"/>
      <c r="E43" s="67"/>
      <c r="F43" s="67"/>
      <c r="H43" s="114"/>
    </row>
    <row r="44" spans="2:8">
      <c r="B44" s="64">
        <v>20</v>
      </c>
      <c r="C44" s="65"/>
      <c r="D44" s="67" t="s">
        <v>114</v>
      </c>
      <c r="E44" s="67"/>
      <c r="F44" s="67"/>
      <c r="H44" s="114">
        <v>0</v>
      </c>
    </row>
    <row r="45" spans="2:8">
      <c r="B45" s="64">
        <v>21</v>
      </c>
      <c r="C45" s="65"/>
      <c r="D45" s="67" t="s">
        <v>70</v>
      </c>
      <c r="E45" s="67"/>
      <c r="F45" s="67"/>
      <c r="H45" s="114">
        <v>0</v>
      </c>
    </row>
    <row r="46" spans="2:8">
      <c r="B46" s="64">
        <v>22</v>
      </c>
      <c r="C46" s="65"/>
      <c r="D46" s="69" t="s">
        <v>124</v>
      </c>
      <c r="E46" s="67"/>
      <c r="F46" s="67"/>
      <c r="H46" s="114"/>
    </row>
    <row r="47" spans="2:8">
      <c r="B47" s="64">
        <v>23</v>
      </c>
      <c r="C47" s="65"/>
      <c r="D47" s="67" t="s">
        <v>116</v>
      </c>
      <c r="E47" s="67"/>
      <c r="F47" s="67"/>
      <c r="H47" s="115">
        <v>0</v>
      </c>
    </row>
    <row r="48" spans="2:8">
      <c r="B48" s="64">
        <v>24</v>
      </c>
      <c r="C48" s="65"/>
      <c r="D48" s="67"/>
      <c r="E48" s="67" t="s">
        <v>125</v>
      </c>
      <c r="F48" s="70"/>
      <c r="H48" s="117">
        <f t="shared" ref="H48" si="3">SUM(H44:H47)</f>
        <v>0</v>
      </c>
    </row>
    <row r="49" spans="2:8">
      <c r="B49" s="64">
        <v>25</v>
      </c>
      <c r="C49" s="65" t="s">
        <v>126</v>
      </c>
      <c r="D49" s="67"/>
      <c r="E49" s="67"/>
      <c r="F49" s="67"/>
      <c r="H49" s="117">
        <f t="shared" ref="H49" si="4">H21+H25+H31+H37+H39+H40+H41+H48</f>
        <v>0</v>
      </c>
    </row>
    <row r="50" spans="2:8">
      <c r="B50" s="64"/>
      <c r="C50" s="65"/>
      <c r="D50" s="67"/>
      <c r="E50" s="67"/>
      <c r="F50" s="67"/>
      <c r="H50" s="116"/>
    </row>
    <row r="51" spans="2:8">
      <c r="B51" s="64">
        <v>26</v>
      </c>
      <c r="C51" s="65" t="s">
        <v>127</v>
      </c>
      <c r="D51" s="67"/>
      <c r="E51" s="67"/>
      <c r="F51" s="67"/>
      <c r="H51" s="116">
        <f t="shared" ref="H51" si="5">H18-H49</f>
        <v>0</v>
      </c>
    </row>
    <row r="52" spans="2:8">
      <c r="B52" s="64"/>
      <c r="C52" s="65"/>
      <c r="D52" s="67"/>
      <c r="E52" s="67"/>
      <c r="F52" s="67"/>
      <c r="H52" s="116"/>
    </row>
    <row r="53" spans="2:8">
      <c r="B53" s="64"/>
      <c r="C53" s="65" t="s">
        <v>128</v>
      </c>
      <c r="D53" s="67"/>
      <c r="E53" s="67"/>
      <c r="F53" s="67"/>
      <c r="H53" s="114"/>
    </row>
    <row r="54" spans="2:8">
      <c r="B54" s="64">
        <v>27</v>
      </c>
      <c r="C54" s="65"/>
      <c r="D54" s="67" t="s">
        <v>129</v>
      </c>
      <c r="E54" s="67"/>
      <c r="F54" s="67"/>
      <c r="H54" s="114">
        <f t="shared" ref="H54" si="6">H51*0.21</f>
        <v>0</v>
      </c>
    </row>
    <row r="55" spans="2:8">
      <c r="B55" s="64">
        <v>28</v>
      </c>
      <c r="C55" s="65"/>
      <c r="D55" s="71" t="s">
        <v>82</v>
      </c>
      <c r="E55" s="67"/>
      <c r="F55" s="67"/>
      <c r="H55" s="114">
        <f>(H82*'[4]RR SUMMARY'!$P$12)*-0.21</f>
        <v>0</v>
      </c>
    </row>
    <row r="56" spans="2:8">
      <c r="B56" s="64">
        <v>29</v>
      </c>
      <c r="C56" s="65"/>
      <c r="D56" s="67" t="s">
        <v>130</v>
      </c>
      <c r="E56" s="67"/>
      <c r="F56" s="67"/>
      <c r="H56" s="114">
        <v>0</v>
      </c>
    </row>
    <row r="57" spans="2:8">
      <c r="B57" s="64">
        <v>30</v>
      </c>
      <c r="C57" s="65"/>
      <c r="D57" s="67" t="s">
        <v>131</v>
      </c>
      <c r="E57" s="67"/>
      <c r="F57" s="67"/>
      <c r="H57" s="115">
        <v>0</v>
      </c>
    </row>
    <row r="58" spans="2:8">
      <c r="B58" s="64"/>
      <c r="C58" s="65"/>
      <c r="D58" s="65"/>
      <c r="E58" s="65"/>
      <c r="F58" s="65"/>
      <c r="H58" s="116"/>
    </row>
    <row r="59" spans="2:8" ht="15.75" thickBot="1">
      <c r="B59" s="64">
        <v>31</v>
      </c>
      <c r="C59" s="66" t="s">
        <v>132</v>
      </c>
      <c r="D59" s="66"/>
      <c r="E59" s="66"/>
      <c r="F59" s="66"/>
      <c r="H59" s="118">
        <f t="shared" ref="H59" si="7">H51-SUM(H54:H57)</f>
        <v>0</v>
      </c>
    </row>
    <row r="60" spans="2:8" ht="15.75" thickTop="1">
      <c r="B60" s="64"/>
      <c r="C60" s="65"/>
      <c r="D60" s="65"/>
      <c r="E60" s="65"/>
      <c r="F60" s="65"/>
      <c r="H60" s="119"/>
    </row>
    <row r="61" spans="2:8">
      <c r="B61" s="64"/>
      <c r="C61" s="65"/>
      <c r="D61" s="65"/>
      <c r="E61" s="65"/>
      <c r="F61" s="65"/>
      <c r="H61" s="119"/>
    </row>
    <row r="62" spans="2:8">
      <c r="B62" s="64"/>
      <c r="C62" s="65" t="s">
        <v>133</v>
      </c>
      <c r="D62" s="65"/>
      <c r="E62" s="65"/>
      <c r="F62" s="65"/>
      <c r="H62" s="120"/>
    </row>
    <row r="63" spans="2:8">
      <c r="B63" s="64">
        <v>32</v>
      </c>
      <c r="C63" s="67"/>
      <c r="D63" s="67" t="s">
        <v>113</v>
      </c>
      <c r="E63" s="67"/>
      <c r="F63" s="67"/>
      <c r="H63" s="121">
        <v>0</v>
      </c>
    </row>
    <row r="64" spans="2:8">
      <c r="B64" s="64">
        <v>33</v>
      </c>
      <c r="C64" s="67"/>
      <c r="D64" s="67" t="s">
        <v>134</v>
      </c>
      <c r="E64" s="67"/>
      <c r="F64" s="67"/>
      <c r="H64" s="120">
        <v>0</v>
      </c>
    </row>
    <row r="65" spans="2:8">
      <c r="B65" s="64">
        <v>34</v>
      </c>
      <c r="C65" s="67"/>
      <c r="D65" s="67" t="s">
        <v>135</v>
      </c>
      <c r="E65" s="67"/>
      <c r="F65" s="67"/>
      <c r="H65" s="122">
        <v>0</v>
      </c>
    </row>
    <row r="66" spans="2:8">
      <c r="B66" s="64">
        <v>35</v>
      </c>
      <c r="C66" s="67"/>
      <c r="D66" s="67"/>
      <c r="E66" s="67"/>
      <c r="F66" s="67" t="s">
        <v>136</v>
      </c>
      <c r="H66" s="116">
        <f t="shared" ref="H66" si="8">SUM(H63:H65)</f>
        <v>0</v>
      </c>
    </row>
    <row r="67" spans="2:8">
      <c r="B67" s="64"/>
      <c r="C67" s="67"/>
      <c r="D67" s="67"/>
      <c r="E67" s="67"/>
      <c r="F67" s="67"/>
      <c r="H67" s="116"/>
    </row>
    <row r="68" spans="2:8">
      <c r="B68" s="64"/>
      <c r="C68" s="67" t="s">
        <v>137</v>
      </c>
      <c r="D68" s="67"/>
      <c r="E68" s="67"/>
      <c r="F68" s="67"/>
      <c r="H68" s="114"/>
    </row>
    <row r="69" spans="2:8">
      <c r="B69" s="64">
        <v>36</v>
      </c>
      <c r="C69" s="67"/>
      <c r="D69" s="67" t="s">
        <v>113</v>
      </c>
      <c r="E69" s="67"/>
      <c r="F69" s="67"/>
      <c r="H69" s="114">
        <v>0</v>
      </c>
    </row>
    <row r="70" spans="2:8">
      <c r="B70" s="64">
        <v>37</v>
      </c>
      <c r="C70" s="67"/>
      <c r="D70" s="67" t="s">
        <v>134</v>
      </c>
      <c r="E70" s="67"/>
      <c r="F70" s="67"/>
      <c r="H70" s="114">
        <v>0</v>
      </c>
    </row>
    <row r="71" spans="2:8">
      <c r="B71" s="64">
        <v>38</v>
      </c>
      <c r="C71" s="67"/>
      <c r="D71" s="67" t="s">
        <v>135</v>
      </c>
      <c r="E71" s="67"/>
      <c r="F71" s="67"/>
      <c r="H71" s="114">
        <v>0</v>
      </c>
    </row>
    <row r="72" spans="2:8">
      <c r="B72" s="64">
        <v>39</v>
      </c>
      <c r="C72" s="67" t="s">
        <v>138</v>
      </c>
      <c r="D72" s="67"/>
      <c r="E72" s="67"/>
      <c r="F72" s="70"/>
      <c r="H72" s="123">
        <f t="shared" ref="H72" si="9">SUM(H69:H71)</f>
        <v>0</v>
      </c>
    </row>
    <row r="73" spans="2:8">
      <c r="B73" s="64">
        <v>40</v>
      </c>
      <c r="C73" s="71" t="s">
        <v>139</v>
      </c>
      <c r="D73" s="67"/>
      <c r="E73" s="67"/>
      <c r="F73" s="67"/>
      <c r="H73" s="124">
        <f t="shared" ref="H73" si="10">H66+H72</f>
        <v>0</v>
      </c>
    </row>
    <row r="74" spans="2:8">
      <c r="B74" s="72">
        <v>41</v>
      </c>
      <c r="C74" s="73" t="s">
        <v>140</v>
      </c>
      <c r="D74" s="73"/>
      <c r="E74" s="73"/>
      <c r="F74" s="73"/>
      <c r="H74" s="115"/>
    </row>
    <row r="75" spans="2:8">
      <c r="B75" s="72">
        <v>42</v>
      </c>
      <c r="C75" s="73"/>
      <c r="D75" s="74" t="s">
        <v>97</v>
      </c>
      <c r="E75" s="73"/>
      <c r="F75" s="73"/>
      <c r="H75" s="124">
        <f t="shared" ref="H75" si="11">H73+H74</f>
        <v>0</v>
      </c>
    </row>
    <row r="76" spans="2:8">
      <c r="B76" s="64">
        <v>43</v>
      </c>
      <c r="C76" s="75" t="s">
        <v>141</v>
      </c>
      <c r="D76" s="75"/>
      <c r="E76" s="75"/>
      <c r="F76" s="75"/>
      <c r="H76" s="114"/>
    </row>
    <row r="77" spans="2:8">
      <c r="B77" s="64">
        <v>44</v>
      </c>
      <c r="C77" s="75" t="s">
        <v>142</v>
      </c>
      <c r="D77" s="75"/>
      <c r="E77" s="75"/>
      <c r="F77" s="75"/>
      <c r="H77" s="125"/>
    </row>
    <row r="78" spans="2:8">
      <c r="B78" s="64">
        <v>45</v>
      </c>
      <c r="C78" s="75" t="s">
        <v>143</v>
      </c>
      <c r="D78" s="75"/>
      <c r="E78" s="75"/>
      <c r="F78" s="75"/>
      <c r="H78" s="125"/>
    </row>
    <row r="79" spans="2:8">
      <c r="B79" s="64">
        <v>46</v>
      </c>
      <c r="C79" s="75" t="s">
        <v>144</v>
      </c>
      <c r="D79" s="75"/>
      <c r="E79" s="75"/>
      <c r="F79" s="75"/>
      <c r="H79" s="115"/>
    </row>
    <row r="80" spans="2:8">
      <c r="B80" s="64"/>
      <c r="C80" s="65"/>
      <c r="D80" s="65"/>
      <c r="E80" s="65"/>
      <c r="F80" s="65"/>
    </row>
    <row r="81" spans="2:8">
      <c r="B81" s="64">
        <v>47</v>
      </c>
      <c r="C81" s="66" t="s">
        <v>145</v>
      </c>
      <c r="D81" s="66"/>
      <c r="E81" s="66"/>
      <c r="F81" s="66"/>
      <c r="H81" s="116"/>
    </row>
    <row r="82" spans="2:8" ht="15.75" thickBot="1">
      <c r="B82" s="64">
        <v>48</v>
      </c>
      <c r="C82" s="65" t="s">
        <v>146</v>
      </c>
      <c r="D82" s="65"/>
      <c r="E82" s="65"/>
      <c r="F82" s="65"/>
      <c r="H82" s="126">
        <f t="shared" ref="H82" si="12">H75+H76+H77+H79+H78</f>
        <v>0</v>
      </c>
    </row>
    <row r="83" spans="2:8" ht="15.75" thickTop="1">
      <c r="B83" s="76"/>
      <c r="C83" s="76"/>
      <c r="D83" s="76"/>
      <c r="E83" s="76"/>
      <c r="F83" s="76"/>
      <c r="H83" s="119"/>
    </row>
    <row r="84" spans="2:8">
      <c r="B84" s="77"/>
      <c r="C84" s="57"/>
      <c r="D84" s="57"/>
      <c r="E84" s="57"/>
      <c r="F84" s="78"/>
      <c r="H84" s="112"/>
    </row>
    <row r="85" spans="2:8">
      <c r="H85" s="119"/>
    </row>
    <row r="86" spans="2:8">
      <c r="H86" s="119"/>
    </row>
    <row r="87" spans="2:8">
      <c r="H87" s="119"/>
    </row>
    <row r="88" spans="2:8">
      <c r="H88" s="79"/>
    </row>
    <row r="89" spans="2:8">
      <c r="H89" s="79"/>
    </row>
    <row r="90" spans="2:8">
      <c r="H90" s="127"/>
    </row>
    <row r="91" spans="2:8">
      <c r="H91" s="127"/>
    </row>
    <row r="92" spans="2:8">
      <c r="H92" s="128"/>
    </row>
    <row r="93" spans="2:8">
      <c r="H93" s="128"/>
    </row>
    <row r="94" spans="2:8">
      <c r="H94" s="129"/>
    </row>
    <row r="95" spans="2:8">
      <c r="H95" s="129"/>
    </row>
    <row r="96" spans="2:8">
      <c r="H96" s="129"/>
    </row>
    <row r="97" spans="8:8">
      <c r="H97" s="129"/>
    </row>
    <row r="98" spans="8:8">
      <c r="H98" s="129"/>
    </row>
  </sheetData>
  <pageMargins left="0.7" right="0.7" top="0.75" bottom="0.75" header="0.3" footer="0.3"/>
  <pageSetup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B1:X73"/>
  <sheetViews>
    <sheetView tabSelected="1" topLeftCell="E7" zoomScale="75" zoomScaleNormal="75" workbookViewId="0">
      <pane ySplit="3" topLeftCell="A30" activePane="bottomLeft" state="frozen"/>
      <selection activeCell="K12" sqref="K12"/>
      <selection pane="bottomLeft" activeCell="K12" sqref="K12"/>
    </sheetView>
  </sheetViews>
  <sheetFormatPr defaultRowHeight="15"/>
  <cols>
    <col min="1" max="1" width="2.42578125" customWidth="1"/>
    <col min="2" max="2" width="13.5703125" customWidth="1"/>
    <col min="3" max="3" width="12" customWidth="1"/>
    <col min="4" max="4" width="22.5703125" customWidth="1"/>
    <col min="5" max="5" width="21.5703125" customWidth="1"/>
    <col min="6" max="9" width="17.5703125" customWidth="1"/>
    <col min="10" max="10" width="12.7109375" customWidth="1"/>
    <col min="11" max="11" width="17.7109375" customWidth="1"/>
    <col min="12" max="12" width="14.85546875" customWidth="1"/>
    <col min="13" max="13" width="12.42578125" customWidth="1"/>
    <col min="14" max="14" width="17.140625" bestFit="1" customWidth="1"/>
    <col min="15" max="16" width="13.5703125" bestFit="1" customWidth="1"/>
    <col min="17" max="18" width="11.5703125" customWidth="1"/>
    <col min="19" max="19" width="3.5703125" customWidth="1"/>
    <col min="20" max="20" width="11.140625" customWidth="1"/>
    <col min="24" max="24" width="14.85546875" customWidth="1"/>
  </cols>
  <sheetData>
    <row r="1" spans="2:15" ht="18.75">
      <c r="B1" s="1" t="s">
        <v>47</v>
      </c>
    </row>
    <row r="2" spans="2:15" ht="18.75">
      <c r="B2" s="1"/>
    </row>
    <row r="3" spans="2:15">
      <c r="B3" s="133" t="s">
        <v>43</v>
      </c>
      <c r="N3" s="2"/>
    </row>
    <row r="4" spans="2:15">
      <c r="B4" s="133" t="s">
        <v>155</v>
      </c>
      <c r="N4" s="2"/>
    </row>
    <row r="5" spans="2:15">
      <c r="B5" s="133" t="s">
        <v>45</v>
      </c>
      <c r="N5" s="2"/>
    </row>
    <row r="6" spans="2:15">
      <c r="B6" s="133" t="s">
        <v>46</v>
      </c>
    </row>
    <row r="7" spans="2:15">
      <c r="B7" s="133"/>
      <c r="N7" s="2"/>
    </row>
    <row r="8" spans="2:15">
      <c r="B8" s="133"/>
      <c r="N8" s="2"/>
    </row>
    <row r="9" spans="2:15" ht="15.75" thickBot="1"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</row>
    <row r="10" spans="2:15">
      <c r="B10" s="135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7"/>
    </row>
    <row r="11" spans="2:15">
      <c r="B11" s="138"/>
      <c r="C11" s="101"/>
      <c r="D11" s="101"/>
      <c r="E11" s="101"/>
      <c r="F11" s="101"/>
      <c r="G11" s="101"/>
      <c r="H11" s="101"/>
      <c r="I11" s="101"/>
      <c r="J11" s="101"/>
      <c r="K11" s="101"/>
      <c r="L11" s="141" t="s">
        <v>1</v>
      </c>
      <c r="M11" s="141" t="s">
        <v>1</v>
      </c>
      <c r="N11" s="139" t="s">
        <v>0</v>
      </c>
    </row>
    <row r="12" spans="2:15">
      <c r="B12" s="140"/>
      <c r="C12" s="101"/>
      <c r="D12" s="101"/>
      <c r="E12" s="101"/>
      <c r="F12" s="101"/>
      <c r="G12" s="101"/>
      <c r="H12" s="101"/>
      <c r="I12" s="101"/>
      <c r="J12" s="101"/>
      <c r="K12" s="101"/>
      <c r="L12" s="141" t="s">
        <v>229</v>
      </c>
      <c r="M12" s="141" t="s">
        <v>231</v>
      </c>
      <c r="N12" s="139" t="s">
        <v>2</v>
      </c>
    </row>
    <row r="13" spans="2:15" s="2" customFormat="1" ht="15.75" thickBot="1">
      <c r="B13" s="172" t="s">
        <v>3</v>
      </c>
      <c r="C13" s="173" t="s">
        <v>4</v>
      </c>
      <c r="D13" s="173" t="s">
        <v>156</v>
      </c>
      <c r="E13" s="173"/>
      <c r="F13" s="173"/>
      <c r="G13" s="173"/>
      <c r="H13" s="173"/>
      <c r="I13" s="173"/>
      <c r="J13" s="173"/>
      <c r="K13" s="173"/>
      <c r="L13" s="173" t="s">
        <v>220</v>
      </c>
      <c r="M13" s="173" t="s">
        <v>230</v>
      </c>
      <c r="N13" s="174" t="s">
        <v>5</v>
      </c>
    </row>
    <row r="14" spans="2:15" ht="15.75" hidden="1">
      <c r="B14" s="142" t="s">
        <v>6</v>
      </c>
      <c r="C14" s="143" t="s">
        <v>7</v>
      </c>
      <c r="D14" s="144">
        <v>41090632</v>
      </c>
      <c r="E14" s="144">
        <v>38823000</v>
      </c>
      <c r="F14" s="143"/>
      <c r="G14" s="143"/>
      <c r="H14" s="143"/>
      <c r="I14" s="143"/>
      <c r="J14" s="143"/>
      <c r="K14" s="143"/>
      <c r="L14" s="143"/>
      <c r="M14" s="143"/>
      <c r="N14" s="145"/>
      <c r="O14" s="3" t="s">
        <v>8</v>
      </c>
    </row>
    <row r="15" spans="2:15" ht="15.75" hidden="1">
      <c r="B15" s="14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5"/>
      <c r="O15" s="3" t="s">
        <v>8</v>
      </c>
    </row>
    <row r="16" spans="2:15" ht="15.75" hidden="1">
      <c r="B16" s="14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5"/>
      <c r="O16" s="3" t="s">
        <v>8</v>
      </c>
    </row>
    <row r="17" spans="2:24" ht="15.75" hidden="1">
      <c r="B17" s="142" t="s">
        <v>9</v>
      </c>
      <c r="C17" s="146">
        <v>40543</v>
      </c>
      <c r="D17" s="147">
        <v>40024996</v>
      </c>
      <c r="E17" s="147">
        <v>45892000</v>
      </c>
      <c r="F17" s="143"/>
      <c r="G17" s="143"/>
      <c r="H17" s="143"/>
      <c r="I17" s="143"/>
      <c r="J17" s="143"/>
      <c r="K17" s="143"/>
      <c r="L17" s="143"/>
      <c r="M17" s="148">
        <f>+(E17-D17)/D17</f>
        <v>0.1465834999708682</v>
      </c>
      <c r="N17" s="145"/>
      <c r="O17" s="3" t="s">
        <v>8</v>
      </c>
    </row>
    <row r="18" spans="2:24" ht="15.75" hidden="1">
      <c r="B18" s="142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5"/>
      <c r="O18" s="3" t="s">
        <v>8</v>
      </c>
    </row>
    <row r="19" spans="2:24" ht="15.75" hidden="1">
      <c r="B19" s="142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5"/>
      <c r="O19" s="3" t="s">
        <v>8</v>
      </c>
    </row>
    <row r="20" spans="2:24" ht="15.75" hidden="1">
      <c r="B20" s="142" t="s">
        <v>10</v>
      </c>
      <c r="C20" s="146">
        <v>40908</v>
      </c>
      <c r="D20" s="144">
        <v>47186537</v>
      </c>
      <c r="E20" s="144">
        <v>57607000</v>
      </c>
      <c r="F20" s="143"/>
      <c r="G20" s="143"/>
      <c r="H20" s="143"/>
      <c r="I20" s="143"/>
      <c r="J20" s="143"/>
      <c r="K20" s="143"/>
      <c r="L20" s="143"/>
      <c r="M20" s="148">
        <f>+(E20-D20)/D20</f>
        <v>0.22083551077291388</v>
      </c>
      <c r="N20" s="145"/>
      <c r="O20" s="3" t="s">
        <v>8</v>
      </c>
    </row>
    <row r="21" spans="2:24">
      <c r="B21" s="149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45"/>
    </row>
    <row r="22" spans="2:24">
      <c r="B22" s="149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45"/>
    </row>
    <row r="23" spans="2:24">
      <c r="B23" s="149"/>
      <c r="C23" s="101"/>
      <c r="D23" s="141" t="s">
        <v>156</v>
      </c>
      <c r="E23" s="101"/>
      <c r="F23" s="141" t="s">
        <v>157</v>
      </c>
      <c r="G23" s="101"/>
      <c r="H23" s="101"/>
      <c r="I23" s="101"/>
      <c r="J23" s="101"/>
      <c r="K23" s="101"/>
      <c r="L23" s="101"/>
      <c r="M23" s="101"/>
      <c r="N23" s="145"/>
    </row>
    <row r="24" spans="2:24">
      <c r="B24" s="149"/>
      <c r="C24" s="150" t="s">
        <v>16</v>
      </c>
      <c r="D24" s="101">
        <v>2013</v>
      </c>
      <c r="E24" s="150">
        <v>2014</v>
      </c>
      <c r="F24" s="101">
        <v>2015</v>
      </c>
      <c r="G24" s="101">
        <v>2016</v>
      </c>
      <c r="H24" s="101"/>
      <c r="I24" s="101"/>
      <c r="J24" s="101"/>
      <c r="K24" s="101"/>
      <c r="L24" s="151"/>
      <c r="M24" s="101"/>
      <c r="N24" s="145"/>
    </row>
    <row r="25" spans="2:24">
      <c r="B25" s="149" t="s">
        <v>11</v>
      </c>
      <c r="C25" s="152">
        <v>41455</v>
      </c>
      <c r="D25" s="153">
        <v>57445110</v>
      </c>
      <c r="F25" s="154">
        <v>53951000</v>
      </c>
      <c r="G25" s="283"/>
      <c r="H25" s="283"/>
      <c r="I25" s="283"/>
      <c r="J25" s="101"/>
      <c r="K25" s="101"/>
      <c r="L25" s="155">
        <f>+F25-D25</f>
        <v>-3494110</v>
      </c>
      <c r="M25" s="175">
        <f>+(F25-D25)/D25</f>
        <v>-6.0825194694552769E-2</v>
      </c>
      <c r="N25" s="156">
        <f>+F25-E30</f>
        <v>2756687.7199999988</v>
      </c>
      <c r="P25" s="24"/>
      <c r="Q25" s="25"/>
      <c r="R25" s="25"/>
      <c r="S25" s="26"/>
      <c r="X25" t="s">
        <v>12</v>
      </c>
    </row>
    <row r="26" spans="2:24">
      <c r="B26" s="149"/>
      <c r="C26" s="152"/>
      <c r="D26" s="153"/>
      <c r="E26" s="153"/>
      <c r="F26" s="101"/>
      <c r="G26" s="101"/>
      <c r="H26" s="101"/>
      <c r="I26" s="101"/>
      <c r="J26" s="157"/>
      <c r="K26" s="157"/>
      <c r="L26" s="155"/>
      <c r="M26" s="175"/>
      <c r="N26" s="156"/>
      <c r="P26" s="24"/>
      <c r="Q26" s="25"/>
      <c r="R26" s="25"/>
      <c r="S26" s="26"/>
    </row>
    <row r="27" spans="2:24">
      <c r="B27" s="149"/>
      <c r="C27" s="152"/>
      <c r="D27" s="153"/>
      <c r="E27" s="153"/>
      <c r="F27" s="101"/>
      <c r="G27" s="101"/>
      <c r="H27" s="101"/>
      <c r="I27" s="101"/>
      <c r="J27" s="101"/>
      <c r="K27" s="101"/>
      <c r="L27" s="155"/>
      <c r="M27" s="175"/>
      <c r="N27" s="156"/>
      <c r="P27" s="24"/>
      <c r="Q27" s="25"/>
      <c r="R27" s="25"/>
      <c r="S27" s="26"/>
    </row>
    <row r="28" spans="2:24">
      <c r="B28" s="149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50"/>
      <c r="N28" s="145"/>
      <c r="P28" s="27"/>
      <c r="Q28" s="25"/>
      <c r="R28" s="25"/>
      <c r="S28" s="26"/>
      <c r="X28" s="4"/>
    </row>
    <row r="29" spans="2:24">
      <c r="B29" s="149"/>
      <c r="C29" s="150" t="s">
        <v>16</v>
      </c>
      <c r="D29" s="101"/>
      <c r="E29" s="141" t="s">
        <v>156</v>
      </c>
      <c r="F29" s="101"/>
      <c r="G29" s="141" t="s">
        <v>157</v>
      </c>
      <c r="H29" s="101"/>
      <c r="I29" s="101"/>
      <c r="J29" s="101"/>
      <c r="K29" s="101"/>
      <c r="L29" s="151"/>
      <c r="M29" s="150"/>
      <c r="N29" s="145"/>
      <c r="P29" s="24"/>
      <c r="Q29" s="25"/>
      <c r="R29" s="25"/>
      <c r="S29" s="26"/>
    </row>
    <row r="30" spans="2:24">
      <c r="B30" s="149" t="s">
        <v>13</v>
      </c>
      <c r="C30" s="152">
        <v>41912</v>
      </c>
      <c r="E30" s="154">
        <f>22719466.36+28474845.92</f>
        <v>51194312.280000001</v>
      </c>
      <c r="G30" s="158">
        <v>59921200</v>
      </c>
      <c r="H30" s="283"/>
      <c r="I30" s="101"/>
      <c r="J30" s="101"/>
      <c r="K30" s="101"/>
      <c r="L30" s="155">
        <f>+G30-E30</f>
        <v>8726887.7199999988</v>
      </c>
      <c r="M30" s="176">
        <f>+(G30-E30)/E30</f>
        <v>0.17046596255204149</v>
      </c>
      <c r="N30" s="156">
        <f>+G30-F35</f>
        <v>2019030</v>
      </c>
    </row>
    <row r="31" spans="2:24">
      <c r="B31" s="149"/>
      <c r="C31" s="152"/>
      <c r="D31" s="152"/>
      <c r="E31" s="152"/>
      <c r="F31" s="101"/>
      <c r="G31" s="101"/>
      <c r="H31" s="101"/>
      <c r="I31" s="101"/>
      <c r="J31" s="101"/>
      <c r="K31" s="101"/>
      <c r="L31" s="155"/>
      <c r="M31" s="176"/>
      <c r="N31" s="156"/>
    </row>
    <row r="32" spans="2:24">
      <c r="B32" s="149"/>
      <c r="C32" s="101"/>
      <c r="D32" s="101"/>
      <c r="E32" s="101"/>
      <c r="F32" s="101"/>
      <c r="G32" s="101"/>
      <c r="H32" s="101"/>
      <c r="I32" s="101"/>
      <c r="J32" s="159"/>
      <c r="K32" s="159"/>
      <c r="L32" s="101"/>
      <c r="M32" s="177"/>
      <c r="N32" s="145"/>
    </row>
    <row r="33" spans="2:15">
      <c r="B33" s="149"/>
      <c r="C33" s="101"/>
      <c r="D33" s="101"/>
      <c r="E33" s="101"/>
      <c r="F33" s="101"/>
      <c r="G33" s="101"/>
      <c r="H33" s="101"/>
      <c r="I33" s="101"/>
      <c r="J33" s="159"/>
      <c r="K33" s="159"/>
      <c r="L33" s="101"/>
      <c r="M33" s="177"/>
      <c r="N33" s="145"/>
    </row>
    <row r="34" spans="2:15">
      <c r="B34" s="149"/>
      <c r="C34" s="150" t="s">
        <v>16</v>
      </c>
      <c r="D34" s="101"/>
      <c r="E34" s="101"/>
      <c r="F34" s="141" t="s">
        <v>156</v>
      </c>
      <c r="G34" s="141" t="s">
        <v>157</v>
      </c>
      <c r="H34" s="101"/>
      <c r="I34" s="101"/>
      <c r="J34" s="157"/>
      <c r="K34" s="157"/>
      <c r="L34" s="151"/>
      <c r="M34" s="177"/>
      <c r="N34" s="145"/>
    </row>
    <row r="35" spans="2:15">
      <c r="B35" s="149" t="s">
        <v>14</v>
      </c>
      <c r="C35" s="152">
        <v>42277</v>
      </c>
      <c r="F35" s="158">
        <v>57902170</v>
      </c>
      <c r="G35" s="8">
        <v>62145878</v>
      </c>
      <c r="H35" s="8"/>
      <c r="I35" s="101"/>
      <c r="J35" s="101"/>
      <c r="K35" s="101"/>
      <c r="L35" s="155">
        <f>+G35-F35</f>
        <v>4243708</v>
      </c>
      <c r="M35" s="176">
        <f>+(G35-F35)/F35</f>
        <v>7.3291001010842946E-2</v>
      </c>
      <c r="N35" s="160"/>
    </row>
    <row r="36" spans="2:15">
      <c r="B36" s="149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77"/>
      <c r="N36" s="145"/>
    </row>
    <row r="37" spans="2:15">
      <c r="B37" s="149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77"/>
      <c r="N37" s="145"/>
    </row>
    <row r="38" spans="2:15">
      <c r="B38" s="149"/>
      <c r="C38" s="101"/>
      <c r="G38" s="141" t="s">
        <v>156</v>
      </c>
      <c r="H38" s="101"/>
      <c r="I38" s="141" t="s">
        <v>157</v>
      </c>
      <c r="J38" s="101"/>
      <c r="K38" s="101"/>
      <c r="L38" s="151"/>
      <c r="M38" s="177"/>
      <c r="N38" s="145"/>
    </row>
    <row r="39" spans="2:15">
      <c r="B39" s="149" t="s">
        <v>15</v>
      </c>
      <c r="C39" s="150" t="s">
        <v>16</v>
      </c>
      <c r="G39" s="150">
        <v>2016</v>
      </c>
      <c r="H39" s="150">
        <v>2017</v>
      </c>
      <c r="I39" s="150">
        <v>2018</v>
      </c>
      <c r="J39" s="150">
        <v>2019</v>
      </c>
      <c r="K39" s="150"/>
      <c r="L39" s="150"/>
      <c r="M39" s="177"/>
      <c r="N39" s="145"/>
    </row>
    <row r="40" spans="2:15">
      <c r="B40" s="149"/>
      <c r="C40" s="152">
        <v>42735</v>
      </c>
      <c r="G40" s="161">
        <v>70409510</v>
      </c>
      <c r="H40" s="153">
        <v>70690986</v>
      </c>
      <c r="I40" s="162">
        <v>69690986</v>
      </c>
      <c r="J40" s="153">
        <v>67390986</v>
      </c>
      <c r="K40" s="153"/>
      <c r="L40" s="161">
        <f>+I40-G40</f>
        <v>-718524</v>
      </c>
      <c r="M40" s="176">
        <f>+(I40-G40)/G40</f>
        <v>-1.020492828312539E-2</v>
      </c>
      <c r="N40" s="163">
        <f>+I40-I45</f>
        <v>6417927</v>
      </c>
    </row>
    <row r="41" spans="2:15">
      <c r="B41" s="149"/>
      <c r="C41" s="101"/>
      <c r="D41" s="101"/>
      <c r="E41" s="101"/>
      <c r="F41" s="101"/>
      <c r="G41" s="157"/>
      <c r="H41" s="157"/>
      <c r="I41" s="157"/>
      <c r="J41" s="101"/>
      <c r="K41" s="101"/>
      <c r="L41" s="101"/>
      <c r="M41" s="177"/>
      <c r="N41" s="145"/>
    </row>
    <row r="42" spans="2:15">
      <c r="B42" s="149"/>
      <c r="C42" s="101"/>
      <c r="D42" s="101"/>
      <c r="E42" s="101"/>
      <c r="F42" s="101"/>
      <c r="G42" s="157"/>
      <c r="H42" s="157"/>
      <c r="I42" s="157"/>
      <c r="J42" s="101"/>
      <c r="K42" s="101"/>
      <c r="L42" s="101"/>
      <c r="M42" s="177"/>
      <c r="N42" s="145"/>
      <c r="O42" s="9"/>
    </row>
    <row r="43" spans="2:15">
      <c r="B43" s="149"/>
      <c r="C43" s="101"/>
      <c r="D43" s="101"/>
      <c r="E43" s="101"/>
      <c r="G43" s="157"/>
      <c r="H43" s="157"/>
      <c r="I43" s="141" t="s">
        <v>156</v>
      </c>
      <c r="K43" s="141" t="s">
        <v>157</v>
      </c>
      <c r="L43" s="151"/>
      <c r="M43" s="177"/>
      <c r="N43" s="145"/>
      <c r="O43" s="9"/>
    </row>
    <row r="44" spans="2:15">
      <c r="B44" s="149" t="s">
        <v>17</v>
      </c>
      <c r="C44" s="150" t="s">
        <v>16</v>
      </c>
      <c r="G44" s="281"/>
      <c r="H44" s="281"/>
      <c r="I44" s="164">
        <v>2018</v>
      </c>
      <c r="K44" s="164">
        <v>2020</v>
      </c>
      <c r="M44" s="177"/>
      <c r="N44" s="145"/>
    </row>
    <row r="45" spans="2:15" ht="15.75" thickBot="1">
      <c r="B45" s="165"/>
      <c r="C45" s="166">
        <v>43465</v>
      </c>
      <c r="D45" s="169"/>
      <c r="E45" s="169"/>
      <c r="F45" s="169"/>
      <c r="G45" s="282"/>
      <c r="H45" s="282"/>
      <c r="I45" s="167">
        <v>63273059</v>
      </c>
      <c r="J45" s="169"/>
      <c r="K45" s="168">
        <v>73027454</v>
      </c>
      <c r="L45" s="170">
        <f>+K45-I45</f>
        <v>9754395</v>
      </c>
      <c r="M45" s="178">
        <f>+(K45-I45)/I45</f>
        <v>0.15416348054232687</v>
      </c>
      <c r="N45" s="171"/>
      <c r="O45" s="7" t="s">
        <v>18</v>
      </c>
    </row>
    <row r="47" spans="2:15">
      <c r="C47" s="4"/>
      <c r="D47" s="5"/>
      <c r="E47" s="5"/>
    </row>
    <row r="52" spans="3:15">
      <c r="C52" s="4"/>
      <c r="D52" s="4"/>
      <c r="E52" s="4"/>
      <c r="F52" s="4"/>
      <c r="G52" s="4"/>
      <c r="H52" s="4"/>
      <c r="I52" s="4"/>
      <c r="L52" s="10"/>
      <c r="M52" s="6"/>
      <c r="O52" s="9"/>
    </row>
    <row r="53" spans="3:15">
      <c r="D53" s="179"/>
      <c r="E53" s="179"/>
      <c r="F53" s="180"/>
      <c r="G53" s="180"/>
      <c r="H53" s="180"/>
      <c r="I53" s="180"/>
      <c r="J53" s="180"/>
      <c r="K53" s="180"/>
      <c r="L53" s="180"/>
      <c r="M53" s="134"/>
    </row>
    <row r="54" spans="3:15">
      <c r="D54" s="179"/>
      <c r="E54" s="179"/>
      <c r="F54" s="180"/>
      <c r="G54" s="180"/>
      <c r="H54" s="180"/>
      <c r="I54" s="180"/>
      <c r="J54" s="180"/>
      <c r="K54" s="180"/>
      <c r="L54" s="180"/>
      <c r="M54" s="134"/>
    </row>
    <row r="55" spans="3:15">
      <c r="C55" s="4"/>
      <c r="D55" s="181"/>
      <c r="E55" s="181"/>
      <c r="F55" s="182"/>
      <c r="G55" s="182"/>
      <c r="H55" s="182"/>
      <c r="I55" s="182"/>
      <c r="J55" s="182"/>
      <c r="K55" s="183"/>
      <c r="L55" s="183"/>
      <c r="M55" s="134"/>
    </row>
    <row r="56" spans="3:15">
      <c r="D56" s="184"/>
      <c r="E56" s="184"/>
      <c r="F56" s="185"/>
      <c r="G56" s="185"/>
      <c r="H56" s="185"/>
      <c r="I56" s="185"/>
      <c r="J56" s="185"/>
      <c r="K56" s="183"/>
      <c r="L56" s="183"/>
      <c r="M56" s="134"/>
    </row>
    <row r="57" spans="3:15">
      <c r="D57" s="184"/>
      <c r="E57" s="184"/>
      <c r="F57" s="185"/>
      <c r="G57" s="185"/>
      <c r="H57" s="185"/>
      <c r="I57" s="185"/>
      <c r="J57" s="185"/>
      <c r="K57" s="183"/>
      <c r="L57" s="183"/>
      <c r="M57" s="134"/>
    </row>
    <row r="58" spans="3:15">
      <c r="C58" s="4"/>
      <c r="D58" s="184"/>
      <c r="E58" s="184"/>
      <c r="F58" s="186"/>
      <c r="G58" s="186"/>
      <c r="H58" s="186"/>
      <c r="I58" s="186"/>
      <c r="J58" s="186"/>
      <c r="K58" s="187"/>
      <c r="L58" s="187"/>
      <c r="M58" s="134"/>
    </row>
    <row r="59" spans="3:15">
      <c r="D59" s="184"/>
      <c r="E59" s="184"/>
      <c r="F59" s="185"/>
      <c r="G59" s="185"/>
      <c r="H59" s="185"/>
      <c r="I59" s="185"/>
      <c r="J59" s="185"/>
      <c r="K59" s="183"/>
      <c r="L59" s="183"/>
      <c r="M59" s="134"/>
    </row>
    <row r="60" spans="3:15">
      <c r="D60" s="184"/>
      <c r="E60" s="184"/>
      <c r="F60" s="185"/>
      <c r="G60" s="185"/>
      <c r="H60" s="185"/>
      <c r="I60" s="185"/>
      <c r="J60" s="185"/>
      <c r="K60" s="183"/>
      <c r="L60" s="183"/>
      <c r="M60" s="134"/>
    </row>
    <row r="61" spans="3:15">
      <c r="C61" s="4"/>
      <c r="D61" s="184"/>
      <c r="E61" s="184"/>
      <c r="F61" s="185"/>
      <c r="G61" s="185"/>
      <c r="H61" s="185"/>
      <c r="I61" s="185"/>
      <c r="J61" s="185"/>
      <c r="K61" s="183"/>
      <c r="L61" s="183"/>
      <c r="M61" s="134"/>
    </row>
    <row r="62" spans="3:15">
      <c r="D62" s="188"/>
      <c r="E62" s="188"/>
      <c r="F62" s="189"/>
      <c r="G62" s="189"/>
      <c r="H62" s="189"/>
      <c r="I62" s="189"/>
      <c r="J62" s="189"/>
      <c r="K62" s="183"/>
      <c r="L62" s="183"/>
      <c r="M62" s="134"/>
    </row>
    <row r="63" spans="3:15">
      <c r="D63" s="190"/>
      <c r="E63" s="190"/>
      <c r="F63" s="191"/>
      <c r="G63" s="191"/>
      <c r="H63" s="191"/>
      <c r="I63" s="191"/>
      <c r="J63" s="191"/>
      <c r="K63" s="191"/>
      <c r="L63" s="191"/>
      <c r="M63" s="134"/>
    </row>
    <row r="64" spans="3:15">
      <c r="D64" s="134"/>
      <c r="E64" s="134"/>
      <c r="F64" s="134"/>
      <c r="G64" s="134"/>
      <c r="H64" s="134"/>
      <c r="I64" s="134"/>
      <c r="J64" s="134"/>
      <c r="K64" s="134"/>
      <c r="L64" s="134"/>
      <c r="M64" s="134"/>
    </row>
    <row r="66" spans="3:5">
      <c r="C66" s="4"/>
      <c r="D66" s="5"/>
      <c r="E66" s="5"/>
    </row>
    <row r="73" spans="3:5">
      <c r="C73" s="4"/>
      <c r="D73" s="5"/>
      <c r="E73" s="5"/>
    </row>
  </sheetData>
  <pageMargins left="0.7" right="0.7" top="0.75" bottom="0.75" header="0.3" footer="0.3"/>
  <pageSetup scale="5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7"/>
  <sheetViews>
    <sheetView tabSelected="1" workbookViewId="0">
      <selection activeCell="K12" sqref="K12"/>
    </sheetView>
  </sheetViews>
  <sheetFormatPr defaultRowHeight="15"/>
  <cols>
    <col min="1" max="1" width="2.42578125" customWidth="1"/>
    <col min="2" max="2" width="13.5703125" customWidth="1"/>
    <col min="3" max="3" width="18.5703125" bestFit="1" customWidth="1"/>
    <col min="4" max="8" width="12.140625" customWidth="1"/>
    <col min="9" max="9" width="13.85546875" bestFit="1" customWidth="1"/>
    <col min="10" max="10" width="12.140625" customWidth="1"/>
    <col min="11" max="11" width="12.42578125" bestFit="1" customWidth="1"/>
    <col min="23" max="24" width="12.42578125" bestFit="1" customWidth="1"/>
  </cols>
  <sheetData>
    <row r="1" spans="2:11" ht="18.75">
      <c r="B1" s="1" t="s">
        <v>47</v>
      </c>
    </row>
    <row r="2" spans="2:11" ht="18.75">
      <c r="B2" s="1"/>
    </row>
    <row r="3" spans="2:11">
      <c r="B3" s="133" t="s">
        <v>43</v>
      </c>
    </row>
    <row r="4" spans="2:11">
      <c r="B4" s="133" t="s">
        <v>155</v>
      </c>
    </row>
    <row r="5" spans="2:11">
      <c r="B5" s="133" t="s">
        <v>45</v>
      </c>
    </row>
    <row r="6" spans="2:11">
      <c r="B6" s="133" t="s">
        <v>46</v>
      </c>
    </row>
    <row r="7" spans="2:11">
      <c r="B7" s="24"/>
    </row>
    <row r="8" spans="2:11">
      <c r="B8" s="24"/>
    </row>
    <row r="9" spans="2:11">
      <c r="B9" s="24"/>
    </row>
    <row r="11" spans="2:11" ht="45">
      <c r="B11" s="289"/>
      <c r="C11" s="290"/>
      <c r="D11" s="290"/>
      <c r="E11" s="290"/>
      <c r="F11" s="290"/>
      <c r="G11" s="290"/>
      <c r="H11" s="291" t="s">
        <v>19</v>
      </c>
      <c r="I11" s="291" t="s">
        <v>42</v>
      </c>
      <c r="J11" s="291" t="s">
        <v>232</v>
      </c>
      <c r="K11" s="292" t="s">
        <v>233</v>
      </c>
    </row>
    <row r="12" spans="2:11" ht="13.7" customHeight="1">
      <c r="B12" s="293" t="s">
        <v>21</v>
      </c>
      <c r="C12" s="294" t="s">
        <v>22</v>
      </c>
      <c r="D12" s="294">
        <v>2014</v>
      </c>
      <c r="E12" s="294">
        <v>2015</v>
      </c>
      <c r="F12" s="294">
        <v>2016</v>
      </c>
      <c r="G12" s="294">
        <v>2017</v>
      </c>
      <c r="H12" s="294">
        <v>2018</v>
      </c>
      <c r="I12" s="294" t="s">
        <v>41</v>
      </c>
      <c r="J12" s="285" t="s">
        <v>48</v>
      </c>
      <c r="K12" s="295" t="s">
        <v>48</v>
      </c>
    </row>
    <row r="13" spans="2:11" ht="13.7" customHeight="1">
      <c r="B13" s="293"/>
      <c r="C13" s="294"/>
      <c r="D13" s="294"/>
      <c r="E13" s="294"/>
      <c r="F13" s="294"/>
      <c r="G13" s="294"/>
      <c r="H13" s="294"/>
      <c r="I13" s="294"/>
      <c r="J13" s="285"/>
      <c r="K13" s="295"/>
    </row>
    <row r="14" spans="2:11">
      <c r="B14" s="296" t="s">
        <v>24</v>
      </c>
      <c r="C14" s="13" t="s">
        <v>25</v>
      </c>
      <c r="D14" s="286">
        <v>19323918</v>
      </c>
      <c r="E14" s="286">
        <v>20880989</v>
      </c>
      <c r="F14" s="286">
        <v>25789217</v>
      </c>
      <c r="G14" s="286">
        <v>22279529</v>
      </c>
      <c r="H14" s="14">
        <v>22645974</v>
      </c>
      <c r="I14" s="14"/>
      <c r="J14" s="14">
        <v>25350000</v>
      </c>
      <c r="K14" s="297">
        <v>22645974</v>
      </c>
    </row>
    <row r="15" spans="2:11">
      <c r="B15" s="298" t="s">
        <v>26</v>
      </c>
      <c r="C15" s="16" t="s">
        <v>27</v>
      </c>
      <c r="D15" s="287"/>
      <c r="E15" s="287"/>
      <c r="F15" s="287"/>
      <c r="G15" s="287">
        <v>976977</v>
      </c>
      <c r="H15" s="17">
        <v>1430306</v>
      </c>
      <c r="I15" s="14"/>
      <c r="J15" s="17">
        <v>1500000</v>
      </c>
      <c r="K15" s="299">
        <v>1430306</v>
      </c>
    </row>
    <row r="16" spans="2:11">
      <c r="B16" s="298" t="s">
        <v>28</v>
      </c>
      <c r="C16" s="16" t="s">
        <v>29</v>
      </c>
      <c r="D16" s="287">
        <v>8142682</v>
      </c>
      <c r="E16" s="287">
        <v>9349596</v>
      </c>
      <c r="F16" s="287">
        <v>11411512</v>
      </c>
      <c r="G16" s="287">
        <v>9992979</v>
      </c>
      <c r="H16" s="17">
        <v>2868055</v>
      </c>
      <c r="I16" s="14"/>
      <c r="J16" s="17">
        <v>2500000</v>
      </c>
      <c r="K16" s="299">
        <v>2868055</v>
      </c>
    </row>
    <row r="17" spans="2:25">
      <c r="B17" s="298" t="s">
        <v>30</v>
      </c>
      <c r="C17" s="16" t="s">
        <v>31</v>
      </c>
      <c r="D17" s="287"/>
      <c r="E17" s="287"/>
      <c r="F17" s="287"/>
      <c r="G17" s="287"/>
      <c r="H17" s="18">
        <v>5673659</v>
      </c>
      <c r="I17" s="14"/>
      <c r="J17" s="18">
        <v>6500000</v>
      </c>
      <c r="K17" s="300">
        <v>5673659</v>
      </c>
    </row>
    <row r="18" spans="2:25">
      <c r="B18" s="298" t="s">
        <v>32</v>
      </c>
      <c r="C18" s="16" t="s">
        <v>33</v>
      </c>
      <c r="D18" s="287">
        <v>6864360</v>
      </c>
      <c r="E18" s="287">
        <v>7928615</v>
      </c>
      <c r="F18" s="287">
        <v>8062842</v>
      </c>
      <c r="G18" s="287">
        <v>8205323</v>
      </c>
      <c r="H18" s="17">
        <v>9138892</v>
      </c>
      <c r="I18" s="14"/>
      <c r="J18" s="17">
        <v>9800000</v>
      </c>
      <c r="K18" s="299">
        <v>9138892</v>
      </c>
    </row>
    <row r="19" spans="2:25">
      <c r="B19" s="298" t="s">
        <v>34</v>
      </c>
      <c r="C19" s="16" t="s">
        <v>35</v>
      </c>
      <c r="D19" s="287">
        <v>48847</v>
      </c>
      <c r="E19" s="287">
        <v>280533</v>
      </c>
      <c r="F19" s="287">
        <v>492612</v>
      </c>
      <c r="G19" s="287">
        <v>690399</v>
      </c>
      <c r="H19" s="17">
        <v>905072</v>
      </c>
      <c r="I19" s="14"/>
      <c r="J19" s="17">
        <v>1100000</v>
      </c>
      <c r="K19" s="299">
        <v>905072</v>
      </c>
    </row>
    <row r="20" spans="2:25">
      <c r="B20" s="298" t="s">
        <v>36</v>
      </c>
      <c r="C20" s="16" t="s">
        <v>37</v>
      </c>
      <c r="D20" s="287">
        <v>12634767</v>
      </c>
      <c r="E20" s="287">
        <v>24379430</v>
      </c>
      <c r="F20" s="287">
        <v>24649327</v>
      </c>
      <c r="G20" s="287">
        <v>23938095</v>
      </c>
      <c r="H20" s="17">
        <v>21595661</v>
      </c>
      <c r="I20" s="14"/>
      <c r="J20" s="17">
        <v>18877454</v>
      </c>
      <c r="K20" s="299">
        <v>21595661</v>
      </c>
    </row>
    <row r="21" spans="2:25">
      <c r="B21" s="301" t="s">
        <v>38</v>
      </c>
      <c r="C21" s="20" t="s">
        <v>39</v>
      </c>
      <c r="D21" s="20"/>
      <c r="E21" s="20"/>
      <c r="F21" s="20"/>
      <c r="G21" s="20"/>
      <c r="H21" s="21">
        <v>-984560</v>
      </c>
      <c r="I21" s="14"/>
      <c r="J21" s="21">
        <v>7400000</v>
      </c>
      <c r="K21" s="302">
        <v>-984560</v>
      </c>
    </row>
    <row r="22" spans="2:25">
      <c r="B22" s="303"/>
      <c r="C22" s="288"/>
      <c r="D22" s="288"/>
      <c r="E22" s="288"/>
      <c r="F22" s="288"/>
      <c r="G22" s="288"/>
      <c r="H22" s="15"/>
      <c r="I22" s="14"/>
      <c r="J22" s="15"/>
      <c r="K22" s="304"/>
    </row>
    <row r="23" spans="2:25">
      <c r="B23" s="305" t="s">
        <v>40</v>
      </c>
      <c r="C23" s="306"/>
      <c r="D23" s="307">
        <f t="shared" ref="D23:G23" si="0">SUM(D14:D21)</f>
        <v>47014574</v>
      </c>
      <c r="E23" s="307">
        <f t="shared" si="0"/>
        <v>62819163</v>
      </c>
      <c r="F23" s="307">
        <f t="shared" si="0"/>
        <v>70405510</v>
      </c>
      <c r="G23" s="307">
        <f t="shared" si="0"/>
        <v>66083302</v>
      </c>
      <c r="H23" s="307">
        <f>SUM(H14:H21)</f>
        <v>63273059</v>
      </c>
      <c r="I23" s="307">
        <f>+AVERAGE(D23:H23)</f>
        <v>61919121.600000001</v>
      </c>
      <c r="J23" s="307">
        <f>SUM(J14:J21)</f>
        <v>73027454</v>
      </c>
      <c r="K23" s="308">
        <f>SUM(K14:K21)</f>
        <v>63273059</v>
      </c>
    </row>
    <row r="27" spans="2:25" ht="30">
      <c r="U27" s="11"/>
      <c r="V27" s="11"/>
      <c r="W27" s="12" t="s">
        <v>19</v>
      </c>
      <c r="X27" s="12" t="s">
        <v>20</v>
      </c>
      <c r="Y27" s="12"/>
    </row>
    <row r="28" spans="2:25" ht="45">
      <c r="U28" s="11" t="s">
        <v>21</v>
      </c>
      <c r="V28" s="11" t="s">
        <v>22</v>
      </c>
      <c r="W28" s="12" t="s">
        <v>23</v>
      </c>
      <c r="X28" s="12" t="s">
        <v>23</v>
      </c>
      <c r="Y28" s="12"/>
    </row>
    <row r="29" spans="2:25">
      <c r="U29" s="13" t="s">
        <v>24</v>
      </c>
      <c r="V29" s="13" t="s">
        <v>25</v>
      </c>
      <c r="W29" s="14">
        <v>22645974</v>
      </c>
      <c r="X29" s="14">
        <v>25350000</v>
      </c>
      <c r="Y29" s="15"/>
    </row>
    <row r="30" spans="2:25">
      <c r="U30" s="16" t="s">
        <v>26</v>
      </c>
      <c r="V30" s="16" t="s">
        <v>27</v>
      </c>
      <c r="W30" s="17">
        <v>1430306</v>
      </c>
      <c r="X30" s="17">
        <v>1500000</v>
      </c>
      <c r="Y30" s="15"/>
    </row>
    <row r="31" spans="2:25">
      <c r="U31" s="16" t="s">
        <v>28</v>
      </c>
      <c r="V31" s="16" t="s">
        <v>29</v>
      </c>
      <c r="W31" s="17">
        <v>2868055</v>
      </c>
      <c r="X31" s="17">
        <v>2500000</v>
      </c>
      <c r="Y31" s="15"/>
    </row>
    <row r="32" spans="2:25">
      <c r="U32" s="16" t="s">
        <v>30</v>
      </c>
      <c r="V32" s="16" t="s">
        <v>31</v>
      </c>
      <c r="W32" s="18">
        <v>5673659</v>
      </c>
      <c r="X32" s="18">
        <v>6500000</v>
      </c>
      <c r="Y32" s="19"/>
    </row>
    <row r="33" spans="21:25">
      <c r="U33" s="16" t="s">
        <v>32</v>
      </c>
      <c r="V33" s="16" t="s">
        <v>33</v>
      </c>
      <c r="W33" s="17">
        <v>9138892</v>
      </c>
      <c r="X33" s="17">
        <v>9800000</v>
      </c>
      <c r="Y33" s="15"/>
    </row>
    <row r="34" spans="21:25">
      <c r="U34" s="16" t="s">
        <v>34</v>
      </c>
      <c r="V34" s="16" t="s">
        <v>35</v>
      </c>
      <c r="W34" s="17">
        <v>905072</v>
      </c>
      <c r="X34" s="17">
        <v>1100000</v>
      </c>
      <c r="Y34" s="15"/>
    </row>
    <row r="35" spans="21:25">
      <c r="U35" s="16" t="s">
        <v>36</v>
      </c>
      <c r="V35" s="16" t="s">
        <v>37</v>
      </c>
      <c r="W35" s="17">
        <v>21595661</v>
      </c>
      <c r="X35" s="17">
        <v>18877454</v>
      </c>
      <c r="Y35" s="15"/>
    </row>
    <row r="36" spans="21:25">
      <c r="U36" s="20" t="s">
        <v>38</v>
      </c>
      <c r="V36" s="20" t="s">
        <v>39</v>
      </c>
      <c r="W36" s="21">
        <v>-984560</v>
      </c>
      <c r="X36" s="21">
        <v>7400000</v>
      </c>
      <c r="Y36" s="15"/>
    </row>
    <row r="37" spans="21:25">
      <c r="U37" s="22" t="s">
        <v>40</v>
      </c>
      <c r="V37" s="22"/>
      <c r="W37" s="23">
        <f>SUM(W29:W36)</f>
        <v>63273059</v>
      </c>
      <c r="X37" s="23">
        <f>SUM(X29:X36)</f>
        <v>73027454</v>
      </c>
      <c r="Y37" s="23"/>
    </row>
  </sheetData>
  <pageMargins left="0.7" right="0.7" top="0.75" bottom="0.75" header="0.3" footer="0.3"/>
  <pageSetup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workbookViewId="0">
      <selection activeCell="I15" sqref="I15"/>
    </sheetView>
  </sheetViews>
  <sheetFormatPr defaultColWidth="9.42578125" defaultRowHeight="12.75"/>
  <cols>
    <col min="1" max="1" width="9.42578125" style="192"/>
    <col min="2" max="2" width="17.42578125" style="192" customWidth="1"/>
    <col min="3" max="3" width="10.42578125" style="192" customWidth="1"/>
    <col min="4" max="4" width="16.85546875" style="192" customWidth="1"/>
    <col min="5" max="5" width="12.140625" style="192" customWidth="1"/>
    <col min="6" max="6" width="4.42578125" style="192" customWidth="1"/>
    <col min="7" max="7" width="16.140625" style="192" customWidth="1"/>
    <col min="8" max="9" width="15" style="192" customWidth="1"/>
    <col min="10" max="10" width="14" style="192" customWidth="1"/>
    <col min="11" max="11" width="11.42578125" style="192" customWidth="1"/>
    <col min="12" max="12" width="12.5703125" style="192" customWidth="1"/>
    <col min="13" max="13" width="13.42578125" style="192" customWidth="1"/>
    <col min="14" max="16384" width="9.42578125" style="192"/>
  </cols>
  <sheetData>
    <row r="1" spans="1:11" ht="15.75">
      <c r="C1" s="193" t="str">
        <f>[5]Summary!A1</f>
        <v>AVISTA UTILITIES</v>
      </c>
    </row>
    <row r="2" spans="1:11">
      <c r="C2" s="194" t="str">
        <f>'[5]Exec Utility Split'!A3</f>
        <v>Twelve Months Ended June 30, 2013</v>
      </c>
    </row>
    <row r="3" spans="1:11">
      <c r="B3" s="195"/>
    </row>
    <row r="5" spans="1:11">
      <c r="A5" s="196" t="s">
        <v>158</v>
      </c>
      <c r="C5" s="197"/>
      <c r="D5" s="197"/>
      <c r="E5" s="197"/>
      <c r="F5" s="197"/>
      <c r="G5" s="198" t="s">
        <v>159</v>
      </c>
      <c r="H5" s="198" t="s">
        <v>160</v>
      </c>
      <c r="I5" s="198" t="s">
        <v>161</v>
      </c>
      <c r="J5" s="199"/>
    </row>
    <row r="6" spans="1:11">
      <c r="B6" s="200" t="s">
        <v>162</v>
      </c>
      <c r="C6" s="197"/>
      <c r="D6" s="197"/>
      <c r="E6" s="197"/>
      <c r="F6" s="201" t="s">
        <v>163</v>
      </c>
      <c r="G6" s="202">
        <v>19820000</v>
      </c>
      <c r="H6" s="202">
        <f>G43</f>
        <v>34131000</v>
      </c>
      <c r="I6" s="202">
        <f>G6+H6</f>
        <v>53951000</v>
      </c>
      <c r="J6" s="203"/>
      <c r="K6" s="204"/>
    </row>
    <row r="7" spans="1:11">
      <c r="B7" s="200" t="s">
        <v>164</v>
      </c>
      <c r="C7" s="197"/>
      <c r="D7" s="197"/>
      <c r="E7" s="197"/>
      <c r="F7" s="197"/>
      <c r="G7" s="205">
        <v>-26642735</v>
      </c>
      <c r="H7" s="205">
        <f>-894832-17397023-12510520</f>
        <v>-30802375</v>
      </c>
      <c r="I7" s="205">
        <f>G7+H7</f>
        <v>-57445110</v>
      </c>
      <c r="J7" s="206"/>
      <c r="K7" s="204"/>
    </row>
    <row r="8" spans="1:11">
      <c r="B8" s="192" t="s">
        <v>165</v>
      </c>
      <c r="C8" s="197"/>
      <c r="D8" s="197"/>
      <c r="E8" s="197"/>
      <c r="F8" s="197"/>
      <c r="G8" s="207">
        <f>SUM(G6:G7)</f>
        <v>-6822735</v>
      </c>
      <c r="H8" s="207">
        <f>SUM(H6:H7)</f>
        <v>3328625</v>
      </c>
      <c r="I8" s="207">
        <f>G8+H8</f>
        <v>-3494110</v>
      </c>
      <c r="J8" s="208"/>
      <c r="K8" s="204"/>
    </row>
    <row r="9" spans="1:11">
      <c r="B9" s="192" t="s">
        <v>166</v>
      </c>
      <c r="C9" s="197"/>
      <c r="D9" s="197"/>
      <c r="E9" s="197"/>
      <c r="F9" s="201"/>
      <c r="G9" s="209">
        <f>'[5]Non-Util Benefit Calc'!B9</f>
        <v>0.98799999999999999</v>
      </c>
      <c r="H9" s="209">
        <f>G9</f>
        <v>0.98799999999999999</v>
      </c>
      <c r="I9" s="209">
        <f>H9</f>
        <v>0.98799999999999999</v>
      </c>
      <c r="J9" s="204"/>
      <c r="K9" s="204"/>
    </row>
    <row r="10" spans="1:11">
      <c r="B10" s="192" t="s">
        <v>167</v>
      </c>
      <c r="G10" s="207">
        <f>G8*G9</f>
        <v>-6740862.1799999997</v>
      </c>
      <c r="H10" s="207">
        <f>H8*H9</f>
        <v>3288681.5</v>
      </c>
      <c r="I10" s="207">
        <f>G10+H10</f>
        <v>-3452180.6799999997</v>
      </c>
    </row>
    <row r="11" spans="1:11" s="210" customFormat="1"/>
    <row r="12" spans="1:11" s="210" customFormat="1">
      <c r="A12" s="211" t="s">
        <v>168</v>
      </c>
      <c r="J12" s="212"/>
    </row>
    <row r="13" spans="1:11" s="210" customFormat="1" ht="23.25" customHeight="1">
      <c r="A13" s="213" t="s">
        <v>169</v>
      </c>
      <c r="B13" s="214"/>
      <c r="C13" s="214"/>
      <c r="D13" s="215">
        <f>'[5]AN Electric'!M129</f>
        <v>39801720.07</v>
      </c>
      <c r="E13" s="216"/>
      <c r="J13" s="212"/>
    </row>
    <row r="14" spans="1:11" s="210" customFormat="1">
      <c r="A14" s="196" t="s">
        <v>170</v>
      </c>
      <c r="B14" s="192"/>
      <c r="C14" s="217" t="s">
        <v>171</v>
      </c>
      <c r="D14" s="218">
        <f>'[5] TTL Download'!B135</f>
        <v>158714501</v>
      </c>
      <c r="E14" s="204"/>
      <c r="G14" s="219"/>
      <c r="H14" s="208"/>
      <c r="I14" s="208"/>
      <c r="J14" s="219"/>
    </row>
    <row r="15" spans="1:11" ht="13.5" thickBot="1">
      <c r="A15" s="192" t="s">
        <v>172</v>
      </c>
      <c r="D15" s="204"/>
      <c r="E15" s="220">
        <f>D13/D14</f>
        <v>0.25077557387147631</v>
      </c>
      <c r="G15" s="221">
        <f>G10*E15</f>
        <v>-1690443.5815780307</v>
      </c>
      <c r="H15" s="221">
        <f>H10*E15</f>
        <v>824720.99044300755</v>
      </c>
      <c r="I15" s="221">
        <f>G15+H15</f>
        <v>-865722.59113502316</v>
      </c>
    </row>
    <row r="16" spans="1:11" ht="13.5" thickTop="1">
      <c r="D16" s="204"/>
      <c r="E16" s="204"/>
    </row>
    <row r="17" spans="1:9" s="210" customFormat="1">
      <c r="A17" s="196" t="s">
        <v>173</v>
      </c>
      <c r="B17" s="222"/>
      <c r="C17" s="222"/>
      <c r="D17" s="223">
        <f>'[5]AN Electric'!P129</f>
        <v>19883337.440000001</v>
      </c>
      <c r="E17" s="224"/>
    </row>
    <row r="18" spans="1:9" s="210" customFormat="1">
      <c r="A18" s="196" t="s">
        <v>170</v>
      </c>
      <c r="B18" s="192"/>
      <c r="C18" s="192"/>
      <c r="D18" s="223">
        <f>$D$14</f>
        <v>158714501</v>
      </c>
      <c r="E18" s="204"/>
    </row>
    <row r="19" spans="1:9" ht="13.5" thickBot="1">
      <c r="A19" s="192" t="s">
        <v>172</v>
      </c>
      <c r="D19" s="204"/>
      <c r="E19" s="220">
        <f>D17/D18</f>
        <v>0.12527738369665417</v>
      </c>
      <c r="G19" s="221">
        <f>G10*E19</f>
        <v>-844477.57777012466</v>
      </c>
      <c r="H19" s="221">
        <f>H10*E19</f>
        <v>411997.41413158819</v>
      </c>
      <c r="I19" s="221">
        <f>G19+H19</f>
        <v>-432480.16363853647</v>
      </c>
    </row>
    <row r="20" spans="1:9" ht="13.5" thickTop="1">
      <c r="D20" s="204"/>
      <c r="E20" s="204"/>
    </row>
    <row r="21" spans="1:9" s="210" customFormat="1">
      <c r="A21" s="196" t="s">
        <v>174</v>
      </c>
      <c r="B21" s="222"/>
      <c r="C21" s="222"/>
      <c r="D21" s="223">
        <f>'[5]AN Gas'!L79</f>
        <v>11005633.890000001</v>
      </c>
      <c r="E21" s="224"/>
    </row>
    <row r="22" spans="1:9" s="210" customFormat="1">
      <c r="A22" s="196" t="s">
        <v>170</v>
      </c>
      <c r="B22" s="192"/>
      <c r="C22" s="192"/>
      <c r="D22" s="223">
        <f>$D$14</f>
        <v>158714501</v>
      </c>
      <c r="E22" s="204"/>
    </row>
    <row r="23" spans="1:9" ht="13.5" thickBot="1">
      <c r="A23" s="192" t="s">
        <v>172</v>
      </c>
      <c r="D23" s="204"/>
      <c r="E23" s="220">
        <f>D21/D22</f>
        <v>6.934233369136196E-2</v>
      </c>
      <c r="G23" s="221">
        <f>G10*E23</f>
        <v>-467427.11465304159</v>
      </c>
      <c r="H23" s="221">
        <f>H10*E23</f>
        <v>228044.8499776088</v>
      </c>
      <c r="I23" s="221">
        <f>G23+H23</f>
        <v>-239382.26467543279</v>
      </c>
    </row>
    <row r="24" spans="1:9" ht="13.5" thickTop="1">
      <c r="D24" s="204"/>
      <c r="E24" s="204"/>
    </row>
    <row r="25" spans="1:9" s="210" customFormat="1">
      <c r="A25" s="196" t="s">
        <v>175</v>
      </c>
      <c r="B25" s="222"/>
      <c r="C25" s="222"/>
      <c r="D25" s="223">
        <f>'[5]AN Gas'!O79</f>
        <v>4743488.5199999996</v>
      </c>
      <c r="E25" s="224"/>
    </row>
    <row r="26" spans="1:9" s="210" customFormat="1">
      <c r="A26" s="196" t="s">
        <v>170</v>
      </c>
      <c r="B26" s="192"/>
      <c r="C26" s="192"/>
      <c r="D26" s="223">
        <f>$D$14</f>
        <v>158714501</v>
      </c>
      <c r="E26" s="204"/>
    </row>
    <row r="27" spans="1:9" ht="13.5" thickBot="1">
      <c r="A27" s="192" t="s">
        <v>172</v>
      </c>
      <c r="D27" s="204"/>
      <c r="E27" s="220">
        <f>D25/D26</f>
        <v>2.9886925832945783E-2</v>
      </c>
      <c r="G27" s="221">
        <f>G10*E27</f>
        <v>-201463.64802376923</v>
      </c>
      <c r="H27" s="221">
        <f>H10*E27</f>
        <v>98288.580078680883</v>
      </c>
      <c r="I27" s="221">
        <f>G27+H27</f>
        <v>-103175.06794508835</v>
      </c>
    </row>
    <row r="28" spans="1:9" s="210" customFormat="1" ht="13.5" thickTop="1">
      <c r="D28" s="208"/>
      <c r="E28" s="208"/>
    </row>
    <row r="29" spans="1:9">
      <c r="A29" s="196" t="s">
        <v>176</v>
      </c>
      <c r="B29" s="222"/>
      <c r="C29" s="222"/>
      <c r="D29" s="223">
        <f>'[5]Oregon Total'!G79</f>
        <v>6071357.3799999999</v>
      </c>
      <c r="E29" s="224"/>
      <c r="F29" s="210"/>
      <c r="G29" s="210"/>
    </row>
    <row r="30" spans="1:9" ht="13.5" thickBot="1">
      <c r="A30" s="196" t="s">
        <v>170</v>
      </c>
      <c r="D30" s="223">
        <f>$D$14</f>
        <v>158714501</v>
      </c>
      <c r="E30" s="204"/>
      <c r="F30" s="210"/>
      <c r="G30" s="210"/>
    </row>
    <row r="31" spans="1:9" ht="14.25" thickTop="1" thickBot="1">
      <c r="A31" s="192" t="s">
        <v>172</v>
      </c>
      <c r="D31" s="204"/>
      <c r="E31" s="220">
        <f>D29/D30</f>
        <v>3.8253324943509727E-2</v>
      </c>
      <c r="G31" s="225">
        <f>E31*G10</f>
        <v>-257860.39137095533</v>
      </c>
      <c r="H31" s="226">
        <f>H10*E31</f>
        <v>125803.00205520898</v>
      </c>
      <c r="I31" s="221">
        <f>G31+H31</f>
        <v>-132057.38931574635</v>
      </c>
    </row>
    <row r="32" spans="1:9" ht="13.5" thickTop="1">
      <c r="D32" s="204"/>
      <c r="E32" s="204"/>
    </row>
    <row r="33" spans="1:9">
      <c r="D33" s="204"/>
      <c r="E33" s="227" t="s">
        <v>177</v>
      </c>
      <c r="G33" s="228">
        <f>G15+G19+G23+G27+G31</f>
        <v>-3461672.3133959216</v>
      </c>
      <c r="H33" s="228">
        <f>H15+H19+H23+H27+H31</f>
        <v>1688854.8366860945</v>
      </c>
      <c r="I33" s="228">
        <f>I15+I19+I23+I27+I31</f>
        <v>-1772817.4767098268</v>
      </c>
    </row>
    <row r="34" spans="1:9">
      <c r="D34" s="204"/>
      <c r="E34" s="309" t="s">
        <v>178</v>
      </c>
      <c r="F34" s="309"/>
      <c r="G34" s="229">
        <f>G33/G10</f>
        <v>0.51353554203594798</v>
      </c>
      <c r="H34" s="229">
        <f>H33/H10</f>
        <v>0.51353554203594798</v>
      </c>
      <c r="I34" s="229">
        <f>I33/I10</f>
        <v>0.51353554203594787</v>
      </c>
    </row>
    <row r="37" spans="1:9">
      <c r="A37" s="230" t="s">
        <v>179</v>
      </c>
    </row>
    <row r="38" spans="1:9" ht="25.5" customHeight="1">
      <c r="A38" s="231" t="s">
        <v>163</v>
      </c>
      <c r="B38" s="231" t="s">
        <v>159</v>
      </c>
      <c r="C38" s="231" t="s">
        <v>180</v>
      </c>
      <c r="D38" s="310" t="s">
        <v>181</v>
      </c>
      <c r="E38" s="310"/>
      <c r="F38" s="310"/>
      <c r="G38" s="310"/>
      <c r="H38" s="310"/>
      <c r="I38" s="232"/>
    </row>
    <row r="39" spans="1:9">
      <c r="B39" s="192" t="s">
        <v>182</v>
      </c>
      <c r="C39" s="192" t="s">
        <v>183</v>
      </c>
      <c r="D39" s="192" t="s">
        <v>184</v>
      </c>
    </row>
    <row r="40" spans="1:9">
      <c r="D40" s="192" t="s">
        <v>185</v>
      </c>
      <c r="G40" s="233">
        <v>23300000</v>
      </c>
    </row>
    <row r="41" spans="1:9">
      <c r="D41" s="192" t="s">
        <v>186</v>
      </c>
      <c r="G41" s="233">
        <v>740000</v>
      </c>
    </row>
    <row r="42" spans="1:9">
      <c r="D42" s="192" t="s">
        <v>29</v>
      </c>
      <c r="G42" s="234">
        <v>10091000</v>
      </c>
    </row>
    <row r="43" spans="1:9">
      <c r="G43" s="233">
        <f>SUM(G40:G42)</f>
        <v>34131000</v>
      </c>
      <c r="H43" s="192" t="s">
        <v>187</v>
      </c>
      <c r="I43" s="192" t="s">
        <v>187</v>
      </c>
    </row>
    <row r="44" spans="1:9" ht="27" customHeight="1"/>
  </sheetData>
  <mergeCells count="2">
    <mergeCell ref="E34:F34"/>
    <mergeCell ref="D38:H38"/>
  </mergeCells>
  <pageMargins left="0.61" right="0.75" top="1" bottom="1" header="0.5" footer="0.5"/>
  <pageSetup scale="73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N62"/>
  <sheetViews>
    <sheetView zoomScaleNormal="100" workbookViewId="0">
      <selection activeCell="I48" sqref="I48"/>
    </sheetView>
  </sheetViews>
  <sheetFormatPr defaultColWidth="9.42578125" defaultRowHeight="12.75"/>
  <cols>
    <col min="1" max="1" width="9.42578125" style="192"/>
    <col min="2" max="2" width="17.42578125" style="192" customWidth="1"/>
    <col min="3" max="3" width="10.42578125" style="192" customWidth="1"/>
    <col min="4" max="4" width="16.85546875" style="192" customWidth="1"/>
    <col min="5" max="5" width="12.140625" style="192" customWidth="1"/>
    <col min="6" max="6" width="8.140625" style="192" customWidth="1"/>
    <col min="7" max="7" width="16.140625" style="192" customWidth="1"/>
    <col min="8" max="9" width="15" style="192" customWidth="1"/>
    <col min="10" max="10" width="6.140625" style="192" customWidth="1"/>
    <col min="11" max="11" width="21.42578125" style="192" customWidth="1"/>
    <col min="12" max="12" width="16.42578125" style="192" customWidth="1"/>
    <col min="13" max="13" width="13.42578125" style="192" customWidth="1"/>
    <col min="14" max="16384" width="9.42578125" style="192"/>
  </cols>
  <sheetData>
    <row r="1" spans="1:11" ht="15.75">
      <c r="C1" s="193" t="str">
        <f>[6]Summary!A1</f>
        <v>AVISTA UTILITIES</v>
      </c>
    </row>
    <row r="2" spans="1:11">
      <c r="C2" s="194" t="str">
        <f>'[6]Exec Utility Split'!A3</f>
        <v>6 Months Ending 06/30/14</v>
      </c>
    </row>
    <row r="3" spans="1:11">
      <c r="B3" s="195"/>
    </row>
    <row r="5" spans="1:11">
      <c r="A5" s="196" t="s">
        <v>188</v>
      </c>
      <c r="C5" s="197"/>
      <c r="D5" s="197"/>
      <c r="E5" s="197"/>
      <c r="F5" s="197"/>
      <c r="G5" s="198" t="s">
        <v>159</v>
      </c>
      <c r="H5" s="198" t="s">
        <v>160</v>
      </c>
      <c r="I5" s="198" t="s">
        <v>161</v>
      </c>
      <c r="J5" s="199"/>
    </row>
    <row r="6" spans="1:11">
      <c r="B6" s="200" t="s">
        <v>189</v>
      </c>
      <c r="C6" s="197"/>
      <c r="D6" s="197"/>
      <c r="E6" s="197"/>
      <c r="F6" s="197" t="s">
        <v>163</v>
      </c>
      <c r="G6" s="202">
        <f>G48</f>
        <v>28705200</v>
      </c>
      <c r="H6" s="202">
        <f>G55</f>
        <v>31216000</v>
      </c>
      <c r="I6" s="202">
        <f>G6+H6</f>
        <v>59921200</v>
      </c>
      <c r="J6" s="203"/>
      <c r="K6" s="204"/>
    </row>
    <row r="7" spans="1:11">
      <c r="B7" s="200" t="s">
        <v>190</v>
      </c>
      <c r="C7" s="197"/>
      <c r="D7" s="197"/>
      <c r="E7" s="197"/>
      <c r="F7" s="197"/>
      <c r="G7" s="205">
        <f>-15981353-6738113</f>
        <v>-22719466</v>
      </c>
      <c r="H7" s="205">
        <v>-28474845</v>
      </c>
      <c r="I7" s="205">
        <f>G7+H7</f>
        <v>-51194311</v>
      </c>
      <c r="J7" s="206"/>
      <c r="K7" s="204"/>
    </row>
    <row r="8" spans="1:11">
      <c r="B8" s="192" t="s">
        <v>165</v>
      </c>
      <c r="C8" s="197"/>
      <c r="D8" s="197"/>
      <c r="E8" s="197"/>
      <c r="F8" s="197"/>
      <c r="G8" s="207">
        <f>SUM(G6:G7)</f>
        <v>5985734</v>
      </c>
      <c r="H8" s="207">
        <f>SUM(H6:H7)</f>
        <v>2741155</v>
      </c>
      <c r="I8" s="207">
        <f>G8+H8</f>
        <v>8726889</v>
      </c>
      <c r="J8" s="208"/>
      <c r="K8" s="204"/>
    </row>
    <row r="9" spans="1:11">
      <c r="B9" s="192" t="s">
        <v>166</v>
      </c>
      <c r="C9" s="197"/>
      <c r="D9" s="197"/>
      <c r="E9" s="197"/>
      <c r="F9" s="201"/>
      <c r="G9" s="209">
        <f>'[6]Non-Util Benefit Calc'!B9</f>
        <v>0.56999999999999995</v>
      </c>
      <c r="H9" s="209">
        <f>G9</f>
        <v>0.56999999999999995</v>
      </c>
      <c r="I9" s="209">
        <f>H9</f>
        <v>0.56999999999999995</v>
      </c>
      <c r="J9" s="204"/>
      <c r="K9" s="204"/>
    </row>
    <row r="10" spans="1:11">
      <c r="B10" s="192" t="s">
        <v>167</v>
      </c>
      <c r="F10" s="235">
        <v>2016</v>
      </c>
      <c r="G10" s="207">
        <f>G8*G9</f>
        <v>3411868.38</v>
      </c>
      <c r="H10" s="207">
        <f>H8*H9</f>
        <v>1562458.3499999999</v>
      </c>
      <c r="I10" s="207">
        <f>G10+H10</f>
        <v>4974326.7299999995</v>
      </c>
    </row>
    <row r="11" spans="1:11">
      <c r="C11" s="197"/>
      <c r="D11" s="197"/>
      <c r="E11" s="197"/>
      <c r="F11" s="235"/>
      <c r="G11" s="207"/>
      <c r="H11" s="207"/>
      <c r="I11" s="207"/>
      <c r="J11" s="208"/>
      <c r="K11" s="204"/>
    </row>
    <row r="12" spans="1:11">
      <c r="B12" s="236" t="s">
        <v>191</v>
      </c>
      <c r="C12" s="237"/>
      <c r="D12" s="237"/>
      <c r="E12" s="237"/>
      <c r="F12" s="238">
        <v>2017</v>
      </c>
      <c r="G12" s="239">
        <f>I48</f>
        <v>-38996</v>
      </c>
      <c r="H12" s="239">
        <f>I55</f>
        <v>-169600</v>
      </c>
      <c r="I12" s="239">
        <f>SUM(G12:H12)</f>
        <v>-208596</v>
      </c>
      <c r="J12" s="208"/>
      <c r="K12" s="204"/>
    </row>
    <row r="13" spans="1:11">
      <c r="B13" s="236" t="s">
        <v>166</v>
      </c>
      <c r="C13" s="237"/>
      <c r="D13" s="237"/>
      <c r="E13" s="237"/>
      <c r="F13" s="240"/>
      <c r="G13" s="241">
        <f>G9</f>
        <v>0.56999999999999995</v>
      </c>
      <c r="H13" s="241">
        <f>G13</f>
        <v>0.56999999999999995</v>
      </c>
      <c r="I13" s="241">
        <f>H13</f>
        <v>0.56999999999999995</v>
      </c>
      <c r="J13" s="204"/>
      <c r="K13" s="204"/>
    </row>
    <row r="14" spans="1:11">
      <c r="B14" s="236" t="s">
        <v>167</v>
      </c>
      <c r="C14" s="236"/>
      <c r="D14" s="236"/>
      <c r="E14" s="236"/>
      <c r="F14" s="242"/>
      <c r="G14" s="239">
        <f>G12*G13</f>
        <v>-22227.719999999998</v>
      </c>
      <c r="H14" s="239">
        <f t="shared" ref="H14:I14" si="0">H12*H13</f>
        <v>-96671.999999999985</v>
      </c>
      <c r="I14" s="239">
        <f t="shared" si="0"/>
        <v>-118899.71999999999</v>
      </c>
    </row>
    <row r="15" spans="1:11" s="210" customFormat="1"/>
    <row r="16" spans="1:11" s="210" customFormat="1">
      <c r="A16" s="211" t="s">
        <v>192</v>
      </c>
      <c r="J16" s="212"/>
    </row>
    <row r="17" spans="1:14" s="210" customFormat="1" ht="23.25" customHeight="1">
      <c r="A17" s="213" t="s">
        <v>169</v>
      </c>
      <c r="B17" s="214"/>
      <c r="C17" s="214"/>
      <c r="D17" s="215">
        <f>'[6]Washington Electric'!E122</f>
        <v>37300870</v>
      </c>
      <c r="E17" s="216"/>
      <c r="J17" s="212"/>
    </row>
    <row r="18" spans="1:14" s="210" customFormat="1" ht="13.5" thickBot="1">
      <c r="A18" s="196" t="s">
        <v>193</v>
      </c>
      <c r="B18" s="192"/>
      <c r="C18" s="217"/>
      <c r="D18" s="218">
        <f>D17+D21+D25+D29+D33</f>
        <v>77789139.609999999</v>
      </c>
      <c r="E18" s="204"/>
      <c r="G18" s="219"/>
      <c r="H18" s="208"/>
      <c r="I18" s="208"/>
      <c r="J18" s="219"/>
    </row>
    <row r="19" spans="1:14" ht="13.5" thickBot="1">
      <c r="A19" s="192" t="s">
        <v>172</v>
      </c>
      <c r="D19" s="204"/>
      <c r="E19" s="220">
        <f>ROUND(D17/D18,6)</f>
        <v>0.47951300000000002</v>
      </c>
      <c r="G19" s="243">
        <f>G14*E19</f>
        <v>-10658.48070036</v>
      </c>
      <c r="H19" s="244">
        <f>H14*E19</f>
        <v>-46355.480735999998</v>
      </c>
      <c r="I19" s="244">
        <f>G19+H19</f>
        <v>-57013.961436359998</v>
      </c>
    </row>
    <row r="20" spans="1:14">
      <c r="D20" s="204"/>
      <c r="E20" s="204"/>
      <c r="L20" s="210"/>
      <c r="M20" s="210"/>
      <c r="N20" s="210"/>
    </row>
    <row r="21" spans="1:14" s="210" customFormat="1">
      <c r="A21" s="196" t="s">
        <v>173</v>
      </c>
      <c r="B21" s="222"/>
      <c r="C21" s="222"/>
      <c r="D21" s="223">
        <f>'[6]Idaho Electric'!E122</f>
        <v>18117499</v>
      </c>
      <c r="E21" s="224"/>
      <c r="L21" s="192"/>
      <c r="M21" s="192"/>
      <c r="N21" s="192"/>
    </row>
    <row r="22" spans="1:14" s="210" customFormat="1">
      <c r="A22" s="196" t="str">
        <f>A18</f>
        <v>Total OPER Labor</v>
      </c>
      <c r="B22" s="192"/>
      <c r="C22" s="192"/>
      <c r="D22" s="223">
        <f>$D$18</f>
        <v>77789139.609999999</v>
      </c>
      <c r="E22" s="204"/>
    </row>
    <row r="23" spans="1:14" ht="13.5" thickBot="1">
      <c r="A23" s="192" t="s">
        <v>172</v>
      </c>
      <c r="D23" s="204"/>
      <c r="E23" s="220">
        <f>ROUND(D21/D22,6)</f>
        <v>0.232905</v>
      </c>
      <c r="G23" s="221">
        <f>G14*E23</f>
        <v>-5176.9471265999991</v>
      </c>
      <c r="H23" s="221">
        <f>H14*E23</f>
        <v>-22515.392159999996</v>
      </c>
      <c r="I23" s="221">
        <f>G23+H23</f>
        <v>-27692.339286599996</v>
      </c>
    </row>
    <row r="24" spans="1:14" ht="13.5" thickTop="1">
      <c r="D24" s="204"/>
      <c r="E24" s="204"/>
      <c r="L24" s="210"/>
      <c r="M24" s="210"/>
      <c r="N24" s="210"/>
    </row>
    <row r="25" spans="1:14" s="210" customFormat="1">
      <c r="A25" s="196" t="s">
        <v>174</v>
      </c>
      <c r="B25" s="222"/>
      <c r="C25" s="222"/>
      <c r="D25" s="223">
        <f>'[6]Washington Gas'!E75</f>
        <v>11221033</v>
      </c>
      <c r="E25" s="224"/>
      <c r="L25" s="192"/>
      <c r="M25" s="192"/>
      <c r="N25" s="192"/>
    </row>
    <row r="26" spans="1:14" s="210" customFormat="1" ht="13.5" thickBot="1">
      <c r="A26" s="196" t="str">
        <f>A22</f>
        <v>Total OPER Labor</v>
      </c>
      <c r="B26" s="192"/>
      <c r="C26" s="192"/>
      <c r="D26" s="223">
        <f>$D$18</f>
        <v>77789139.609999999</v>
      </c>
      <c r="E26" s="204"/>
    </row>
    <row r="27" spans="1:14" ht="13.5" thickBot="1">
      <c r="A27" s="192" t="s">
        <v>172</v>
      </c>
      <c r="D27" s="204"/>
      <c r="E27" s="220">
        <f>ROUND(D25/D26,6)</f>
        <v>0.14424899999999999</v>
      </c>
      <c r="G27" s="243">
        <f>G14*E27</f>
        <v>-3206.3263822799995</v>
      </c>
      <c r="H27" s="244">
        <f>H14*E27</f>
        <v>-13944.839327999996</v>
      </c>
      <c r="I27" s="244">
        <f>G27+H27</f>
        <v>-17151.165710279995</v>
      </c>
    </row>
    <row r="28" spans="1:14">
      <c r="D28" s="204"/>
      <c r="E28" s="204"/>
      <c r="L28" s="210"/>
      <c r="M28" s="210"/>
      <c r="N28" s="210"/>
    </row>
    <row r="29" spans="1:14" s="210" customFormat="1">
      <c r="A29" s="196" t="s">
        <v>175</v>
      </c>
      <c r="B29" s="222"/>
      <c r="C29" s="222"/>
      <c r="D29" s="223">
        <f>'[6]Idaho Gas'!E75</f>
        <v>4772058</v>
      </c>
      <c r="E29" s="224"/>
      <c r="L29" s="192"/>
      <c r="M29" s="192"/>
      <c r="N29" s="192"/>
    </row>
    <row r="30" spans="1:14" s="210" customFormat="1">
      <c r="A30" s="196" t="str">
        <f>A26</f>
        <v>Total OPER Labor</v>
      </c>
      <c r="B30" s="192"/>
      <c r="C30" s="192"/>
      <c r="D30" s="223">
        <f>$D$18</f>
        <v>77789139.609999999</v>
      </c>
      <c r="E30" s="204"/>
    </row>
    <row r="31" spans="1:14" ht="13.5" thickBot="1">
      <c r="A31" s="192" t="s">
        <v>172</v>
      </c>
      <c r="D31" s="204"/>
      <c r="E31" s="220">
        <f>ROUND(D29/D30,6)</f>
        <v>6.1345999999999998E-2</v>
      </c>
      <c r="G31" s="221">
        <f>G14*E31</f>
        <v>-1363.5817111199999</v>
      </c>
      <c r="H31" s="221">
        <f>H14*E31</f>
        <v>-5930.4405119999992</v>
      </c>
      <c r="I31" s="221">
        <f>G31+H31</f>
        <v>-7294.0222231199987</v>
      </c>
    </row>
    <row r="32" spans="1:14" s="210" customFormat="1" ht="13.5" thickTop="1">
      <c r="D32" s="208"/>
      <c r="E32" s="208"/>
    </row>
    <row r="33" spans="1:12">
      <c r="A33" s="196" t="s">
        <v>176</v>
      </c>
      <c r="B33" s="222"/>
      <c r="C33" s="222"/>
      <c r="D33" s="223">
        <f>'[6]Oregon Total'!G79</f>
        <v>6377679.6100000003</v>
      </c>
      <c r="E33" s="224"/>
      <c r="F33" s="210"/>
      <c r="G33" s="210"/>
    </row>
    <row r="34" spans="1:12">
      <c r="A34" s="196" t="str">
        <f>A30</f>
        <v>Total OPER Labor</v>
      </c>
      <c r="D34" s="223">
        <f>$D$18</f>
        <v>77789139.609999999</v>
      </c>
      <c r="E34" s="204"/>
      <c r="F34" s="210"/>
      <c r="G34" s="210"/>
    </row>
    <row r="35" spans="1:12" ht="13.5" thickBot="1">
      <c r="A35" s="192" t="s">
        <v>172</v>
      </c>
      <c r="D35" s="204"/>
      <c r="E35" s="220">
        <f>ROUND(D33/D34,6)</f>
        <v>8.1987000000000004E-2</v>
      </c>
      <c r="G35" s="221">
        <f>E35*G14</f>
        <v>-1822.38407964</v>
      </c>
      <c r="H35" s="221">
        <f>H14*E35</f>
        <v>-7925.8472639999991</v>
      </c>
      <c r="I35" s="221">
        <f>G35+H35</f>
        <v>-9748.23134364</v>
      </c>
      <c r="L35" s="245"/>
    </row>
    <row r="36" spans="1:12" ht="13.5" thickTop="1">
      <c r="D36" s="204"/>
      <c r="E36" s="204"/>
    </row>
    <row r="37" spans="1:12">
      <c r="D37" s="204"/>
      <c r="E37" s="246">
        <f>SUM(E19:E35)</f>
        <v>1</v>
      </c>
      <c r="G37" s="228">
        <f>G19+G23+G27+G31+G35</f>
        <v>-22227.72</v>
      </c>
      <c r="H37" s="228">
        <f>H19+H23+H27+H31+H35</f>
        <v>-96671.999999999985</v>
      </c>
      <c r="I37" s="228">
        <f>I19+I23+I27+I31+I35</f>
        <v>-118899.71999999999</v>
      </c>
    </row>
    <row r="38" spans="1:12">
      <c r="D38" s="204"/>
      <c r="E38" s="309"/>
      <c r="F38" s="309"/>
      <c r="G38" s="229"/>
      <c r="H38" s="229"/>
      <c r="I38" s="229"/>
    </row>
    <row r="39" spans="1:12">
      <c r="D39" s="204"/>
      <c r="E39" s="247"/>
      <c r="F39" s="247"/>
      <c r="G39" s="229"/>
      <c r="H39" s="229"/>
      <c r="I39" s="229"/>
    </row>
    <row r="40" spans="1:12">
      <c r="D40" s="204"/>
      <c r="E40" s="247"/>
      <c r="F40" s="247"/>
      <c r="G40" s="229"/>
      <c r="H40" s="229"/>
      <c r="I40" s="229"/>
    </row>
    <row r="41" spans="1:12">
      <c r="D41" s="204"/>
      <c r="E41" s="247"/>
      <c r="F41" s="247"/>
      <c r="G41" s="229"/>
      <c r="H41" s="229"/>
      <c r="I41" s="229"/>
    </row>
    <row r="42" spans="1:12">
      <c r="D42" s="204"/>
      <c r="E42" s="247"/>
      <c r="F42" s="247"/>
      <c r="G42" s="229"/>
      <c r="H42" s="229"/>
      <c r="I42" s="229"/>
    </row>
    <row r="43" spans="1:12">
      <c r="A43" s="230" t="s">
        <v>179</v>
      </c>
      <c r="B43" s="192" t="s">
        <v>163</v>
      </c>
      <c r="F43" s="194"/>
      <c r="G43" s="248" t="s">
        <v>194</v>
      </c>
      <c r="H43" s="192" t="s">
        <v>195</v>
      </c>
      <c r="I43" s="192" t="s">
        <v>196</v>
      </c>
    </row>
    <row r="44" spans="1:12" ht="28.5" customHeight="1">
      <c r="A44" s="231" t="s">
        <v>163</v>
      </c>
      <c r="B44" s="249" t="s">
        <v>159</v>
      </c>
      <c r="C44" s="194" t="s">
        <v>197</v>
      </c>
      <c r="D44" s="311" t="s">
        <v>198</v>
      </c>
      <c r="E44" s="311"/>
      <c r="F44" s="247" t="s">
        <v>199</v>
      </c>
      <c r="G44" s="250">
        <f>21011200</f>
        <v>21011200</v>
      </c>
      <c r="H44" s="251">
        <v>20464000</v>
      </c>
      <c r="I44" s="251">
        <f>(H44-G44)/2</f>
        <v>-273600</v>
      </c>
    </row>
    <row r="45" spans="1:12" ht="16.5" customHeight="1">
      <c r="A45" s="231"/>
      <c r="B45" s="231" t="s">
        <v>200</v>
      </c>
      <c r="C45" s="247">
        <v>926230</v>
      </c>
      <c r="D45" s="252" t="s">
        <v>201</v>
      </c>
      <c r="E45" s="253"/>
      <c r="F45" s="247">
        <v>2016</v>
      </c>
      <c r="G45" s="254">
        <v>220000</v>
      </c>
      <c r="H45" s="254">
        <v>220001</v>
      </c>
      <c r="I45" s="254">
        <v>0</v>
      </c>
    </row>
    <row r="46" spans="1:12">
      <c r="A46" s="231"/>
      <c r="B46" s="231"/>
      <c r="C46" s="247">
        <v>926230</v>
      </c>
      <c r="D46" s="253"/>
      <c r="E46" s="253"/>
      <c r="F46" s="247">
        <v>2016</v>
      </c>
      <c r="G46" s="255">
        <f>SUM(G44:G45)</f>
        <v>21231200</v>
      </c>
      <c r="H46" s="255">
        <f>SUM(H44:H45)</f>
        <v>20684001</v>
      </c>
      <c r="I46" s="255">
        <f>SUM(I44:I45)</f>
        <v>-273600</v>
      </c>
    </row>
    <row r="47" spans="1:12" ht="25.5">
      <c r="A47" s="231"/>
      <c r="B47" s="231"/>
      <c r="C47" s="247"/>
      <c r="D47" s="252" t="s">
        <v>202</v>
      </c>
      <c r="E47" s="253"/>
      <c r="F47" s="247" t="s">
        <v>199</v>
      </c>
      <c r="G47" s="254">
        <f>7474000</f>
        <v>7474000</v>
      </c>
      <c r="H47" s="256">
        <v>7943208</v>
      </c>
      <c r="I47" s="256">
        <f>(H47-G47)/2</f>
        <v>234604</v>
      </c>
    </row>
    <row r="48" spans="1:12">
      <c r="A48" s="231"/>
      <c r="B48" s="231"/>
      <c r="C48" s="247"/>
      <c r="D48" s="253" t="s">
        <v>203</v>
      </c>
      <c r="E48" s="253"/>
      <c r="F48" s="247">
        <v>2016</v>
      </c>
      <c r="G48" s="255">
        <f>G46+G47</f>
        <v>28705200</v>
      </c>
      <c r="H48" s="255">
        <f>H46+H47</f>
        <v>28627209</v>
      </c>
      <c r="I48" s="255">
        <f>I46+I47</f>
        <v>-38996</v>
      </c>
    </row>
    <row r="49" spans="1:9" ht="17.25" customHeight="1">
      <c r="A49" s="231"/>
      <c r="B49" s="231"/>
      <c r="C49" s="247"/>
      <c r="D49" s="247"/>
      <c r="E49" s="247"/>
      <c r="F49" s="247"/>
      <c r="G49" s="257"/>
      <c r="H49" s="257"/>
      <c r="I49" s="257"/>
    </row>
    <row r="50" spans="1:9">
      <c r="B50" s="192" t="s">
        <v>182</v>
      </c>
      <c r="C50" s="247"/>
      <c r="D50" s="192" t="s">
        <v>184</v>
      </c>
      <c r="F50" s="194"/>
    </row>
    <row r="51" spans="1:9" ht="21.75" customHeight="1">
      <c r="B51" s="192" t="s">
        <v>204</v>
      </c>
      <c r="C51" s="194">
        <v>926220</v>
      </c>
      <c r="D51" s="192" t="s">
        <v>185</v>
      </c>
      <c r="F51" s="194">
        <v>2015</v>
      </c>
      <c r="G51" s="250">
        <f>G61</f>
        <v>21820000</v>
      </c>
      <c r="H51" s="250">
        <f>H61</f>
        <v>21820000</v>
      </c>
      <c r="I51" s="250">
        <v>0</v>
      </c>
    </row>
    <row r="52" spans="1:9">
      <c r="C52" s="194">
        <v>926220</v>
      </c>
      <c r="D52" s="192" t="s">
        <v>186</v>
      </c>
      <c r="F52" s="194">
        <v>2015</v>
      </c>
      <c r="G52" s="233">
        <v>507000</v>
      </c>
      <c r="H52" s="233">
        <v>507000</v>
      </c>
      <c r="I52" s="233">
        <v>0</v>
      </c>
    </row>
    <row r="53" spans="1:9" ht="25.5">
      <c r="C53" s="194">
        <v>926240</v>
      </c>
      <c r="D53" s="192" t="s">
        <v>29</v>
      </c>
      <c r="F53" s="247" t="s">
        <v>199</v>
      </c>
      <c r="G53" s="258">
        <v>8798000</v>
      </c>
      <c r="H53" s="258">
        <v>8458800</v>
      </c>
      <c r="I53" s="258">
        <f>(H53-G53)/2</f>
        <v>-169600</v>
      </c>
    </row>
    <row r="54" spans="1:9">
      <c r="C54" s="194">
        <v>926240</v>
      </c>
      <c r="D54" s="192" t="s">
        <v>201</v>
      </c>
      <c r="F54" s="194">
        <v>2016</v>
      </c>
      <c r="G54" s="234">
        <v>91000</v>
      </c>
      <c r="H54" s="234">
        <v>91000</v>
      </c>
      <c r="I54" s="234">
        <v>0</v>
      </c>
    </row>
    <row r="55" spans="1:9">
      <c r="F55" s="194"/>
      <c r="G55" s="233">
        <f>SUM(G51:G54)</f>
        <v>31216000</v>
      </c>
      <c r="H55" s="233">
        <f>SUM(H51:H54)</f>
        <v>30876800</v>
      </c>
      <c r="I55" s="233">
        <f>SUM(I51:I54)</f>
        <v>-169600</v>
      </c>
    </row>
    <row r="56" spans="1:9" ht="27" customHeight="1">
      <c r="F56" s="194"/>
    </row>
    <row r="57" spans="1:9">
      <c r="F57" s="194"/>
    </row>
    <row r="58" spans="1:9">
      <c r="B58" s="192" t="s">
        <v>160</v>
      </c>
      <c r="D58" s="192" t="s">
        <v>205</v>
      </c>
      <c r="F58" s="194"/>
      <c r="G58" s="233">
        <v>23600000</v>
      </c>
      <c r="H58" s="233">
        <v>23600000</v>
      </c>
      <c r="I58" s="233">
        <v>0</v>
      </c>
    </row>
    <row r="59" spans="1:9">
      <c r="D59" s="192" t="s">
        <v>206</v>
      </c>
      <c r="F59" s="194"/>
      <c r="G59" s="233">
        <v>-2000000</v>
      </c>
      <c r="H59" s="233">
        <v>-2000000</v>
      </c>
      <c r="I59" s="233">
        <v>0</v>
      </c>
    </row>
    <row r="60" spans="1:9">
      <c r="D60" s="192" t="s">
        <v>207</v>
      </c>
      <c r="F60" s="194"/>
      <c r="G60" s="234">
        <v>220000</v>
      </c>
      <c r="H60" s="234">
        <v>220000</v>
      </c>
      <c r="I60" s="234">
        <v>0</v>
      </c>
    </row>
    <row r="61" spans="1:9">
      <c r="D61" s="192" t="s">
        <v>203</v>
      </c>
      <c r="F61" s="194"/>
      <c r="G61" s="233">
        <f>SUM(G58:G60)</f>
        <v>21820000</v>
      </c>
      <c r="H61" s="233">
        <f>SUM(H58:H60)</f>
        <v>21820000</v>
      </c>
      <c r="I61" s="233">
        <f>SUM(I58:I60)</f>
        <v>0</v>
      </c>
    </row>
    <row r="62" spans="1:9">
      <c r="G62" s="233"/>
    </row>
  </sheetData>
  <mergeCells count="2">
    <mergeCell ref="E38:F38"/>
    <mergeCell ref="D44:E44"/>
  </mergeCells>
  <pageMargins left="0.61" right="0.75" top="1" bottom="1" header="0.5" footer="0.5"/>
  <pageSetup scale="73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6"/>
  <sheetViews>
    <sheetView zoomScaleNormal="100" workbookViewId="0">
      <selection activeCell="J14" sqref="J14"/>
    </sheetView>
  </sheetViews>
  <sheetFormatPr defaultColWidth="9.42578125" defaultRowHeight="12.75"/>
  <cols>
    <col min="1" max="1" width="9.42578125" style="192"/>
    <col min="2" max="2" width="17.42578125" style="192" customWidth="1"/>
    <col min="3" max="3" width="10.42578125" style="192" customWidth="1"/>
    <col min="4" max="4" width="16.85546875" style="192" customWidth="1"/>
    <col min="5" max="5" width="12.140625" style="192" customWidth="1"/>
    <col min="6" max="6" width="7.85546875" style="194" customWidth="1"/>
    <col min="7" max="7" width="17.85546875" style="192" customWidth="1"/>
    <col min="8" max="8" width="17.42578125" style="192" customWidth="1"/>
    <col min="9" max="9" width="19.42578125" style="192" customWidth="1"/>
    <col min="10" max="10" width="14" style="192" customWidth="1"/>
    <col min="11" max="16384" width="9.42578125" style="192"/>
  </cols>
  <sheetData>
    <row r="1" spans="1:10" ht="15.75">
      <c r="C1" s="193" t="str">
        <f>[7]Summary!A1</f>
        <v>AVISTA UTILITIES</v>
      </c>
    </row>
    <row r="2" spans="1:10">
      <c r="A2" s="236"/>
      <c r="B2" s="236"/>
      <c r="C2" s="194" t="str">
        <f>[7]Summary!A3</f>
        <v>12 Months Ending 09/30/15</v>
      </c>
    </row>
    <row r="3" spans="1:10">
      <c r="B3" s="195"/>
    </row>
    <row r="5" spans="1:10">
      <c r="C5" s="197"/>
      <c r="D5" s="197"/>
      <c r="E5" s="197"/>
      <c r="F5" s="259"/>
      <c r="G5" s="198" t="s">
        <v>208</v>
      </c>
      <c r="H5" s="198" t="s">
        <v>160</v>
      </c>
      <c r="I5" s="198" t="s">
        <v>161</v>
      </c>
      <c r="J5" s="199"/>
    </row>
    <row r="6" spans="1:10">
      <c r="B6" s="204" t="s">
        <v>209</v>
      </c>
      <c r="C6" s="197"/>
      <c r="D6" s="197"/>
      <c r="E6" s="197"/>
      <c r="F6" s="259" t="s">
        <v>163</v>
      </c>
      <c r="G6" s="260">
        <f>[7]Expense!G13</f>
        <v>31435878</v>
      </c>
      <c r="H6" s="260">
        <f>[7]Expense!F13</f>
        <v>30710000</v>
      </c>
      <c r="I6" s="260">
        <f>G6+H6</f>
        <v>62145878</v>
      </c>
      <c r="J6" s="261"/>
    </row>
    <row r="7" spans="1:10">
      <c r="B7" s="204" t="s">
        <v>210</v>
      </c>
      <c r="C7" s="262">
        <v>42277</v>
      </c>
      <c r="D7" s="197"/>
      <c r="E7" s="197"/>
      <c r="F7" s="259"/>
      <c r="G7" s="263">
        <f>-[7]Expense!D12</f>
        <v>-29295624</v>
      </c>
      <c r="H7" s="263">
        <f>-[7]Expense!D8</f>
        <v>-28606546</v>
      </c>
      <c r="I7" s="263">
        <f>G7+H7</f>
        <v>-57902170</v>
      </c>
      <c r="J7" s="264"/>
    </row>
    <row r="8" spans="1:10">
      <c r="B8" s="192" t="s">
        <v>211</v>
      </c>
      <c r="C8" s="197"/>
      <c r="D8" s="197"/>
      <c r="E8" s="197"/>
      <c r="F8" s="235">
        <v>2016</v>
      </c>
      <c r="G8" s="207">
        <f>SUM(G6:G7)</f>
        <v>2140254</v>
      </c>
      <c r="H8" s="207">
        <f>SUM(H6:H7)</f>
        <v>2103454</v>
      </c>
      <c r="I8" s="207">
        <f>G8+H8</f>
        <v>4243708</v>
      </c>
      <c r="J8" s="208"/>
    </row>
    <row r="9" spans="1:10">
      <c r="B9" s="192" t="s">
        <v>212</v>
      </c>
      <c r="C9" s="197"/>
      <c r="D9" s="197"/>
      <c r="E9" s="197"/>
      <c r="F9" s="259"/>
      <c r="G9" s="209">
        <f>'[7]Non-Util Benefit Calc'!E9</f>
        <v>0.57092904098394781</v>
      </c>
      <c r="H9" s="209">
        <f>G9</f>
        <v>0.57092904098394781</v>
      </c>
      <c r="I9" s="209">
        <f>H9</f>
        <v>0.57092904098394781</v>
      </c>
      <c r="J9" s="204"/>
    </row>
    <row r="10" spans="1:10">
      <c r="B10" s="192" t="s">
        <v>213</v>
      </c>
      <c r="G10" s="207">
        <f>G8*G9</f>
        <v>1221933.1636820582</v>
      </c>
      <c r="H10" s="207">
        <f>H8*H9</f>
        <v>1200922.974973849</v>
      </c>
      <c r="I10" s="207">
        <f>G10+H10</f>
        <v>2422856.1386559075</v>
      </c>
    </row>
    <row r="11" spans="1:10" s="210" customFormat="1">
      <c r="F11" s="265"/>
    </row>
    <row r="12" spans="1:10" s="210" customFormat="1">
      <c r="A12" s="211"/>
      <c r="F12" s="265"/>
      <c r="J12" s="212"/>
    </row>
    <row r="13" spans="1:10" s="210" customFormat="1">
      <c r="A13" s="192" t="s">
        <v>169</v>
      </c>
      <c r="B13" s="222"/>
      <c r="C13" s="222"/>
      <c r="D13" s="266">
        <v>41149150</v>
      </c>
      <c r="E13" s="267"/>
      <c r="F13" s="265"/>
    </row>
    <row r="14" spans="1:10" s="210" customFormat="1" ht="13.5" thickBot="1">
      <c r="A14" s="192" t="s">
        <v>193</v>
      </c>
      <c r="B14" s="192"/>
      <c r="C14" s="268"/>
      <c r="D14" s="223">
        <f>D13+D17+D21+D25+D29</f>
        <v>86319776</v>
      </c>
      <c r="E14" s="204"/>
      <c r="F14" s="265"/>
      <c r="G14" s="219"/>
      <c r="H14" s="208"/>
      <c r="I14" s="208"/>
      <c r="J14" s="219"/>
    </row>
    <row r="15" spans="1:10" ht="13.5" thickBot="1">
      <c r="A15" s="192" t="s">
        <v>172</v>
      </c>
      <c r="D15" s="204"/>
      <c r="E15" s="220">
        <f>D13/D14</f>
        <v>0.47670594047880754</v>
      </c>
      <c r="G15" s="243">
        <f>G10*E15</f>
        <v>582502.79799530027</v>
      </c>
      <c r="H15" s="244">
        <f>H10*E15</f>
        <v>572487.11622751621</v>
      </c>
      <c r="I15" s="244">
        <f>G15+H15</f>
        <v>1154989.9142228165</v>
      </c>
    </row>
    <row r="16" spans="1:10">
      <c r="D16" s="204"/>
      <c r="E16" s="204"/>
    </row>
    <row r="17" spans="1:9" s="210" customFormat="1">
      <c r="A17" s="192" t="s">
        <v>173</v>
      </c>
      <c r="B17" s="222"/>
      <c r="C17" s="222"/>
      <c r="D17" s="266">
        <v>20192471</v>
      </c>
      <c r="E17" s="267"/>
      <c r="F17" s="265"/>
    </row>
    <row r="18" spans="1:9" s="210" customFormat="1">
      <c r="A18" s="192" t="str">
        <f>A14</f>
        <v>Total OPER Labor</v>
      </c>
      <c r="B18" s="192"/>
      <c r="C18" s="192"/>
      <c r="D18" s="223">
        <f>$D$14</f>
        <v>86319776</v>
      </c>
      <c r="E18" s="204"/>
      <c r="F18" s="265"/>
    </row>
    <row r="19" spans="1:9" ht="13.5" thickBot="1">
      <c r="A19" s="192" t="s">
        <v>172</v>
      </c>
      <c r="D19" s="204"/>
      <c r="E19" s="220">
        <f>D17/D18</f>
        <v>0.23392636004986853</v>
      </c>
      <c r="G19" s="221">
        <f>G10*E19</f>
        <v>285842.37720436411</v>
      </c>
      <c r="H19" s="221">
        <f>H10*E19</f>
        <v>280927.54023589188</v>
      </c>
      <c r="I19" s="221">
        <f>G19+H19</f>
        <v>566769.91744025599</v>
      </c>
    </row>
    <row r="20" spans="1:9" ht="13.5" thickTop="1">
      <c r="D20" s="204"/>
      <c r="E20" s="204"/>
    </row>
    <row r="21" spans="1:9" s="210" customFormat="1">
      <c r="A21" s="192" t="s">
        <v>174</v>
      </c>
      <c r="B21" s="222"/>
      <c r="C21" s="222"/>
      <c r="D21" s="266">
        <v>12319220</v>
      </c>
      <c r="E21" s="267"/>
      <c r="F21" s="265"/>
    </row>
    <row r="22" spans="1:9" s="210" customFormat="1" ht="13.5" thickBot="1">
      <c r="A22" s="192" t="str">
        <f>A18</f>
        <v>Total OPER Labor</v>
      </c>
      <c r="B22" s="192"/>
      <c r="C22" s="192"/>
      <c r="D22" s="223">
        <f>$D$14</f>
        <v>86319776</v>
      </c>
      <c r="E22" s="204"/>
      <c r="F22" s="265"/>
    </row>
    <row r="23" spans="1:9" ht="13.5" thickBot="1">
      <c r="A23" s="192" t="s">
        <v>172</v>
      </c>
      <c r="D23" s="204"/>
      <c r="E23" s="220">
        <f>D21/D22</f>
        <v>0.14271607933736993</v>
      </c>
      <c r="G23" s="243">
        <f>G10*E23</f>
        <v>174389.51033301206</v>
      </c>
      <c r="H23" s="244">
        <f>H10*E23</f>
        <v>171391.01857443817</v>
      </c>
      <c r="I23" s="244">
        <f>G23+H23</f>
        <v>345780.52890745027</v>
      </c>
    </row>
    <row r="24" spans="1:9">
      <c r="D24" s="204"/>
      <c r="E24" s="204"/>
    </row>
    <row r="25" spans="1:9" s="210" customFormat="1">
      <c r="A25" s="192" t="s">
        <v>175</v>
      </c>
      <c r="B25" s="222"/>
      <c r="C25" s="222"/>
      <c r="D25" s="266">
        <v>5146170</v>
      </c>
      <c r="E25" s="267"/>
      <c r="F25" s="265"/>
    </row>
    <row r="26" spans="1:9" s="210" customFormat="1">
      <c r="A26" s="192" t="str">
        <f>A22</f>
        <v>Total OPER Labor</v>
      </c>
      <c r="B26" s="192"/>
      <c r="C26" s="192"/>
      <c r="D26" s="223">
        <f>$D$14</f>
        <v>86319776</v>
      </c>
      <c r="E26" s="204"/>
      <c r="F26" s="265"/>
    </row>
    <row r="27" spans="1:9" ht="13.5" thickBot="1">
      <c r="A27" s="192" t="s">
        <v>172</v>
      </c>
      <c r="D27" s="204"/>
      <c r="E27" s="220">
        <f>D25/D26</f>
        <v>5.961750873866957E-2</v>
      </c>
      <c r="G27" s="221">
        <f>G10*E27</f>
        <v>72848.611063885255</v>
      </c>
      <c r="H27" s="221">
        <f>H10*E27</f>
        <v>71596.035954972496</v>
      </c>
      <c r="I27" s="221">
        <f>G27+H27</f>
        <v>144444.64701885777</v>
      </c>
    </row>
    <row r="28" spans="1:9" s="210" customFormat="1" ht="13.5" thickTop="1">
      <c r="D28" s="208"/>
      <c r="E28" s="208"/>
      <c r="F28" s="265"/>
    </row>
    <row r="29" spans="1:9">
      <c r="A29" s="192" t="s">
        <v>176</v>
      </c>
      <c r="B29" s="222"/>
      <c r="C29" s="222"/>
      <c r="D29" s="266">
        <v>7512765</v>
      </c>
      <c r="E29" s="267"/>
      <c r="F29" s="265"/>
      <c r="G29" s="210"/>
    </row>
    <row r="30" spans="1:9">
      <c r="A30" s="192" t="str">
        <f>A26</f>
        <v>Total OPER Labor</v>
      </c>
      <c r="D30" s="223">
        <f>$D$14</f>
        <v>86319776</v>
      </c>
      <c r="E30" s="204"/>
      <c r="F30" s="265"/>
      <c r="G30" s="210"/>
    </row>
    <row r="31" spans="1:9" ht="13.5" thickBot="1">
      <c r="A31" s="192" t="s">
        <v>172</v>
      </c>
      <c r="D31" s="204"/>
      <c r="E31" s="220">
        <f>D29/D30</f>
        <v>8.7034111395284441E-2</v>
      </c>
      <c r="G31" s="221">
        <f>E31*G10</f>
        <v>106349.86708549659</v>
      </c>
      <c r="H31" s="221">
        <f>H10*E31</f>
        <v>104521.26398103037</v>
      </c>
      <c r="I31" s="221">
        <f>G31+H31</f>
        <v>210871.13106652696</v>
      </c>
    </row>
    <row r="32" spans="1:9" ht="13.5" thickTop="1">
      <c r="D32" s="204"/>
      <c r="E32" s="204"/>
    </row>
    <row r="33" spans="1:9">
      <c r="D33" s="204"/>
      <c r="E33" s="246">
        <f>SUM(E15:E31)</f>
        <v>1</v>
      </c>
      <c r="G33" s="228">
        <f>G15+G19+G23+G27+G31</f>
        <v>1221933.1636820585</v>
      </c>
      <c r="H33" s="228">
        <f>H15+H19+H23+H27+H31</f>
        <v>1200922.974973849</v>
      </c>
      <c r="I33" s="228">
        <f>I15+I19+I23+I27+I31</f>
        <v>2422856.1386559075</v>
      </c>
    </row>
    <row r="34" spans="1:9">
      <c r="D34" s="204"/>
      <c r="E34" s="309"/>
      <c r="F34" s="309"/>
      <c r="G34" s="229"/>
      <c r="H34" s="229"/>
      <c r="I34" s="229"/>
    </row>
    <row r="36" spans="1:9">
      <c r="A36" s="192" t="s">
        <v>214</v>
      </c>
    </row>
    <row r="37" spans="1:9">
      <c r="A37" s="192" t="s">
        <v>215</v>
      </c>
    </row>
    <row r="38" spans="1:9" ht="35.25" customHeight="1"/>
    <row r="39" spans="1:9">
      <c r="C39" s="233"/>
      <c r="D39" s="233"/>
      <c r="E39" s="233"/>
    </row>
    <row r="40" spans="1:9">
      <c r="C40" s="233"/>
      <c r="D40" s="233"/>
      <c r="E40" s="233"/>
    </row>
    <row r="41" spans="1:9">
      <c r="C41" s="233"/>
      <c r="D41" s="233"/>
      <c r="E41" s="233"/>
    </row>
    <row r="42" spans="1:9">
      <c r="C42" s="233"/>
      <c r="D42" s="233"/>
      <c r="E42" s="233"/>
    </row>
    <row r="43" spans="1:9" ht="25.5" customHeight="1">
      <c r="C43" s="233"/>
      <c r="D43" s="233"/>
      <c r="E43" s="233"/>
    </row>
    <row r="50" spans="2:7" ht="27" customHeight="1"/>
    <row r="52" spans="2:7">
      <c r="B52" s="192" t="s">
        <v>160</v>
      </c>
      <c r="D52" s="192" t="s">
        <v>205</v>
      </c>
      <c r="G52" s="233">
        <v>23600000</v>
      </c>
    </row>
    <row r="53" spans="2:7">
      <c r="D53" s="192" t="s">
        <v>206</v>
      </c>
      <c r="G53" s="233">
        <v>-2000000</v>
      </c>
    </row>
    <row r="54" spans="2:7">
      <c r="D54" s="192" t="s">
        <v>207</v>
      </c>
      <c r="G54" s="234">
        <v>220000</v>
      </c>
    </row>
    <row r="55" spans="2:7">
      <c r="D55" s="192" t="s">
        <v>203</v>
      </c>
      <c r="G55" s="233">
        <f>SUM(G52:G54)</f>
        <v>21820000</v>
      </c>
    </row>
    <row r="56" spans="2:7">
      <c r="G56" s="233"/>
    </row>
  </sheetData>
  <mergeCells count="1">
    <mergeCell ref="E34:F34"/>
  </mergeCells>
  <pageMargins left="0.61" right="0.75" top="1" bottom="1" header="0.5" footer="0.5"/>
  <pageSetup scale="73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9"/>
  <sheetViews>
    <sheetView workbookViewId="0">
      <selection activeCell="C16" sqref="C16:K16"/>
    </sheetView>
  </sheetViews>
  <sheetFormatPr defaultRowHeight="15"/>
  <cols>
    <col min="3" max="4" width="12.5703125" bestFit="1" customWidth="1"/>
    <col min="5" max="5" width="10.140625" bestFit="1" customWidth="1"/>
    <col min="10" max="11" width="12.5703125" bestFit="1" customWidth="1"/>
    <col min="12" max="12" width="10.140625" bestFit="1" customWidth="1"/>
  </cols>
  <sheetData>
    <row r="3" spans="1:12">
      <c r="A3" s="269"/>
      <c r="B3" s="269"/>
      <c r="C3" s="269" t="s">
        <v>216</v>
      </c>
      <c r="D3" s="269" t="s">
        <v>217</v>
      </c>
      <c r="E3" s="269"/>
      <c r="H3" s="269"/>
      <c r="I3" s="269"/>
      <c r="J3" s="269" t="s">
        <v>217</v>
      </c>
      <c r="K3" s="269" t="s">
        <v>217</v>
      </c>
      <c r="L3" s="269"/>
    </row>
    <row r="4" spans="1:12">
      <c r="A4" s="269"/>
      <c r="B4" s="269"/>
      <c r="C4" s="270" t="s">
        <v>218</v>
      </c>
      <c r="D4" s="270" t="s">
        <v>219</v>
      </c>
      <c r="E4" s="269" t="s">
        <v>220</v>
      </c>
      <c r="H4" s="269"/>
      <c r="I4" s="269"/>
      <c r="J4" s="270" t="s">
        <v>227</v>
      </c>
      <c r="K4" s="270" t="s">
        <v>228</v>
      </c>
      <c r="L4" s="269" t="s">
        <v>220</v>
      </c>
    </row>
    <row r="5" spans="1:12">
      <c r="A5" s="271" t="s">
        <v>22</v>
      </c>
      <c r="B5" s="271" t="s">
        <v>21</v>
      </c>
      <c r="C5" s="269"/>
      <c r="D5" s="269"/>
      <c r="E5" s="269"/>
      <c r="H5" s="271" t="s">
        <v>22</v>
      </c>
      <c r="I5" s="271" t="s">
        <v>21</v>
      </c>
      <c r="J5" s="269"/>
      <c r="K5" s="269"/>
      <c r="L5" s="269"/>
    </row>
    <row r="6" spans="1:12">
      <c r="A6" s="272"/>
      <c r="B6" s="272"/>
      <c r="C6" s="273"/>
      <c r="D6" s="273"/>
      <c r="E6" s="273"/>
      <c r="H6" s="272"/>
      <c r="I6" s="272"/>
      <c r="J6" s="273"/>
      <c r="K6" s="273"/>
      <c r="L6" s="273"/>
    </row>
    <row r="7" spans="1:12">
      <c r="A7" s="272" t="s">
        <v>221</v>
      </c>
      <c r="B7" s="272" t="s">
        <v>24</v>
      </c>
      <c r="C7" s="273">
        <v>25793217</v>
      </c>
      <c r="D7" s="273">
        <v>28535532</v>
      </c>
      <c r="E7" s="273">
        <v>2742315</v>
      </c>
      <c r="H7" s="272" t="s">
        <v>221</v>
      </c>
      <c r="I7" s="272" t="s">
        <v>24</v>
      </c>
      <c r="J7" s="273">
        <v>28535532</v>
      </c>
      <c r="K7" s="273">
        <v>28535532</v>
      </c>
      <c r="L7" s="273">
        <v>0</v>
      </c>
    </row>
    <row r="8" spans="1:12">
      <c r="A8" s="272" t="s">
        <v>222</v>
      </c>
      <c r="B8" s="272" t="s">
        <v>28</v>
      </c>
      <c r="C8" s="274">
        <v>11411512</v>
      </c>
      <c r="D8" s="275">
        <v>10400000</v>
      </c>
      <c r="E8" s="274">
        <v>-1011512</v>
      </c>
      <c r="H8" s="272" t="s">
        <v>222</v>
      </c>
      <c r="I8" s="272" t="s">
        <v>28</v>
      </c>
      <c r="J8" s="273">
        <v>10200000</v>
      </c>
      <c r="K8" s="275">
        <v>9800000</v>
      </c>
      <c r="L8" s="274">
        <v>-400000</v>
      </c>
    </row>
    <row r="9" spans="1:12">
      <c r="A9" s="276" t="s">
        <v>223</v>
      </c>
      <c r="B9" s="276"/>
      <c r="C9" s="277">
        <v>37204729</v>
      </c>
      <c r="D9" s="277">
        <v>38935532</v>
      </c>
      <c r="E9" s="277">
        <v>1730803</v>
      </c>
      <c r="H9" s="276" t="s">
        <v>223</v>
      </c>
      <c r="I9" s="276"/>
      <c r="J9" s="277">
        <v>38735532</v>
      </c>
      <c r="K9" s="277">
        <v>38335532</v>
      </c>
      <c r="L9" s="277">
        <v>-400000</v>
      </c>
    </row>
    <row r="10" spans="1:12">
      <c r="A10" s="278"/>
      <c r="B10" s="278"/>
      <c r="C10" s="278"/>
      <c r="D10" s="278"/>
      <c r="E10" s="278"/>
      <c r="H10" s="278"/>
      <c r="I10" s="278"/>
      <c r="J10" s="278"/>
      <c r="K10" s="278"/>
      <c r="L10" s="278"/>
    </row>
    <row r="11" spans="1:12">
      <c r="A11" s="272" t="s">
        <v>33</v>
      </c>
      <c r="B11" s="272" t="s">
        <v>32</v>
      </c>
      <c r="C11" s="273">
        <v>8062842</v>
      </c>
      <c r="D11" s="273">
        <v>8062842</v>
      </c>
      <c r="E11" s="273">
        <v>0</v>
      </c>
      <c r="H11" s="272" t="s">
        <v>33</v>
      </c>
      <c r="I11" s="272" t="s">
        <v>32</v>
      </c>
      <c r="J11" s="273">
        <v>8062842</v>
      </c>
      <c r="K11" s="273">
        <v>8062842</v>
      </c>
      <c r="L11" s="273">
        <v>0</v>
      </c>
    </row>
    <row r="12" spans="1:12">
      <c r="A12" s="272" t="s">
        <v>35</v>
      </c>
      <c r="B12" s="272" t="s">
        <v>34</v>
      </c>
      <c r="C12" s="273">
        <v>492612</v>
      </c>
      <c r="D12" s="273">
        <v>492612</v>
      </c>
      <c r="E12" s="273">
        <v>0</v>
      </c>
      <c r="H12" s="272" t="s">
        <v>35</v>
      </c>
      <c r="I12" s="272" t="s">
        <v>34</v>
      </c>
      <c r="J12" s="273">
        <v>492612</v>
      </c>
      <c r="K12" s="273">
        <v>492612</v>
      </c>
      <c r="L12" s="273">
        <v>0</v>
      </c>
    </row>
    <row r="13" spans="1:12">
      <c r="A13" s="272" t="s">
        <v>37</v>
      </c>
      <c r="B13" s="272" t="s">
        <v>36</v>
      </c>
      <c r="C13" s="274">
        <v>24649327</v>
      </c>
      <c r="D13" s="275">
        <v>23200000</v>
      </c>
      <c r="E13" s="274">
        <v>-1449327</v>
      </c>
      <c r="H13" s="272" t="s">
        <v>37</v>
      </c>
      <c r="I13" s="272" t="s">
        <v>36</v>
      </c>
      <c r="J13" s="275">
        <v>21800000</v>
      </c>
      <c r="K13" s="275">
        <v>20500000</v>
      </c>
      <c r="L13" s="274">
        <v>-1300000</v>
      </c>
    </row>
    <row r="14" spans="1:12">
      <c r="A14" s="276" t="s">
        <v>224</v>
      </c>
      <c r="B14" s="276"/>
      <c r="C14" s="277">
        <v>33204781</v>
      </c>
      <c r="D14" s="277">
        <v>31755454</v>
      </c>
      <c r="E14" s="277">
        <v>-1449327</v>
      </c>
      <c r="H14" s="276" t="s">
        <v>224</v>
      </c>
      <c r="I14" s="276"/>
      <c r="J14" s="277">
        <v>30355454</v>
      </c>
      <c r="K14" s="277">
        <v>29055454</v>
      </c>
      <c r="L14" s="277">
        <v>-1300000</v>
      </c>
    </row>
    <row r="15" spans="1:12">
      <c r="A15" s="276"/>
      <c r="B15" s="276"/>
      <c r="C15" s="277"/>
      <c r="D15" s="277"/>
      <c r="E15" s="277"/>
      <c r="H15" s="276"/>
      <c r="I15" s="276"/>
      <c r="J15" s="277"/>
      <c r="K15" s="277"/>
      <c r="L15" s="277"/>
    </row>
    <row r="16" spans="1:12">
      <c r="A16" s="276"/>
      <c r="B16" s="276" t="s">
        <v>203</v>
      </c>
      <c r="C16" s="277">
        <v>70409510</v>
      </c>
      <c r="D16" s="277">
        <v>70690986</v>
      </c>
      <c r="E16" s="277">
        <v>281476</v>
      </c>
      <c r="H16" s="276"/>
      <c r="I16" s="276" t="s">
        <v>203</v>
      </c>
      <c r="J16" s="277">
        <v>69090986</v>
      </c>
      <c r="K16" s="277">
        <v>67390986</v>
      </c>
      <c r="L16" s="277">
        <v>-1700000</v>
      </c>
    </row>
    <row r="17" spans="1:12">
      <c r="A17" s="278"/>
      <c r="B17" s="278" t="s">
        <v>225</v>
      </c>
      <c r="C17" s="279">
        <v>0.57579999999999998</v>
      </c>
      <c r="D17" s="279">
        <v>0.57579999999999998</v>
      </c>
      <c r="E17" s="279">
        <v>0.57579999999999998</v>
      </c>
      <c r="H17" s="278"/>
      <c r="I17" s="278" t="s">
        <v>225</v>
      </c>
      <c r="J17" s="279">
        <v>0.57579999999999998</v>
      </c>
      <c r="K17" s="279">
        <v>0.57579999999999998</v>
      </c>
      <c r="L17" s="279">
        <v>0.57579999999999998</v>
      </c>
    </row>
    <row r="18" spans="1:12">
      <c r="A18" s="278"/>
      <c r="B18" s="278" t="s">
        <v>226</v>
      </c>
      <c r="C18" s="280">
        <v>40541796</v>
      </c>
      <c r="D18" s="280">
        <v>40703870</v>
      </c>
      <c r="E18" s="280">
        <v>162074</v>
      </c>
      <c r="H18" s="278"/>
      <c r="I18" s="278" t="s">
        <v>226</v>
      </c>
      <c r="J18" s="280">
        <v>39782590</v>
      </c>
      <c r="K18" s="280">
        <v>38803730</v>
      </c>
      <c r="L18" s="280">
        <v>-978860</v>
      </c>
    </row>
    <row r="19" spans="1:12">
      <c r="H19" s="278"/>
      <c r="I19" s="278"/>
      <c r="J19" s="280">
        <v>39782590</v>
      </c>
      <c r="K19" s="278"/>
      <c r="L19" s="27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Exhibit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3453CC-D1FB-4E8F-B478-F7A4BBE55F3D}">
  <ds:schemaRefs>
    <ds:schemaRef ds:uri="dc463f71-b30c-4ab2-9473-d307f9d35888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7F2655-982F-4B95-B153-5DC879B2BF95}"/>
</file>

<file path=customXml/itemProps3.xml><?xml version="1.0" encoding="utf-8"?>
<ds:datastoreItem xmlns:ds="http://schemas.openxmlformats.org/officeDocument/2006/customXml" ds:itemID="{E8783F61-644F-4983-A364-825B40B3F484}"/>
</file>

<file path=customXml/itemProps4.xml><?xml version="1.0" encoding="utf-8"?>
<ds:datastoreItem xmlns:ds="http://schemas.openxmlformats.org/officeDocument/2006/customXml" ds:itemID="{781253CC-3750-4530-80D7-5FAA7ABF2A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Lead Sheet Electric</vt:lpstr>
      <vt:lpstr>Lead Sheet Gas</vt:lpstr>
      <vt:lpstr>Medical</vt:lpstr>
      <vt:lpstr>5-Y historical data </vt:lpstr>
      <vt:lpstr>UE-140188 Pension &amp; Medical</vt:lpstr>
      <vt:lpstr>UE-150204 Pension &amp; Medical</vt:lpstr>
      <vt:lpstr>UE-160228 Retirement</vt:lpstr>
      <vt:lpstr>UE-170485 Pension and Medical</vt:lpstr>
      <vt:lpstr>'5-Y historical data '!Print_Area</vt:lpstr>
      <vt:lpstr>'Lead Sheet Electric'!Print_Area</vt:lpstr>
      <vt:lpstr>'Lead Sheet Gas'!Print_Area</vt:lpstr>
      <vt:lpstr>Medical!Print_Area</vt:lpstr>
      <vt:lpstr>'UE-140188 Pension &amp; Medical'!Print_Area</vt:lpstr>
      <vt:lpstr>'UE-150204 Pension &amp; Medical'!Print_Area</vt:lpstr>
      <vt:lpstr>'UE-140188 Pension &amp; Medical'!Print_Titles</vt:lpstr>
      <vt:lpstr>'UE-150204 Pension &amp; Medical'!Print_Titles</vt:lpstr>
      <vt:lpstr>'UE-160228 Retirement'!Print_Titles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Huang, Joanna (UTC)</dc:creator>
  <dc:description/>
  <cp:lastModifiedBy>Brewster, Stacey (UTC)</cp:lastModifiedBy>
  <cp:lastPrinted>2019-10-03T13:51:52Z</cp:lastPrinted>
  <dcterms:created xsi:type="dcterms:W3CDTF">2019-08-28T17:37:08Z</dcterms:created>
  <dcterms:modified xsi:type="dcterms:W3CDTF">2020-03-30T16:35:17Z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EfsecDocumentType">
    <vt:lpwstr>Documents</vt:lpwstr>
  </property>
  <property fmtid="{D5CDD505-2E9C-101B-9397-08002B2CF9AE}" pid="4" name="IsOfficialRecord">
    <vt:bool>false</vt:bool>
  </property>
  <property fmtid="{D5CDD505-2E9C-101B-9397-08002B2CF9AE}" pid="5" name="IsVisibleToEfsecCouncil">
    <vt:bool>false</vt:bool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