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85" activeTab="0"/>
  </bookViews>
  <sheets>
    <sheet name="Summary" sheetId="1" r:id="rId1"/>
    <sheet name="Cost Calculation" sheetId="2" r:id="rId2"/>
    <sheet name="Truck Counts" sheetId="3" r:id="rId3"/>
    <sheet name="Admin costs" sheetId="4" r:id="rId4"/>
    <sheet name="Truck shop - new" sheetId="5" r:id="rId5"/>
    <sheet name="1150 3rd Ave - Comm" sheetId="6" r:id="rId6"/>
    <sheet name="950 3rd Ave - Cov. Parking" sheetId="7" r:id="rId7"/>
    <sheet name="1150 3rd Ave - Out. Parking" sheetId="8" r:id="rId8"/>
    <sheet name="warehouse" sheetId="9" r:id="rId9"/>
    <sheet name="4 Parcels N. of MRF" sheetId="10" r:id="rId10"/>
    <sheet name="657 W. Scott - Woodland" sheetId="11" r:id="rId11"/>
    <sheet name="Boneyard Imp" sheetId="12" r:id="rId12"/>
  </sheets>
  <externalReferences>
    <externalReference r:id="rId15"/>
    <externalReference r:id="rId16"/>
  </externalReferences>
  <definedNames>
    <definedName name="_xlnm.Print_Area" localSheetId="1">'Cost Calculation'!$A$1:$Q$156</definedName>
    <definedName name="_xlnm.Print_Area" localSheetId="0">'Summary'!$A$1:$D$39</definedName>
    <definedName name="_xlnm.Print_Titles" localSheetId="11">'Boneyard Imp'!$3:$3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b/>
            <sz val="9"/>
            <rFont val="Tahoma"/>
            <family val="2"/>
          </rPr>
          <t>WCI:</t>
        </r>
        <r>
          <rPr>
            <sz val="9"/>
            <rFont val="Tahoma"/>
            <family val="2"/>
          </rPr>
          <t xml:space="preserve">
Used rate of return from Bremerton Kitsap case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N67" authorId="0">
      <text>
        <r>
          <rPr>
            <b/>
            <sz val="16"/>
            <rFont val="Tahoma"/>
            <family val="2"/>
          </rPr>
          <t>Author:</t>
        </r>
        <r>
          <rPr>
            <sz val="16"/>
            <rFont val="Tahoma"/>
            <family val="2"/>
          </rPr>
          <t xml:space="preserve">
Staff changed formula to =M67*12 (which makes the calculation consistnet with other new additions). No change to the product.
WCI formula =E67/15</t>
        </r>
      </text>
    </comment>
    <comment ref="E151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WCI's estimate related to the use of the rented assets</t>
        </r>
      </text>
    </comment>
    <comment ref="E15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WCI's estimate related to the use of the rented assets</t>
        </r>
      </text>
    </comment>
    <comment ref="E15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WCI's estimate related to the use of the rented assets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10" authorId="0">
      <text>
        <r>
          <rPr>
            <b/>
            <sz val="9"/>
            <rFont val="Tahoma"/>
            <family val="2"/>
          </rPr>
          <t>WCI:</t>
        </r>
        <r>
          <rPr>
            <sz val="9"/>
            <rFont val="Tahoma"/>
            <family val="2"/>
          </rPr>
          <t xml:space="preserve">
Per Heirborne general ledger, 2 accounts make up bank charges</t>
        </r>
      </text>
    </comment>
    <comment ref="C14" authorId="0">
      <text>
        <r>
          <rPr>
            <b/>
            <sz val="9"/>
            <rFont val="Tahoma"/>
            <family val="2"/>
          </rPr>
          <t>WCI:</t>
        </r>
        <r>
          <rPr>
            <sz val="9"/>
            <rFont val="Tahoma"/>
            <family val="2"/>
          </rPr>
          <t xml:space="preserve">
Total rents received from affiliated companies per general ledger. Agrees to company provided income statement for test period.</t>
        </r>
      </text>
    </comment>
    <comment ref="C34" authorId="0">
      <text>
        <r>
          <rPr>
            <b/>
            <sz val="9"/>
            <rFont val="Tahoma"/>
            <family val="2"/>
          </rPr>
          <t>WCI:</t>
        </r>
        <r>
          <rPr>
            <sz val="9"/>
            <rFont val="Tahoma"/>
            <family val="2"/>
          </rPr>
          <t xml:space="preserve">
Agrees to total rent income per HB II company submitted financial statement.</t>
        </r>
      </text>
    </comment>
  </commentList>
</comments>
</file>

<file path=xl/sharedStrings.xml><?xml version="1.0" encoding="utf-8"?>
<sst xmlns="http://schemas.openxmlformats.org/spreadsheetml/2006/main" count="882" uniqueCount="307">
  <si>
    <t>Woodland</t>
  </si>
  <si>
    <t>Slabs next to sidewalk/fence</t>
  </si>
  <si>
    <t>Concrete</t>
  </si>
  <si>
    <t>LAND</t>
  </si>
  <si>
    <t>Leasehold Improvements</t>
  </si>
  <si>
    <t>OFFICE REMODEL</t>
  </si>
  <si>
    <t>PAVING &amp; LOT WORK</t>
  </si>
  <si>
    <t>OFFICE CONSTRUCTION</t>
  </si>
  <si>
    <t>BUILDING IMPROVEMENTS</t>
  </si>
  <si>
    <t>OFFICE CARPET</t>
  </si>
  <si>
    <t>BUILDING ADD/PARKING L</t>
  </si>
  <si>
    <t>Rolly's office construction</t>
  </si>
  <si>
    <t>TOOL ROOM</t>
  </si>
  <si>
    <t>BONEYARD IMPROVEMENTS</t>
  </si>
  <si>
    <t>Office Remodel</t>
  </si>
  <si>
    <t>Wood Blinds/Carbets J &amp; K Offices/Wallpaper</t>
  </si>
  <si>
    <t>Conf. Blinds/Porcelain Tiles/Wallpaper Lounge</t>
  </si>
  <si>
    <t>Wash Rack Construction</t>
  </si>
  <si>
    <t>Water/Oil Seperator - Wash Rack</t>
  </si>
  <si>
    <t>Water/Oil Seperator</t>
  </si>
  <si>
    <t>Continue Remodel of Downstairs office</t>
  </si>
  <si>
    <t>Remodel Larry's office and Pat's</t>
  </si>
  <si>
    <t>Pour concrete</t>
  </si>
  <si>
    <t>Siding on Shop Building</t>
  </si>
  <si>
    <t>610 Series Rolling Door</t>
  </si>
  <si>
    <t>Wash Rack Roof Cover</t>
  </si>
  <si>
    <t>Sprinkler Improvements</t>
  </si>
  <si>
    <t>Sprinkler System Upgrade</t>
  </si>
  <si>
    <t>Chain Link Fence</t>
  </si>
  <si>
    <t>Concrete at Woodland Boneyard</t>
  </si>
  <si>
    <t>Concrete at Woodland boneyard</t>
  </si>
  <si>
    <t>Oil Separators at Woodland Boneyard</t>
  </si>
  <si>
    <t>Woodland improvements - rock, driveway</t>
  </si>
  <si>
    <t>PARKING LIGHTS</t>
  </si>
  <si>
    <t>LEASEHOLD IMPROVEMENTS</t>
  </si>
  <si>
    <t>Remodel Upstairs Office Area</t>
  </si>
  <si>
    <t>Start Upstairs Remodeling</t>
  </si>
  <si>
    <t>Upstairs Office Remodel (Joe &amp; Kevin)</t>
  </si>
  <si>
    <t>Continue remodel of Joe/Kevin Office, start new</t>
  </si>
  <si>
    <t>Continue Remodel of 2 Office areas Upstairs</t>
  </si>
  <si>
    <t>Finish up Joe &amp; Kevin's offices, Continue Remodel</t>
  </si>
  <si>
    <t>Continue remodel on Trish's office and 2nd office</t>
  </si>
  <si>
    <t>Continue Upstairs Remodel of office spaces</t>
  </si>
  <si>
    <t>Start remodel of conference room upstairs</t>
  </si>
  <si>
    <t>Continuation of Upstairs Remodel of Main Office</t>
  </si>
  <si>
    <t>Water Oil Seperator - Boneyard</t>
  </si>
  <si>
    <t>Remodel Downstairs office/ start mech bathroom</t>
  </si>
  <si>
    <t>Remodel-Porcelain Floor Tile</t>
  </si>
  <si>
    <t>Remodel Mechanics Bathroom/2 downstrs bthrm</t>
  </si>
  <si>
    <t>Remodel of 2 Downstairs Bathrooms</t>
  </si>
  <si>
    <t>Continue downstairs office/bathroom remodel</t>
  </si>
  <si>
    <t>Continue construction of new Wash Bay</t>
  </si>
  <si>
    <t>Remodel work on Offices, Larry L office</t>
  </si>
  <si>
    <t>Install Carpeting</t>
  </si>
  <si>
    <t>Concrete work on Wash Bay</t>
  </si>
  <si>
    <t>Wash Bay Construction</t>
  </si>
  <si>
    <t>Extend Dry System Wash Rack</t>
  </si>
  <si>
    <t>Wash Rack Roof</t>
  </si>
  <si>
    <t>Oil/Water Separator</t>
  </si>
  <si>
    <t>Slab work on Wash Bay</t>
  </si>
  <si>
    <t>Improvement to Fire sprinkler offices in shop</t>
  </si>
  <si>
    <t>Street drainage line/Curbs finish concrete</t>
  </si>
  <si>
    <t>Concrete - Woodland Boneyard</t>
  </si>
  <si>
    <t>Rebar and pour concrete - Woodland Boneyard</t>
  </si>
  <si>
    <t>Oil separators at Woodland Boneyard</t>
  </si>
  <si>
    <t>Woodland - Rock, driveway</t>
  </si>
  <si>
    <t>Boneyard Improvements</t>
  </si>
  <si>
    <t>Land - Boneyard</t>
  </si>
  <si>
    <t>Cytec Property</t>
  </si>
  <si>
    <t>Cytec Land</t>
  </si>
  <si>
    <t>Paving on Dike - south end</t>
  </si>
  <si>
    <t>Paving on Dike - north end</t>
  </si>
  <si>
    <t>Woodland Land</t>
  </si>
  <si>
    <t>Fence Woodland Property</t>
  </si>
  <si>
    <t>Improvements on Woodland Property</t>
  </si>
  <si>
    <t>Paving Woodland Property</t>
  </si>
  <si>
    <t>Water/Oil Seperator - Boneyard</t>
  </si>
  <si>
    <t>Finish Remodel on Shop Bathroom</t>
  </si>
  <si>
    <t>Continue Remodel Downstairs Offices</t>
  </si>
  <si>
    <t>Start Construction on new Wash Rack</t>
  </si>
  <si>
    <t>Water Seperator - Wash Rack</t>
  </si>
  <si>
    <t>Finish up framing retaining wall-Wash Rack</t>
  </si>
  <si>
    <t>Monthly</t>
  </si>
  <si>
    <t>Depreciable Cost</t>
  </si>
  <si>
    <t>Owner</t>
  </si>
  <si>
    <t>Heirborne Investments LLC</t>
  </si>
  <si>
    <t>Parcel</t>
  </si>
  <si>
    <t>Debt</t>
  </si>
  <si>
    <t>Equity</t>
  </si>
  <si>
    <t>Cost of Debt</t>
  </si>
  <si>
    <t>10015, 10028, 1002602, 10020604</t>
  </si>
  <si>
    <t>Parcels</t>
  </si>
  <si>
    <t>Covered Parking</t>
  </si>
  <si>
    <t>Property</t>
  </si>
  <si>
    <t>Total Annual Rent Expense</t>
  </si>
  <si>
    <t/>
  </si>
  <si>
    <t>Waste Control, Inc.</t>
  </si>
  <si>
    <t>Affiliated Rent</t>
  </si>
  <si>
    <t>Average Investment Calculation</t>
  </si>
  <si>
    <t>First Year</t>
  </si>
  <si>
    <t>Second Year</t>
  </si>
  <si>
    <t>Mo</t>
  </si>
  <si>
    <t>Yr</t>
  </si>
  <si>
    <t>Asset Description</t>
  </si>
  <si>
    <t>Date in Service</t>
  </si>
  <si>
    <t>Original Asset Cost</t>
  </si>
  <si>
    <t>Salvage Value</t>
  </si>
  <si>
    <t>Service Life</t>
  </si>
  <si>
    <t>Fully Depreciated</t>
  </si>
  <si>
    <t>Asset Disposal</t>
  </si>
  <si>
    <t>Test Year Depreciation</t>
  </si>
  <si>
    <t>Accumulated Depreciation</t>
  </si>
  <si>
    <t>Average Investment</t>
  </si>
  <si>
    <t>Disposal Year Depreciation</t>
  </si>
  <si>
    <t>Total Year Depreciation</t>
  </si>
  <si>
    <t xml:space="preserve"> Department Allocation</t>
  </si>
  <si>
    <t>Total Allocated Year Depreciation</t>
  </si>
  <si>
    <t>Branch Allocation</t>
  </si>
  <si>
    <t>Allocated Accumulated Depreciation</t>
  </si>
  <si>
    <t>Purchase Date</t>
  </si>
  <si>
    <t>End of Test Period</t>
  </si>
  <si>
    <t>Date Fully Depreciated</t>
  </si>
  <si>
    <t>Beging of Test Period</t>
  </si>
  <si>
    <t>Disposition Date</t>
  </si>
  <si>
    <t>List</t>
  </si>
  <si>
    <t>$</t>
  </si>
  <si>
    <t>%</t>
  </si>
  <si>
    <t>Yrs</t>
  </si>
  <si>
    <t>Yearly</t>
  </si>
  <si>
    <t>Beginning</t>
  </si>
  <si>
    <t>Ending</t>
  </si>
  <si>
    <t>A</t>
  </si>
  <si>
    <t>B</t>
  </si>
  <si>
    <t>C</t>
  </si>
  <si>
    <t>D</t>
  </si>
  <si>
    <t>E</t>
  </si>
  <si>
    <t>1150 3rd Ave - Commercial</t>
  </si>
  <si>
    <t>Total 1150 3rd Ave - Commercial</t>
  </si>
  <si>
    <t>950 3rd Ave*</t>
  </si>
  <si>
    <t>Total 950 3rd Ave</t>
  </si>
  <si>
    <t>1150 3rd Ave - outside parking/wash station</t>
  </si>
  <si>
    <t>Total 1150 3rd Ave - outside parking/washing stations</t>
  </si>
  <si>
    <t>Storage Parcels</t>
  </si>
  <si>
    <t>4 Parcels North of MRF</t>
  </si>
  <si>
    <t>Total Storage Parcels</t>
  </si>
  <si>
    <t>Total Woodland</t>
  </si>
  <si>
    <t>Total Assets</t>
  </si>
  <si>
    <t>Total</t>
  </si>
  <si>
    <t>Allocation based on Property Tax</t>
  </si>
  <si>
    <t>Total Allocated Assets</t>
  </si>
  <si>
    <t>HBI</t>
  </si>
  <si>
    <t>Warehouse</t>
  </si>
  <si>
    <t>Land</t>
  </si>
  <si>
    <t>Remodel</t>
  </si>
  <si>
    <t>Paving</t>
  </si>
  <si>
    <t>Heirborne Investments II LLC</t>
  </si>
  <si>
    <t>HB II Shared Costs</t>
  </si>
  <si>
    <t>HB Shared Costs:</t>
  </si>
  <si>
    <t>Professional Fees</t>
  </si>
  <si>
    <t>Insurance</t>
  </si>
  <si>
    <t>Bank Charges</t>
  </si>
  <si>
    <t>Allocated</t>
  </si>
  <si>
    <t>Repairs &amp; Maint</t>
  </si>
  <si>
    <t>Property Taxes</t>
  </si>
  <si>
    <t>Utilities</t>
  </si>
  <si>
    <t>Professional fees</t>
  </si>
  <si>
    <t>Amort loan fees</t>
  </si>
  <si>
    <t>Allocated costs HB</t>
  </si>
  <si>
    <t>Allocated costs HB II</t>
  </si>
  <si>
    <t xml:space="preserve"> Mo</t>
  </si>
  <si>
    <t xml:space="preserve">  Yr</t>
  </si>
  <si>
    <t>Depreciation allowed</t>
  </si>
  <si>
    <t>yes</t>
  </si>
  <si>
    <t>no</t>
  </si>
  <si>
    <t>Operating costs allowed</t>
  </si>
  <si>
    <t>Assessed values used for return</t>
  </si>
  <si>
    <t>Cost of debt</t>
  </si>
  <si>
    <t>Combined capital structure used</t>
  </si>
  <si>
    <t>Equity percentage</t>
  </si>
  <si>
    <t>Return on equity percentage</t>
  </si>
  <si>
    <t>Debt percentage</t>
  </si>
  <si>
    <t>asset specific</t>
  </si>
  <si>
    <t>add back newly rented items</t>
  </si>
  <si>
    <t>Adjusted rent as allowed in prior case</t>
  </si>
  <si>
    <t>Office Addition</t>
  </si>
  <si>
    <t>portion of office building remodel omitted from orginal amounts provided</t>
  </si>
  <si>
    <t>Excess (Disallowed) Rent</t>
  </si>
  <si>
    <t>1150 3rd Ave (Main office)</t>
  </si>
  <si>
    <t>950 3rd Avenue (Covered Parking)</t>
  </si>
  <si>
    <t>Stanley Plaza Painting facility</t>
  </si>
  <si>
    <t>HB Depreciation</t>
  </si>
  <si>
    <t>HB II Depreciation</t>
  </si>
  <si>
    <t>River Road (Cart &amp; container storage)</t>
  </si>
  <si>
    <t>1150 3rd Ave (Emp parking, wash bay)</t>
  </si>
  <si>
    <t>Explanation of methodology:</t>
  </si>
  <si>
    <t>Woodland storage</t>
  </si>
  <si>
    <t>Total rents per Heirborne</t>
  </si>
  <si>
    <t>Total rents HB II</t>
  </si>
  <si>
    <t>Land Rent Calculation</t>
  </si>
  <si>
    <t>Account ID</t>
  </si>
  <si>
    <t>Account Description</t>
  </si>
  <si>
    <t>Date</t>
  </si>
  <si>
    <t>Reference</t>
  </si>
  <si>
    <t>Jrnl</t>
  </si>
  <si>
    <t>Trans Description</t>
  </si>
  <si>
    <t>Debit Amt</t>
  </si>
  <si>
    <t>Credit Amt</t>
  </si>
  <si>
    <t>Balance</t>
  </si>
  <si>
    <t>244</t>
  </si>
  <si>
    <t>CWIP - (Back Enterence)</t>
  </si>
  <si>
    <t>Beginning Balance</t>
  </si>
  <si>
    <t>Fiscal Year End Balance</t>
  </si>
  <si>
    <t>3171</t>
  </si>
  <si>
    <t>CDJ</t>
  </si>
  <si>
    <t>DAVID EVANS &amp; ASSOCIATES INC. - Construction surveying staking - Railroad activity</t>
  </si>
  <si>
    <t>Survey RR line</t>
  </si>
  <si>
    <t>3172</t>
  </si>
  <si>
    <t>RAILWORKS TRACK SYSTEMS - Install steel Tie Track (switch)</t>
  </si>
  <si>
    <t>Tie track</t>
  </si>
  <si>
    <t>Current Period Change</t>
  </si>
  <si>
    <t>Const Entry - 1</t>
  </si>
  <si>
    <t>GENJ</t>
  </si>
  <si>
    <t>Move activity to expense account - Rail Work</t>
  </si>
  <si>
    <t>CWIP Adjustment</t>
  </si>
  <si>
    <t>Concrete activity - Back Employee enterance (Calportland)</t>
  </si>
  <si>
    <t>Back entrance for trucks - Boneyard</t>
  </si>
  <si>
    <t>3182</t>
  </si>
  <si>
    <t>HI-MARK CONCRETE - Poor Rail Slab - Back entrance</t>
  </si>
  <si>
    <t>3183</t>
  </si>
  <si>
    <t>CAL-PORTLAND - Approach to concrete back entrance</t>
  </si>
  <si>
    <t>3185</t>
  </si>
  <si>
    <t>CONSTRUCTION SPECIALTY - Materials for work on Back entrance job</t>
  </si>
  <si>
    <t>CWIP Entry - 1</t>
  </si>
  <si>
    <t>Reverse activity back into CWIP</t>
  </si>
  <si>
    <t>2012BD09</t>
  </si>
  <si>
    <t>Work on back entrance for trucks</t>
  </si>
  <si>
    <t>3202</t>
  </si>
  <si>
    <t>COWLITZ FENCE - Fencing for project</t>
  </si>
  <si>
    <t>Fencing back lot area boneyard</t>
  </si>
  <si>
    <t>keeping ZINC out</t>
  </si>
  <si>
    <t>CWIP Entry</t>
  </si>
  <si>
    <t>RB Engineering - Dike Wall</t>
  </si>
  <si>
    <t>boneyard project reenginerring and grading</t>
  </si>
  <si>
    <t>stormwater</t>
  </si>
  <si>
    <t>3304</t>
  </si>
  <si>
    <t>JL STOREDAHL - rock</t>
  </si>
  <si>
    <t>3306</t>
  </si>
  <si>
    <t>ELLINGHAUS BUILDING MAINT. - framing curbs - rail hard</t>
  </si>
  <si>
    <t>Curbing and landscaping boneyard</t>
  </si>
  <si>
    <t>HB - 3249 - 1</t>
  </si>
  <si>
    <t>Proceeds from sale of old rail from old CWIP</t>
  </si>
  <si>
    <t>stormwater required</t>
  </si>
  <si>
    <t>CWIP - Entry</t>
  </si>
  <si>
    <t>RB Engineering - Dike Wall/Regrading</t>
  </si>
  <si>
    <t>3314</t>
  </si>
  <si>
    <t>GREGS GARDENS - Grounds keeping out in the bone yard</t>
  </si>
  <si>
    <t>3318</t>
  </si>
  <si>
    <t>ELLINGHAUS BUILDING MAINT. - Framing for concrete - bone yard</t>
  </si>
  <si>
    <t>3337</t>
  </si>
  <si>
    <t>ELLINGHAUS BUILDING MAINT. - concrete work - back entrance area</t>
  </si>
  <si>
    <t>3342</t>
  </si>
  <si>
    <t>ELLINGHAUS BUILDING MAINT. - Framing</t>
  </si>
  <si>
    <t>3343</t>
  </si>
  <si>
    <t>COWLITZ FENCE - Fencing activity - back entrance shop</t>
  </si>
  <si>
    <t>Ending Balance</t>
  </si>
  <si>
    <t>Boneyard improvments 2013</t>
  </si>
  <si>
    <t xml:space="preserve">per Operations - Total test year rents </t>
  </si>
  <si>
    <t>WCI rent paid to HB during test year</t>
  </si>
  <si>
    <t>WCI rent paid to HB II during test year</t>
  </si>
  <si>
    <t>Office building purchased</t>
  </si>
  <si>
    <t>Proforma adjustments</t>
  </si>
  <si>
    <t>Truck Shop Land</t>
  </si>
  <si>
    <t>Truck Shop Building</t>
  </si>
  <si>
    <t>Truck Shop concrete and paving</t>
  </si>
  <si>
    <t>Truck Shop Fence</t>
  </si>
  <si>
    <t>Allocation based on Trucks</t>
  </si>
  <si>
    <t xml:space="preserve">Truck Shop depreciation </t>
  </si>
  <si>
    <t>Debt specific</t>
  </si>
  <si>
    <t>Truck Shop</t>
  </si>
  <si>
    <t>Allocation Covered parking</t>
  </si>
  <si>
    <t>Allocation Boneyard Improvements</t>
  </si>
  <si>
    <t>Truck Shop Allocation</t>
  </si>
  <si>
    <t>WCI</t>
  </si>
  <si>
    <t>WCE</t>
  </si>
  <si>
    <t>WCR</t>
  </si>
  <si>
    <t>(5 new since test period)</t>
  </si>
  <si>
    <t>Staff Calculated Return on equity percentage</t>
  </si>
  <si>
    <t>Equity percentage 2013</t>
  </si>
  <si>
    <t>Debt percentage 2013</t>
  </si>
  <si>
    <t>Cost of debt 2013</t>
  </si>
  <si>
    <t>HBII</t>
  </si>
  <si>
    <t>Diff in Company and Staff position</t>
  </si>
  <si>
    <t>Total Company</t>
  </si>
  <si>
    <t>Market</t>
  </si>
  <si>
    <t>12 months of Depr during the rate year</t>
  </si>
  <si>
    <t>Additional new assets placed into service</t>
  </si>
  <si>
    <t>12 mo</t>
  </si>
  <si>
    <t>WCI calculation</t>
  </si>
  <si>
    <t>Source of calculated hardcodes from JD-43  Land Rents Schedule-Revised.xls, filed by WCI on August 20, 2014.</t>
  </si>
  <si>
    <t>Annual Calculated  Return</t>
  </si>
  <si>
    <t>Source of data from each companies asset records</t>
  </si>
  <si>
    <t>Includible Boneyard Improvements</t>
  </si>
  <si>
    <t>Applied Industries</t>
  </si>
  <si>
    <t>Source of HB and HB II admin. costs are per general ledger for test year</t>
  </si>
  <si>
    <t>Source of data from WCI truck count</t>
  </si>
  <si>
    <t>Staff Calculation</t>
  </si>
  <si>
    <t>Source of data from HBI general Ledger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</si>
</sst>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$&quot;#,##0"/>
    <numFmt numFmtId="167" formatCode="&quot;$&quot;#,##0.0"/>
    <numFmt numFmtId="168" formatCode="0.0%"/>
    <numFmt numFmtId="169" formatCode="_(&quot;$&quot;* #,##0_);_(&quot;$&quot;* \(#,##0\);_(&quot;$&quot;* &quot;-&quot;??_);_(@_)"/>
    <numFmt numFmtId="170" formatCode="_(* #,##0.00000_);_(* \(#,##0.00000\);_(* &quot;-&quot;?????_);_(@_)"/>
    <numFmt numFmtId="171" formatCode="[$-409]dddd\,\ mmmm\ d\,\ yyyy"/>
    <numFmt numFmtId="172" formatCode="m/d/yy"/>
    <numFmt numFmtId="173" formatCode="#,##0.00;\-#,##0.00;* ??"/>
    <numFmt numFmtId="174" formatCode="_(&quot;$&quot;* #,##0.0_);_(&quot;$&quot;* \(#,##0.0\);_(&quot;$&quot;* &quot;-&quot;??_);_(@_)"/>
  </numFmts>
  <fonts count="11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SWISS"/>
      <family val="0"/>
    </font>
    <font>
      <sz val="12"/>
      <name val="Helv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12"/>
      <name val="Calibri"/>
      <family val="2"/>
    </font>
    <font>
      <sz val="11"/>
      <color indexed="8"/>
      <name val="Times New Roman"/>
      <family val="2"/>
    </font>
    <font>
      <sz val="12"/>
      <name val="Calibri"/>
      <family val="2"/>
    </font>
    <font>
      <sz val="12"/>
      <name val="Cambria"/>
      <family val="1"/>
    </font>
    <font>
      <sz val="12"/>
      <color indexed="10"/>
      <name val="Cambria"/>
      <family val="1"/>
    </font>
    <font>
      <sz val="12"/>
      <color indexed="51"/>
      <name val="Calibri"/>
      <family val="2"/>
    </font>
    <font>
      <sz val="12"/>
      <color indexed="12"/>
      <name val="Calibri"/>
      <family val="2"/>
    </font>
    <font>
      <b/>
      <sz val="12"/>
      <name val="Cambria"/>
      <family val="1"/>
    </font>
    <font>
      <sz val="12"/>
      <color indexed="51"/>
      <name val="Cambria"/>
      <family val="1"/>
    </font>
    <font>
      <sz val="12"/>
      <color indexed="30"/>
      <name val="Times New Roman"/>
      <family val="1"/>
    </font>
    <font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2"/>
      <color indexed="51"/>
      <name val="Calibri"/>
      <family val="2"/>
    </font>
    <font>
      <b/>
      <sz val="12"/>
      <color indexed="10"/>
      <name val="Cambria"/>
      <family val="1"/>
    </font>
    <font>
      <b/>
      <sz val="12"/>
      <color indexed="51"/>
      <name val="Cambria"/>
      <family val="1"/>
    </font>
    <font>
      <b/>
      <sz val="12"/>
      <color indexed="63"/>
      <name val="Cambria"/>
      <family val="1"/>
    </font>
    <font>
      <sz val="12"/>
      <color indexed="36"/>
      <name val="Times New Roman"/>
      <family val="2"/>
    </font>
    <font>
      <sz val="11"/>
      <color indexed="36"/>
      <name val="Times New Roman"/>
      <family val="2"/>
    </font>
    <font>
      <sz val="10"/>
      <color indexed="36"/>
      <name val="Calibri"/>
      <family val="2"/>
    </font>
    <font>
      <b/>
      <sz val="11"/>
      <color indexed="36"/>
      <name val="Times New Roman"/>
      <family val="1"/>
    </font>
    <font>
      <b/>
      <i/>
      <sz val="11"/>
      <color indexed="36"/>
      <name val="Times New Roman"/>
      <family val="1"/>
    </font>
    <font>
      <b/>
      <sz val="12"/>
      <color indexed="36"/>
      <name val="Calibri"/>
      <family val="2"/>
    </font>
    <font>
      <sz val="9"/>
      <color indexed="8"/>
      <name val="Times New Roman"/>
      <family val="2"/>
    </font>
    <font>
      <b/>
      <sz val="12"/>
      <color indexed="36"/>
      <name val="Times New Roman"/>
      <family val="1"/>
    </font>
    <font>
      <b/>
      <sz val="12"/>
      <color indexed="36"/>
      <name val="Arial"/>
      <family val="2"/>
    </font>
    <font>
      <b/>
      <u val="single"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sz val="11"/>
      <color theme="1"/>
      <name val="Times New Roman"/>
      <family val="2"/>
    </font>
    <font>
      <sz val="12"/>
      <color rgb="FFE6AF00"/>
      <name val="Calibri"/>
      <family val="2"/>
    </font>
    <font>
      <sz val="12"/>
      <color rgb="FF0000FF"/>
      <name val="Calibri"/>
      <family val="2"/>
    </font>
    <font>
      <sz val="12"/>
      <color rgb="FFE6AF00"/>
      <name val="Cambria"/>
      <family val="1"/>
    </font>
    <font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E6AF00"/>
      <name val="Calibri"/>
      <family val="2"/>
    </font>
    <font>
      <b/>
      <sz val="12"/>
      <color rgb="FFE6AF00"/>
      <name val="Cambria"/>
      <family val="1"/>
    </font>
    <font>
      <b/>
      <sz val="12"/>
      <color theme="1" tint="0.24998000264167786"/>
      <name val="Cambria"/>
      <family val="1"/>
    </font>
    <font>
      <sz val="12"/>
      <color rgb="FF7030A0"/>
      <name val="Times New Roman"/>
      <family val="2"/>
    </font>
    <font>
      <sz val="11"/>
      <color rgb="FF7030A0"/>
      <name val="Times New Roman"/>
      <family val="2"/>
    </font>
    <font>
      <sz val="10"/>
      <color rgb="FF7030A0"/>
      <name val="Calibri"/>
      <family val="2"/>
    </font>
    <font>
      <b/>
      <sz val="11"/>
      <color rgb="FF7030A0"/>
      <name val="Times New Roman"/>
      <family val="1"/>
    </font>
    <font>
      <b/>
      <i/>
      <sz val="11"/>
      <color rgb="FF7030A0"/>
      <name val="Times New Roman"/>
      <family val="1"/>
    </font>
    <font>
      <b/>
      <sz val="12"/>
      <color rgb="FF7030A0"/>
      <name val="Calibri"/>
      <family val="2"/>
    </font>
    <font>
      <sz val="9"/>
      <color theme="1"/>
      <name val="Times New Roman"/>
      <family val="2"/>
    </font>
    <font>
      <b/>
      <sz val="12"/>
      <color rgb="FF7030A0"/>
      <name val="Times New Roman"/>
      <family val="1"/>
    </font>
    <font>
      <b/>
      <sz val="12"/>
      <color rgb="FF7030A0"/>
      <name val="Arial"/>
      <family val="2"/>
    </font>
    <font>
      <b/>
      <u val="single"/>
      <sz val="12"/>
      <color theme="1"/>
      <name val="Times New Roman"/>
      <family val="1"/>
    </font>
    <font>
      <sz val="12"/>
      <color rgb="FFFF0000"/>
      <name val="Cambria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86" fillId="0" borderId="0" xfId="0" applyFont="1" applyAlignment="1">
      <alignment/>
    </xf>
    <xf numFmtId="0" fontId="86" fillId="0" borderId="0" xfId="0" applyFont="1" applyFill="1" applyAlignment="1">
      <alignment horizontal="center"/>
    </xf>
    <xf numFmtId="0" fontId="87" fillId="0" borderId="0" xfId="0" applyFont="1" applyAlignment="1">
      <alignment/>
    </xf>
    <xf numFmtId="6" fontId="86" fillId="0" borderId="0" xfId="0" applyNumberFormat="1" applyFont="1" applyAlignment="1">
      <alignment horizontal="center"/>
    </xf>
    <xf numFmtId="166" fontId="86" fillId="0" borderId="0" xfId="0" applyNumberFormat="1" applyFont="1" applyAlignment="1">
      <alignment/>
    </xf>
    <xf numFmtId="4" fontId="86" fillId="0" borderId="0" xfId="0" applyNumberFormat="1" applyFont="1" applyAlignment="1">
      <alignment/>
    </xf>
    <xf numFmtId="0" fontId="86" fillId="0" borderId="10" xfId="0" applyFont="1" applyBorder="1" applyAlignment="1">
      <alignment/>
    </xf>
    <xf numFmtId="4" fontId="86" fillId="0" borderId="10" xfId="0" applyNumberFormat="1" applyFont="1" applyBorder="1" applyAlignment="1">
      <alignment/>
    </xf>
    <xf numFmtId="165" fontId="86" fillId="0" borderId="0" xfId="0" applyNumberFormat="1" applyFont="1" applyAlignment="1">
      <alignment/>
    </xf>
    <xf numFmtId="0" fontId="86" fillId="0" borderId="0" xfId="0" applyFont="1" applyFill="1" applyAlignment="1">
      <alignment horizontal="left"/>
    </xf>
    <xf numFmtId="0" fontId="36" fillId="33" borderId="11" xfId="67" applyFont="1" applyFill="1" applyBorder="1" applyAlignment="1">
      <alignment horizontal="center"/>
      <protection/>
    </xf>
    <xf numFmtId="0" fontId="84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0" fontId="88" fillId="0" borderId="0" xfId="0" applyFont="1" applyAlignment="1">
      <alignment/>
    </xf>
    <xf numFmtId="43" fontId="88" fillId="0" borderId="0" xfId="0" applyNumberFormat="1" applyFont="1" applyAlignment="1">
      <alignment/>
    </xf>
    <xf numFmtId="0" fontId="38" fillId="0" borderId="0" xfId="67" applyFont="1" applyAlignment="1">
      <alignment horizontal="left"/>
      <protection/>
    </xf>
    <xf numFmtId="0" fontId="36" fillId="0" borderId="0" xfId="65" applyFont="1" applyFill="1" applyAlignment="1" applyProtection="1">
      <alignment horizontal="left" vertical="center"/>
      <protection/>
    </xf>
    <xf numFmtId="0" fontId="38" fillId="0" borderId="0" xfId="67" applyFont="1">
      <alignment/>
      <protection/>
    </xf>
    <xf numFmtId="169" fontId="38" fillId="0" borderId="0" xfId="49" applyNumberFormat="1" applyFont="1" applyAlignment="1">
      <alignment/>
    </xf>
    <xf numFmtId="169" fontId="38" fillId="0" borderId="0" xfId="49" applyNumberFormat="1" applyFont="1" applyFill="1" applyAlignment="1">
      <alignment/>
    </xf>
    <xf numFmtId="9" fontId="38" fillId="0" borderId="0" xfId="70" applyFont="1" applyAlignment="1">
      <alignment/>
    </xf>
    <xf numFmtId="0" fontId="38" fillId="0" borderId="0" xfId="67" applyFont="1" applyAlignment="1">
      <alignment wrapText="1"/>
      <protection/>
    </xf>
    <xf numFmtId="169" fontId="38" fillId="0" borderId="0" xfId="49" applyNumberFormat="1" applyFont="1" applyAlignment="1">
      <alignment horizontal="left"/>
    </xf>
    <xf numFmtId="0" fontId="38" fillId="0" borderId="0" xfId="67" applyFont="1" applyAlignment="1" quotePrefix="1">
      <alignment/>
      <protection/>
    </xf>
    <xf numFmtId="0" fontId="39" fillId="0" borderId="11" xfId="67" applyFont="1" applyBorder="1" applyAlignment="1">
      <alignment horizontal="center"/>
      <protection/>
    </xf>
    <xf numFmtId="0" fontId="39" fillId="0" borderId="11" xfId="67" applyFont="1" applyFill="1" applyBorder="1" applyAlignment="1">
      <alignment horizontal="center"/>
      <protection/>
    </xf>
    <xf numFmtId="0" fontId="40" fillId="33" borderId="11" xfId="67" applyFont="1" applyFill="1" applyBorder="1" applyAlignment="1">
      <alignment horizontal="center"/>
      <protection/>
    </xf>
    <xf numFmtId="169" fontId="38" fillId="0" borderId="0" xfId="49" applyNumberFormat="1" applyFont="1" applyFill="1" applyAlignment="1">
      <alignment horizontal="center"/>
    </xf>
    <xf numFmtId="169" fontId="38" fillId="0" borderId="0" xfId="49" applyNumberFormat="1" applyFont="1" applyAlignment="1">
      <alignment horizontal="center"/>
    </xf>
    <xf numFmtId="0" fontId="38" fillId="0" borderId="0" xfId="67" applyFont="1" applyAlignment="1">
      <alignment horizontal="center"/>
      <protection/>
    </xf>
    <xf numFmtId="9" fontId="38" fillId="0" borderId="0" xfId="70" applyFont="1" applyAlignment="1">
      <alignment horizontal="center"/>
    </xf>
    <xf numFmtId="0" fontId="38" fillId="0" borderId="13" xfId="67" applyFont="1" applyBorder="1" applyAlignment="1">
      <alignment horizontal="center"/>
      <protection/>
    </xf>
    <xf numFmtId="169" fontId="38" fillId="0" borderId="14" xfId="49" applyNumberFormat="1" applyFont="1" applyBorder="1" applyAlignment="1">
      <alignment horizontal="center" wrapText="1"/>
    </xf>
    <xf numFmtId="0" fontId="38" fillId="0" borderId="14" xfId="67" applyFont="1" applyBorder="1" applyAlignment="1">
      <alignment horizontal="center" wrapText="1"/>
      <protection/>
    </xf>
    <xf numFmtId="169" fontId="38" fillId="0" borderId="14" xfId="48" applyNumberFormat="1" applyFont="1" applyBorder="1" applyAlignment="1">
      <alignment horizontal="center" wrapText="1"/>
    </xf>
    <xf numFmtId="0" fontId="38" fillId="33" borderId="11" xfId="67" applyFont="1" applyFill="1" applyBorder="1" applyAlignment="1">
      <alignment horizontal="center"/>
      <protection/>
    </xf>
    <xf numFmtId="169" fontId="38" fillId="33" borderId="11" xfId="49" applyNumberFormat="1" applyFont="1" applyFill="1" applyBorder="1" applyAlignment="1">
      <alignment horizontal="center" wrapText="1"/>
    </xf>
    <xf numFmtId="0" fontId="38" fillId="33" borderId="11" xfId="67" applyFont="1" applyFill="1" applyBorder="1" applyAlignment="1">
      <alignment horizontal="center" wrapText="1"/>
      <protection/>
    </xf>
    <xf numFmtId="0" fontId="38" fillId="0" borderId="11" xfId="67" applyFont="1" applyBorder="1" applyAlignment="1">
      <alignment horizontal="center"/>
      <protection/>
    </xf>
    <xf numFmtId="0" fontId="38" fillId="34" borderId="11" xfId="67" applyFont="1" applyFill="1" applyBorder="1" applyAlignment="1">
      <alignment horizontal="center"/>
      <protection/>
    </xf>
    <xf numFmtId="169" fontId="38" fillId="34" borderId="11" xfId="49" applyNumberFormat="1" applyFont="1" applyFill="1" applyBorder="1" applyAlignment="1">
      <alignment horizontal="center" wrapText="1"/>
    </xf>
    <xf numFmtId="169" fontId="38" fillId="0" borderId="11" xfId="49" applyNumberFormat="1" applyFont="1" applyBorder="1" applyAlignment="1">
      <alignment horizontal="center" wrapText="1"/>
    </xf>
    <xf numFmtId="169" fontId="38" fillId="0" borderId="11" xfId="49" applyNumberFormat="1" applyFont="1" applyBorder="1" applyAlignment="1">
      <alignment horizontal="center"/>
    </xf>
    <xf numFmtId="169" fontId="38" fillId="2" borderId="11" xfId="49" applyNumberFormat="1" applyFont="1" applyFill="1" applyBorder="1" applyAlignment="1">
      <alignment horizontal="center"/>
    </xf>
    <xf numFmtId="169" fontId="38" fillId="0" borderId="11" xfId="48" applyNumberFormat="1" applyFont="1" applyBorder="1" applyAlignment="1">
      <alignment horizontal="center" wrapText="1"/>
    </xf>
    <xf numFmtId="169" fontId="38" fillId="0" borderId="11" xfId="48" applyNumberFormat="1" applyFont="1" applyBorder="1" applyAlignment="1">
      <alignment horizontal="center"/>
    </xf>
    <xf numFmtId="0" fontId="38" fillId="0" borderId="0" xfId="67" applyFont="1" applyFill="1" applyAlignment="1">
      <alignment horizontal="center"/>
      <protection/>
    </xf>
    <xf numFmtId="0" fontId="9" fillId="0" borderId="0" xfId="67" applyFont="1" applyFill="1" applyAlignment="1">
      <alignment horizontal="left"/>
      <protection/>
    </xf>
    <xf numFmtId="0" fontId="38" fillId="0" borderId="0" xfId="67" applyFont="1" applyFill="1" applyAlignment="1">
      <alignment horizontal="left"/>
      <protection/>
    </xf>
    <xf numFmtId="9" fontId="38" fillId="0" borderId="0" xfId="70" applyFont="1" applyFill="1" applyAlignment="1">
      <alignment horizontal="center"/>
    </xf>
    <xf numFmtId="0" fontId="38" fillId="0" borderId="0" xfId="67" applyFont="1" applyFill="1">
      <alignment/>
      <protection/>
    </xf>
    <xf numFmtId="0" fontId="0" fillId="33" borderId="0" xfId="0" applyFont="1" applyFill="1" applyAlignment="1">
      <alignment/>
    </xf>
    <xf numFmtId="0" fontId="40" fillId="33" borderId="0" xfId="67" applyFont="1" applyFill="1" applyAlignment="1">
      <alignment horizontal="center"/>
      <protection/>
    </xf>
    <xf numFmtId="169" fontId="40" fillId="33" borderId="0" xfId="47" applyNumberFormat="1" applyFont="1" applyFill="1" applyAlignment="1">
      <alignment horizontal="center"/>
    </xf>
    <xf numFmtId="9" fontId="40" fillId="33" borderId="0" xfId="67" applyNumberFormat="1" applyFont="1" applyFill="1" applyAlignment="1">
      <alignment horizontal="center"/>
      <protection/>
    </xf>
    <xf numFmtId="0" fontId="89" fillId="34" borderId="0" xfId="67" applyFont="1" applyFill="1" applyAlignment="1">
      <alignment horizontal="center"/>
      <protection/>
    </xf>
    <xf numFmtId="0" fontId="89" fillId="4" borderId="0" xfId="67" applyFont="1" applyFill="1" applyAlignment="1">
      <alignment horizontal="center"/>
      <protection/>
    </xf>
    <xf numFmtId="169" fontId="89" fillId="4" borderId="0" xfId="49" applyNumberFormat="1" applyFont="1" applyFill="1" applyAlignment="1">
      <alignment horizontal="center"/>
    </xf>
    <xf numFmtId="169" fontId="38" fillId="2" borderId="0" xfId="49" applyNumberFormat="1" applyFont="1" applyFill="1" applyAlignment="1">
      <alignment/>
    </xf>
    <xf numFmtId="1" fontId="38" fillId="0" borderId="0" xfId="67" applyNumberFormat="1" applyFont="1">
      <alignment/>
      <protection/>
    </xf>
    <xf numFmtId="0" fontId="10" fillId="33" borderId="0" xfId="62" applyFont="1" applyFill="1">
      <alignment/>
      <protection/>
    </xf>
    <xf numFmtId="0" fontId="10" fillId="33" borderId="0" xfId="61" applyFont="1" applyFill="1">
      <alignment/>
      <protection/>
    </xf>
    <xf numFmtId="0" fontId="90" fillId="0" borderId="0" xfId="67" applyFont="1" applyFill="1">
      <alignment/>
      <protection/>
    </xf>
    <xf numFmtId="0" fontId="10" fillId="0" borderId="0" xfId="61" applyFont="1" applyFill="1">
      <alignment/>
      <protection/>
    </xf>
    <xf numFmtId="0" fontId="40" fillId="0" borderId="0" xfId="67" applyFont="1" applyFill="1" applyAlignment="1">
      <alignment horizontal="center"/>
      <protection/>
    </xf>
    <xf numFmtId="169" fontId="40" fillId="0" borderId="0" xfId="47" applyNumberFormat="1" applyFont="1" applyFill="1" applyAlignment="1">
      <alignment horizontal="center"/>
    </xf>
    <xf numFmtId="9" fontId="40" fillId="0" borderId="0" xfId="67" applyNumberFormat="1" applyFont="1" applyFill="1" applyAlignment="1">
      <alignment horizontal="center"/>
      <protection/>
    </xf>
    <xf numFmtId="0" fontId="89" fillId="0" borderId="0" xfId="67" applyFont="1" applyFill="1" applyAlignment="1">
      <alignment horizontal="center"/>
      <protection/>
    </xf>
    <xf numFmtId="169" fontId="89" fillId="0" borderId="0" xfId="49" applyNumberFormat="1" applyFont="1" applyFill="1" applyAlignment="1">
      <alignment horizontal="center"/>
    </xf>
    <xf numFmtId="9" fontId="38" fillId="0" borderId="0" xfId="70" applyFont="1" applyFill="1" applyAlignment="1">
      <alignment/>
    </xf>
    <xf numFmtId="1" fontId="38" fillId="0" borderId="0" xfId="67" applyNumberFormat="1" applyFont="1" applyFill="1">
      <alignment/>
      <protection/>
    </xf>
    <xf numFmtId="0" fontId="9" fillId="0" borderId="15" xfId="61" applyFont="1" applyFill="1" applyBorder="1">
      <alignment/>
      <protection/>
    </xf>
    <xf numFmtId="0" fontId="43" fillId="0" borderId="16" xfId="67" applyFont="1" applyFill="1" applyBorder="1" applyAlignment="1">
      <alignment horizontal="center"/>
      <protection/>
    </xf>
    <xf numFmtId="169" fontId="43" fillId="0" borderId="16" xfId="47" applyNumberFormat="1" applyFont="1" applyFill="1" applyBorder="1" applyAlignment="1">
      <alignment horizontal="center"/>
    </xf>
    <xf numFmtId="9" fontId="43" fillId="0" borderId="16" xfId="67" applyNumberFormat="1" applyFont="1" applyFill="1" applyBorder="1" applyAlignment="1">
      <alignment horizontal="center"/>
      <protection/>
    </xf>
    <xf numFmtId="0" fontId="36" fillId="0" borderId="16" xfId="67" applyFont="1" applyFill="1" applyBorder="1">
      <alignment/>
      <protection/>
    </xf>
    <xf numFmtId="0" fontId="36" fillId="0" borderId="16" xfId="67" applyFont="1" applyFill="1" applyBorder="1" applyAlignment="1">
      <alignment horizontal="center"/>
      <protection/>
    </xf>
    <xf numFmtId="169" fontId="36" fillId="0" borderId="16" xfId="49" applyNumberFormat="1" applyFont="1" applyFill="1" applyBorder="1" applyAlignment="1">
      <alignment horizontal="center"/>
    </xf>
    <xf numFmtId="169" fontId="36" fillId="0" borderId="16" xfId="49" applyNumberFormat="1" applyFont="1" applyFill="1" applyBorder="1" applyAlignment="1">
      <alignment/>
    </xf>
    <xf numFmtId="9" fontId="36" fillId="0" borderId="16" xfId="70" applyFont="1" applyFill="1" applyBorder="1" applyAlignment="1">
      <alignment/>
    </xf>
    <xf numFmtId="1" fontId="36" fillId="0" borderId="16" xfId="67" applyNumberFormat="1" applyFont="1" applyFill="1" applyBorder="1">
      <alignment/>
      <protection/>
    </xf>
    <xf numFmtId="0" fontId="36" fillId="0" borderId="17" xfId="67" applyFont="1" applyFill="1" applyBorder="1">
      <alignment/>
      <protection/>
    </xf>
    <xf numFmtId="0" fontId="36" fillId="0" borderId="0" xfId="67" applyFont="1">
      <alignment/>
      <protection/>
    </xf>
    <xf numFmtId="0" fontId="9" fillId="0" borderId="0" xfId="61" applyFont="1" applyFill="1">
      <alignment/>
      <protection/>
    </xf>
    <xf numFmtId="9" fontId="36" fillId="35" borderId="15" xfId="67" applyNumberFormat="1" applyFont="1" applyFill="1" applyBorder="1" applyAlignment="1">
      <alignment horizontal="center"/>
      <protection/>
    </xf>
    <xf numFmtId="0" fontId="36" fillId="0" borderId="16" xfId="67" applyFont="1" applyFill="1" applyBorder="1" applyAlignment="1">
      <alignment horizontal="left"/>
      <protection/>
    </xf>
    <xf numFmtId="169" fontId="38" fillId="0" borderId="16" xfId="49" applyNumberFormat="1" applyFont="1" applyFill="1" applyBorder="1" applyAlignment="1">
      <alignment/>
    </xf>
    <xf numFmtId="41" fontId="36" fillId="0" borderId="16" xfId="49" applyNumberFormat="1" applyFont="1" applyFill="1" applyBorder="1" applyAlignment="1">
      <alignment/>
    </xf>
    <xf numFmtId="9" fontId="38" fillId="0" borderId="16" xfId="49" applyNumberFormat="1" applyFont="1" applyFill="1" applyBorder="1" applyAlignment="1">
      <alignment/>
    </xf>
    <xf numFmtId="41" fontId="36" fillId="0" borderId="17" xfId="49" applyNumberFormat="1" applyFont="1" applyFill="1" applyBorder="1" applyAlignment="1">
      <alignment/>
    </xf>
    <xf numFmtId="0" fontId="10" fillId="33" borderId="0" xfId="67" applyFont="1" applyFill="1" applyAlignment="1">
      <alignment horizontal="left"/>
      <protection/>
    </xf>
    <xf numFmtId="0" fontId="91" fillId="4" borderId="0" xfId="67" applyFont="1" applyFill="1" applyAlignment="1">
      <alignment horizontal="center"/>
      <protection/>
    </xf>
    <xf numFmtId="169" fontId="91" fillId="4" borderId="0" xfId="49" applyNumberFormat="1" applyFont="1" applyFill="1" applyAlignment="1">
      <alignment horizontal="center"/>
    </xf>
    <xf numFmtId="0" fontId="10" fillId="33" borderId="0" xfId="0" applyFont="1" applyFill="1" applyBorder="1" applyAlignment="1">
      <alignment vertical="top"/>
    </xf>
    <xf numFmtId="169" fontId="40" fillId="35" borderId="0" xfId="47" applyNumberFormat="1" applyFont="1" applyFill="1" applyAlignment="1">
      <alignment horizontal="center"/>
    </xf>
    <xf numFmtId="0" fontId="92" fillId="0" borderId="0" xfId="67" applyFont="1" applyFill="1" applyBorder="1" applyAlignment="1">
      <alignment horizontal="left"/>
      <protection/>
    </xf>
    <xf numFmtId="0" fontId="46" fillId="0" borderId="0" xfId="67" applyFont="1" applyFill="1">
      <alignment/>
      <protection/>
    </xf>
    <xf numFmtId="169" fontId="46" fillId="0" borderId="0" xfId="49" applyNumberFormat="1" applyFont="1" applyFill="1" applyAlignment="1">
      <alignment/>
    </xf>
    <xf numFmtId="9" fontId="46" fillId="0" borderId="0" xfId="67" applyNumberFormat="1" applyFont="1" applyFill="1">
      <alignment/>
      <protection/>
    </xf>
    <xf numFmtId="0" fontId="9" fillId="0" borderId="15" xfId="67" applyFont="1" applyFill="1" applyBorder="1" applyAlignment="1">
      <alignment horizontal="left"/>
      <protection/>
    </xf>
    <xf numFmtId="9" fontId="36" fillId="0" borderId="16" xfId="67" applyNumberFormat="1" applyFont="1" applyFill="1" applyBorder="1">
      <alignment/>
      <protection/>
    </xf>
    <xf numFmtId="0" fontId="36" fillId="0" borderId="0" xfId="67" applyFont="1" applyFill="1">
      <alignment/>
      <protection/>
    </xf>
    <xf numFmtId="0" fontId="11" fillId="0" borderId="0" xfId="67" applyFont="1" applyFill="1" applyAlignment="1">
      <alignment horizontal="left"/>
      <protection/>
    </xf>
    <xf numFmtId="9" fontId="36" fillId="0" borderId="15" xfId="67" applyNumberFormat="1" applyFont="1" applyFill="1" applyBorder="1">
      <alignment/>
      <protection/>
    </xf>
    <xf numFmtId="169" fontId="46" fillId="0" borderId="16" xfId="49" applyNumberFormat="1" applyFont="1" applyFill="1" applyBorder="1" applyAlignment="1">
      <alignment/>
    </xf>
    <xf numFmtId="9" fontId="46" fillId="0" borderId="0" xfId="70" applyFont="1" applyFill="1" applyAlignment="1">
      <alignment/>
    </xf>
    <xf numFmtId="0" fontId="12" fillId="0" borderId="0" xfId="67" applyFont="1" applyFill="1" applyAlignment="1">
      <alignment horizontal="left"/>
      <protection/>
    </xf>
    <xf numFmtId="0" fontId="91" fillId="0" borderId="0" xfId="67" applyFont="1" applyFill="1" applyAlignment="1">
      <alignment horizontal="center"/>
      <protection/>
    </xf>
    <xf numFmtId="169" fontId="91" fillId="0" borderId="0" xfId="49" applyNumberFormat="1" applyFont="1" applyFill="1" applyAlignment="1">
      <alignment horizontal="center"/>
    </xf>
    <xf numFmtId="0" fontId="40" fillId="0" borderId="16" xfId="67" applyFont="1" applyFill="1" applyBorder="1" applyAlignment="1">
      <alignment horizontal="center"/>
      <protection/>
    </xf>
    <xf numFmtId="9" fontId="40" fillId="0" borderId="16" xfId="67" applyNumberFormat="1" applyFont="1" applyFill="1" applyBorder="1" applyAlignment="1">
      <alignment horizontal="center"/>
      <protection/>
    </xf>
    <xf numFmtId="0" fontId="38" fillId="0" borderId="16" xfId="67" applyFont="1" applyFill="1" applyBorder="1">
      <alignment/>
      <protection/>
    </xf>
    <xf numFmtId="0" fontId="91" fillId="0" borderId="16" xfId="67" applyFont="1" applyFill="1" applyBorder="1" applyAlignment="1">
      <alignment horizontal="center"/>
      <protection/>
    </xf>
    <xf numFmtId="169" fontId="91" fillId="0" borderId="16" xfId="49" applyNumberFormat="1" applyFont="1" applyFill="1" applyBorder="1" applyAlignment="1">
      <alignment horizontal="center"/>
    </xf>
    <xf numFmtId="9" fontId="38" fillId="0" borderId="16" xfId="70" applyFont="1" applyFill="1" applyBorder="1" applyAlignment="1">
      <alignment/>
    </xf>
    <xf numFmtId="1" fontId="38" fillId="0" borderId="16" xfId="67" applyNumberFormat="1" applyFont="1" applyFill="1" applyBorder="1">
      <alignment/>
      <protection/>
    </xf>
    <xf numFmtId="0" fontId="38" fillId="0" borderId="17" xfId="67" applyFont="1" applyFill="1" applyBorder="1">
      <alignment/>
      <protection/>
    </xf>
    <xf numFmtId="9" fontId="43" fillId="0" borderId="15" xfId="67" applyNumberFormat="1" applyFont="1" applyFill="1" applyBorder="1" applyAlignment="1">
      <alignment horizontal="center"/>
      <protection/>
    </xf>
    <xf numFmtId="0" fontId="43" fillId="0" borderId="16" xfId="67" applyFont="1" applyFill="1" applyBorder="1" applyAlignment="1">
      <alignment horizontal="left"/>
      <protection/>
    </xf>
    <xf numFmtId="169" fontId="43" fillId="0" borderId="16" xfId="49" applyNumberFormat="1" applyFont="1" applyFill="1" applyBorder="1" applyAlignment="1">
      <alignment horizontal="center"/>
    </xf>
    <xf numFmtId="0" fontId="10" fillId="0" borderId="0" xfId="67" applyFont="1" applyFill="1" applyAlignment="1">
      <alignment horizontal="left"/>
      <protection/>
    </xf>
    <xf numFmtId="41" fontId="38" fillId="0" borderId="16" xfId="49" applyNumberFormat="1" applyFont="1" applyFill="1" applyBorder="1" applyAlignment="1">
      <alignment/>
    </xf>
    <xf numFmtId="0" fontId="10" fillId="0" borderId="0" xfId="67" applyFont="1" applyFill="1">
      <alignment/>
      <protection/>
    </xf>
    <xf numFmtId="0" fontId="13" fillId="0" borderId="0" xfId="67" applyFont="1" applyFill="1" applyAlignment="1">
      <alignment horizontal="left"/>
      <protection/>
    </xf>
    <xf numFmtId="0" fontId="47" fillId="0" borderId="0" xfId="67" applyFont="1" applyFill="1">
      <alignment/>
      <protection/>
    </xf>
    <xf numFmtId="169" fontId="47" fillId="0" borderId="0" xfId="49" applyNumberFormat="1" applyFont="1" applyFill="1" applyAlignment="1">
      <alignment/>
    </xf>
    <xf numFmtId="9" fontId="47" fillId="0" borderId="0" xfId="67" applyNumberFormat="1" applyFont="1" applyFill="1">
      <alignment/>
      <protection/>
    </xf>
    <xf numFmtId="9" fontId="47" fillId="0" borderId="0" xfId="70" applyFont="1" applyFill="1" applyAlignment="1">
      <alignment/>
    </xf>
    <xf numFmtId="1" fontId="47" fillId="0" borderId="0" xfId="67" applyNumberFormat="1" applyFont="1" applyFill="1">
      <alignment/>
      <protection/>
    </xf>
    <xf numFmtId="0" fontId="36" fillId="0" borderId="15" xfId="67" applyFont="1" applyFill="1" applyBorder="1">
      <alignment/>
      <protection/>
    </xf>
    <xf numFmtId="0" fontId="0" fillId="0" borderId="0" xfId="0" applyFont="1" applyAlignment="1">
      <alignment/>
    </xf>
    <xf numFmtId="0" fontId="2" fillId="0" borderId="0" xfId="61">
      <alignment/>
      <protection/>
    </xf>
    <xf numFmtId="0" fontId="6" fillId="0" borderId="0" xfId="61" applyFont="1">
      <alignment/>
      <protection/>
    </xf>
    <xf numFmtId="0" fontId="6" fillId="0" borderId="0" xfId="61" applyFont="1" applyFill="1" applyAlignment="1">
      <alignment horizontal="center"/>
      <protection/>
    </xf>
    <xf numFmtId="0" fontId="7" fillId="0" borderId="0" xfId="61" applyFont="1">
      <alignment/>
      <protection/>
    </xf>
    <xf numFmtId="6" fontId="6" fillId="0" borderId="0" xfId="61" applyNumberFormat="1" applyFont="1" applyAlignment="1">
      <alignment horizontal="center"/>
      <protection/>
    </xf>
    <xf numFmtId="4" fontId="6" fillId="0" borderId="0" xfId="61" applyNumberFormat="1" applyFont="1">
      <alignment/>
      <protection/>
    </xf>
    <xf numFmtId="0" fontId="6" fillId="0" borderId="10" xfId="61" applyFont="1" applyBorder="1">
      <alignment/>
      <protection/>
    </xf>
    <xf numFmtId="4" fontId="6" fillId="0" borderId="10" xfId="61" applyNumberFormat="1" applyFont="1" applyBorder="1">
      <alignment/>
      <protection/>
    </xf>
    <xf numFmtId="165" fontId="6" fillId="0" borderId="0" xfId="61" applyNumberFormat="1" applyFont="1">
      <alignment/>
      <protection/>
    </xf>
    <xf numFmtId="0" fontId="85" fillId="0" borderId="0" xfId="61" applyFont="1">
      <alignment/>
      <protection/>
    </xf>
    <xf numFmtId="0" fontId="8" fillId="0" borderId="0" xfId="67" applyFont="1" applyAlignment="1">
      <alignment horizontal="left"/>
      <protection/>
    </xf>
    <xf numFmtId="0" fontId="8" fillId="0" borderId="0" xfId="67" applyFont="1">
      <alignment/>
      <protection/>
    </xf>
    <xf numFmtId="169" fontId="8" fillId="0" borderId="0" xfId="49" applyNumberFormat="1" applyFont="1" applyAlignment="1">
      <alignment/>
    </xf>
    <xf numFmtId="169" fontId="8" fillId="0" borderId="0" xfId="49" applyNumberFormat="1" applyFont="1" applyFill="1" applyAlignment="1">
      <alignment/>
    </xf>
    <xf numFmtId="9" fontId="8" fillId="0" borderId="0" xfId="71" applyFont="1" applyAlignment="1">
      <alignment/>
    </xf>
    <xf numFmtId="3" fontId="88" fillId="0" borderId="0" xfId="0" applyNumberFormat="1" applyFont="1" applyAlignment="1">
      <alignment/>
    </xf>
    <xf numFmtId="0" fontId="88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43" fontId="93" fillId="0" borderId="10" xfId="0" applyNumberFormat="1" applyFont="1" applyBorder="1" applyAlignment="1">
      <alignment horizontal="center"/>
    </xf>
    <xf numFmtId="0" fontId="93" fillId="0" borderId="0" xfId="0" applyFont="1" applyAlignment="1">
      <alignment/>
    </xf>
    <xf numFmtId="5" fontId="94" fillId="0" borderId="18" xfId="0" applyNumberFormat="1" applyFont="1" applyBorder="1" applyAlignment="1">
      <alignment/>
    </xf>
    <xf numFmtId="166" fontId="6" fillId="0" borderId="0" xfId="61" applyNumberFormat="1" applyFont="1" applyFill="1">
      <alignment/>
      <protection/>
    </xf>
    <xf numFmtId="0" fontId="38" fillId="15" borderId="0" xfId="67" applyFont="1" applyFill="1">
      <alignment/>
      <protection/>
    </xf>
    <xf numFmtId="169" fontId="38" fillId="15" borderId="0" xfId="49" applyNumberFormat="1" applyFont="1" applyFill="1" applyAlignment="1">
      <alignment/>
    </xf>
    <xf numFmtId="0" fontId="0" fillId="15" borderId="0" xfId="0" applyFont="1" applyFill="1" applyAlignment="1">
      <alignment/>
    </xf>
    <xf numFmtId="0" fontId="40" fillId="15" borderId="0" xfId="67" applyFont="1" applyFill="1" applyAlignment="1">
      <alignment horizontal="center"/>
      <protection/>
    </xf>
    <xf numFmtId="169" fontId="40" fillId="15" borderId="0" xfId="47" applyNumberFormat="1" applyFont="1" applyFill="1" applyAlignment="1">
      <alignment horizontal="center"/>
    </xf>
    <xf numFmtId="9" fontId="40" fillId="15" borderId="0" xfId="67" applyNumberFormat="1" applyFont="1" applyFill="1" applyAlignment="1">
      <alignment horizontal="center"/>
      <protection/>
    </xf>
    <xf numFmtId="0" fontId="88" fillId="0" borderId="19" xfId="0" applyFont="1" applyBorder="1" applyAlignment="1">
      <alignment/>
    </xf>
    <xf numFmtId="0" fontId="88" fillId="0" borderId="20" xfId="0" applyFont="1" applyBorder="1" applyAlignment="1">
      <alignment/>
    </xf>
    <xf numFmtId="43" fontId="88" fillId="0" borderId="21" xfId="0" applyNumberFormat="1" applyFont="1" applyBorder="1" applyAlignment="1">
      <alignment/>
    </xf>
    <xf numFmtId="43" fontId="88" fillId="0" borderId="21" xfId="0" applyNumberFormat="1" applyFont="1" applyBorder="1" applyAlignment="1">
      <alignment horizontal="center"/>
    </xf>
    <xf numFmtId="0" fontId="88" fillId="0" borderId="21" xfId="0" applyFont="1" applyBorder="1" applyAlignment="1">
      <alignment/>
    </xf>
    <xf numFmtId="166" fontId="88" fillId="0" borderId="20" xfId="0" applyNumberFormat="1" applyFont="1" applyBorder="1" applyAlignment="1">
      <alignment/>
    </xf>
    <xf numFmtId="3" fontId="88" fillId="0" borderId="20" xfId="0" applyNumberFormat="1" applyFont="1" applyBorder="1" applyAlignment="1">
      <alignment/>
    </xf>
    <xf numFmtId="0" fontId="88" fillId="0" borderId="22" xfId="0" applyFont="1" applyBorder="1" applyAlignment="1">
      <alignment/>
    </xf>
    <xf numFmtId="3" fontId="88" fillId="0" borderId="22" xfId="0" applyNumberFormat="1" applyFont="1" applyBorder="1" applyAlignment="1">
      <alignment/>
    </xf>
    <xf numFmtId="5" fontId="94" fillId="0" borderId="23" xfId="0" applyNumberFormat="1" applyFont="1" applyBorder="1" applyAlignment="1">
      <alignment/>
    </xf>
    <xf numFmtId="5" fontId="94" fillId="0" borderId="24" xfId="0" applyNumberFormat="1" applyFont="1" applyBorder="1" applyAlignment="1">
      <alignment/>
    </xf>
    <xf numFmtId="0" fontId="88" fillId="0" borderId="25" xfId="0" applyFont="1" applyBorder="1" applyAlignment="1">
      <alignment/>
    </xf>
    <xf numFmtId="0" fontId="84" fillId="0" borderId="13" xfId="0" applyFont="1" applyBorder="1" applyAlignment="1">
      <alignment/>
    </xf>
    <xf numFmtId="0" fontId="88" fillId="0" borderId="13" xfId="0" applyFont="1" applyBorder="1" applyAlignment="1">
      <alignment/>
    </xf>
    <xf numFmtId="0" fontId="93" fillId="0" borderId="14" xfId="0" applyFont="1" applyBorder="1" applyAlignment="1">
      <alignment/>
    </xf>
    <xf numFmtId="0" fontId="88" fillId="0" borderId="13" xfId="0" applyFont="1" applyBorder="1" applyAlignment="1">
      <alignment horizontal="left"/>
    </xf>
    <xf numFmtId="0" fontId="94" fillId="0" borderId="13" xfId="0" applyFont="1" applyBorder="1" applyAlignment="1">
      <alignment horizontal="left"/>
    </xf>
    <xf numFmtId="41" fontId="0" fillId="35" borderId="0" xfId="0" applyNumberFormat="1" applyFill="1" applyAlignment="1">
      <alignment/>
    </xf>
    <xf numFmtId="10" fontId="0" fillId="0" borderId="0" xfId="0" applyNumberFormat="1" applyAlignment="1">
      <alignment/>
    </xf>
    <xf numFmtId="49" fontId="95" fillId="0" borderId="26" xfId="64" applyNumberFormat="1" applyFont="1" applyBorder="1" applyAlignment="1">
      <alignment horizontal="left"/>
      <protection/>
    </xf>
    <xf numFmtId="49" fontId="95" fillId="0" borderId="26" xfId="64" applyNumberFormat="1" applyFont="1" applyBorder="1" applyAlignment="1">
      <alignment horizontal="right"/>
      <protection/>
    </xf>
    <xf numFmtId="0" fontId="95" fillId="0" borderId="26" xfId="64" applyFont="1" applyBorder="1">
      <alignment/>
      <protection/>
    </xf>
    <xf numFmtId="49" fontId="96" fillId="0" borderId="0" xfId="64" applyNumberFormat="1" applyFont="1" applyAlignment="1">
      <alignment horizontal="left"/>
      <protection/>
    </xf>
    <xf numFmtId="172" fontId="96" fillId="0" borderId="0" xfId="64" applyNumberFormat="1" applyFont="1" applyAlignment="1">
      <alignment horizontal="left"/>
      <protection/>
    </xf>
    <xf numFmtId="173" fontId="96" fillId="0" borderId="0" xfId="64" applyNumberFormat="1" applyFont="1" applyAlignment="1">
      <alignment horizontal="right"/>
      <protection/>
    </xf>
    <xf numFmtId="0" fontId="96" fillId="0" borderId="0" xfId="64" applyFont="1">
      <alignment/>
      <protection/>
    </xf>
    <xf numFmtId="0" fontId="96" fillId="35" borderId="0" xfId="64" applyFont="1" applyFill="1">
      <alignment/>
      <protection/>
    </xf>
    <xf numFmtId="173" fontId="96" fillId="0" borderId="0" xfId="64" applyNumberFormat="1" applyFont="1">
      <alignment/>
      <protection/>
    </xf>
    <xf numFmtId="49" fontId="95" fillId="0" borderId="27" xfId="64" applyNumberFormat="1" applyFont="1" applyBorder="1" applyAlignment="1">
      <alignment horizontal="left"/>
      <protection/>
    </xf>
    <xf numFmtId="172" fontId="95" fillId="0" borderId="27" xfId="64" applyNumberFormat="1" applyFont="1" applyBorder="1" applyAlignment="1">
      <alignment horizontal="left"/>
      <protection/>
    </xf>
    <xf numFmtId="173" fontId="95" fillId="0" borderId="27" xfId="64" applyNumberFormat="1" applyFont="1" applyBorder="1" applyAlignment="1">
      <alignment horizontal="right"/>
      <protection/>
    </xf>
    <xf numFmtId="0" fontId="95" fillId="0" borderId="0" xfId="64" applyFont="1">
      <alignment/>
      <protection/>
    </xf>
    <xf numFmtId="4" fontId="96" fillId="0" borderId="0" xfId="64" applyNumberFormat="1" applyFont="1">
      <alignment/>
      <protection/>
    </xf>
    <xf numFmtId="3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5" fontId="2" fillId="0" borderId="0" xfId="61" applyNumberFormat="1">
      <alignment/>
      <protection/>
    </xf>
    <xf numFmtId="49" fontId="97" fillId="0" borderId="0" xfId="64" applyNumberFormat="1" applyFont="1" applyAlignment="1">
      <alignment horizontal="left"/>
      <protection/>
    </xf>
    <xf numFmtId="172" fontId="97" fillId="0" borderId="0" xfId="64" applyNumberFormat="1" applyFont="1" applyAlignment="1">
      <alignment horizontal="left"/>
      <protection/>
    </xf>
    <xf numFmtId="170" fontId="0" fillId="0" borderId="0" xfId="0" applyNumberFormat="1" applyBorder="1" applyAlignment="1">
      <alignment/>
    </xf>
    <xf numFmtId="43" fontId="94" fillId="0" borderId="21" xfId="0" applyNumberFormat="1" applyFont="1" applyBorder="1" applyAlignment="1">
      <alignment/>
    </xf>
    <xf numFmtId="9" fontId="94" fillId="0" borderId="21" xfId="0" applyNumberFormat="1" applyFont="1" applyBorder="1" applyAlignment="1">
      <alignment/>
    </xf>
    <xf numFmtId="10" fontId="94" fillId="0" borderId="21" xfId="0" applyNumberFormat="1" applyFont="1" applyBorder="1" applyAlignment="1">
      <alignment/>
    </xf>
    <xf numFmtId="166" fontId="94" fillId="0" borderId="21" xfId="0" applyNumberFormat="1" applyFont="1" applyFill="1" applyBorder="1" applyAlignment="1">
      <alignment/>
    </xf>
    <xf numFmtId="0" fontId="98" fillId="34" borderId="0" xfId="67" applyFont="1" applyFill="1" applyAlignment="1">
      <alignment horizontal="center"/>
      <protection/>
    </xf>
    <xf numFmtId="0" fontId="98" fillId="4" borderId="0" xfId="67" applyFont="1" applyFill="1" applyAlignment="1">
      <alignment horizontal="center"/>
      <protection/>
    </xf>
    <xf numFmtId="169" fontId="98" fillId="4" borderId="0" xfId="49" applyNumberFormat="1" applyFont="1" applyFill="1" applyAlignment="1">
      <alignment horizontal="center"/>
    </xf>
    <xf numFmtId="169" fontId="36" fillId="0" borderId="0" xfId="49" applyNumberFormat="1" applyFont="1" applyAlignment="1">
      <alignment/>
    </xf>
    <xf numFmtId="169" fontId="36" fillId="2" borderId="0" xfId="49" applyNumberFormat="1" applyFont="1" applyFill="1" applyAlignment="1">
      <alignment/>
    </xf>
    <xf numFmtId="9" fontId="36" fillId="0" borderId="0" xfId="70" applyFont="1" applyAlignment="1">
      <alignment/>
    </xf>
    <xf numFmtId="1" fontId="36" fillId="0" borderId="0" xfId="67" applyNumberFormat="1" applyFont="1">
      <alignment/>
      <protection/>
    </xf>
    <xf numFmtId="0" fontId="9" fillId="33" borderId="0" xfId="67" applyFont="1" applyFill="1" applyAlignment="1">
      <alignment horizontal="left"/>
      <protection/>
    </xf>
    <xf numFmtId="0" fontId="54" fillId="33" borderId="0" xfId="67" applyFont="1" applyFill="1" applyAlignment="1">
      <alignment horizontal="center"/>
      <protection/>
    </xf>
    <xf numFmtId="9" fontId="54" fillId="33" borderId="0" xfId="67" applyNumberFormat="1" applyFont="1" applyFill="1" applyAlignment="1">
      <alignment horizontal="center"/>
      <protection/>
    </xf>
    <xf numFmtId="0" fontId="99" fillId="4" borderId="0" xfId="67" applyFont="1" applyFill="1" applyAlignment="1">
      <alignment horizontal="center"/>
      <protection/>
    </xf>
    <xf numFmtId="169" fontId="99" fillId="4" borderId="0" xfId="49" applyNumberFormat="1" applyFont="1" applyFill="1" applyAlignment="1">
      <alignment horizontal="center"/>
    </xf>
    <xf numFmtId="9" fontId="36" fillId="35" borderId="15" xfId="67" applyNumberFormat="1" applyFont="1" applyFill="1" applyBorder="1">
      <alignment/>
      <protection/>
    </xf>
    <xf numFmtId="9" fontId="43" fillId="35" borderId="15" xfId="67" applyNumberFormat="1" applyFont="1" applyFill="1" applyBorder="1" applyAlignment="1">
      <alignment horizontal="center"/>
      <protection/>
    </xf>
    <xf numFmtId="0" fontId="88" fillId="0" borderId="0" xfId="0" applyFont="1" applyAlignment="1">
      <alignment wrapText="1"/>
    </xf>
    <xf numFmtId="0" fontId="0" fillId="0" borderId="0" xfId="0" applyAlignment="1">
      <alignment wrapText="1"/>
    </xf>
    <xf numFmtId="0" fontId="36" fillId="0" borderId="0" xfId="67" applyFont="1" applyFill="1" applyBorder="1" applyAlignment="1">
      <alignment horizontal="left"/>
      <protection/>
    </xf>
    <xf numFmtId="169" fontId="46" fillId="0" borderId="0" xfId="49" applyNumberFormat="1" applyFont="1" applyFill="1" applyBorder="1" applyAlignment="1">
      <alignment/>
    </xf>
    <xf numFmtId="41" fontId="36" fillId="0" borderId="0" xfId="49" applyNumberFormat="1" applyFont="1" applyFill="1" applyBorder="1" applyAlignment="1">
      <alignment/>
    </xf>
    <xf numFmtId="169" fontId="36" fillId="0" borderId="0" xfId="49" applyNumberFormat="1" applyFont="1" applyFill="1" applyBorder="1" applyAlignment="1">
      <alignment/>
    </xf>
    <xf numFmtId="0" fontId="9" fillId="0" borderId="0" xfId="67" applyFont="1" applyFill="1" applyBorder="1" applyAlignment="1">
      <alignment horizontal="left"/>
      <protection/>
    </xf>
    <xf numFmtId="0" fontId="36" fillId="0" borderId="0" xfId="67" applyFont="1" applyFill="1" applyBorder="1">
      <alignment/>
      <protection/>
    </xf>
    <xf numFmtId="9" fontId="36" fillId="0" borderId="0" xfId="67" applyNumberFormat="1" applyFont="1" applyFill="1" applyBorder="1">
      <alignment/>
      <protection/>
    </xf>
    <xf numFmtId="9" fontId="36" fillId="0" borderId="0" xfId="70" applyFont="1" applyFill="1" applyBorder="1" applyAlignment="1">
      <alignment/>
    </xf>
    <xf numFmtId="1" fontId="36" fillId="0" borderId="0" xfId="67" applyNumberFormat="1" applyFont="1" applyFill="1" applyBorder="1">
      <alignment/>
      <protection/>
    </xf>
    <xf numFmtId="42" fontId="36" fillId="0" borderId="16" xfId="49" applyNumberFormat="1" applyFont="1" applyFill="1" applyBorder="1" applyAlignment="1">
      <alignment/>
    </xf>
    <xf numFmtId="42" fontId="36" fillId="0" borderId="17" xfId="49" applyNumberFormat="1" applyFont="1" applyFill="1" applyBorder="1" applyAlignment="1">
      <alignment/>
    </xf>
    <xf numFmtId="9" fontId="36" fillId="16" borderId="28" xfId="67" applyNumberFormat="1" applyFont="1" applyFill="1" applyBorder="1">
      <alignment/>
      <protection/>
    </xf>
    <xf numFmtId="0" fontId="36" fillId="16" borderId="16" xfId="67" applyFont="1" applyFill="1" applyBorder="1">
      <alignment/>
      <protection/>
    </xf>
    <xf numFmtId="169" fontId="36" fillId="16" borderId="16" xfId="49" applyNumberFormat="1" applyFont="1" applyFill="1" applyBorder="1" applyAlignment="1">
      <alignment/>
    </xf>
    <xf numFmtId="42" fontId="36" fillId="16" borderId="16" xfId="49" applyNumberFormat="1" applyFont="1" applyFill="1" applyBorder="1" applyAlignment="1">
      <alignment/>
    </xf>
    <xf numFmtId="169" fontId="100" fillId="16" borderId="0" xfId="47" applyNumberFormat="1" applyFont="1" applyFill="1" applyAlignment="1">
      <alignment horizontal="center"/>
    </xf>
    <xf numFmtId="0" fontId="84" fillId="16" borderId="0" xfId="0" applyFont="1" applyFill="1" applyAlignment="1">
      <alignment/>
    </xf>
    <xf numFmtId="0" fontId="54" fillId="16" borderId="0" xfId="67" applyFont="1" applyFill="1" applyAlignment="1">
      <alignment horizontal="center"/>
      <protection/>
    </xf>
    <xf numFmtId="169" fontId="54" fillId="16" borderId="0" xfId="47" applyNumberFormat="1" applyFont="1" applyFill="1" applyAlignment="1">
      <alignment horizontal="center"/>
    </xf>
    <xf numFmtId="9" fontId="54" fillId="16" borderId="0" xfId="67" applyNumberFormat="1" applyFont="1" applyFill="1" applyAlignment="1">
      <alignment horizontal="center"/>
      <protection/>
    </xf>
    <xf numFmtId="0" fontId="36" fillId="16" borderId="0" xfId="67" applyFont="1" applyFill="1">
      <alignment/>
      <protection/>
    </xf>
    <xf numFmtId="0" fontId="13" fillId="16" borderId="0" xfId="67" applyFont="1" applyFill="1" applyAlignment="1">
      <alignment horizontal="left"/>
      <protection/>
    </xf>
    <xf numFmtId="0" fontId="47" fillId="16" borderId="0" xfId="67" applyFont="1" applyFill="1">
      <alignment/>
      <protection/>
    </xf>
    <xf numFmtId="169" fontId="47" fillId="16" borderId="0" xfId="49" applyNumberFormat="1" applyFont="1" applyFill="1" applyAlignment="1">
      <alignment/>
    </xf>
    <xf numFmtId="9" fontId="47" fillId="16" borderId="0" xfId="67" applyNumberFormat="1" applyFont="1" applyFill="1">
      <alignment/>
      <protection/>
    </xf>
    <xf numFmtId="0" fontId="38" fillId="16" borderId="0" xfId="67" applyFont="1" applyFill="1">
      <alignment/>
      <protection/>
    </xf>
    <xf numFmtId="0" fontId="91" fillId="16" borderId="0" xfId="67" applyFont="1" applyFill="1" applyAlignment="1">
      <alignment horizontal="center"/>
      <protection/>
    </xf>
    <xf numFmtId="169" fontId="91" fillId="16" borderId="0" xfId="49" applyNumberFormat="1" applyFont="1" applyFill="1" applyAlignment="1">
      <alignment horizontal="center"/>
    </xf>
    <xf numFmtId="169" fontId="38" fillId="16" borderId="0" xfId="49" applyNumberFormat="1" applyFont="1" applyFill="1" applyAlignment="1">
      <alignment/>
    </xf>
    <xf numFmtId="0" fontId="0" fillId="0" borderId="10" xfId="0" applyBorder="1" applyAlignment="1">
      <alignment/>
    </xf>
    <xf numFmtId="9" fontId="36" fillId="35" borderId="28" xfId="67" applyNumberFormat="1" applyFont="1" applyFill="1" applyBorder="1">
      <alignment/>
      <protection/>
    </xf>
    <xf numFmtId="0" fontId="101" fillId="0" borderId="0" xfId="0" applyFont="1" applyAlignment="1">
      <alignment/>
    </xf>
    <xf numFmtId="0" fontId="102" fillId="0" borderId="21" xfId="65" applyFont="1" applyBorder="1" applyAlignment="1">
      <alignment horizontal="left"/>
      <protection/>
    </xf>
    <xf numFmtId="0" fontId="102" fillId="0" borderId="13" xfId="65" applyFont="1" applyBorder="1">
      <alignment/>
      <protection/>
    </xf>
    <xf numFmtId="168" fontId="102" fillId="0" borderId="21" xfId="65" applyNumberFormat="1" applyFont="1" applyBorder="1">
      <alignment/>
      <protection/>
    </xf>
    <xf numFmtId="0" fontId="88" fillId="0" borderId="20" xfId="65" applyFont="1" applyBorder="1">
      <alignment/>
      <protection/>
    </xf>
    <xf numFmtId="0" fontId="88" fillId="0" borderId="21" xfId="65" applyFont="1" applyBorder="1" applyAlignment="1">
      <alignment horizontal="left"/>
      <protection/>
    </xf>
    <xf numFmtId="9" fontId="88" fillId="0" borderId="21" xfId="65" applyNumberFormat="1" applyFont="1" applyBorder="1">
      <alignment/>
      <protection/>
    </xf>
    <xf numFmtId="0" fontId="102" fillId="0" borderId="0" xfId="65" applyFont="1">
      <alignment/>
      <protection/>
    </xf>
    <xf numFmtId="10" fontId="103" fillId="0" borderId="0" xfId="0" applyNumberFormat="1" applyFont="1" applyAlignment="1">
      <alignment/>
    </xf>
    <xf numFmtId="0" fontId="103" fillId="0" borderId="0" xfId="0" applyFont="1" applyAlignment="1">
      <alignment/>
    </xf>
    <xf numFmtId="168" fontId="103" fillId="0" borderId="10" xfId="0" applyNumberFormat="1" applyFont="1" applyBorder="1" applyAlignment="1">
      <alignment/>
    </xf>
    <xf numFmtId="10" fontId="103" fillId="0" borderId="0" xfId="70" applyNumberFormat="1" applyFont="1" applyAlignment="1">
      <alignment/>
    </xf>
    <xf numFmtId="10" fontId="103" fillId="0" borderId="0" xfId="61" applyNumberFormat="1" applyFont="1">
      <alignment/>
      <protection/>
    </xf>
    <xf numFmtId="0" fontId="103" fillId="0" borderId="0" xfId="61" applyFont="1">
      <alignment/>
      <protection/>
    </xf>
    <xf numFmtId="168" fontId="103" fillId="0" borderId="10" xfId="61" applyNumberFormat="1" applyFont="1" applyBorder="1">
      <alignment/>
      <protection/>
    </xf>
    <xf numFmtId="5" fontId="104" fillId="0" borderId="18" xfId="0" applyNumberFormat="1" applyFont="1" applyBorder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5" fontId="105" fillId="0" borderId="0" xfId="0" applyNumberFormat="1" applyFont="1" applyFill="1" applyAlignment="1">
      <alignment/>
    </xf>
    <xf numFmtId="3" fontId="94" fillId="0" borderId="0" xfId="0" applyNumberFormat="1" applyFont="1" applyAlignment="1">
      <alignment/>
    </xf>
    <xf numFmtId="5" fontId="88" fillId="0" borderId="0" xfId="0" applyNumberFormat="1" applyFont="1" applyAlignment="1">
      <alignment/>
    </xf>
    <xf numFmtId="44" fontId="38" fillId="0" borderId="0" xfId="49" applyNumberFormat="1" applyFont="1" applyAlignment="1">
      <alignment/>
    </xf>
    <xf numFmtId="44" fontId="38" fillId="16" borderId="0" xfId="49" applyNumberFormat="1" applyFont="1" applyFill="1" applyAlignment="1">
      <alignment/>
    </xf>
    <xf numFmtId="169" fontId="106" fillId="16" borderId="0" xfId="49" applyNumberFormat="1" applyFont="1" applyFill="1" applyAlignment="1">
      <alignment/>
    </xf>
    <xf numFmtId="0" fontId="102" fillId="0" borderId="13" xfId="0" applyFont="1" applyBorder="1" applyAlignment="1">
      <alignment horizontal="left"/>
    </xf>
    <xf numFmtId="43" fontId="102" fillId="0" borderId="21" xfId="0" applyNumberFormat="1" applyFont="1" applyBorder="1" applyAlignment="1">
      <alignment horizontal="center"/>
    </xf>
    <xf numFmtId="9" fontId="104" fillId="0" borderId="21" xfId="0" applyNumberFormat="1" applyFont="1" applyBorder="1" applyAlignment="1">
      <alignment/>
    </xf>
    <xf numFmtId="0" fontId="102" fillId="0" borderId="20" xfId="0" applyFont="1" applyBorder="1" applyAlignment="1">
      <alignment/>
    </xf>
    <xf numFmtId="169" fontId="106" fillId="33" borderId="0" xfId="49" applyNumberFormat="1" applyFont="1" applyFill="1" applyAlignment="1">
      <alignment/>
    </xf>
    <xf numFmtId="0" fontId="107" fillId="0" borderId="20" xfId="0" applyFont="1" applyBorder="1" applyAlignment="1">
      <alignment horizontal="right"/>
    </xf>
    <xf numFmtId="166" fontId="104" fillId="0" borderId="21" xfId="0" applyNumberFormat="1" applyFont="1" applyFill="1" applyBorder="1" applyAlignment="1">
      <alignment/>
    </xf>
    <xf numFmtId="3" fontId="104" fillId="0" borderId="21" xfId="0" applyNumberFormat="1" applyFont="1" applyFill="1" applyBorder="1" applyAlignment="1">
      <alignment/>
    </xf>
    <xf numFmtId="3" fontId="102" fillId="0" borderId="21" xfId="0" applyNumberFormat="1" applyFont="1" applyFill="1" applyBorder="1" applyAlignment="1">
      <alignment/>
    </xf>
    <xf numFmtId="3" fontId="104" fillId="0" borderId="29" xfId="0" applyNumberFormat="1" applyFont="1" applyFill="1" applyBorder="1" applyAlignment="1">
      <alignment/>
    </xf>
    <xf numFmtId="166" fontId="94" fillId="0" borderId="29" xfId="0" applyNumberFormat="1" applyFont="1" applyFill="1" applyBorder="1" applyAlignment="1">
      <alignment/>
    </xf>
    <xf numFmtId="0" fontId="106" fillId="0" borderId="0" xfId="67" applyFont="1">
      <alignment/>
      <protection/>
    </xf>
    <xf numFmtId="0" fontId="108" fillId="0" borderId="0" xfId="0" applyFont="1" applyAlignment="1">
      <alignment/>
    </xf>
    <xf numFmtId="49" fontId="109" fillId="0" borderId="0" xfId="64" applyNumberFormat="1" applyFont="1" applyAlignment="1">
      <alignment horizontal="left"/>
      <protection/>
    </xf>
    <xf numFmtId="3" fontId="0" fillId="0" borderId="0" xfId="0" applyNumberFormat="1" applyBorder="1" applyAlignment="1">
      <alignment/>
    </xf>
    <xf numFmtId="0" fontId="110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vertical="top" wrapText="1"/>
    </xf>
    <xf numFmtId="43" fontId="104" fillId="0" borderId="30" xfId="0" applyNumberFormat="1" applyFont="1" applyBorder="1" applyAlignment="1">
      <alignment horizontal="center" wrapText="1"/>
    </xf>
    <xf numFmtId="43" fontId="104" fillId="0" borderId="19" xfId="0" applyNumberFormat="1" applyFont="1" applyBorder="1" applyAlignment="1">
      <alignment horizontal="center" wrapText="1"/>
    </xf>
    <xf numFmtId="43" fontId="104" fillId="0" borderId="21" xfId="0" applyNumberFormat="1" applyFont="1" applyBorder="1" applyAlignment="1">
      <alignment horizontal="center" wrapText="1"/>
    </xf>
    <xf numFmtId="43" fontId="104" fillId="0" borderId="20" xfId="0" applyNumberFormat="1" applyFont="1" applyBorder="1" applyAlignment="1">
      <alignment horizontal="center" wrapText="1"/>
    </xf>
    <xf numFmtId="169" fontId="38" fillId="0" borderId="29" xfId="49" applyNumberFormat="1" applyFont="1" applyBorder="1" applyAlignment="1">
      <alignment horizontal="center" wrapText="1"/>
    </xf>
    <xf numFmtId="169" fontId="38" fillId="0" borderId="22" xfId="49" applyNumberFormat="1" applyFont="1" applyBorder="1" applyAlignment="1">
      <alignment horizontal="center" wrapText="1"/>
    </xf>
    <xf numFmtId="169" fontId="38" fillId="0" borderId="29" xfId="48" applyNumberFormat="1" applyFont="1" applyBorder="1" applyAlignment="1">
      <alignment horizontal="center" wrapText="1"/>
    </xf>
    <xf numFmtId="169" fontId="38" fillId="0" borderId="22" xfId="48" applyNumberFormat="1" applyFont="1" applyBorder="1" applyAlignment="1">
      <alignment horizontal="center" wrapText="1"/>
    </xf>
    <xf numFmtId="0" fontId="111" fillId="33" borderId="11" xfId="67" applyFont="1" applyFill="1" applyBorder="1" applyAlignment="1">
      <alignment horizontal="center" wrapText="1"/>
      <protection/>
    </xf>
    <xf numFmtId="0" fontId="39" fillId="0" borderId="11" xfId="67" applyFont="1" applyFill="1" applyBorder="1" applyAlignment="1">
      <alignment horizontal="center" wrapText="1"/>
      <protection/>
    </xf>
    <xf numFmtId="0" fontId="38" fillId="0" borderId="14" xfId="67" applyFont="1" applyBorder="1" applyAlignment="1">
      <alignment horizontal="center" wrapText="1"/>
      <protection/>
    </xf>
    <xf numFmtId="0" fontId="38" fillId="0" borderId="14" xfId="67" applyFont="1" applyFill="1" applyBorder="1" applyAlignment="1">
      <alignment horizontal="center" wrapText="1"/>
      <protection/>
    </xf>
    <xf numFmtId="169" fontId="38" fillId="0" borderId="14" xfId="49" applyNumberFormat="1" applyFont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3" xfId="48"/>
    <cellStyle name="Currency 5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6" xfId="65"/>
    <cellStyle name="Normal 8" xfId="66"/>
    <cellStyle name="Normal_DEPN2K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G-140560%20(GRC)\Company%20Filing\Rebuttal%20Testimony\JD-43%20Land%20Rents%20Schedule-Revis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CI%20Operation%20w%20Partial%20Settleme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st Calculation"/>
      <sheetName val="Trucks"/>
      <sheetName val="costs"/>
      <sheetName val="Truck shop - new"/>
      <sheetName val="1150 3rd Ave - Comm"/>
      <sheetName val="950 3rd Ave - Cov. Parking"/>
      <sheetName val="1150 3rd Ave - Out. Parking"/>
      <sheetName val="warehouse"/>
      <sheetName val="4 Parcels N. of MRF"/>
      <sheetName val="657 W. Scott - Woodland"/>
      <sheetName val="Boneyard Imp"/>
    </sheetNames>
    <sheetDataSet>
      <sheetData sheetId="0">
        <row r="19">
          <cell r="C19">
            <v>24297.575893144214</v>
          </cell>
        </row>
        <row r="20">
          <cell r="C20">
            <v>18936.922945735234</v>
          </cell>
        </row>
        <row r="21">
          <cell r="C21">
            <v>2687.546978980761</v>
          </cell>
        </row>
        <row r="22">
          <cell r="C22">
            <v>30160.303499999998</v>
          </cell>
        </row>
        <row r="23">
          <cell r="C23">
            <v>9518.659845833341</v>
          </cell>
        </row>
        <row r="24">
          <cell r="C24">
            <v>10038.60220196053</v>
          </cell>
        </row>
        <row r="25">
          <cell r="C25">
            <v>13902.189920334258</v>
          </cell>
        </row>
        <row r="26">
          <cell r="C26">
            <v>6714.234975739997</v>
          </cell>
        </row>
        <row r="27">
          <cell r="C27">
            <v>5577.83187190003</v>
          </cell>
        </row>
        <row r="28">
          <cell r="C28">
            <v>10887.223024087025</v>
          </cell>
        </row>
        <row r="29">
          <cell r="C29">
            <v>25812.499336025638</v>
          </cell>
        </row>
        <row r="30">
          <cell r="C30">
            <v>5768.657378000001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1 Results of Operation"/>
      <sheetName val="Schedule 2 Restated"/>
      <sheetName val="Schedule 3 Pro forma"/>
      <sheetName val="Schedule 4 R-1A, R-10"/>
      <sheetName val="Schedule 4, R-6D"/>
      <sheetName val="Schedule 4, R-6E"/>
      <sheetName val="Schedule 4, R-6G pg 1"/>
      <sheetName val="Schedule 4, R-6G pg 2"/>
      <sheetName val="Schedule 4, R-6H"/>
      <sheetName val="Schedule 4, R-8 and R-9"/>
      <sheetName val="Schedule 4, RC-1A"/>
      <sheetName val="Schedule 4, RC-1, RC-1A"/>
      <sheetName val="Schedule 5, P-1A"/>
      <sheetName val="Schedule 5, P-2 and P-3"/>
      <sheetName val="Schedule 5, P-4"/>
      <sheetName val="Schedule 5, P-5A "/>
      <sheetName val="Schedule 6 Lurito-Gallagher"/>
      <sheetName val="Restate Exp"/>
      <sheetName val="Pro Forma Exp"/>
      <sheetName val="Sch 4 - 12months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BS"/>
      <sheetName val="WP-6 - COD Calculation"/>
      <sheetName val="WP-6 - Amort COD"/>
      <sheetName val="FDR 5"/>
      <sheetName val="WP-7 - Affiliated "/>
      <sheetName val="WP-10  Misc GL"/>
      <sheetName val="WP-11 Bad Debts"/>
      <sheetName val="WP-14 Tires"/>
      <sheetName val="IS-PBC"/>
      <sheetName val="MC-7 - Three-Factor Revised"/>
      <sheetName val="MC-7 - Three-Factor"/>
    </sheetNames>
    <sheetDataSet>
      <sheetData sheetId="5">
        <row r="11">
          <cell r="C11">
            <v>0.12516908847982403</v>
          </cell>
        </row>
        <row r="12">
          <cell r="C12">
            <v>0.06328332456967044</v>
          </cell>
        </row>
        <row r="13">
          <cell r="C13">
            <v>0.9367166754303295</v>
          </cell>
        </row>
        <row r="14">
          <cell r="C14">
            <v>0.021961399990722337</v>
          </cell>
        </row>
        <row r="16">
          <cell r="C16">
            <v>0.13146582517480263</v>
          </cell>
        </row>
        <row r="17">
          <cell r="C17">
            <v>0.46201452160820566</v>
          </cell>
        </row>
        <row r="18">
          <cell r="C18">
            <v>0.5379854783917943</v>
          </cell>
        </row>
        <row r="19">
          <cell r="C19">
            <v>0.04277849950795026</v>
          </cell>
        </row>
      </sheetData>
      <sheetData sheetId="35">
        <row r="20">
          <cell r="C20">
            <v>0.2336099293317563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4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34" sqref="E34"/>
    </sheetView>
  </sheetViews>
  <sheetFormatPr defaultColWidth="9.00390625" defaultRowHeight="15.75"/>
  <cols>
    <col min="1" max="1" width="34.25390625" style="18" customWidth="1"/>
    <col min="2" max="2" width="5.625" style="18" customWidth="1"/>
    <col min="3" max="3" width="22.125" style="19" customWidth="1"/>
    <col min="4" max="4" width="5.50390625" style="18" customWidth="1"/>
    <col min="5" max="5" width="22.125" style="19" customWidth="1"/>
    <col min="6" max="6" width="5.50390625" style="18" customWidth="1"/>
    <col min="7" max="16384" width="9.00390625" style="18" customWidth="1"/>
  </cols>
  <sheetData>
    <row r="1" ht="18.75">
      <c r="A1" s="155" t="s">
        <v>96</v>
      </c>
    </row>
    <row r="2" ht="18.75">
      <c r="A2" s="155" t="s">
        <v>198</v>
      </c>
    </row>
    <row r="3" ht="15.75">
      <c r="A3" s="12"/>
    </row>
    <row r="4" spans="2:6" ht="23.25" customHeight="1">
      <c r="B4" s="153"/>
      <c r="C4" s="154" t="s">
        <v>305</v>
      </c>
      <c r="D4" s="152"/>
      <c r="E4" s="154" t="s">
        <v>297</v>
      </c>
      <c r="F4" s="152"/>
    </row>
    <row r="5" spans="1:6" ht="15" customHeight="1">
      <c r="A5" s="175"/>
      <c r="B5" s="164"/>
      <c r="D5" s="164"/>
      <c r="E5" s="296" t="s">
        <v>298</v>
      </c>
      <c r="F5" s="297"/>
    </row>
    <row r="6" spans="1:6" ht="15.75" customHeight="1">
      <c r="A6" s="176" t="s">
        <v>194</v>
      </c>
      <c r="B6" s="294"/>
      <c r="C6" s="295"/>
      <c r="D6" s="294"/>
      <c r="E6" s="298"/>
      <c r="F6" s="299"/>
    </row>
    <row r="7" spans="1:6" ht="27.75" customHeight="1">
      <c r="A7" s="177"/>
      <c r="B7" s="294"/>
      <c r="C7" s="295"/>
      <c r="D7" s="294"/>
      <c r="E7" s="298"/>
      <c r="F7" s="299"/>
    </row>
    <row r="8" spans="1:6" ht="15" customHeight="1">
      <c r="A8" s="177"/>
      <c r="B8" s="294"/>
      <c r="C8" s="166"/>
      <c r="D8" s="165"/>
      <c r="E8" s="166"/>
      <c r="F8" s="165"/>
    </row>
    <row r="9" spans="1:6" ht="15">
      <c r="A9" s="179" t="s">
        <v>178</v>
      </c>
      <c r="B9" s="165"/>
      <c r="C9" s="280" t="s">
        <v>292</v>
      </c>
      <c r="D9" s="165"/>
      <c r="E9" s="203" t="s">
        <v>181</v>
      </c>
      <c r="F9" s="165"/>
    </row>
    <row r="10" spans="1:6" ht="15">
      <c r="A10" s="179" t="s">
        <v>179</v>
      </c>
      <c r="B10" s="165"/>
      <c r="C10" s="280" t="s">
        <v>293</v>
      </c>
      <c r="D10" s="165"/>
      <c r="E10" s="204">
        <v>0.15</v>
      </c>
      <c r="F10" s="165"/>
    </row>
    <row r="11" spans="1:6" ht="15">
      <c r="A11" s="179" t="s">
        <v>180</v>
      </c>
      <c r="B11" s="165"/>
      <c r="C11" s="280" t="s">
        <v>292</v>
      </c>
      <c r="D11" s="165"/>
      <c r="E11" s="204" t="s">
        <v>181</v>
      </c>
      <c r="F11" s="165"/>
    </row>
    <row r="12" spans="1:6" ht="15">
      <c r="A12" s="179" t="s">
        <v>176</v>
      </c>
      <c r="B12" s="165"/>
      <c r="C12" s="280" t="s">
        <v>292</v>
      </c>
      <c r="D12" s="165"/>
      <c r="E12" s="205" t="s">
        <v>277</v>
      </c>
      <c r="F12" s="165"/>
    </row>
    <row r="13" spans="1:6" ht="15">
      <c r="A13" s="179" t="s">
        <v>171</v>
      </c>
      <c r="B13" s="165"/>
      <c r="C13" s="279" t="s">
        <v>172</v>
      </c>
      <c r="D13" s="165"/>
      <c r="E13" s="167" t="s">
        <v>172</v>
      </c>
      <c r="F13" s="165"/>
    </row>
    <row r="14" spans="1:6" ht="15">
      <c r="A14" s="179" t="s">
        <v>174</v>
      </c>
      <c r="B14" s="165"/>
      <c r="C14" s="279" t="s">
        <v>172</v>
      </c>
      <c r="D14" s="165"/>
      <c r="E14" s="167" t="s">
        <v>172</v>
      </c>
      <c r="F14" s="165"/>
    </row>
    <row r="15" spans="1:6" ht="15">
      <c r="A15" s="179" t="s">
        <v>175</v>
      </c>
      <c r="B15" s="165"/>
      <c r="C15" s="279" t="s">
        <v>173</v>
      </c>
      <c r="D15" s="165"/>
      <c r="E15" s="167" t="s">
        <v>173</v>
      </c>
      <c r="F15" s="165"/>
    </row>
    <row r="16" spans="1:6" ht="15">
      <c r="A16" s="179" t="s">
        <v>177</v>
      </c>
      <c r="B16" s="165"/>
      <c r="C16" s="279" t="s">
        <v>173</v>
      </c>
      <c r="D16" s="165"/>
      <c r="E16" s="167" t="s">
        <v>173</v>
      </c>
      <c r="F16" s="165"/>
    </row>
    <row r="17" spans="1:6" ht="15">
      <c r="A17" s="278" t="s">
        <v>295</v>
      </c>
      <c r="B17" s="281" t="s">
        <v>296</v>
      </c>
      <c r="C17" s="279" t="s">
        <v>172</v>
      </c>
      <c r="D17" s="165"/>
      <c r="E17" s="167"/>
      <c r="F17" s="165"/>
    </row>
    <row r="18" spans="1:6" ht="15">
      <c r="A18" s="179"/>
      <c r="B18" s="165"/>
      <c r="C18" s="166"/>
      <c r="D18" s="165"/>
      <c r="E18" s="166"/>
      <c r="F18" s="165"/>
    </row>
    <row r="19" spans="1:6" ht="15">
      <c r="A19" s="180" t="s">
        <v>93</v>
      </c>
      <c r="B19" s="165"/>
      <c r="C19" s="168"/>
      <c r="D19" s="165"/>
      <c r="E19" s="168"/>
      <c r="F19" s="165"/>
    </row>
    <row r="20" spans="1:6" ht="15">
      <c r="A20" s="179" t="s">
        <v>187</v>
      </c>
      <c r="B20" s="283">
        <v>1</v>
      </c>
      <c r="C20" s="284">
        <f>'1150 3rd Ave - Comm'!C15</f>
        <v>3267.2550856783478</v>
      </c>
      <c r="D20" s="169"/>
      <c r="E20" s="206">
        <f>'[1]Summary'!C19</f>
        <v>24297.575893144214</v>
      </c>
      <c r="F20" s="169"/>
    </row>
    <row r="21" spans="1:6" ht="15">
      <c r="A21" s="179" t="s">
        <v>188</v>
      </c>
      <c r="B21" s="283">
        <v>2</v>
      </c>
      <c r="C21" s="285">
        <f>'950 3rd Ave - Cov. Parking'!C15</f>
        <v>8246.506297799813</v>
      </c>
      <c r="D21" s="170"/>
      <c r="E21" s="206">
        <f>'[1]Summary'!C20</f>
        <v>18936.922945735234</v>
      </c>
      <c r="F21" s="170"/>
    </row>
    <row r="22" spans="1:6" ht="15">
      <c r="A22" s="179" t="s">
        <v>193</v>
      </c>
      <c r="B22" s="283">
        <v>3</v>
      </c>
      <c r="C22" s="285">
        <f>'1150 3rd Ave - Out. Parking'!C15</f>
        <v>361.39002399626145</v>
      </c>
      <c r="D22" s="170"/>
      <c r="E22" s="206">
        <f>'[1]Summary'!C21</f>
        <v>2687.546978980761</v>
      </c>
      <c r="F22" s="170"/>
    </row>
    <row r="23" spans="1:6" ht="15">
      <c r="A23" s="179" t="s">
        <v>192</v>
      </c>
      <c r="B23" s="283">
        <v>4</v>
      </c>
      <c r="C23" s="285">
        <f>'4 Parcels N. of MRF'!C15</f>
        <v>5728.995018856359</v>
      </c>
      <c r="D23" s="170"/>
      <c r="E23" s="206">
        <f>'[1]Summary'!C22</f>
        <v>30160.303499999998</v>
      </c>
      <c r="F23" s="170"/>
    </row>
    <row r="24" spans="1:6" ht="15">
      <c r="A24" s="179" t="s">
        <v>195</v>
      </c>
      <c r="B24" s="283">
        <v>5</v>
      </c>
      <c r="C24" s="285">
        <f>'657 W. Scott - Woodland'!C15</f>
        <v>1808.0837562847219</v>
      </c>
      <c r="D24" s="170"/>
      <c r="E24" s="206">
        <f>'[1]Summary'!C23</f>
        <v>9518.659845833341</v>
      </c>
      <c r="F24" s="170"/>
    </row>
    <row r="25" spans="1:6" ht="15">
      <c r="A25" s="180" t="s">
        <v>278</v>
      </c>
      <c r="B25" s="283">
        <v>6</v>
      </c>
      <c r="C25" s="285">
        <f>+'Truck shop - new'!C13</f>
        <v>10875.556591033328</v>
      </c>
      <c r="D25" s="170"/>
      <c r="E25" s="206">
        <f>'[1]Summary'!C24</f>
        <v>10038.60220196053</v>
      </c>
      <c r="F25" s="170"/>
    </row>
    <row r="26" spans="1:6" ht="15">
      <c r="A26" s="179" t="s">
        <v>189</v>
      </c>
      <c r="B26" s="283">
        <v>7</v>
      </c>
      <c r="C26" s="285">
        <f>+warehouse!C15</f>
        <v>8367.98784264368</v>
      </c>
      <c r="D26" s="170"/>
      <c r="E26" s="206">
        <f>'[1]Summary'!C25</f>
        <v>13902.189920334258</v>
      </c>
      <c r="F26" s="170"/>
    </row>
    <row r="27" spans="1:6" ht="15">
      <c r="A27" s="179" t="s">
        <v>167</v>
      </c>
      <c r="B27" s="283">
        <v>8</v>
      </c>
      <c r="C27" s="286">
        <f>+'Admin costs'!C11</f>
        <v>6714.234975739997</v>
      </c>
      <c r="D27" s="170"/>
      <c r="E27" s="206">
        <f>'[1]Summary'!C26</f>
        <v>6714.234975739997</v>
      </c>
      <c r="F27" s="170"/>
    </row>
    <row r="28" spans="1:6" ht="15">
      <c r="A28" s="179" t="s">
        <v>168</v>
      </c>
      <c r="B28" s="283">
        <v>9</v>
      </c>
      <c r="C28" s="286">
        <f>+'Admin costs'!C28</f>
        <v>5577.83187190003</v>
      </c>
      <c r="D28" s="170"/>
      <c r="E28" s="206">
        <f>'[1]Summary'!C27</f>
        <v>5577.83187190003</v>
      </c>
      <c r="F28" s="170"/>
    </row>
    <row r="29" spans="1:6" ht="15">
      <c r="A29" s="180" t="s">
        <v>276</v>
      </c>
      <c r="B29" s="283">
        <v>10</v>
      </c>
      <c r="C29" s="285">
        <f>+'Cost Calculation'!N147</f>
        <v>10887.223024087025</v>
      </c>
      <c r="D29" s="170"/>
      <c r="E29" s="206">
        <f>'[1]Summary'!C28</f>
        <v>10887.223024087025</v>
      </c>
      <c r="F29" s="170"/>
    </row>
    <row r="30" spans="1:6" ht="15">
      <c r="A30" s="179" t="s">
        <v>190</v>
      </c>
      <c r="B30" s="283">
        <v>11</v>
      </c>
      <c r="C30" s="285">
        <f>+'Cost Calculation'!N131+'Cost Calculation'!N106+'Cost Calculation'!N72+'Cost Calculation'!N57</f>
        <v>20258.62757210435</v>
      </c>
      <c r="D30" s="170"/>
      <c r="E30" s="206">
        <f>'[1]Summary'!C29</f>
        <v>25812.499336025638</v>
      </c>
      <c r="F30" s="170"/>
    </row>
    <row r="31" spans="1:6" ht="15">
      <c r="A31" s="179" t="s">
        <v>191</v>
      </c>
      <c r="B31" s="283">
        <v>12</v>
      </c>
      <c r="C31" s="287">
        <f>+'Cost Calculation'!N156</f>
        <v>3122.943210241102</v>
      </c>
      <c r="D31" s="172"/>
      <c r="E31" s="288">
        <f>'[1]Summary'!C30</f>
        <v>5768.657378000001</v>
      </c>
      <c r="F31" s="172"/>
    </row>
    <row r="32" spans="1:6" ht="15">
      <c r="A32" s="177"/>
      <c r="B32" s="164"/>
      <c r="D32" s="164"/>
      <c r="F32" s="164"/>
    </row>
    <row r="33" spans="1:8" ht="15">
      <c r="A33" s="177" t="s">
        <v>94</v>
      </c>
      <c r="B33" s="165"/>
      <c r="C33" s="273">
        <f>SUM(C20:C31)</f>
        <v>85216.63527036503</v>
      </c>
      <c r="D33" s="170"/>
      <c r="E33" s="151">
        <f>SUM(E20:E31)</f>
        <v>164302.24787174104</v>
      </c>
      <c r="F33" s="170"/>
      <c r="H33" s="151"/>
    </row>
    <row r="34" spans="1:6" ht="15">
      <c r="A34" s="177" t="s">
        <v>266</v>
      </c>
      <c r="B34" s="165"/>
      <c r="C34" s="151">
        <v>138000</v>
      </c>
      <c r="D34" s="170"/>
      <c r="E34" s="151">
        <v>138000</v>
      </c>
      <c r="F34" s="170"/>
    </row>
    <row r="35" spans="1:6" ht="15">
      <c r="A35" s="177" t="s">
        <v>182</v>
      </c>
      <c r="B35" s="165"/>
      <c r="D35" s="165"/>
      <c r="F35" s="165"/>
    </row>
    <row r="36" spans="1:6" ht="15">
      <c r="A36" s="177" t="s">
        <v>183</v>
      </c>
      <c r="B36" s="171"/>
      <c r="D36" s="171"/>
      <c r="F36" s="171"/>
    </row>
    <row r="37" spans="1:8" ht="19.5" thickBot="1">
      <c r="A37" s="178" t="s">
        <v>186</v>
      </c>
      <c r="B37" s="173"/>
      <c r="C37" s="269">
        <f>C33-C34</f>
        <v>-52783.364729634966</v>
      </c>
      <c r="D37" s="174"/>
      <c r="E37" s="156">
        <f>E33-E34</f>
        <v>26302.24787174104</v>
      </c>
      <c r="F37" s="174"/>
      <c r="H37" s="274"/>
    </row>
    <row r="38" spans="1:6" ht="15" customHeight="1">
      <c r="A38" s="221"/>
      <c r="B38" s="222"/>
      <c r="C38" s="222"/>
      <c r="D38" s="222"/>
      <c r="E38" s="222"/>
      <c r="F38" s="222"/>
    </row>
    <row r="39" spans="1:6" ht="15" customHeight="1">
      <c r="A39" s="222"/>
      <c r="B39" s="222"/>
      <c r="C39" s="222"/>
      <c r="D39" s="222"/>
      <c r="E39" s="222"/>
      <c r="F39" s="222"/>
    </row>
    <row r="40" spans="1:5" s="270" customFormat="1" ht="15">
      <c r="A40" s="270" t="s">
        <v>291</v>
      </c>
      <c r="C40" s="271"/>
      <c r="E40" s="272">
        <f>C37-E37</f>
        <v>-79085.61260137601</v>
      </c>
    </row>
  </sheetData>
  <sheetProtection/>
  <mergeCells count="3">
    <mergeCell ref="B6:B8"/>
    <mergeCell ref="C6:D7"/>
    <mergeCell ref="E5:F7"/>
  </mergeCells>
  <printOptions/>
  <pageMargins left="0.7" right="0.7" top="0.75" bottom="0.75" header="0.3" footer="0.3"/>
  <pageSetup fitToHeight="1" fitToWidth="1" horizontalDpi="600" verticalDpi="600" orientation="portrait" r:id="rId3"/>
  <headerFoot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15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26.50390625" style="0" customWidth="1"/>
    <col min="2" max="2" width="20.875" style="0" customWidth="1"/>
    <col min="3" max="3" width="12.625" style="0" customWidth="1"/>
  </cols>
  <sheetData>
    <row r="1" spans="1:2" ht="15.75">
      <c r="A1" s="1" t="s">
        <v>84</v>
      </c>
      <c r="B1" s="1" t="str">
        <f>'657 W. Scott - Woodland'!B1</f>
        <v>Heirborne Investments LLC</v>
      </c>
    </row>
    <row r="2" spans="1:2" ht="15.75">
      <c r="A2" s="1" t="s">
        <v>91</v>
      </c>
      <c r="B2" s="10" t="s">
        <v>90</v>
      </c>
    </row>
    <row r="4" spans="1:3" ht="15.75">
      <c r="A4" s="3"/>
      <c r="B4" s="1"/>
      <c r="C4" s="1"/>
    </row>
    <row r="5" spans="1:3" ht="15.75">
      <c r="A5" s="1"/>
      <c r="B5" s="1"/>
      <c r="C5" s="4"/>
    </row>
    <row r="6" spans="1:3" ht="15.75">
      <c r="A6" s="1" t="s">
        <v>112</v>
      </c>
      <c r="B6" s="1"/>
      <c r="C6" s="9">
        <f>'Cost Calculation'!Q111</f>
        <v>201068.69</v>
      </c>
    </row>
    <row r="7" spans="1:3" ht="15.75">
      <c r="A7" s="1"/>
      <c r="B7" s="1"/>
      <c r="C7" s="1"/>
    </row>
    <row r="8" spans="1:3" ht="15.75">
      <c r="A8" s="1" t="s">
        <v>87</v>
      </c>
      <c r="B8" s="262">
        <f>'1150 3rd Ave - Out. Parking'!B8</f>
        <v>0.9367166754303295</v>
      </c>
      <c r="C8" s="6">
        <f>B8*C6</f>
        <v>188344.39482993155</v>
      </c>
    </row>
    <row r="9" spans="1:3" ht="15.75">
      <c r="A9" s="1" t="s">
        <v>88</v>
      </c>
      <c r="B9" s="262">
        <f>1-B8</f>
        <v>0.06328332456967045</v>
      </c>
      <c r="C9" s="6">
        <f>B9*C6</f>
        <v>12724.295170068452</v>
      </c>
    </row>
    <row r="10" spans="1:3" ht="15.75">
      <c r="A10" s="1"/>
      <c r="B10" s="263"/>
      <c r="C10" s="6"/>
    </row>
    <row r="11" spans="1:3" ht="15.75">
      <c r="A11" s="1" t="s">
        <v>89</v>
      </c>
      <c r="B11" s="262">
        <f>'1150 3rd Ave - Out. Parking'!B11</f>
        <v>0.021961399990722337</v>
      </c>
      <c r="C11" s="6">
        <f>B11*C8</f>
        <v>4136.306590870663</v>
      </c>
    </row>
    <row r="12" spans="1:3" ht="15.75">
      <c r="A12" s="7" t="s">
        <v>88</v>
      </c>
      <c r="B12" s="262">
        <f>'1150 3rd Ave - Out. Parking'!B12</f>
        <v>0.12516908847982403</v>
      </c>
      <c r="C12" s="8">
        <f>B12*C9</f>
        <v>1592.6884279856956</v>
      </c>
    </row>
    <row r="13" spans="1:3" ht="15.75">
      <c r="A13" s="1" t="s">
        <v>147</v>
      </c>
      <c r="B13" s="1"/>
      <c r="C13" s="9">
        <f>SUM(C11:C12)</f>
        <v>5728.995018856359</v>
      </c>
    </row>
    <row r="15" spans="1:3" ht="15.75">
      <c r="A15" s="1" t="s">
        <v>299</v>
      </c>
      <c r="C15" s="9">
        <f>C13</f>
        <v>5728.995018856359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C15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26.375" style="0" customWidth="1"/>
    <col min="2" max="2" width="21.625" style="0" customWidth="1"/>
    <col min="3" max="3" width="11.375" style="0" customWidth="1"/>
  </cols>
  <sheetData>
    <row r="1" spans="1:2" ht="15.75">
      <c r="A1" s="1" t="s">
        <v>84</v>
      </c>
      <c r="B1" s="1" t="s">
        <v>85</v>
      </c>
    </row>
    <row r="2" spans="1:2" ht="15.75">
      <c r="A2" s="1" t="s">
        <v>86</v>
      </c>
      <c r="B2" s="2">
        <v>5042706</v>
      </c>
    </row>
    <row r="4" spans="1:3" ht="15.75">
      <c r="A4" s="3"/>
      <c r="B4" s="1"/>
      <c r="C4" s="1"/>
    </row>
    <row r="5" spans="1:3" ht="15.75">
      <c r="A5" s="1"/>
      <c r="B5" s="1"/>
      <c r="C5" s="4"/>
    </row>
    <row r="6" spans="1:3" ht="15.75">
      <c r="A6" s="1" t="s">
        <v>112</v>
      </c>
      <c r="B6" s="1"/>
      <c r="C6" s="9">
        <f>'Cost Calculation'!Q131</f>
        <v>63457.73230555561</v>
      </c>
    </row>
    <row r="7" spans="1:3" ht="15.75">
      <c r="A7" s="1"/>
      <c r="B7" s="1"/>
      <c r="C7" s="1"/>
    </row>
    <row r="8" spans="1:3" ht="15.75">
      <c r="A8" s="1" t="s">
        <v>87</v>
      </c>
      <c r="B8" s="262">
        <f>'4 Parcels N. of MRF'!B8</f>
        <v>0.9367166754303295</v>
      </c>
      <c r="C8" s="6">
        <f>B8*C6</f>
        <v>59441.91603560787</v>
      </c>
    </row>
    <row r="9" spans="1:3" ht="15.75">
      <c r="A9" s="1" t="s">
        <v>88</v>
      </c>
      <c r="B9" s="262">
        <f>1-B8</f>
        <v>0.06328332456967045</v>
      </c>
      <c r="C9" s="6">
        <f>B9*C6</f>
        <v>4015.816269947738</v>
      </c>
    </row>
    <row r="10" spans="1:3" ht="15.75">
      <c r="A10" s="1"/>
      <c r="B10" s="263"/>
      <c r="C10" s="6"/>
    </row>
    <row r="11" spans="1:3" ht="15.75">
      <c r="A11" s="1" t="s">
        <v>89</v>
      </c>
      <c r="B11" s="262">
        <f>'4 Parcels N. of MRF'!B11</f>
        <v>0.021961399990722337</v>
      </c>
      <c r="C11" s="6">
        <f>B11*C8</f>
        <v>1305.4276942729166</v>
      </c>
    </row>
    <row r="12" spans="1:3" ht="15.75">
      <c r="A12" s="7" t="s">
        <v>88</v>
      </c>
      <c r="B12" s="262">
        <f>'4 Parcels N. of MRF'!B12</f>
        <v>0.12516908847982403</v>
      </c>
      <c r="C12" s="8">
        <f>B12*C9</f>
        <v>502.6560620118053</v>
      </c>
    </row>
    <row r="13" spans="1:3" ht="15.75">
      <c r="A13" s="1" t="s">
        <v>147</v>
      </c>
      <c r="B13" s="1"/>
      <c r="C13" s="9">
        <f>SUM(C11:C12)</f>
        <v>1808.0837562847219</v>
      </c>
    </row>
    <row r="15" spans="1:3" ht="15.75">
      <c r="A15" s="1" t="s">
        <v>299</v>
      </c>
      <c r="C15" s="9">
        <f>C13</f>
        <v>1808.0837562847219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1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2" width="25.125" style="186" customWidth="1"/>
    <col min="3" max="3" width="7.625" style="187" customWidth="1"/>
    <col min="4" max="4" width="9.375" style="186" customWidth="1"/>
    <col min="5" max="5" width="4.125" style="186" customWidth="1"/>
    <col min="6" max="6" width="62.75390625" style="186" customWidth="1"/>
    <col min="7" max="8" width="11.125" style="188" customWidth="1"/>
    <col min="9" max="9" width="10.25390625" style="188" customWidth="1"/>
    <col min="10" max="16384" width="9.00390625" style="189" customWidth="1"/>
  </cols>
  <sheetData>
    <row r="1" spans="1:4" ht="18">
      <c r="A1" s="291" t="s">
        <v>306</v>
      </c>
      <c r="C1" s="201"/>
      <c r="D1" s="200"/>
    </row>
    <row r="3" spans="1:9" s="185" customFormat="1" ht="12">
      <c r="A3" s="183" t="s">
        <v>199</v>
      </c>
      <c r="B3" s="183" t="s">
        <v>200</v>
      </c>
      <c r="C3" s="183" t="s">
        <v>201</v>
      </c>
      <c r="D3" s="183" t="s">
        <v>202</v>
      </c>
      <c r="E3" s="183" t="s">
        <v>203</v>
      </c>
      <c r="F3" s="183" t="s">
        <v>204</v>
      </c>
      <c r="G3" s="184" t="s">
        <v>205</v>
      </c>
      <c r="H3" s="184" t="s">
        <v>206</v>
      </c>
      <c r="I3" s="184" t="s">
        <v>207</v>
      </c>
    </row>
    <row r="4" spans="1:6" ht="12">
      <c r="A4" s="186" t="s">
        <v>208</v>
      </c>
      <c r="B4" s="186" t="s">
        <v>209</v>
      </c>
      <c r="C4" s="187">
        <v>40179</v>
      </c>
      <c r="D4" s="186" t="s">
        <v>95</v>
      </c>
      <c r="E4" s="186" t="s">
        <v>95</v>
      </c>
      <c r="F4" s="186" t="s">
        <v>210</v>
      </c>
    </row>
    <row r="5" spans="1:6" ht="12">
      <c r="A5" s="186" t="s">
        <v>208</v>
      </c>
      <c r="B5" s="186" t="s">
        <v>209</v>
      </c>
      <c r="C5" s="187">
        <v>40210</v>
      </c>
      <c r="D5" s="186" t="s">
        <v>95</v>
      </c>
      <c r="E5" s="186" t="s">
        <v>95</v>
      </c>
      <c r="F5" s="186" t="s">
        <v>210</v>
      </c>
    </row>
    <row r="6" spans="1:6" ht="12">
      <c r="A6" s="186" t="s">
        <v>208</v>
      </c>
      <c r="B6" s="186" t="s">
        <v>209</v>
      </c>
      <c r="C6" s="187">
        <v>40238</v>
      </c>
      <c r="D6" s="186" t="s">
        <v>95</v>
      </c>
      <c r="E6" s="186" t="s">
        <v>95</v>
      </c>
      <c r="F6" s="186" t="s">
        <v>210</v>
      </c>
    </row>
    <row r="7" spans="1:6" ht="12">
      <c r="A7" s="186" t="s">
        <v>208</v>
      </c>
      <c r="B7" s="186" t="s">
        <v>209</v>
      </c>
      <c r="C7" s="187">
        <v>40269</v>
      </c>
      <c r="D7" s="186" t="s">
        <v>95</v>
      </c>
      <c r="E7" s="186" t="s">
        <v>95</v>
      </c>
      <c r="F7" s="186" t="s">
        <v>210</v>
      </c>
    </row>
    <row r="8" spans="1:6" ht="12">
      <c r="A8" s="186" t="s">
        <v>208</v>
      </c>
      <c r="B8" s="186" t="s">
        <v>209</v>
      </c>
      <c r="C8" s="187">
        <v>40299</v>
      </c>
      <c r="D8" s="186" t="s">
        <v>95</v>
      </c>
      <c r="E8" s="186" t="s">
        <v>95</v>
      </c>
      <c r="F8" s="186" t="s">
        <v>210</v>
      </c>
    </row>
    <row r="9" spans="1:6" ht="12">
      <c r="A9" s="186" t="s">
        <v>208</v>
      </c>
      <c r="B9" s="186" t="s">
        <v>209</v>
      </c>
      <c r="C9" s="187">
        <v>40330</v>
      </c>
      <c r="D9" s="186" t="s">
        <v>95</v>
      </c>
      <c r="E9" s="186" t="s">
        <v>95</v>
      </c>
      <c r="F9" s="186" t="s">
        <v>210</v>
      </c>
    </row>
    <row r="10" spans="1:6" ht="12">
      <c r="A10" s="186" t="s">
        <v>208</v>
      </c>
      <c r="B10" s="186" t="s">
        <v>209</v>
      </c>
      <c r="C10" s="187">
        <v>40360</v>
      </c>
      <c r="D10" s="186" t="s">
        <v>95</v>
      </c>
      <c r="E10" s="186" t="s">
        <v>95</v>
      </c>
      <c r="F10" s="186" t="s">
        <v>210</v>
      </c>
    </row>
    <row r="11" spans="1:6" ht="12">
      <c r="A11" s="186" t="s">
        <v>208</v>
      </c>
      <c r="B11" s="186" t="s">
        <v>209</v>
      </c>
      <c r="C11" s="187">
        <v>40391</v>
      </c>
      <c r="D11" s="186" t="s">
        <v>95</v>
      </c>
      <c r="E11" s="186" t="s">
        <v>95</v>
      </c>
      <c r="F11" s="186" t="s">
        <v>210</v>
      </c>
    </row>
    <row r="12" spans="1:6" ht="12">
      <c r="A12" s="186" t="s">
        <v>208</v>
      </c>
      <c r="B12" s="186" t="s">
        <v>209</v>
      </c>
      <c r="C12" s="187">
        <v>40422</v>
      </c>
      <c r="D12" s="186" t="s">
        <v>95</v>
      </c>
      <c r="E12" s="186" t="s">
        <v>95</v>
      </c>
      <c r="F12" s="186" t="s">
        <v>210</v>
      </c>
    </row>
    <row r="13" spans="1:6" ht="12">
      <c r="A13" s="186" t="s">
        <v>208</v>
      </c>
      <c r="B13" s="186" t="s">
        <v>209</v>
      </c>
      <c r="C13" s="187">
        <v>40452</v>
      </c>
      <c r="D13" s="186" t="s">
        <v>95</v>
      </c>
      <c r="E13" s="186" t="s">
        <v>95</v>
      </c>
      <c r="F13" s="186" t="s">
        <v>210</v>
      </c>
    </row>
    <row r="14" spans="1:6" ht="12">
      <c r="A14" s="186" t="s">
        <v>208</v>
      </c>
      <c r="B14" s="186" t="s">
        <v>209</v>
      </c>
      <c r="C14" s="187">
        <v>40483</v>
      </c>
      <c r="D14" s="186" t="s">
        <v>95</v>
      </c>
      <c r="E14" s="186" t="s">
        <v>95</v>
      </c>
      <c r="F14" s="186" t="s">
        <v>210</v>
      </c>
    </row>
    <row r="15" spans="1:6" ht="12">
      <c r="A15" s="186" t="s">
        <v>208</v>
      </c>
      <c r="B15" s="186" t="s">
        <v>209</v>
      </c>
      <c r="C15" s="187">
        <v>40513</v>
      </c>
      <c r="D15" s="186" t="s">
        <v>95</v>
      </c>
      <c r="E15" s="186" t="s">
        <v>95</v>
      </c>
      <c r="F15" s="186" t="s">
        <v>210</v>
      </c>
    </row>
    <row r="16" spans="1:6" ht="12">
      <c r="A16" s="186" t="s">
        <v>208</v>
      </c>
      <c r="B16" s="186" t="s">
        <v>209</v>
      </c>
      <c r="C16" s="187">
        <v>40543</v>
      </c>
      <c r="D16" s="186" t="s">
        <v>95</v>
      </c>
      <c r="E16" s="186" t="s">
        <v>95</v>
      </c>
      <c r="F16" s="186" t="s">
        <v>211</v>
      </c>
    </row>
    <row r="17" spans="1:6" ht="12">
      <c r="A17" s="186" t="s">
        <v>208</v>
      </c>
      <c r="B17" s="186" t="s">
        <v>209</v>
      </c>
      <c r="D17" s="186" t="s">
        <v>95</v>
      </c>
      <c r="E17" s="186" t="s">
        <v>95</v>
      </c>
      <c r="F17" s="186" t="s">
        <v>95</v>
      </c>
    </row>
    <row r="18" spans="1:6" ht="12">
      <c r="A18" s="186" t="s">
        <v>208</v>
      </c>
      <c r="B18" s="186" t="s">
        <v>209</v>
      </c>
      <c r="C18" s="187">
        <v>40544</v>
      </c>
      <c r="D18" s="186" t="s">
        <v>95</v>
      </c>
      <c r="E18" s="186" t="s">
        <v>95</v>
      </c>
      <c r="F18" s="186" t="s">
        <v>210</v>
      </c>
    </row>
    <row r="19" spans="1:6" ht="12">
      <c r="A19" s="186" t="s">
        <v>208</v>
      </c>
      <c r="B19" s="186" t="s">
        <v>209</v>
      </c>
      <c r="C19" s="187">
        <v>40575</v>
      </c>
      <c r="D19" s="186" t="s">
        <v>95</v>
      </c>
      <c r="E19" s="186" t="s">
        <v>95</v>
      </c>
      <c r="F19" s="186" t="s">
        <v>210</v>
      </c>
    </row>
    <row r="20" spans="1:6" ht="12">
      <c r="A20" s="186" t="s">
        <v>208</v>
      </c>
      <c r="B20" s="186" t="s">
        <v>209</v>
      </c>
      <c r="C20" s="187">
        <v>40603</v>
      </c>
      <c r="D20" s="186" t="s">
        <v>95</v>
      </c>
      <c r="E20" s="186" t="s">
        <v>95</v>
      </c>
      <c r="F20" s="186" t="s">
        <v>210</v>
      </c>
    </row>
    <row r="21" spans="1:6" ht="12">
      <c r="A21" s="186" t="s">
        <v>208</v>
      </c>
      <c r="B21" s="186" t="s">
        <v>209</v>
      </c>
      <c r="C21" s="187">
        <v>40634</v>
      </c>
      <c r="D21" s="186" t="s">
        <v>95</v>
      </c>
      <c r="E21" s="186" t="s">
        <v>95</v>
      </c>
      <c r="F21" s="186" t="s">
        <v>210</v>
      </c>
    </row>
    <row r="22" spans="1:6" ht="12">
      <c r="A22" s="186" t="s">
        <v>208</v>
      </c>
      <c r="B22" s="186" t="s">
        <v>209</v>
      </c>
      <c r="C22" s="187">
        <v>40664</v>
      </c>
      <c r="D22" s="186" t="s">
        <v>95</v>
      </c>
      <c r="E22" s="186" t="s">
        <v>95</v>
      </c>
      <c r="F22" s="186" t="s">
        <v>210</v>
      </c>
    </row>
    <row r="23" spans="1:6" ht="12">
      <c r="A23" s="186" t="s">
        <v>208</v>
      </c>
      <c r="B23" s="186" t="s">
        <v>209</v>
      </c>
      <c r="C23" s="187">
        <v>40695</v>
      </c>
      <c r="D23" s="186" t="s">
        <v>95</v>
      </c>
      <c r="E23" s="186" t="s">
        <v>95</v>
      </c>
      <c r="F23" s="186" t="s">
        <v>210</v>
      </c>
    </row>
    <row r="24" spans="1:6" ht="12">
      <c r="A24" s="186" t="s">
        <v>208</v>
      </c>
      <c r="B24" s="186" t="s">
        <v>209</v>
      </c>
      <c r="C24" s="187">
        <v>40725</v>
      </c>
      <c r="D24" s="186" t="s">
        <v>95</v>
      </c>
      <c r="E24" s="186" t="s">
        <v>95</v>
      </c>
      <c r="F24" s="186" t="s">
        <v>210</v>
      </c>
    </row>
    <row r="25" spans="1:6" ht="12">
      <c r="A25" s="186" t="s">
        <v>208</v>
      </c>
      <c r="B25" s="186" t="s">
        <v>209</v>
      </c>
      <c r="C25" s="187">
        <v>40756</v>
      </c>
      <c r="D25" s="186" t="s">
        <v>95</v>
      </c>
      <c r="E25" s="186" t="s">
        <v>95</v>
      </c>
      <c r="F25" s="186" t="s">
        <v>210</v>
      </c>
    </row>
    <row r="26" spans="1:6" ht="12">
      <c r="A26" s="186" t="s">
        <v>208</v>
      </c>
      <c r="B26" s="186" t="s">
        <v>209</v>
      </c>
      <c r="C26" s="187">
        <v>40787</v>
      </c>
      <c r="D26" s="186" t="s">
        <v>95</v>
      </c>
      <c r="E26" s="186" t="s">
        <v>95</v>
      </c>
      <c r="F26" s="186" t="s">
        <v>210</v>
      </c>
    </row>
    <row r="27" spans="1:6" ht="12">
      <c r="A27" s="186" t="s">
        <v>208</v>
      </c>
      <c r="B27" s="186" t="s">
        <v>209</v>
      </c>
      <c r="C27" s="187">
        <v>40817</v>
      </c>
      <c r="D27" s="186" t="s">
        <v>95</v>
      </c>
      <c r="E27" s="186" t="s">
        <v>95</v>
      </c>
      <c r="F27" s="186" t="s">
        <v>210</v>
      </c>
    </row>
    <row r="28" spans="1:6" ht="12">
      <c r="A28" s="186" t="s">
        <v>208</v>
      </c>
      <c r="B28" s="186" t="s">
        <v>209</v>
      </c>
      <c r="C28" s="187">
        <v>40848</v>
      </c>
      <c r="D28" s="186" t="s">
        <v>95</v>
      </c>
      <c r="E28" s="186" t="s">
        <v>95</v>
      </c>
      <c r="F28" s="186" t="s">
        <v>210</v>
      </c>
    </row>
    <row r="29" spans="1:6" ht="12">
      <c r="A29" s="186" t="s">
        <v>208</v>
      </c>
      <c r="B29" s="186" t="s">
        <v>209</v>
      </c>
      <c r="C29" s="187">
        <v>40878</v>
      </c>
      <c r="D29" s="186" t="s">
        <v>95</v>
      </c>
      <c r="E29" s="186" t="s">
        <v>95</v>
      </c>
      <c r="F29" s="186" t="s">
        <v>210</v>
      </c>
    </row>
    <row r="30" spans="1:6" ht="12">
      <c r="A30" s="186" t="s">
        <v>208</v>
      </c>
      <c r="B30" s="186" t="s">
        <v>209</v>
      </c>
      <c r="C30" s="187">
        <v>40908</v>
      </c>
      <c r="D30" s="186" t="s">
        <v>95</v>
      </c>
      <c r="E30" s="186" t="s">
        <v>95</v>
      </c>
      <c r="F30" s="186" t="s">
        <v>211</v>
      </c>
    </row>
    <row r="31" spans="1:6" ht="12">
      <c r="A31" s="186" t="s">
        <v>208</v>
      </c>
      <c r="B31" s="186" t="s">
        <v>209</v>
      </c>
      <c r="D31" s="186" t="s">
        <v>95</v>
      </c>
      <c r="E31" s="186" t="s">
        <v>95</v>
      </c>
      <c r="F31" s="186" t="s">
        <v>95</v>
      </c>
    </row>
    <row r="32" spans="1:6" ht="12">
      <c r="A32" s="186" t="s">
        <v>208</v>
      </c>
      <c r="B32" s="186" t="s">
        <v>209</v>
      </c>
      <c r="C32" s="187">
        <v>40909</v>
      </c>
      <c r="D32" s="186" t="s">
        <v>95</v>
      </c>
      <c r="E32" s="186" t="s">
        <v>95</v>
      </c>
      <c r="F32" s="186" t="s">
        <v>210</v>
      </c>
    </row>
    <row r="33" spans="1:6" ht="12">
      <c r="A33" s="186" t="s">
        <v>208</v>
      </c>
      <c r="B33" s="186" t="s">
        <v>209</v>
      </c>
      <c r="C33" s="187">
        <v>40940</v>
      </c>
      <c r="D33" s="186" t="s">
        <v>95</v>
      </c>
      <c r="E33" s="186" t="s">
        <v>95</v>
      </c>
      <c r="F33" s="186" t="s">
        <v>210</v>
      </c>
    </row>
    <row r="34" spans="1:6" ht="12">
      <c r="A34" s="186" t="s">
        <v>208</v>
      </c>
      <c r="B34" s="186" t="s">
        <v>209</v>
      </c>
      <c r="C34" s="187">
        <v>40969</v>
      </c>
      <c r="D34" s="186" t="s">
        <v>95</v>
      </c>
      <c r="E34" s="186" t="s">
        <v>95</v>
      </c>
      <c r="F34" s="186" t="s">
        <v>210</v>
      </c>
    </row>
    <row r="35" spans="1:11" ht="12">
      <c r="A35" s="186" t="s">
        <v>208</v>
      </c>
      <c r="B35" s="186" t="s">
        <v>209</v>
      </c>
      <c r="C35" s="187">
        <v>40995</v>
      </c>
      <c r="D35" s="186" t="s">
        <v>212</v>
      </c>
      <c r="E35" s="186" t="s">
        <v>213</v>
      </c>
      <c r="F35" s="186" t="s">
        <v>214</v>
      </c>
      <c r="G35" s="188">
        <v>2598.29</v>
      </c>
      <c r="J35" s="190">
        <v>2598.29</v>
      </c>
      <c r="K35" s="189" t="s">
        <v>215</v>
      </c>
    </row>
    <row r="36" spans="1:11" ht="12">
      <c r="A36" s="186" t="s">
        <v>208</v>
      </c>
      <c r="B36" s="186" t="s">
        <v>209</v>
      </c>
      <c r="C36" s="187">
        <v>40995</v>
      </c>
      <c r="D36" s="186" t="s">
        <v>216</v>
      </c>
      <c r="E36" s="186" t="s">
        <v>213</v>
      </c>
      <c r="F36" s="186" t="s">
        <v>217</v>
      </c>
      <c r="G36" s="188">
        <v>59107.62</v>
      </c>
      <c r="J36" s="190"/>
      <c r="K36" s="189" t="s">
        <v>218</v>
      </c>
    </row>
    <row r="37" spans="1:10" ht="12">
      <c r="A37" s="186" t="s">
        <v>208</v>
      </c>
      <c r="B37" s="186" t="s">
        <v>209</v>
      </c>
      <c r="D37" s="186" t="s">
        <v>95</v>
      </c>
      <c r="E37" s="186" t="s">
        <v>95</v>
      </c>
      <c r="F37" s="186" t="s">
        <v>219</v>
      </c>
      <c r="G37" s="188">
        <v>61705.91</v>
      </c>
      <c r="I37" s="188">
        <f>G37-H37</f>
        <v>61705.91</v>
      </c>
      <c r="J37" s="190">
        <v>59107.62</v>
      </c>
    </row>
    <row r="38" spans="1:10" ht="12">
      <c r="A38" s="186" t="s">
        <v>208</v>
      </c>
      <c r="B38" s="186" t="s">
        <v>209</v>
      </c>
      <c r="C38" s="187">
        <v>41000</v>
      </c>
      <c r="D38" s="186" t="s">
        <v>95</v>
      </c>
      <c r="E38" s="186" t="s">
        <v>95</v>
      </c>
      <c r="F38" s="186" t="s">
        <v>210</v>
      </c>
      <c r="I38" s="188">
        <v>61705.91</v>
      </c>
      <c r="J38" s="191">
        <f>-H76</f>
        <v>-7612</v>
      </c>
    </row>
    <row r="39" spans="1:8" ht="12">
      <c r="A39" s="186" t="s">
        <v>208</v>
      </c>
      <c r="B39" s="186" t="s">
        <v>209</v>
      </c>
      <c r="C39" s="187">
        <v>41000</v>
      </c>
      <c r="D39" s="186" t="s">
        <v>220</v>
      </c>
      <c r="E39" s="186" t="s">
        <v>221</v>
      </c>
      <c r="F39" s="186" t="s">
        <v>222</v>
      </c>
      <c r="H39" s="188">
        <v>59107.62</v>
      </c>
    </row>
    <row r="40" spans="1:8" ht="12">
      <c r="A40" s="186" t="s">
        <v>208</v>
      </c>
      <c r="B40" s="186" t="s">
        <v>209</v>
      </c>
      <c r="C40" s="187">
        <v>41000</v>
      </c>
      <c r="D40" s="186" t="s">
        <v>220</v>
      </c>
      <c r="E40" s="186" t="s">
        <v>221</v>
      </c>
      <c r="F40" s="186" t="s">
        <v>222</v>
      </c>
      <c r="H40" s="188">
        <v>2598.29</v>
      </c>
    </row>
    <row r="41" spans="1:9" ht="12">
      <c r="A41" s="186" t="s">
        <v>208</v>
      </c>
      <c r="B41" s="186" t="s">
        <v>209</v>
      </c>
      <c r="D41" s="186" t="s">
        <v>95</v>
      </c>
      <c r="E41" s="186" t="s">
        <v>95</v>
      </c>
      <c r="F41" s="186" t="s">
        <v>219</v>
      </c>
      <c r="H41" s="188">
        <v>61705.91</v>
      </c>
      <c r="I41" s="188">
        <f>G41-H41</f>
        <v>-61705.91</v>
      </c>
    </row>
    <row r="42" spans="1:6" ht="12">
      <c r="A42" s="186" t="s">
        <v>208</v>
      </c>
      <c r="B42" s="186" t="s">
        <v>209</v>
      </c>
      <c r="C42" s="187">
        <v>41030</v>
      </c>
      <c r="D42" s="186" t="s">
        <v>95</v>
      </c>
      <c r="E42" s="186" t="s">
        <v>95</v>
      </c>
      <c r="F42" s="186" t="s">
        <v>210</v>
      </c>
    </row>
    <row r="43" spans="1:6" ht="12">
      <c r="A43" s="186" t="s">
        <v>208</v>
      </c>
      <c r="B43" s="186" t="s">
        <v>209</v>
      </c>
      <c r="C43" s="187">
        <v>41061</v>
      </c>
      <c r="D43" s="186" t="s">
        <v>95</v>
      </c>
      <c r="E43" s="186" t="s">
        <v>95</v>
      </c>
      <c r="F43" s="186" t="s">
        <v>210</v>
      </c>
    </row>
    <row r="44" spans="1:6" ht="12">
      <c r="A44" s="186" t="s">
        <v>208</v>
      </c>
      <c r="B44" s="186" t="s">
        <v>209</v>
      </c>
      <c r="C44" s="187">
        <v>41091</v>
      </c>
      <c r="D44" s="186" t="s">
        <v>95</v>
      </c>
      <c r="E44" s="186" t="s">
        <v>95</v>
      </c>
      <c r="F44" s="186" t="s">
        <v>210</v>
      </c>
    </row>
    <row r="45" spans="1:6" ht="12">
      <c r="A45" s="186" t="s">
        <v>208</v>
      </c>
      <c r="B45" s="186" t="s">
        <v>209</v>
      </c>
      <c r="C45" s="187">
        <v>41122</v>
      </c>
      <c r="D45" s="186" t="s">
        <v>95</v>
      </c>
      <c r="E45" s="186" t="s">
        <v>95</v>
      </c>
      <c r="F45" s="186" t="s">
        <v>210</v>
      </c>
    </row>
    <row r="46" spans="1:6" ht="12">
      <c r="A46" s="186" t="s">
        <v>208</v>
      </c>
      <c r="B46" s="186" t="s">
        <v>209</v>
      </c>
      <c r="C46" s="187">
        <v>41153</v>
      </c>
      <c r="D46" s="186" t="s">
        <v>95</v>
      </c>
      <c r="E46" s="186" t="s">
        <v>95</v>
      </c>
      <c r="F46" s="186" t="s">
        <v>210</v>
      </c>
    </row>
    <row r="47" spans="1:6" ht="12">
      <c r="A47" s="186" t="s">
        <v>208</v>
      </c>
      <c r="B47" s="186" t="s">
        <v>209</v>
      </c>
      <c r="C47" s="187">
        <v>41183</v>
      </c>
      <c r="D47" s="186" t="s">
        <v>95</v>
      </c>
      <c r="E47" s="186" t="s">
        <v>95</v>
      </c>
      <c r="F47" s="186" t="s">
        <v>210</v>
      </c>
    </row>
    <row r="48" spans="1:11" ht="12">
      <c r="A48" s="186" t="s">
        <v>208</v>
      </c>
      <c r="B48" s="186" t="s">
        <v>209</v>
      </c>
      <c r="C48" s="187">
        <v>41183</v>
      </c>
      <c r="D48" s="186" t="s">
        <v>223</v>
      </c>
      <c r="E48" s="186" t="s">
        <v>221</v>
      </c>
      <c r="F48" s="186" t="s">
        <v>224</v>
      </c>
      <c r="G48" s="188">
        <v>12936.74</v>
      </c>
      <c r="J48" s="189">
        <v>20640.76</v>
      </c>
      <c r="K48" s="189" t="s">
        <v>225</v>
      </c>
    </row>
    <row r="49" spans="1:7" ht="12">
      <c r="A49" s="186" t="s">
        <v>208</v>
      </c>
      <c r="B49" s="186" t="s">
        <v>209</v>
      </c>
      <c r="C49" s="187">
        <v>41186</v>
      </c>
      <c r="D49" s="186" t="s">
        <v>226</v>
      </c>
      <c r="E49" s="186" t="s">
        <v>213</v>
      </c>
      <c r="F49" s="186" t="s">
        <v>227</v>
      </c>
      <c r="G49" s="188">
        <v>2409.75</v>
      </c>
    </row>
    <row r="50" spans="1:7" ht="12">
      <c r="A50" s="186" t="s">
        <v>208</v>
      </c>
      <c r="B50" s="186" t="s">
        <v>209</v>
      </c>
      <c r="C50" s="187">
        <v>41199</v>
      </c>
      <c r="D50" s="186" t="s">
        <v>228</v>
      </c>
      <c r="E50" s="186" t="s">
        <v>213</v>
      </c>
      <c r="F50" s="186" t="s">
        <v>229</v>
      </c>
      <c r="G50" s="188">
        <v>4061.25</v>
      </c>
    </row>
    <row r="51" spans="1:7" ht="12">
      <c r="A51" s="186" t="s">
        <v>208</v>
      </c>
      <c r="B51" s="186" t="s">
        <v>209</v>
      </c>
      <c r="C51" s="187">
        <v>41200</v>
      </c>
      <c r="D51" s="186" t="s">
        <v>230</v>
      </c>
      <c r="E51" s="186" t="s">
        <v>213</v>
      </c>
      <c r="F51" s="186" t="s">
        <v>231</v>
      </c>
      <c r="G51" s="188">
        <v>1233.02</v>
      </c>
    </row>
    <row r="52" spans="1:9" ht="12">
      <c r="A52" s="186" t="s">
        <v>208</v>
      </c>
      <c r="B52" s="186" t="s">
        <v>209</v>
      </c>
      <c r="D52" s="186" t="s">
        <v>95</v>
      </c>
      <c r="E52" s="186" t="s">
        <v>95</v>
      </c>
      <c r="F52" s="186" t="s">
        <v>219</v>
      </c>
      <c r="G52" s="188">
        <v>20640.76</v>
      </c>
      <c r="I52" s="188">
        <f>G52-H52</f>
        <v>20640.76</v>
      </c>
    </row>
    <row r="53" spans="1:9" ht="12">
      <c r="A53" s="186" t="s">
        <v>208</v>
      </c>
      <c r="B53" s="186" t="s">
        <v>209</v>
      </c>
      <c r="C53" s="187">
        <v>41214</v>
      </c>
      <c r="D53" s="186" t="s">
        <v>95</v>
      </c>
      <c r="E53" s="186" t="s">
        <v>95</v>
      </c>
      <c r="F53" s="186" t="s">
        <v>210</v>
      </c>
      <c r="I53" s="188">
        <v>20640.76</v>
      </c>
    </row>
    <row r="54" spans="1:9" ht="12">
      <c r="A54" s="186" t="s">
        <v>208</v>
      </c>
      <c r="B54" s="186" t="s">
        <v>209</v>
      </c>
      <c r="C54" s="187">
        <v>41244</v>
      </c>
      <c r="D54" s="186" t="s">
        <v>95</v>
      </c>
      <c r="E54" s="186" t="s">
        <v>95</v>
      </c>
      <c r="F54" s="186" t="s">
        <v>210</v>
      </c>
      <c r="I54" s="188">
        <v>20640.76</v>
      </c>
    </row>
    <row r="55" spans="1:7" ht="12">
      <c r="A55" s="186" t="s">
        <v>208</v>
      </c>
      <c r="B55" s="186" t="s">
        <v>209</v>
      </c>
      <c r="C55" s="187">
        <v>41274</v>
      </c>
      <c r="D55" s="186" t="s">
        <v>232</v>
      </c>
      <c r="E55" s="186" t="s">
        <v>221</v>
      </c>
      <c r="F55" s="186" t="s">
        <v>233</v>
      </c>
      <c r="G55" s="188">
        <v>59107.62</v>
      </c>
    </row>
    <row r="56" spans="1:7" ht="12">
      <c r="A56" s="186" t="s">
        <v>208</v>
      </c>
      <c r="B56" s="186" t="s">
        <v>209</v>
      </c>
      <c r="C56" s="187">
        <v>41274</v>
      </c>
      <c r="D56" s="186" t="s">
        <v>232</v>
      </c>
      <c r="E56" s="186" t="s">
        <v>221</v>
      </c>
      <c r="F56" s="186" t="s">
        <v>233</v>
      </c>
      <c r="G56" s="188">
        <v>2598.29</v>
      </c>
    </row>
    <row r="57" spans="1:11" ht="12">
      <c r="A57" s="186" t="s">
        <v>208</v>
      </c>
      <c r="B57" s="186" t="s">
        <v>209</v>
      </c>
      <c r="C57" s="187">
        <v>41274</v>
      </c>
      <c r="D57" s="186" t="s">
        <v>234</v>
      </c>
      <c r="E57" s="186" t="s">
        <v>221</v>
      </c>
      <c r="F57" s="186" t="s">
        <v>209</v>
      </c>
      <c r="G57" s="188">
        <v>11483.82</v>
      </c>
      <c r="J57" s="191">
        <f>+G57</f>
        <v>11483.82</v>
      </c>
      <c r="K57" s="189" t="s">
        <v>235</v>
      </c>
    </row>
    <row r="58" spans="1:9" ht="12">
      <c r="A58" s="186" t="s">
        <v>208</v>
      </c>
      <c r="B58" s="186" t="s">
        <v>209</v>
      </c>
      <c r="D58" s="186" t="s">
        <v>95</v>
      </c>
      <c r="E58" s="186" t="s">
        <v>95</v>
      </c>
      <c r="F58" s="186" t="s">
        <v>219</v>
      </c>
      <c r="G58" s="188">
        <v>73189.73</v>
      </c>
      <c r="I58" s="188">
        <f>G58-H58</f>
        <v>73189.73</v>
      </c>
    </row>
    <row r="59" spans="1:9" ht="12">
      <c r="A59" s="186" t="s">
        <v>208</v>
      </c>
      <c r="B59" s="186" t="s">
        <v>209</v>
      </c>
      <c r="C59" s="187">
        <v>41274</v>
      </c>
      <c r="D59" s="186" t="s">
        <v>95</v>
      </c>
      <c r="E59" s="186" t="s">
        <v>95</v>
      </c>
      <c r="F59" s="186" t="s">
        <v>211</v>
      </c>
      <c r="I59" s="188">
        <v>93830.49</v>
      </c>
    </row>
    <row r="60" spans="1:6" ht="12">
      <c r="A60" s="186" t="s">
        <v>208</v>
      </c>
      <c r="B60" s="186" t="s">
        <v>209</v>
      </c>
      <c r="D60" s="186" t="s">
        <v>95</v>
      </c>
      <c r="E60" s="186" t="s">
        <v>95</v>
      </c>
      <c r="F60" s="186" t="s">
        <v>95</v>
      </c>
    </row>
    <row r="61" spans="1:9" ht="12">
      <c r="A61" s="186" t="s">
        <v>208</v>
      </c>
      <c r="B61" s="186" t="s">
        <v>209</v>
      </c>
      <c r="C61" s="187">
        <v>41275</v>
      </c>
      <c r="D61" s="186" t="s">
        <v>95</v>
      </c>
      <c r="E61" s="186" t="s">
        <v>95</v>
      </c>
      <c r="F61" s="186" t="s">
        <v>210</v>
      </c>
      <c r="I61" s="188">
        <v>93830.49</v>
      </c>
    </row>
    <row r="62" spans="1:11" ht="12">
      <c r="A62" s="186" t="s">
        <v>208</v>
      </c>
      <c r="B62" s="186" t="s">
        <v>209</v>
      </c>
      <c r="C62" s="187">
        <v>41288</v>
      </c>
      <c r="D62" s="186" t="s">
        <v>236</v>
      </c>
      <c r="E62" s="186" t="s">
        <v>213</v>
      </c>
      <c r="F62" s="186" t="s">
        <v>237</v>
      </c>
      <c r="G62" s="188">
        <v>11252</v>
      </c>
      <c r="J62" s="191">
        <f>+G62</f>
        <v>11252</v>
      </c>
      <c r="K62" s="189" t="s">
        <v>238</v>
      </c>
    </row>
    <row r="63" spans="1:11" ht="12">
      <c r="A63" s="186" t="s">
        <v>208</v>
      </c>
      <c r="B63" s="186" t="s">
        <v>209</v>
      </c>
      <c r="D63" s="186" t="s">
        <v>95</v>
      </c>
      <c r="E63" s="186" t="s">
        <v>95</v>
      </c>
      <c r="F63" s="186" t="s">
        <v>219</v>
      </c>
      <c r="G63" s="188">
        <v>11252</v>
      </c>
      <c r="I63" s="188">
        <f>G63-H63</f>
        <v>11252</v>
      </c>
      <c r="K63" s="189" t="s">
        <v>239</v>
      </c>
    </row>
    <row r="64" spans="1:9" ht="12">
      <c r="A64" s="186" t="s">
        <v>208</v>
      </c>
      <c r="B64" s="186" t="s">
        <v>209</v>
      </c>
      <c r="C64" s="187">
        <v>41306</v>
      </c>
      <c r="D64" s="186" t="s">
        <v>95</v>
      </c>
      <c r="E64" s="186" t="s">
        <v>95</v>
      </c>
      <c r="F64" s="186" t="s">
        <v>210</v>
      </c>
      <c r="I64" s="188">
        <v>105082.49</v>
      </c>
    </row>
    <row r="65" spans="1:9" ht="12">
      <c r="A65" s="186" t="s">
        <v>208</v>
      </c>
      <c r="B65" s="186" t="s">
        <v>209</v>
      </c>
      <c r="C65" s="187">
        <v>41334</v>
      </c>
      <c r="D65" s="186" t="s">
        <v>95</v>
      </c>
      <c r="E65" s="186" t="s">
        <v>95</v>
      </c>
      <c r="F65" s="186" t="s">
        <v>210</v>
      </c>
      <c r="I65" s="188">
        <v>105082.49</v>
      </c>
    </row>
    <row r="66" spans="1:9" ht="12">
      <c r="A66" s="186" t="s">
        <v>208</v>
      </c>
      <c r="B66" s="186" t="s">
        <v>209</v>
      </c>
      <c r="C66" s="187">
        <v>41365</v>
      </c>
      <c r="D66" s="186" t="s">
        <v>95</v>
      </c>
      <c r="E66" s="186" t="s">
        <v>95</v>
      </c>
      <c r="F66" s="186" t="s">
        <v>210</v>
      </c>
      <c r="I66" s="188">
        <v>105082.49</v>
      </c>
    </row>
    <row r="67" spans="1:9" ht="12">
      <c r="A67" s="186" t="s">
        <v>208</v>
      </c>
      <c r="B67" s="186" t="s">
        <v>209</v>
      </c>
      <c r="C67" s="187">
        <v>41395</v>
      </c>
      <c r="D67" s="186" t="s">
        <v>95</v>
      </c>
      <c r="E67" s="186" t="s">
        <v>95</v>
      </c>
      <c r="F67" s="186" t="s">
        <v>210</v>
      </c>
      <c r="I67" s="188">
        <v>105082.49</v>
      </c>
    </row>
    <row r="68" spans="1:9" ht="12">
      <c r="A68" s="186" t="s">
        <v>208</v>
      </c>
      <c r="B68" s="186" t="s">
        <v>209</v>
      </c>
      <c r="C68" s="187">
        <v>41426</v>
      </c>
      <c r="D68" s="186" t="s">
        <v>95</v>
      </c>
      <c r="E68" s="186" t="s">
        <v>95</v>
      </c>
      <c r="F68" s="186" t="s">
        <v>210</v>
      </c>
      <c r="I68" s="188">
        <v>105082.49</v>
      </c>
    </row>
    <row r="69" spans="1:11" ht="12">
      <c r="A69" s="186" t="s">
        <v>208</v>
      </c>
      <c r="B69" s="186" t="s">
        <v>209</v>
      </c>
      <c r="C69" s="187">
        <v>41455</v>
      </c>
      <c r="D69" s="186" t="s">
        <v>240</v>
      </c>
      <c r="E69" s="186" t="s">
        <v>221</v>
      </c>
      <c r="F69" s="186" t="s">
        <v>241</v>
      </c>
      <c r="G69" s="188">
        <v>1862.5</v>
      </c>
      <c r="J69" s="191">
        <f>+G69</f>
        <v>1862.5</v>
      </c>
      <c r="K69" s="189" t="s">
        <v>242</v>
      </c>
    </row>
    <row r="70" spans="1:11" ht="12">
      <c r="A70" s="186" t="s">
        <v>208</v>
      </c>
      <c r="B70" s="186" t="s">
        <v>209</v>
      </c>
      <c r="D70" s="186" t="s">
        <v>95</v>
      </c>
      <c r="E70" s="186" t="s">
        <v>95</v>
      </c>
      <c r="F70" s="186" t="s">
        <v>219</v>
      </c>
      <c r="G70" s="188">
        <v>1862.5</v>
      </c>
      <c r="I70" s="188">
        <f>G70-H70</f>
        <v>1862.5</v>
      </c>
      <c r="K70" s="189" t="s">
        <v>243</v>
      </c>
    </row>
    <row r="71" spans="1:9" ht="12">
      <c r="A71" s="186" t="s">
        <v>208</v>
      </c>
      <c r="B71" s="186" t="s">
        <v>209</v>
      </c>
      <c r="C71" s="187">
        <v>41456</v>
      </c>
      <c r="D71" s="186" t="s">
        <v>95</v>
      </c>
      <c r="E71" s="186" t="s">
        <v>95</v>
      </c>
      <c r="F71" s="186" t="s">
        <v>210</v>
      </c>
      <c r="I71" s="188">
        <v>106944.99</v>
      </c>
    </row>
    <row r="72" spans="1:9" ht="12">
      <c r="A72" s="186" t="s">
        <v>208</v>
      </c>
      <c r="B72" s="186" t="s">
        <v>209</v>
      </c>
      <c r="C72" s="187">
        <v>41487</v>
      </c>
      <c r="D72" s="186" t="s">
        <v>95</v>
      </c>
      <c r="E72" s="186" t="s">
        <v>95</v>
      </c>
      <c r="F72" s="186" t="s">
        <v>210</v>
      </c>
      <c r="I72" s="188">
        <v>106944.99</v>
      </c>
    </row>
    <row r="73" spans="1:9" ht="12">
      <c r="A73" s="186" t="s">
        <v>208</v>
      </c>
      <c r="B73" s="186" t="s">
        <v>209</v>
      </c>
      <c r="C73" s="187">
        <v>41518</v>
      </c>
      <c r="D73" s="186" t="s">
        <v>95</v>
      </c>
      <c r="E73" s="186" t="s">
        <v>95</v>
      </c>
      <c r="F73" s="186" t="s">
        <v>210</v>
      </c>
      <c r="I73" s="188">
        <v>106944.99</v>
      </c>
    </row>
    <row r="74" spans="1:10" ht="12">
      <c r="A74" s="186" t="s">
        <v>208</v>
      </c>
      <c r="B74" s="186" t="s">
        <v>209</v>
      </c>
      <c r="C74" s="187">
        <v>41530</v>
      </c>
      <c r="D74" s="186" t="s">
        <v>244</v>
      </c>
      <c r="E74" s="186" t="s">
        <v>213</v>
      </c>
      <c r="F74" s="186" t="s">
        <v>245</v>
      </c>
      <c r="G74" s="188">
        <v>1393.8</v>
      </c>
      <c r="J74" s="191">
        <f>+G74</f>
        <v>1393.8</v>
      </c>
    </row>
    <row r="75" spans="1:11" ht="12">
      <c r="A75" s="186" t="s">
        <v>208</v>
      </c>
      <c r="B75" s="186" t="s">
        <v>209</v>
      </c>
      <c r="C75" s="187">
        <v>41533</v>
      </c>
      <c r="D75" s="186" t="s">
        <v>246</v>
      </c>
      <c r="E75" s="186" t="s">
        <v>213</v>
      </c>
      <c r="F75" s="186" t="s">
        <v>247</v>
      </c>
      <c r="G75" s="188">
        <v>3625.44</v>
      </c>
      <c r="J75" s="191">
        <f>+G75</f>
        <v>3625.44</v>
      </c>
      <c r="K75" s="189" t="s">
        <v>248</v>
      </c>
    </row>
    <row r="76" spans="1:11" ht="12">
      <c r="A76" s="186" t="s">
        <v>208</v>
      </c>
      <c r="B76" s="186" t="s">
        <v>209</v>
      </c>
      <c r="C76" s="187">
        <v>41547</v>
      </c>
      <c r="D76" s="186" t="s">
        <v>249</v>
      </c>
      <c r="E76" s="186" t="s">
        <v>221</v>
      </c>
      <c r="F76" s="186" t="s">
        <v>250</v>
      </c>
      <c r="H76" s="188">
        <v>7612</v>
      </c>
      <c r="K76" s="189" t="s">
        <v>251</v>
      </c>
    </row>
    <row r="77" spans="1:10" ht="12">
      <c r="A77" s="186" t="s">
        <v>208</v>
      </c>
      <c r="B77" s="186" t="s">
        <v>209</v>
      </c>
      <c r="C77" s="187">
        <v>41547</v>
      </c>
      <c r="D77" s="186" t="s">
        <v>252</v>
      </c>
      <c r="E77" s="186" t="s">
        <v>221</v>
      </c>
      <c r="F77" s="186" t="s">
        <v>253</v>
      </c>
      <c r="G77" s="188">
        <v>403.75</v>
      </c>
      <c r="J77" s="191">
        <f>+G77</f>
        <v>403.75</v>
      </c>
    </row>
    <row r="78" spans="1:10" ht="12">
      <c r="A78" s="186" t="s">
        <v>208</v>
      </c>
      <c r="B78" s="186" t="s">
        <v>209</v>
      </c>
      <c r="C78" s="187">
        <v>41547</v>
      </c>
      <c r="D78" s="186" t="s">
        <v>252</v>
      </c>
      <c r="E78" s="186" t="s">
        <v>221</v>
      </c>
      <c r="F78" s="186" t="s">
        <v>253</v>
      </c>
      <c r="G78" s="188">
        <v>611.25</v>
      </c>
      <c r="J78" s="191">
        <f>+G78</f>
        <v>611.25</v>
      </c>
    </row>
    <row r="79" spans="1:9" ht="12">
      <c r="A79" s="186" t="s">
        <v>208</v>
      </c>
      <c r="B79" s="186" t="s">
        <v>209</v>
      </c>
      <c r="D79" s="186" t="s">
        <v>95</v>
      </c>
      <c r="E79" s="186" t="s">
        <v>95</v>
      </c>
      <c r="F79" s="186" t="s">
        <v>219</v>
      </c>
      <c r="G79" s="188">
        <v>6034.24</v>
      </c>
      <c r="H79" s="188">
        <v>7612</v>
      </c>
      <c r="I79" s="188">
        <f>G79-H79</f>
        <v>-1577.7600000000002</v>
      </c>
    </row>
    <row r="80" spans="1:9" ht="12">
      <c r="A80" s="186" t="s">
        <v>208</v>
      </c>
      <c r="B80" s="186" t="s">
        <v>209</v>
      </c>
      <c r="C80" s="187">
        <v>41548</v>
      </c>
      <c r="D80" s="186" t="s">
        <v>95</v>
      </c>
      <c r="E80" s="186" t="s">
        <v>95</v>
      </c>
      <c r="F80" s="186" t="s">
        <v>210</v>
      </c>
      <c r="I80" s="188">
        <v>105367.23</v>
      </c>
    </row>
    <row r="81" spans="1:11" ht="12">
      <c r="A81" s="186" t="s">
        <v>208</v>
      </c>
      <c r="B81" s="186" t="s">
        <v>209</v>
      </c>
      <c r="C81" s="187">
        <v>41549</v>
      </c>
      <c r="D81" s="186" t="s">
        <v>254</v>
      </c>
      <c r="E81" s="186" t="s">
        <v>213</v>
      </c>
      <c r="F81" s="186" t="s">
        <v>255</v>
      </c>
      <c r="G81" s="188">
        <v>5375.39</v>
      </c>
      <c r="J81" s="191">
        <f>+G81</f>
        <v>5375.39</v>
      </c>
      <c r="K81" s="189" t="s">
        <v>243</v>
      </c>
    </row>
    <row r="82" spans="1:11" ht="12">
      <c r="A82" s="186" t="s">
        <v>208</v>
      </c>
      <c r="B82" s="186" t="s">
        <v>209</v>
      </c>
      <c r="C82" s="187">
        <v>41562</v>
      </c>
      <c r="D82" s="186" t="s">
        <v>256</v>
      </c>
      <c r="E82" s="186" t="s">
        <v>213</v>
      </c>
      <c r="F82" s="186" t="s">
        <v>257</v>
      </c>
      <c r="G82" s="188">
        <v>3436.62</v>
      </c>
      <c r="J82" s="191">
        <f>+G82</f>
        <v>3436.62</v>
      </c>
      <c r="K82" s="189" t="s">
        <v>243</v>
      </c>
    </row>
    <row r="83" spans="1:9" ht="12">
      <c r="A83" s="186" t="s">
        <v>208</v>
      </c>
      <c r="B83" s="186" t="s">
        <v>209</v>
      </c>
      <c r="D83" s="186" t="s">
        <v>95</v>
      </c>
      <c r="E83" s="186" t="s">
        <v>95</v>
      </c>
      <c r="F83" s="186" t="s">
        <v>219</v>
      </c>
      <c r="G83" s="188">
        <v>8812.01</v>
      </c>
      <c r="I83" s="188">
        <f>G83-H83</f>
        <v>8812.01</v>
      </c>
    </row>
    <row r="84" spans="1:9" ht="12">
      <c r="A84" s="186" t="s">
        <v>208</v>
      </c>
      <c r="B84" s="186" t="s">
        <v>209</v>
      </c>
      <c r="C84" s="187">
        <v>41579</v>
      </c>
      <c r="D84" s="186" t="s">
        <v>95</v>
      </c>
      <c r="E84" s="186" t="s">
        <v>95</v>
      </c>
      <c r="F84" s="186" t="s">
        <v>210</v>
      </c>
      <c r="I84" s="188">
        <v>114179.24</v>
      </c>
    </row>
    <row r="85" spans="1:9" ht="12">
      <c r="A85" s="186" t="s">
        <v>208</v>
      </c>
      <c r="B85" s="186" t="s">
        <v>209</v>
      </c>
      <c r="C85" s="187">
        <v>41609</v>
      </c>
      <c r="D85" s="186" t="s">
        <v>95</v>
      </c>
      <c r="E85" s="186" t="s">
        <v>95</v>
      </c>
      <c r="F85" s="186" t="s">
        <v>210</v>
      </c>
      <c r="I85" s="188">
        <v>114179.24</v>
      </c>
    </row>
    <row r="86" spans="1:10" ht="12">
      <c r="A86" s="186" t="s">
        <v>208</v>
      </c>
      <c r="B86" s="186" t="s">
        <v>209</v>
      </c>
      <c r="C86" s="187">
        <v>41613</v>
      </c>
      <c r="D86" s="186" t="s">
        <v>258</v>
      </c>
      <c r="E86" s="186" t="s">
        <v>213</v>
      </c>
      <c r="F86" s="186" t="s">
        <v>259</v>
      </c>
      <c r="G86" s="188">
        <v>3364.2</v>
      </c>
      <c r="J86" s="191">
        <f>+G86</f>
        <v>3364.2</v>
      </c>
    </row>
    <row r="87" spans="1:10" ht="12">
      <c r="A87" s="186" t="s">
        <v>208</v>
      </c>
      <c r="B87" s="186" t="s">
        <v>209</v>
      </c>
      <c r="C87" s="187">
        <v>41632</v>
      </c>
      <c r="D87" s="186" t="s">
        <v>260</v>
      </c>
      <c r="E87" s="186" t="s">
        <v>213</v>
      </c>
      <c r="F87" s="186" t="s">
        <v>261</v>
      </c>
      <c r="G87" s="188">
        <v>5091.34</v>
      </c>
      <c r="J87" s="191">
        <f>+G87</f>
        <v>5091.34</v>
      </c>
    </row>
    <row r="88" spans="1:9" ht="12">
      <c r="A88" s="186" t="s">
        <v>208</v>
      </c>
      <c r="B88" s="186" t="s">
        <v>209</v>
      </c>
      <c r="D88" s="186" t="s">
        <v>95</v>
      </c>
      <c r="E88" s="186" t="s">
        <v>95</v>
      </c>
      <c r="F88" s="186" t="s">
        <v>219</v>
      </c>
      <c r="G88" s="188">
        <v>8455.54</v>
      </c>
      <c r="I88" s="188">
        <f>G88-H88</f>
        <v>8455.54</v>
      </c>
    </row>
    <row r="89" spans="1:9" ht="12">
      <c r="A89" s="186" t="s">
        <v>208</v>
      </c>
      <c r="B89" s="186" t="s">
        <v>209</v>
      </c>
      <c r="C89" s="187">
        <v>41639</v>
      </c>
      <c r="D89" s="186" t="s">
        <v>95</v>
      </c>
      <c r="E89" s="186" t="s">
        <v>95</v>
      </c>
      <c r="F89" s="186" t="s">
        <v>211</v>
      </c>
      <c r="I89" s="188">
        <v>122634.78</v>
      </c>
    </row>
    <row r="90" spans="1:6" ht="12">
      <c r="A90" s="186" t="s">
        <v>208</v>
      </c>
      <c r="B90" s="186" t="s">
        <v>209</v>
      </c>
      <c r="D90" s="186" t="s">
        <v>95</v>
      </c>
      <c r="E90" s="186" t="s">
        <v>95</v>
      </c>
      <c r="F90" s="186" t="s">
        <v>95</v>
      </c>
    </row>
    <row r="91" spans="1:9" ht="12">
      <c r="A91" s="186" t="s">
        <v>208</v>
      </c>
      <c r="B91" s="186" t="s">
        <v>209</v>
      </c>
      <c r="C91" s="187">
        <v>41640</v>
      </c>
      <c r="D91" s="186" t="s">
        <v>95</v>
      </c>
      <c r="E91" s="186" t="s">
        <v>95</v>
      </c>
      <c r="F91" s="186" t="s">
        <v>210</v>
      </c>
      <c r="I91" s="188">
        <v>122634.78</v>
      </c>
    </row>
    <row r="92" spans="1:10" ht="12">
      <c r="A92" s="186" t="s">
        <v>208</v>
      </c>
      <c r="B92" s="186" t="s">
        <v>209</v>
      </c>
      <c r="C92" s="187">
        <v>41648</v>
      </c>
      <c r="D92" s="186" t="s">
        <v>262</v>
      </c>
      <c r="E92" s="186" t="s">
        <v>213</v>
      </c>
      <c r="F92" s="186" t="s">
        <v>263</v>
      </c>
      <c r="G92" s="188">
        <v>3000</v>
      </c>
      <c r="J92" s="191">
        <f>+G92</f>
        <v>3000</v>
      </c>
    </row>
    <row r="93" spans="1:9" ht="12">
      <c r="A93" s="186" t="s">
        <v>208</v>
      </c>
      <c r="B93" s="186" t="s">
        <v>209</v>
      </c>
      <c r="D93" s="186" t="s">
        <v>95</v>
      </c>
      <c r="E93" s="186" t="s">
        <v>95</v>
      </c>
      <c r="F93" s="186" t="s">
        <v>219</v>
      </c>
      <c r="G93" s="188">
        <v>3000</v>
      </c>
      <c r="I93" s="188">
        <f>G93-H93</f>
        <v>3000</v>
      </c>
    </row>
    <row r="94" spans="1:9" ht="12">
      <c r="A94" s="186" t="s">
        <v>208</v>
      </c>
      <c r="B94" s="186" t="s">
        <v>209</v>
      </c>
      <c r="C94" s="187">
        <v>41671</v>
      </c>
      <c r="D94" s="186" t="s">
        <v>95</v>
      </c>
      <c r="E94" s="186" t="s">
        <v>95</v>
      </c>
      <c r="F94" s="186" t="s">
        <v>210</v>
      </c>
      <c r="I94" s="188">
        <v>125634.78</v>
      </c>
    </row>
    <row r="95" spans="1:9" ht="12">
      <c r="A95" s="186" t="s">
        <v>208</v>
      </c>
      <c r="B95" s="186" t="s">
        <v>209</v>
      </c>
      <c r="C95" s="187">
        <v>41699</v>
      </c>
      <c r="D95" s="186" t="s">
        <v>95</v>
      </c>
      <c r="E95" s="186" t="s">
        <v>95</v>
      </c>
      <c r="F95" s="186" t="s">
        <v>210</v>
      </c>
      <c r="I95" s="188">
        <v>125634.78</v>
      </c>
    </row>
    <row r="96" spans="1:9" ht="12">
      <c r="A96" s="186" t="s">
        <v>208</v>
      </c>
      <c r="B96" s="186" t="s">
        <v>209</v>
      </c>
      <c r="C96" s="187">
        <v>41730</v>
      </c>
      <c r="D96" s="186" t="s">
        <v>95</v>
      </c>
      <c r="E96" s="186" t="s">
        <v>95</v>
      </c>
      <c r="F96" s="186" t="s">
        <v>210</v>
      </c>
      <c r="I96" s="188">
        <v>125634.78</v>
      </c>
    </row>
    <row r="97" spans="1:9" ht="12">
      <c r="A97" s="186" t="s">
        <v>208</v>
      </c>
      <c r="B97" s="186" t="s">
        <v>209</v>
      </c>
      <c r="C97" s="187">
        <v>41760</v>
      </c>
      <c r="D97" s="186" t="s">
        <v>95</v>
      </c>
      <c r="E97" s="186" t="s">
        <v>95</v>
      </c>
      <c r="F97" s="186" t="s">
        <v>210</v>
      </c>
      <c r="I97" s="188">
        <v>125634.78</v>
      </c>
    </row>
    <row r="98" spans="1:9" ht="12">
      <c r="A98" s="186" t="s">
        <v>208</v>
      </c>
      <c r="B98" s="186" t="s">
        <v>209</v>
      </c>
      <c r="C98" s="187">
        <v>41791</v>
      </c>
      <c r="D98" s="186" t="s">
        <v>95</v>
      </c>
      <c r="E98" s="186" t="s">
        <v>95</v>
      </c>
      <c r="F98" s="186" t="s">
        <v>210</v>
      </c>
      <c r="I98" s="188">
        <v>125634.78</v>
      </c>
    </row>
    <row r="99" spans="1:9" ht="12">
      <c r="A99" s="186" t="s">
        <v>208</v>
      </c>
      <c r="B99" s="186" t="s">
        <v>209</v>
      </c>
      <c r="C99" s="187">
        <v>41821</v>
      </c>
      <c r="D99" s="186" t="s">
        <v>95</v>
      </c>
      <c r="E99" s="186" t="s">
        <v>95</v>
      </c>
      <c r="F99" s="186" t="s">
        <v>210</v>
      </c>
      <c r="I99" s="188">
        <v>125634.78</v>
      </c>
    </row>
    <row r="100" spans="1:9" ht="12">
      <c r="A100" s="186" t="s">
        <v>208</v>
      </c>
      <c r="B100" s="186" t="s">
        <v>209</v>
      </c>
      <c r="C100" s="187">
        <v>41852</v>
      </c>
      <c r="D100" s="186" t="s">
        <v>95</v>
      </c>
      <c r="E100" s="186" t="s">
        <v>95</v>
      </c>
      <c r="F100" s="186" t="s">
        <v>210</v>
      </c>
      <c r="I100" s="188">
        <v>125634.78</v>
      </c>
    </row>
    <row r="101" spans="1:9" ht="12">
      <c r="A101" s="186" t="s">
        <v>208</v>
      </c>
      <c r="B101" s="186" t="s">
        <v>209</v>
      </c>
      <c r="C101" s="187">
        <v>41883</v>
      </c>
      <c r="D101" s="186" t="s">
        <v>95</v>
      </c>
      <c r="E101" s="186" t="s">
        <v>95</v>
      </c>
      <c r="F101" s="186" t="s">
        <v>210</v>
      </c>
      <c r="I101" s="188">
        <v>125634.78</v>
      </c>
    </row>
    <row r="102" spans="1:9" ht="12">
      <c r="A102" s="186" t="s">
        <v>208</v>
      </c>
      <c r="B102" s="186" t="s">
        <v>209</v>
      </c>
      <c r="C102" s="187">
        <v>41913</v>
      </c>
      <c r="D102" s="186" t="s">
        <v>95</v>
      </c>
      <c r="E102" s="186" t="s">
        <v>95</v>
      </c>
      <c r="F102" s="186" t="s">
        <v>210</v>
      </c>
      <c r="I102" s="188">
        <v>125634.78</v>
      </c>
    </row>
    <row r="103" spans="1:9" ht="12">
      <c r="A103" s="186" t="s">
        <v>208</v>
      </c>
      <c r="B103" s="186" t="s">
        <v>209</v>
      </c>
      <c r="C103" s="187">
        <v>41944</v>
      </c>
      <c r="D103" s="186" t="s">
        <v>95</v>
      </c>
      <c r="E103" s="186" t="s">
        <v>95</v>
      </c>
      <c r="F103" s="186" t="s">
        <v>210</v>
      </c>
      <c r="I103" s="188">
        <v>125634.78</v>
      </c>
    </row>
    <row r="104" spans="1:9" ht="12">
      <c r="A104" s="186" t="s">
        <v>208</v>
      </c>
      <c r="B104" s="186" t="s">
        <v>209</v>
      </c>
      <c r="C104" s="187">
        <v>41974</v>
      </c>
      <c r="D104" s="186" t="s">
        <v>95</v>
      </c>
      <c r="E104" s="186" t="s">
        <v>95</v>
      </c>
      <c r="F104" s="186" t="s">
        <v>210</v>
      </c>
      <c r="I104" s="188">
        <v>125634.78</v>
      </c>
    </row>
    <row r="105" spans="1:10" s="195" customFormat="1" ht="12.75" thickBot="1">
      <c r="A105" s="192" t="s">
        <v>95</v>
      </c>
      <c r="B105" s="192" t="s">
        <v>95</v>
      </c>
      <c r="C105" s="193">
        <v>42004</v>
      </c>
      <c r="D105" s="192" t="s">
        <v>95</v>
      </c>
      <c r="E105" s="192" t="s">
        <v>95</v>
      </c>
      <c r="F105" s="192" t="s">
        <v>264</v>
      </c>
      <c r="G105" s="194"/>
      <c r="H105" s="194"/>
      <c r="I105" s="194">
        <v>125634.78</v>
      </c>
      <c r="J105" s="195">
        <f>SUM(J34:J104)</f>
        <v>125634.77999999998</v>
      </c>
    </row>
    <row r="107" spans="9:10" ht="12">
      <c r="I107" s="188" t="s">
        <v>301</v>
      </c>
      <c r="J107" s="196">
        <f>SUM(J48:J69)</f>
        <v>45239.08</v>
      </c>
    </row>
  </sheetData>
  <sheetProtection/>
  <printOptions/>
  <pageMargins left="0.7" right="0.7" top="1.25" bottom="0.652777777777778" header="0.3" footer="0.3"/>
  <pageSetup fitToHeight="0" fitToWidth="1" horizontalDpi="600" verticalDpi="600" orientation="landscape" scale="54" r:id="rId1"/>
  <headerFooter>
    <oddHeader>&amp;L&amp;"Arial"&amp;12
&amp;11
&amp;"Arial"&amp;8Filter Criteria includes: 1) IDs from 244 to 244. Report order is by ID. Report is printed with shorten&amp;C&amp;"Arial"&amp;12&amp;BHEIRBORNE INVESTMENT (ACCRUAL)&amp;B
&amp;11&amp;BGeneral Ledger&amp;B
&amp;BFor the Period From Jan 1, 2010 to Dec 31, 2014&amp;B</oddHeader>
    <oddFooter>&amp;L&amp;"Arial,Bold"&amp;9&amp;A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61"/>
  <sheetViews>
    <sheetView view="pageBreakPreview" zoomScale="60" zoomScaleNormal="80" zoomScalePageLayoutView="0" workbookViewId="0" topLeftCell="A1">
      <pane xSplit="1" ySplit="10" topLeftCell="B11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I70" sqref="I70"/>
    </sheetView>
  </sheetViews>
  <sheetFormatPr defaultColWidth="4.875" defaultRowHeight="15.75"/>
  <cols>
    <col min="1" max="1" width="4.875" style="55" customWidth="1"/>
    <col min="2" max="2" width="48.75390625" style="55" customWidth="1"/>
    <col min="3" max="3" width="3.75390625" style="55" bestFit="1" customWidth="1"/>
    <col min="4" max="4" width="7.00390625" style="55" customWidth="1"/>
    <col min="5" max="5" width="21.625" style="24" customWidth="1"/>
    <col min="6" max="6" width="7.625" style="55" bestFit="1" customWidth="1"/>
    <col min="7" max="7" width="7.00390625" style="55" customWidth="1"/>
    <col min="8" max="8" width="7.375" style="55" customWidth="1"/>
    <col min="9" max="9" width="8.375" style="55" customWidth="1"/>
    <col min="10" max="10" width="5.375" style="55" customWidth="1"/>
    <col min="11" max="11" width="9.375" style="24" customWidth="1"/>
    <col min="12" max="12" width="16.375" style="24" bestFit="1" customWidth="1"/>
    <col min="13" max="13" width="13.625" style="24" customWidth="1"/>
    <col min="14" max="14" width="16.25390625" style="24" customWidth="1"/>
    <col min="15" max="15" width="14.00390625" style="24" customWidth="1"/>
    <col min="16" max="16" width="14.75390625" style="24" customWidth="1"/>
    <col min="17" max="17" width="17.00390625" style="24" customWidth="1"/>
    <col min="18" max="18" width="12.125" style="24" customWidth="1"/>
    <col min="19" max="19" width="15.375" style="24" customWidth="1"/>
    <col min="20" max="20" width="12.125" style="74" customWidth="1"/>
    <col min="21" max="21" width="19.00390625" style="24" customWidth="1"/>
    <col min="22" max="22" width="9.875" style="74" customWidth="1"/>
    <col min="23" max="23" width="13.50390625" style="24" customWidth="1"/>
    <col min="24" max="24" width="13.375" style="24" customWidth="1"/>
    <col min="25" max="25" width="13.875" style="55" customWidth="1"/>
    <col min="26" max="26" width="6.875" style="55" customWidth="1"/>
    <col min="27" max="27" width="11.50390625" style="55" customWidth="1"/>
    <col min="28" max="28" width="7.375" style="55" customWidth="1"/>
    <col min="29" max="29" width="12.00390625" style="55" customWidth="1"/>
    <col min="30" max="31" width="4.875" style="55" customWidth="1"/>
    <col min="32" max="16384" width="4.875" style="55" customWidth="1"/>
  </cols>
  <sheetData>
    <row r="1" spans="1:24" s="22" customFormat="1" ht="15.75">
      <c r="A1" s="20" t="s">
        <v>95</v>
      </c>
      <c r="B1" s="21" t="s">
        <v>96</v>
      </c>
      <c r="E1" s="23"/>
      <c r="I1" s="158" t="s">
        <v>185</v>
      </c>
      <c r="J1" s="158"/>
      <c r="K1" s="159"/>
      <c r="L1" s="159"/>
      <c r="M1" s="159"/>
      <c r="N1" s="159"/>
      <c r="O1" s="24"/>
      <c r="P1" s="24"/>
      <c r="Q1" s="23"/>
      <c r="R1" s="23"/>
      <c r="S1" s="23"/>
      <c r="T1" s="25"/>
      <c r="U1" s="23"/>
      <c r="V1" s="25"/>
      <c r="W1" s="23"/>
      <c r="X1" s="23"/>
    </row>
    <row r="2" spans="2:24" s="22" customFormat="1" ht="15.75">
      <c r="B2" s="26" t="s">
        <v>97</v>
      </c>
      <c r="F2" s="27"/>
      <c r="K2" s="23"/>
      <c r="L2" s="23"/>
      <c r="M2" s="23"/>
      <c r="N2" s="23"/>
      <c r="O2" s="24"/>
      <c r="P2" s="24"/>
      <c r="Q2" s="23"/>
      <c r="R2" s="23"/>
      <c r="S2" s="23"/>
      <c r="T2" s="25"/>
      <c r="U2" s="23"/>
      <c r="V2" s="25"/>
      <c r="W2" s="23"/>
      <c r="X2" s="23"/>
    </row>
    <row r="3" spans="2:27" s="22" customFormat="1" ht="15.75">
      <c r="B3" s="28" t="s">
        <v>98</v>
      </c>
      <c r="K3" s="23"/>
      <c r="L3" s="23"/>
      <c r="M3" s="23"/>
      <c r="N3" s="23"/>
      <c r="O3" s="24"/>
      <c r="P3" s="24"/>
      <c r="Q3" s="23"/>
      <c r="R3" s="23"/>
      <c r="S3" s="23"/>
      <c r="T3" s="25"/>
      <c r="U3" s="23"/>
      <c r="V3" s="25"/>
      <c r="W3" s="23"/>
      <c r="X3" s="23"/>
      <c r="Z3" s="20"/>
      <c r="AA3" s="20"/>
    </row>
    <row r="4" spans="11:27" s="22" customFormat="1" ht="15.75">
      <c r="K4" s="23"/>
      <c r="L4" s="23"/>
      <c r="M4" s="23"/>
      <c r="N4" s="23"/>
      <c r="O4" s="24"/>
      <c r="P4" s="24"/>
      <c r="Q4" s="23"/>
      <c r="R4" s="23"/>
      <c r="S4" s="23"/>
      <c r="T4" s="25"/>
      <c r="U4" s="23"/>
      <c r="V4" s="25"/>
      <c r="W4" s="23"/>
      <c r="X4" s="23"/>
      <c r="Z4" s="20"/>
      <c r="AA4" s="20"/>
    </row>
    <row r="5" spans="4:27" s="22" customFormat="1" ht="15.75">
      <c r="D5" s="304" t="s">
        <v>99</v>
      </c>
      <c r="E5" s="304"/>
      <c r="F5" s="305" t="s">
        <v>100</v>
      </c>
      <c r="G5" s="305"/>
      <c r="K5" s="23"/>
      <c r="L5" s="23"/>
      <c r="M5" s="23"/>
      <c r="N5" s="23"/>
      <c r="O5" s="24"/>
      <c r="P5" s="24"/>
      <c r="Q5" s="23"/>
      <c r="R5" s="23"/>
      <c r="S5" s="23"/>
      <c r="T5" s="25"/>
      <c r="U5" s="23"/>
      <c r="V5" s="25"/>
      <c r="W5" s="23"/>
      <c r="X5" s="23"/>
      <c r="Z5" s="20"/>
      <c r="AA5" s="20"/>
    </row>
    <row r="6" spans="4:27" s="22" customFormat="1" ht="15" customHeight="1">
      <c r="D6" s="29" t="s">
        <v>101</v>
      </c>
      <c r="E6" s="29" t="s">
        <v>102</v>
      </c>
      <c r="F6" s="30" t="s">
        <v>101</v>
      </c>
      <c r="G6" s="30" t="s">
        <v>102</v>
      </c>
      <c r="K6" s="23"/>
      <c r="L6" s="23"/>
      <c r="M6" s="23"/>
      <c r="N6" s="23"/>
      <c r="O6" s="24"/>
      <c r="P6" s="24"/>
      <c r="Q6" s="23"/>
      <c r="R6" s="23"/>
      <c r="S6" s="23"/>
      <c r="T6" s="25"/>
      <c r="U6" s="23"/>
      <c r="V6" s="25"/>
      <c r="W6" s="23"/>
      <c r="X6" s="23"/>
      <c r="Z6" s="20"/>
      <c r="AA6" s="20"/>
    </row>
    <row r="7" spans="4:27" s="22" customFormat="1" ht="15.75">
      <c r="D7" s="31">
        <v>6</v>
      </c>
      <c r="E7" s="31">
        <v>2012</v>
      </c>
      <c r="F7" s="30">
        <f>12-D7</f>
        <v>6</v>
      </c>
      <c r="G7" s="30">
        <f>E7+1</f>
        <v>2013</v>
      </c>
      <c r="K7" s="23"/>
      <c r="L7" s="23"/>
      <c r="M7" s="23"/>
      <c r="N7" s="23"/>
      <c r="O7" s="32"/>
      <c r="P7" s="32"/>
      <c r="Q7" s="23"/>
      <c r="R7" s="23"/>
      <c r="S7" s="23"/>
      <c r="T7" s="25"/>
      <c r="U7" s="33"/>
      <c r="V7" s="25"/>
      <c r="W7" s="33"/>
      <c r="X7" s="33"/>
      <c r="Z7" s="20"/>
      <c r="AA7" s="20"/>
    </row>
    <row r="8" spans="1:24" s="22" customFormat="1" ht="15.75">
      <c r="A8" s="20"/>
      <c r="B8" s="289" t="s">
        <v>300</v>
      </c>
      <c r="D8" s="34"/>
      <c r="E8" s="23"/>
      <c r="F8" s="34"/>
      <c r="H8" s="34"/>
      <c r="J8" s="20"/>
      <c r="K8" s="23"/>
      <c r="L8" s="23"/>
      <c r="M8" s="23"/>
      <c r="N8" s="23"/>
      <c r="O8" s="32"/>
      <c r="P8" s="32"/>
      <c r="Q8" s="23"/>
      <c r="R8" s="33"/>
      <c r="S8" s="33"/>
      <c r="T8" s="25"/>
      <c r="U8" s="33"/>
      <c r="V8" s="35"/>
      <c r="W8" s="33"/>
      <c r="X8" s="33"/>
    </row>
    <row r="9" spans="2:29" s="22" customFormat="1" ht="63">
      <c r="B9" s="36" t="s">
        <v>103</v>
      </c>
      <c r="C9" s="306" t="s">
        <v>104</v>
      </c>
      <c r="D9" s="306"/>
      <c r="E9" s="37" t="s">
        <v>105</v>
      </c>
      <c r="F9" s="38" t="s">
        <v>106</v>
      </c>
      <c r="G9" s="38" t="s">
        <v>107</v>
      </c>
      <c r="H9" s="38" t="s">
        <v>108</v>
      </c>
      <c r="I9" s="307" t="s">
        <v>109</v>
      </c>
      <c r="J9" s="307"/>
      <c r="K9" s="307"/>
      <c r="L9" s="37" t="s">
        <v>83</v>
      </c>
      <c r="M9" s="308" t="s">
        <v>110</v>
      </c>
      <c r="N9" s="308"/>
      <c r="O9" s="300" t="s">
        <v>111</v>
      </c>
      <c r="P9" s="301"/>
      <c r="Q9" s="37" t="s">
        <v>112</v>
      </c>
      <c r="R9" s="39" t="s">
        <v>113</v>
      </c>
      <c r="S9" s="39" t="s">
        <v>114</v>
      </c>
      <c r="T9" s="39" t="s">
        <v>115</v>
      </c>
      <c r="U9" s="39" t="s">
        <v>116</v>
      </c>
      <c r="V9" s="39" t="s">
        <v>117</v>
      </c>
      <c r="W9" s="302" t="s">
        <v>118</v>
      </c>
      <c r="X9" s="303"/>
      <c r="Y9" s="39" t="s">
        <v>119</v>
      </c>
      <c r="Z9" s="39" t="s">
        <v>120</v>
      </c>
      <c r="AA9" s="39" t="s">
        <v>121</v>
      </c>
      <c r="AB9" s="39" t="s">
        <v>122</v>
      </c>
      <c r="AC9" s="39" t="s">
        <v>123</v>
      </c>
    </row>
    <row r="10" spans="1:29" s="22" customFormat="1" ht="15.75">
      <c r="A10" s="34"/>
      <c r="B10" s="11" t="s">
        <v>124</v>
      </c>
      <c r="C10" s="40" t="s">
        <v>101</v>
      </c>
      <c r="D10" s="40" t="s">
        <v>102</v>
      </c>
      <c r="E10" s="41" t="s">
        <v>125</v>
      </c>
      <c r="F10" s="42" t="s">
        <v>126</v>
      </c>
      <c r="G10" s="40" t="s">
        <v>127</v>
      </c>
      <c r="H10" s="43" t="s">
        <v>102</v>
      </c>
      <c r="I10" s="44" t="s">
        <v>169</v>
      </c>
      <c r="J10" s="44" t="s">
        <v>170</v>
      </c>
      <c r="K10" s="45" t="s">
        <v>125</v>
      </c>
      <c r="L10" s="46" t="s">
        <v>125</v>
      </c>
      <c r="M10" s="47" t="s">
        <v>82</v>
      </c>
      <c r="N10" s="47" t="s">
        <v>128</v>
      </c>
      <c r="O10" s="48" t="s">
        <v>129</v>
      </c>
      <c r="P10" s="48" t="s">
        <v>130</v>
      </c>
      <c r="Q10" s="47" t="s">
        <v>125</v>
      </c>
      <c r="R10" s="49" t="s">
        <v>125</v>
      </c>
      <c r="S10" s="49" t="s">
        <v>125</v>
      </c>
      <c r="T10" s="50" t="s">
        <v>126</v>
      </c>
      <c r="U10" s="49" t="s">
        <v>125</v>
      </c>
      <c r="V10" s="50" t="s">
        <v>126</v>
      </c>
      <c r="W10" s="50" t="s">
        <v>129</v>
      </c>
      <c r="X10" s="50" t="s">
        <v>130</v>
      </c>
      <c r="Y10" s="50" t="s">
        <v>131</v>
      </c>
      <c r="Z10" s="50" t="s">
        <v>132</v>
      </c>
      <c r="AA10" s="50" t="s">
        <v>133</v>
      </c>
      <c r="AB10" s="50" t="s">
        <v>134</v>
      </c>
      <c r="AC10" s="50" t="s">
        <v>135</v>
      </c>
    </row>
    <row r="11" spans="1:29" ht="15.75">
      <c r="A11" s="51"/>
      <c r="B11" s="52" t="s">
        <v>136</v>
      </c>
      <c r="C11" s="51"/>
      <c r="D11" s="51"/>
      <c r="E11" s="32"/>
      <c r="F11" s="51"/>
      <c r="G11" s="51"/>
      <c r="H11" s="51"/>
      <c r="I11" s="53"/>
      <c r="J11" s="53"/>
      <c r="K11" s="32"/>
      <c r="L11" s="32"/>
      <c r="M11" s="32"/>
      <c r="N11" s="32"/>
      <c r="O11" s="32"/>
      <c r="P11" s="32"/>
      <c r="Q11" s="32"/>
      <c r="R11" s="32"/>
      <c r="S11" s="32"/>
      <c r="T11" s="54"/>
      <c r="U11" s="32"/>
      <c r="V11" s="54"/>
      <c r="W11" s="32"/>
      <c r="Y11" s="51"/>
      <c r="Z11" s="51"/>
      <c r="AA11" s="51"/>
      <c r="AB11" s="51"/>
      <c r="AC11" s="51"/>
    </row>
    <row r="12" spans="2:29" s="22" customFormat="1" ht="15.75">
      <c r="B12" s="56" t="s">
        <v>3</v>
      </c>
      <c r="C12" s="57">
        <v>6</v>
      </c>
      <c r="D12" s="57">
        <v>1988</v>
      </c>
      <c r="E12" s="58">
        <v>4000</v>
      </c>
      <c r="F12" s="59">
        <v>1</v>
      </c>
      <c r="G12" s="57">
        <v>100</v>
      </c>
      <c r="H12" s="22">
        <f aca="true" t="shared" si="0" ref="H12:H54">D12+G12</f>
        <v>2088</v>
      </c>
      <c r="I12" s="60"/>
      <c r="J12" s="61"/>
      <c r="K12" s="62">
        <v>0</v>
      </c>
      <c r="L12" s="23">
        <f aca="true" t="shared" si="1" ref="L12:L54">E12-E12*F12</f>
        <v>0</v>
      </c>
      <c r="M12" s="23">
        <f aca="true" t="shared" si="2" ref="M12:M54">L12/G12/12</f>
        <v>0</v>
      </c>
      <c r="N12" s="23">
        <f aca="true" t="shared" si="3" ref="N12:N54">IF(K12&gt;0,0,IF(OR(Y12&gt;Z12,AA12&lt;AB12),0,IF(AND(AA12&gt;=AB12,AA12&lt;=Z12),M12*((AA12-AB12)*12),IF(AND(AB12&lt;=Y12,Z12&gt;=Y12),((Z12-Y12)*12)*M12,IF(AA12&gt;Z12,12*M12,0)))))</f>
        <v>0</v>
      </c>
      <c r="O12" s="63">
        <f aca="true" t="shared" si="4" ref="O12:O54">IF(Y12&gt;Z12,0,IF(AA12&lt;AB12,L12,IF(AND(AA12&gt;=AB12,AA12&lt;=Z12),(L12-S12),IF(AND(AB12&lt;=Y12,Z12&gt;=Y12),0,IF(AA12&gt;Z12,((AB12-Y12)*12)*M12,0)))))</f>
        <v>0</v>
      </c>
      <c r="P12" s="63">
        <f aca="true" t="shared" si="5" ref="P12:P54">IF(K12&gt;0,0,X12+U12*V12)*V12</f>
        <v>0</v>
      </c>
      <c r="Q12" s="23">
        <f aca="true" t="shared" si="6" ref="Q12:Q54">IF(K12&gt;0,(E12-X12)/2,IF(Y12&gt;=AB12,(((E12*T12)*V12)-P12)/2,((((E12*T12)*V12)-X12)+(((E12*T12)*V12)-P12))/2))</f>
        <v>4000</v>
      </c>
      <c r="R12" s="23">
        <f aca="true" t="shared" si="7" ref="R12:R54">IF(K12=0,0,IF(AND(AC12&gt;=AB12,AC12&lt;=AA12),((AC12-AB12)*12)*M12,0))</f>
        <v>0</v>
      </c>
      <c r="S12" s="23">
        <f aca="true" t="shared" si="8" ref="S12:S54">IF(R12&gt;0,R12,N12)</f>
        <v>0</v>
      </c>
      <c r="T12" s="25">
        <v>1</v>
      </c>
      <c r="U12" s="23">
        <f aca="true" t="shared" si="9" ref="U12:U54">T12*(N12+R12)</f>
        <v>0</v>
      </c>
      <c r="V12" s="25">
        <v>1</v>
      </c>
      <c r="W12" s="23">
        <f aca="true" t="shared" si="10" ref="W12:W54">O12*T12</f>
        <v>0</v>
      </c>
      <c r="X12" s="23">
        <f aca="true" t="shared" si="11" ref="X12:X54">W12*V12</f>
        <v>0</v>
      </c>
      <c r="Y12" s="64">
        <f aca="true" t="shared" si="12" ref="Y12:Y54">$D12+(($C12-1)/12)</f>
        <v>1988.4166666666667</v>
      </c>
      <c r="Z12" s="22">
        <f aca="true" t="shared" si="13" ref="Z12:Z54">($G$7+1)-($D$7/12)</f>
        <v>2013.5</v>
      </c>
      <c r="AA12" s="64">
        <f aca="true" t="shared" si="14" ref="AA12:AA54">$H12+(($C12-1)/12)</f>
        <v>2088.4166666666665</v>
      </c>
      <c r="AB12" s="22">
        <f aca="true" t="shared" si="15" ref="AB12:AB54">$E$7+($F$7/12)</f>
        <v>2012.5</v>
      </c>
      <c r="AC12" s="22">
        <f aca="true" t="shared" si="16" ref="AC12:AC54">$J12+(($I12-1)/12)</f>
        <v>-0.08333333333333333</v>
      </c>
    </row>
    <row r="13" spans="2:29" s="22" customFormat="1" ht="15.75">
      <c r="B13" s="160" t="s">
        <v>184</v>
      </c>
      <c r="C13" s="161">
        <v>8</v>
      </c>
      <c r="D13" s="161">
        <v>1997</v>
      </c>
      <c r="E13" s="162">
        <v>261791.65</v>
      </c>
      <c r="F13" s="163">
        <v>0</v>
      </c>
      <c r="G13" s="161">
        <v>39</v>
      </c>
      <c r="H13" s="22">
        <f>D13+G13</f>
        <v>2036</v>
      </c>
      <c r="I13" s="60"/>
      <c r="J13" s="61"/>
      <c r="K13" s="62">
        <v>0</v>
      </c>
      <c r="L13" s="23">
        <f>E13-E13*F13</f>
        <v>261791.65</v>
      </c>
      <c r="M13" s="23">
        <f>L13/G13/12</f>
        <v>559.3838675213675</v>
      </c>
      <c r="N13" s="23">
        <f>IF(K13&gt;0,0,IF(OR(Y13&gt;Z13,AA13&lt;AB13),0,IF(AND(AA13&gt;=AB13,AA13&lt;=Z13),M13*((AA13-AB13)*12),IF(AND(AB13&lt;=Y13,Z13&gt;=Y13),((Z13-Y13)*12)*M13,IF(AA13&gt;Z13,12*M13,0)))))</f>
        <v>6712.6064102564105</v>
      </c>
      <c r="O13" s="63">
        <f>IF(Y13&gt;Z13,0,IF(AA13&lt;AB13,L13,IF(AND(AA13&gt;=AB13,AA13&lt;=Z13),(L13-S13),IF(AND(AB13&lt;=Y13,Z13&gt;=Y13),0,IF(AA13&gt;Z13,((AB13-Y13)*12)*M13,0)))))</f>
        <v>100129.71228632529</v>
      </c>
      <c r="P13" s="63">
        <f>IF(K13&gt;0,0,X13+U13*V13)*V13</f>
        <v>106842.3186965817</v>
      </c>
      <c r="Q13" s="23">
        <f>IF(K13&gt;0,(E13-X13)/2,IF(Y13&gt;=AB13,(((E13*T13)*V13)-P13)/2,((((E13*T13)*V13)-X13)+(((E13*T13)*V13)-P13))/2))</f>
        <v>158305.6345085465</v>
      </c>
      <c r="R13" s="23">
        <f>IF(K13=0,0,IF(AND(AC13&gt;=AB13,AC13&lt;=AA13),((AC13-AB13)*12)*M13,0))</f>
        <v>0</v>
      </c>
      <c r="S13" s="23">
        <f>IF(R13&gt;0,R13,N13)</f>
        <v>6712.6064102564105</v>
      </c>
      <c r="T13" s="25">
        <v>1</v>
      </c>
      <c r="U13" s="23">
        <f>T13*(N13+R13)</f>
        <v>6712.6064102564105</v>
      </c>
      <c r="V13" s="25">
        <v>1</v>
      </c>
      <c r="W13" s="23">
        <f>O13*T13</f>
        <v>100129.71228632529</v>
      </c>
      <c r="X13" s="23">
        <f>W13*V13</f>
        <v>100129.71228632529</v>
      </c>
      <c r="Y13" s="64">
        <f t="shared" si="12"/>
        <v>1997.5833333333333</v>
      </c>
      <c r="Z13" s="22">
        <f t="shared" si="13"/>
        <v>2013.5</v>
      </c>
      <c r="AA13" s="64">
        <f t="shared" si="14"/>
        <v>2036.5833333333333</v>
      </c>
      <c r="AB13" s="22">
        <f t="shared" si="15"/>
        <v>2012.5</v>
      </c>
      <c r="AC13" s="22">
        <f t="shared" si="16"/>
        <v>-0.08333333333333333</v>
      </c>
    </row>
    <row r="14" spans="2:29" s="87" customFormat="1" ht="15.75">
      <c r="B14" s="239" t="s">
        <v>269</v>
      </c>
      <c r="C14" s="240">
        <v>1</v>
      </c>
      <c r="D14" s="240">
        <v>1998</v>
      </c>
      <c r="E14" s="241">
        <v>343211.62</v>
      </c>
      <c r="F14" s="242">
        <v>0</v>
      </c>
      <c r="G14" s="240">
        <v>39</v>
      </c>
      <c r="H14" s="243">
        <f>D14+G14</f>
        <v>2037</v>
      </c>
      <c r="I14" s="207"/>
      <c r="J14" s="208"/>
      <c r="K14" s="209">
        <v>0</v>
      </c>
      <c r="L14" s="210">
        <f>E14-E14*F14</f>
        <v>343211.62</v>
      </c>
      <c r="M14" s="210">
        <f>L14/G14/12</f>
        <v>733.3581623931624</v>
      </c>
      <c r="N14" s="210">
        <f>IF(K14&gt;0,0,IF(OR(Y14&gt;Z14,AA14&lt;AB14),0,IF(AND(AA14&gt;=AB14,AA14&lt;=Z14),M14*((AA14-AB14)*12),IF(AND(AB14&lt;=Y14,Z14&gt;=Y14),((Z14-Y14)*12)*M14,IF(AA14&gt;Z14,12*M14,0)))))</f>
        <v>8800.29794871795</v>
      </c>
      <c r="O14" s="211">
        <f>IF(Y14&gt;Z14,0,IF(AA14&lt;AB14,L14,IF(AND(AA14&gt;=AB14,AA14&lt;=Z14),(L14-S14),IF(AND(AB14&lt;=Y14,Z14&gt;=Y14),0,IF(AA14&gt;Z14,((AB14-Y14)*12)*M14,0)))))</f>
        <v>127604.32025641025</v>
      </c>
      <c r="P14" s="211">
        <f>IF(K14&gt;0,0,X14+U14*V14)*V14</f>
        <v>136404.6182051282</v>
      </c>
      <c r="Q14" s="210">
        <f>IF(K14&gt;0,(E14-X14)/2,IF(Y14&gt;=AB14,(((E14*T14)*V14)-P14)/2,((((E14*T14)*V14)-X14)+(((E14*T14)*V14)-P14))/2))</f>
        <v>211207.15076923076</v>
      </c>
      <c r="R14" s="210">
        <f>IF(K14=0,0,IF(AND(AC14&gt;=AB14,AC14&lt;=AA14),((AC14-AB14)*12)*M14,0))</f>
        <v>0</v>
      </c>
      <c r="S14" s="210">
        <f>IF(R14&gt;0,R14,N14)</f>
        <v>8800.29794871795</v>
      </c>
      <c r="T14" s="212">
        <v>1</v>
      </c>
      <c r="U14" s="210">
        <f>T14*(N14+R14)</f>
        <v>8800.29794871795</v>
      </c>
      <c r="V14" s="212">
        <v>1</v>
      </c>
      <c r="W14" s="210">
        <f>O14*T14</f>
        <v>127604.32025641025</v>
      </c>
      <c r="X14" s="210">
        <f>W14*V14</f>
        <v>127604.32025641025</v>
      </c>
      <c r="Y14" s="213">
        <f t="shared" si="12"/>
        <v>1998</v>
      </c>
      <c r="Z14" s="87">
        <f t="shared" si="13"/>
        <v>2013.5</v>
      </c>
      <c r="AA14" s="213">
        <f t="shared" si="14"/>
        <v>2037</v>
      </c>
      <c r="AB14" s="87">
        <f t="shared" si="15"/>
        <v>2012.5</v>
      </c>
      <c r="AC14" s="87">
        <f t="shared" si="16"/>
        <v>-0.08333333333333333</v>
      </c>
    </row>
    <row r="15" spans="2:29" s="22" customFormat="1" ht="15.75">
      <c r="B15" s="56" t="s">
        <v>5</v>
      </c>
      <c r="C15" s="57">
        <v>1</v>
      </c>
      <c r="D15" s="57">
        <v>1989</v>
      </c>
      <c r="E15" s="58">
        <v>83646.81</v>
      </c>
      <c r="F15" s="59">
        <v>0</v>
      </c>
      <c r="G15" s="57">
        <v>15</v>
      </c>
      <c r="H15" s="22">
        <f t="shared" si="0"/>
        <v>2004</v>
      </c>
      <c r="I15" s="60"/>
      <c r="J15" s="61"/>
      <c r="K15" s="62">
        <v>0</v>
      </c>
      <c r="L15" s="23">
        <f t="shared" si="1"/>
        <v>83646.81</v>
      </c>
      <c r="M15" s="23">
        <f t="shared" si="2"/>
        <v>464.7045</v>
      </c>
      <c r="N15" s="23">
        <f t="shared" si="3"/>
        <v>0</v>
      </c>
      <c r="O15" s="63">
        <f t="shared" si="4"/>
        <v>83646.81</v>
      </c>
      <c r="P15" s="63">
        <f t="shared" si="5"/>
        <v>83646.81</v>
      </c>
      <c r="Q15" s="23">
        <f t="shared" si="6"/>
        <v>0</v>
      </c>
      <c r="R15" s="23">
        <f t="shared" si="7"/>
        <v>0</v>
      </c>
      <c r="S15" s="23">
        <f t="shared" si="8"/>
        <v>0</v>
      </c>
      <c r="T15" s="25">
        <v>1</v>
      </c>
      <c r="U15" s="23">
        <f t="shared" si="9"/>
        <v>0</v>
      </c>
      <c r="V15" s="25">
        <v>1</v>
      </c>
      <c r="W15" s="23">
        <f t="shared" si="10"/>
        <v>83646.81</v>
      </c>
      <c r="X15" s="23">
        <f t="shared" si="11"/>
        <v>83646.81</v>
      </c>
      <c r="Y15" s="64">
        <f t="shared" si="12"/>
        <v>1989</v>
      </c>
      <c r="Z15" s="22">
        <f t="shared" si="13"/>
        <v>2013.5</v>
      </c>
      <c r="AA15" s="64">
        <f t="shared" si="14"/>
        <v>2004</v>
      </c>
      <c r="AB15" s="22">
        <f t="shared" si="15"/>
        <v>2012.5</v>
      </c>
      <c r="AC15" s="22">
        <f t="shared" si="16"/>
        <v>-0.08333333333333333</v>
      </c>
    </row>
    <row r="16" spans="2:29" s="22" customFormat="1" ht="15.75">
      <c r="B16" s="56" t="s">
        <v>7</v>
      </c>
      <c r="C16" s="57">
        <v>7</v>
      </c>
      <c r="D16" s="57">
        <v>1990</v>
      </c>
      <c r="E16" s="58">
        <v>33344</v>
      </c>
      <c r="F16" s="59">
        <v>0</v>
      </c>
      <c r="G16" s="57">
        <v>39</v>
      </c>
      <c r="H16" s="22">
        <f t="shared" si="0"/>
        <v>2029</v>
      </c>
      <c r="I16" s="60"/>
      <c r="J16" s="61"/>
      <c r="K16" s="62">
        <v>0</v>
      </c>
      <c r="L16" s="23">
        <f t="shared" si="1"/>
        <v>33344</v>
      </c>
      <c r="M16" s="23">
        <f t="shared" si="2"/>
        <v>71.24786324786325</v>
      </c>
      <c r="N16" s="23">
        <f t="shared" si="3"/>
        <v>854.974358974359</v>
      </c>
      <c r="O16" s="63">
        <f t="shared" si="4"/>
        <v>18809.4358974359</v>
      </c>
      <c r="P16" s="63">
        <f t="shared" si="5"/>
        <v>19664.410256410258</v>
      </c>
      <c r="Q16" s="23">
        <f t="shared" si="6"/>
        <v>14107.076923076922</v>
      </c>
      <c r="R16" s="23">
        <f t="shared" si="7"/>
        <v>0</v>
      </c>
      <c r="S16" s="23">
        <f t="shared" si="8"/>
        <v>854.974358974359</v>
      </c>
      <c r="T16" s="25">
        <v>1</v>
      </c>
      <c r="U16" s="23">
        <f t="shared" si="9"/>
        <v>854.974358974359</v>
      </c>
      <c r="V16" s="25">
        <v>1</v>
      </c>
      <c r="W16" s="23">
        <f t="shared" si="10"/>
        <v>18809.4358974359</v>
      </c>
      <c r="X16" s="23">
        <f t="shared" si="11"/>
        <v>18809.4358974359</v>
      </c>
      <c r="Y16" s="64">
        <f t="shared" si="12"/>
        <v>1990.5</v>
      </c>
      <c r="Z16" s="22">
        <f t="shared" si="13"/>
        <v>2013.5</v>
      </c>
      <c r="AA16" s="64">
        <f t="shared" si="14"/>
        <v>2029.5</v>
      </c>
      <c r="AB16" s="22">
        <f t="shared" si="15"/>
        <v>2012.5</v>
      </c>
      <c r="AC16" s="22">
        <f t="shared" si="16"/>
        <v>-0.08333333333333333</v>
      </c>
    </row>
    <row r="17" spans="2:29" s="22" customFormat="1" ht="15.75">
      <c r="B17" s="56" t="s">
        <v>10</v>
      </c>
      <c r="C17" s="57">
        <v>7</v>
      </c>
      <c r="D17" s="57">
        <v>1992</v>
      </c>
      <c r="E17" s="58">
        <v>134904.29</v>
      </c>
      <c r="F17" s="59">
        <v>0</v>
      </c>
      <c r="G17" s="57">
        <v>39</v>
      </c>
      <c r="H17" s="22">
        <f t="shared" si="0"/>
        <v>2031</v>
      </c>
      <c r="I17" s="60"/>
      <c r="J17" s="61"/>
      <c r="K17" s="62">
        <v>0</v>
      </c>
      <c r="L17" s="23">
        <f t="shared" si="1"/>
        <v>134904.29</v>
      </c>
      <c r="M17" s="23">
        <f t="shared" si="2"/>
        <v>288.25702991452994</v>
      </c>
      <c r="N17" s="23">
        <f t="shared" si="3"/>
        <v>3459.084358974359</v>
      </c>
      <c r="O17" s="63">
        <f t="shared" si="4"/>
        <v>69181.68717948718</v>
      </c>
      <c r="P17" s="63">
        <f t="shared" si="5"/>
        <v>72640.77153846154</v>
      </c>
      <c r="Q17" s="23">
        <f t="shared" si="6"/>
        <v>63993.060641025644</v>
      </c>
      <c r="R17" s="23">
        <f t="shared" si="7"/>
        <v>0</v>
      </c>
      <c r="S17" s="23">
        <f t="shared" si="8"/>
        <v>3459.084358974359</v>
      </c>
      <c r="T17" s="25">
        <v>1</v>
      </c>
      <c r="U17" s="23">
        <f t="shared" si="9"/>
        <v>3459.084358974359</v>
      </c>
      <c r="V17" s="25">
        <v>1</v>
      </c>
      <c r="W17" s="23">
        <f t="shared" si="10"/>
        <v>69181.68717948718</v>
      </c>
      <c r="X17" s="23">
        <f t="shared" si="11"/>
        <v>69181.68717948718</v>
      </c>
      <c r="Y17" s="64">
        <f t="shared" si="12"/>
        <v>1992.5</v>
      </c>
      <c r="Z17" s="22">
        <f t="shared" si="13"/>
        <v>2013.5</v>
      </c>
      <c r="AA17" s="64">
        <f t="shared" si="14"/>
        <v>2031.5</v>
      </c>
      <c r="AB17" s="22">
        <f t="shared" si="15"/>
        <v>2012.5</v>
      </c>
      <c r="AC17" s="22">
        <f t="shared" si="16"/>
        <v>-0.08333333333333333</v>
      </c>
    </row>
    <row r="18" spans="2:29" s="22" customFormat="1" ht="15.75">
      <c r="B18" s="56" t="s">
        <v>8</v>
      </c>
      <c r="C18" s="57">
        <v>7</v>
      </c>
      <c r="D18" s="57">
        <v>1991</v>
      </c>
      <c r="E18" s="58">
        <v>26020.02</v>
      </c>
      <c r="F18" s="59">
        <v>0</v>
      </c>
      <c r="G18" s="57">
        <v>39</v>
      </c>
      <c r="H18" s="22">
        <f t="shared" si="0"/>
        <v>2030</v>
      </c>
      <c r="I18" s="60"/>
      <c r="J18" s="61"/>
      <c r="K18" s="62">
        <v>0</v>
      </c>
      <c r="L18" s="23">
        <f t="shared" si="1"/>
        <v>26020.02</v>
      </c>
      <c r="M18" s="23">
        <f t="shared" si="2"/>
        <v>55.598333333333336</v>
      </c>
      <c r="N18" s="23">
        <f t="shared" si="3"/>
        <v>667.1800000000001</v>
      </c>
      <c r="O18" s="63">
        <f t="shared" si="4"/>
        <v>14010.78</v>
      </c>
      <c r="P18" s="63">
        <f t="shared" si="5"/>
        <v>14677.960000000001</v>
      </c>
      <c r="Q18" s="23">
        <f t="shared" si="6"/>
        <v>11675.65</v>
      </c>
      <c r="R18" s="23">
        <f t="shared" si="7"/>
        <v>0</v>
      </c>
      <c r="S18" s="23">
        <f t="shared" si="8"/>
        <v>667.1800000000001</v>
      </c>
      <c r="T18" s="25">
        <v>1</v>
      </c>
      <c r="U18" s="23">
        <f t="shared" si="9"/>
        <v>667.1800000000001</v>
      </c>
      <c r="V18" s="25">
        <v>1</v>
      </c>
      <c r="W18" s="23">
        <f t="shared" si="10"/>
        <v>14010.78</v>
      </c>
      <c r="X18" s="23">
        <f t="shared" si="11"/>
        <v>14010.78</v>
      </c>
      <c r="Y18" s="64">
        <f t="shared" si="12"/>
        <v>1991.5</v>
      </c>
      <c r="Z18" s="22">
        <f t="shared" si="13"/>
        <v>2013.5</v>
      </c>
      <c r="AA18" s="64">
        <f t="shared" si="14"/>
        <v>2030.5</v>
      </c>
      <c r="AB18" s="22">
        <f t="shared" si="15"/>
        <v>2012.5</v>
      </c>
      <c r="AC18" s="22">
        <f t="shared" si="16"/>
        <v>-0.08333333333333333</v>
      </c>
    </row>
    <row r="19" spans="2:29" s="22" customFormat="1" ht="15.75">
      <c r="B19" s="56" t="s">
        <v>9</v>
      </c>
      <c r="C19" s="57">
        <v>8</v>
      </c>
      <c r="D19" s="57">
        <v>1991</v>
      </c>
      <c r="E19" s="58">
        <v>678.33</v>
      </c>
      <c r="F19" s="59">
        <v>0</v>
      </c>
      <c r="G19" s="57">
        <v>5</v>
      </c>
      <c r="H19" s="22">
        <f t="shared" si="0"/>
        <v>1996</v>
      </c>
      <c r="I19" s="60"/>
      <c r="J19" s="61"/>
      <c r="K19" s="62">
        <v>0</v>
      </c>
      <c r="L19" s="23">
        <f t="shared" si="1"/>
        <v>678.33</v>
      </c>
      <c r="M19" s="23">
        <f t="shared" si="2"/>
        <v>11.3055</v>
      </c>
      <c r="N19" s="23">
        <f t="shared" si="3"/>
        <v>0</v>
      </c>
      <c r="O19" s="63">
        <f t="shared" si="4"/>
        <v>678.33</v>
      </c>
      <c r="P19" s="63">
        <f t="shared" si="5"/>
        <v>678.33</v>
      </c>
      <c r="Q19" s="23">
        <f t="shared" si="6"/>
        <v>0</v>
      </c>
      <c r="R19" s="23">
        <f t="shared" si="7"/>
        <v>0</v>
      </c>
      <c r="S19" s="23">
        <f t="shared" si="8"/>
        <v>0</v>
      </c>
      <c r="T19" s="25">
        <v>1</v>
      </c>
      <c r="U19" s="23">
        <f t="shared" si="9"/>
        <v>0</v>
      </c>
      <c r="V19" s="25">
        <v>1</v>
      </c>
      <c r="W19" s="23">
        <f t="shared" si="10"/>
        <v>678.33</v>
      </c>
      <c r="X19" s="23">
        <f t="shared" si="11"/>
        <v>678.33</v>
      </c>
      <c r="Y19" s="64">
        <f t="shared" si="12"/>
        <v>1991.5833333333333</v>
      </c>
      <c r="Z19" s="22">
        <f t="shared" si="13"/>
        <v>2013.5</v>
      </c>
      <c r="AA19" s="64">
        <f t="shared" si="14"/>
        <v>1996.5833333333333</v>
      </c>
      <c r="AB19" s="22">
        <f t="shared" si="15"/>
        <v>2012.5</v>
      </c>
      <c r="AC19" s="22">
        <f t="shared" si="16"/>
        <v>-0.08333333333333333</v>
      </c>
    </row>
    <row r="20" spans="2:29" s="22" customFormat="1" ht="15.75">
      <c r="B20" s="56" t="s">
        <v>11</v>
      </c>
      <c r="C20" s="57">
        <v>7</v>
      </c>
      <c r="D20" s="57">
        <v>1996</v>
      </c>
      <c r="E20" s="58">
        <v>15359.86</v>
      </c>
      <c r="F20" s="59">
        <v>0</v>
      </c>
      <c r="G20" s="57">
        <v>39</v>
      </c>
      <c r="H20" s="22">
        <f t="shared" si="0"/>
        <v>2035</v>
      </c>
      <c r="I20" s="60"/>
      <c r="J20" s="61"/>
      <c r="K20" s="62">
        <v>0</v>
      </c>
      <c r="L20" s="23">
        <f t="shared" si="1"/>
        <v>15359.86</v>
      </c>
      <c r="M20" s="23">
        <f t="shared" si="2"/>
        <v>32.82021367521367</v>
      </c>
      <c r="N20" s="23">
        <f t="shared" si="3"/>
        <v>393.8425641025641</v>
      </c>
      <c r="O20" s="63">
        <f t="shared" si="4"/>
        <v>6301.481025641026</v>
      </c>
      <c r="P20" s="63">
        <f t="shared" si="5"/>
        <v>6695.32358974359</v>
      </c>
      <c r="Q20" s="23">
        <f t="shared" si="6"/>
        <v>8861.457692307693</v>
      </c>
      <c r="R20" s="23">
        <f t="shared" si="7"/>
        <v>0</v>
      </c>
      <c r="S20" s="23">
        <f t="shared" si="8"/>
        <v>393.8425641025641</v>
      </c>
      <c r="T20" s="25">
        <v>1</v>
      </c>
      <c r="U20" s="23">
        <f t="shared" si="9"/>
        <v>393.8425641025641</v>
      </c>
      <c r="V20" s="25">
        <v>1</v>
      </c>
      <c r="W20" s="23">
        <f t="shared" si="10"/>
        <v>6301.481025641026</v>
      </c>
      <c r="X20" s="23">
        <f t="shared" si="11"/>
        <v>6301.481025641026</v>
      </c>
      <c r="Y20" s="64">
        <f t="shared" si="12"/>
        <v>1996.5</v>
      </c>
      <c r="Z20" s="22">
        <f t="shared" si="13"/>
        <v>2013.5</v>
      </c>
      <c r="AA20" s="64">
        <f t="shared" si="14"/>
        <v>2035.5</v>
      </c>
      <c r="AB20" s="22">
        <f t="shared" si="15"/>
        <v>2012.5</v>
      </c>
      <c r="AC20" s="22">
        <f t="shared" si="16"/>
        <v>-0.08333333333333333</v>
      </c>
    </row>
    <row r="21" spans="2:29" s="22" customFormat="1" ht="15.75">
      <c r="B21" s="56" t="s">
        <v>4</v>
      </c>
      <c r="C21" s="57">
        <v>7</v>
      </c>
      <c r="D21" s="57">
        <v>1997</v>
      </c>
      <c r="E21" s="58">
        <v>41790.72</v>
      </c>
      <c r="F21" s="59">
        <v>0</v>
      </c>
      <c r="G21" s="57">
        <v>15</v>
      </c>
      <c r="H21" s="22">
        <f t="shared" si="0"/>
        <v>2012</v>
      </c>
      <c r="I21" s="60"/>
      <c r="J21" s="61"/>
      <c r="K21" s="62">
        <v>0</v>
      </c>
      <c r="L21" s="23">
        <f t="shared" si="1"/>
        <v>41790.72</v>
      </c>
      <c r="M21" s="23">
        <f t="shared" si="2"/>
        <v>232.17066666666668</v>
      </c>
      <c r="N21" s="23">
        <f t="shared" si="3"/>
        <v>0</v>
      </c>
      <c r="O21" s="63">
        <f t="shared" si="4"/>
        <v>41790.72</v>
      </c>
      <c r="P21" s="63">
        <f t="shared" si="5"/>
        <v>41790.72</v>
      </c>
      <c r="Q21" s="23">
        <f t="shared" si="6"/>
        <v>0</v>
      </c>
      <c r="R21" s="23">
        <f t="shared" si="7"/>
        <v>0</v>
      </c>
      <c r="S21" s="23">
        <f t="shared" si="8"/>
        <v>0</v>
      </c>
      <c r="T21" s="25">
        <v>1</v>
      </c>
      <c r="U21" s="23">
        <f t="shared" si="9"/>
        <v>0</v>
      </c>
      <c r="V21" s="25">
        <v>1</v>
      </c>
      <c r="W21" s="23">
        <f t="shared" si="10"/>
        <v>41790.72</v>
      </c>
      <c r="X21" s="23">
        <f t="shared" si="11"/>
        <v>41790.72</v>
      </c>
      <c r="Y21" s="64">
        <f t="shared" si="12"/>
        <v>1997.5</v>
      </c>
      <c r="Z21" s="22">
        <f t="shared" si="13"/>
        <v>2013.5</v>
      </c>
      <c r="AA21" s="64">
        <f t="shared" si="14"/>
        <v>2012.5</v>
      </c>
      <c r="AB21" s="22">
        <f t="shared" si="15"/>
        <v>2012.5</v>
      </c>
      <c r="AC21" s="22">
        <f t="shared" si="16"/>
        <v>-0.08333333333333333</v>
      </c>
    </row>
    <row r="22" spans="2:29" s="22" customFormat="1" ht="15.75">
      <c r="B22" s="56" t="s">
        <v>12</v>
      </c>
      <c r="C22" s="57">
        <v>2</v>
      </c>
      <c r="D22" s="57">
        <v>1998</v>
      </c>
      <c r="E22" s="58">
        <v>2741.65</v>
      </c>
      <c r="F22" s="59">
        <v>0</v>
      </c>
      <c r="G22" s="57">
        <v>15</v>
      </c>
      <c r="H22" s="22">
        <f t="shared" si="0"/>
        <v>2013</v>
      </c>
      <c r="I22" s="60"/>
      <c r="J22" s="61"/>
      <c r="K22" s="62">
        <v>0</v>
      </c>
      <c r="L22" s="23">
        <f t="shared" si="1"/>
        <v>2741.65</v>
      </c>
      <c r="M22" s="23">
        <f t="shared" si="2"/>
        <v>15.231388888888889</v>
      </c>
      <c r="N22" s="23">
        <f t="shared" si="3"/>
        <v>106.61972222220837</v>
      </c>
      <c r="O22" s="63">
        <f t="shared" si="4"/>
        <v>2635.0302777777915</v>
      </c>
      <c r="P22" s="63">
        <f t="shared" si="5"/>
        <v>2741.65</v>
      </c>
      <c r="Q22" s="23">
        <f t="shared" si="6"/>
        <v>53.30986111110428</v>
      </c>
      <c r="R22" s="23">
        <f t="shared" si="7"/>
        <v>0</v>
      </c>
      <c r="S22" s="23">
        <f t="shared" si="8"/>
        <v>106.61972222220837</v>
      </c>
      <c r="T22" s="25">
        <v>1</v>
      </c>
      <c r="U22" s="23">
        <f t="shared" si="9"/>
        <v>106.61972222220837</v>
      </c>
      <c r="V22" s="25">
        <v>1</v>
      </c>
      <c r="W22" s="23">
        <f t="shared" si="10"/>
        <v>2635.0302777777915</v>
      </c>
      <c r="X22" s="23">
        <f t="shared" si="11"/>
        <v>2635.0302777777915</v>
      </c>
      <c r="Y22" s="64">
        <f t="shared" si="12"/>
        <v>1998.0833333333333</v>
      </c>
      <c r="Z22" s="22">
        <f t="shared" si="13"/>
        <v>2013.5</v>
      </c>
      <c r="AA22" s="64">
        <f t="shared" si="14"/>
        <v>2013.0833333333333</v>
      </c>
      <c r="AB22" s="22">
        <f t="shared" si="15"/>
        <v>2012.5</v>
      </c>
      <c r="AC22" s="22">
        <f t="shared" si="16"/>
        <v>-0.08333333333333333</v>
      </c>
    </row>
    <row r="23" spans="2:29" s="22" customFormat="1" ht="15.75">
      <c r="B23" s="56" t="s">
        <v>14</v>
      </c>
      <c r="C23" s="57">
        <v>6</v>
      </c>
      <c r="D23" s="57">
        <v>2000</v>
      </c>
      <c r="E23" s="58">
        <v>10400.34</v>
      </c>
      <c r="F23" s="59">
        <v>0</v>
      </c>
      <c r="G23" s="57">
        <v>15</v>
      </c>
      <c r="H23" s="22">
        <f t="shared" si="0"/>
        <v>2015</v>
      </c>
      <c r="I23" s="60"/>
      <c r="J23" s="61"/>
      <c r="K23" s="62">
        <v>0</v>
      </c>
      <c r="L23" s="23">
        <f t="shared" si="1"/>
        <v>10400.34</v>
      </c>
      <c r="M23" s="23">
        <f t="shared" si="2"/>
        <v>57.779666666666664</v>
      </c>
      <c r="N23" s="23">
        <f t="shared" si="3"/>
        <v>693.356</v>
      </c>
      <c r="O23" s="63">
        <f t="shared" si="4"/>
        <v>8378.051666666614</v>
      </c>
      <c r="P23" s="63">
        <f t="shared" si="5"/>
        <v>9071.407666666613</v>
      </c>
      <c r="Q23" s="23">
        <f t="shared" si="6"/>
        <v>1675.6103333333867</v>
      </c>
      <c r="R23" s="23">
        <f t="shared" si="7"/>
        <v>0</v>
      </c>
      <c r="S23" s="23">
        <f t="shared" si="8"/>
        <v>693.356</v>
      </c>
      <c r="T23" s="25">
        <v>1</v>
      </c>
      <c r="U23" s="23">
        <f t="shared" si="9"/>
        <v>693.356</v>
      </c>
      <c r="V23" s="25">
        <v>1</v>
      </c>
      <c r="W23" s="23">
        <f t="shared" si="10"/>
        <v>8378.051666666614</v>
      </c>
      <c r="X23" s="23">
        <f t="shared" si="11"/>
        <v>8378.051666666614</v>
      </c>
      <c r="Y23" s="64">
        <f t="shared" si="12"/>
        <v>2000.4166666666667</v>
      </c>
      <c r="Z23" s="22">
        <f t="shared" si="13"/>
        <v>2013.5</v>
      </c>
      <c r="AA23" s="64">
        <f t="shared" si="14"/>
        <v>2015.4166666666667</v>
      </c>
      <c r="AB23" s="22">
        <f t="shared" si="15"/>
        <v>2012.5</v>
      </c>
      <c r="AC23" s="22">
        <f t="shared" si="16"/>
        <v>-0.08333333333333333</v>
      </c>
    </row>
    <row r="24" spans="2:29" s="22" customFormat="1" ht="15.75">
      <c r="B24" s="56" t="s">
        <v>15</v>
      </c>
      <c r="C24" s="57">
        <v>6</v>
      </c>
      <c r="D24" s="57">
        <v>2000</v>
      </c>
      <c r="E24" s="58">
        <v>5667.29</v>
      </c>
      <c r="F24" s="59">
        <v>0</v>
      </c>
      <c r="G24" s="57">
        <v>5</v>
      </c>
      <c r="H24" s="22">
        <f t="shared" si="0"/>
        <v>2005</v>
      </c>
      <c r="I24" s="60"/>
      <c r="J24" s="61"/>
      <c r="K24" s="62">
        <v>0</v>
      </c>
      <c r="L24" s="23">
        <f t="shared" si="1"/>
        <v>5667.29</v>
      </c>
      <c r="M24" s="23">
        <f t="shared" si="2"/>
        <v>94.45483333333334</v>
      </c>
      <c r="N24" s="23">
        <f t="shared" si="3"/>
        <v>0</v>
      </c>
      <c r="O24" s="63">
        <f t="shared" si="4"/>
        <v>5667.29</v>
      </c>
      <c r="P24" s="63">
        <f t="shared" si="5"/>
        <v>5667.29</v>
      </c>
      <c r="Q24" s="23">
        <f t="shared" si="6"/>
        <v>0</v>
      </c>
      <c r="R24" s="23">
        <f t="shared" si="7"/>
        <v>0</v>
      </c>
      <c r="S24" s="23">
        <f t="shared" si="8"/>
        <v>0</v>
      </c>
      <c r="T24" s="25">
        <v>1</v>
      </c>
      <c r="U24" s="23">
        <f t="shared" si="9"/>
        <v>0</v>
      </c>
      <c r="V24" s="25">
        <v>1</v>
      </c>
      <c r="W24" s="23">
        <f t="shared" si="10"/>
        <v>5667.29</v>
      </c>
      <c r="X24" s="23">
        <f t="shared" si="11"/>
        <v>5667.29</v>
      </c>
      <c r="Y24" s="64">
        <f t="shared" si="12"/>
        <v>2000.4166666666667</v>
      </c>
      <c r="Z24" s="22">
        <f t="shared" si="13"/>
        <v>2013.5</v>
      </c>
      <c r="AA24" s="64">
        <f t="shared" si="14"/>
        <v>2005.4166666666667</v>
      </c>
      <c r="AB24" s="22">
        <f t="shared" si="15"/>
        <v>2012.5</v>
      </c>
      <c r="AC24" s="22">
        <f t="shared" si="16"/>
        <v>-0.08333333333333333</v>
      </c>
    </row>
    <row r="25" spans="2:29" s="22" customFormat="1" ht="15.75">
      <c r="B25" s="56" t="s">
        <v>14</v>
      </c>
      <c r="C25" s="57">
        <v>7</v>
      </c>
      <c r="D25" s="57">
        <v>2000</v>
      </c>
      <c r="E25" s="58">
        <v>12479.73</v>
      </c>
      <c r="F25" s="59">
        <v>0</v>
      </c>
      <c r="G25" s="57">
        <v>15</v>
      </c>
      <c r="H25" s="22">
        <f t="shared" si="0"/>
        <v>2015</v>
      </c>
      <c r="I25" s="60"/>
      <c r="J25" s="61"/>
      <c r="K25" s="62">
        <v>0</v>
      </c>
      <c r="L25" s="23">
        <f t="shared" si="1"/>
        <v>12479.73</v>
      </c>
      <c r="M25" s="23">
        <f t="shared" si="2"/>
        <v>69.33183333333334</v>
      </c>
      <c r="N25" s="23">
        <f t="shared" si="3"/>
        <v>831.982</v>
      </c>
      <c r="O25" s="63">
        <f t="shared" si="4"/>
        <v>9983.784</v>
      </c>
      <c r="P25" s="63">
        <f t="shared" si="5"/>
        <v>10815.766</v>
      </c>
      <c r="Q25" s="23">
        <f t="shared" si="6"/>
        <v>2079.955</v>
      </c>
      <c r="R25" s="23">
        <f t="shared" si="7"/>
        <v>0</v>
      </c>
      <c r="S25" s="23">
        <f t="shared" si="8"/>
        <v>831.982</v>
      </c>
      <c r="T25" s="25">
        <v>1</v>
      </c>
      <c r="U25" s="23">
        <f t="shared" si="9"/>
        <v>831.982</v>
      </c>
      <c r="V25" s="25">
        <v>1</v>
      </c>
      <c r="W25" s="23">
        <f t="shared" si="10"/>
        <v>9983.784</v>
      </c>
      <c r="X25" s="23">
        <f t="shared" si="11"/>
        <v>9983.784</v>
      </c>
      <c r="Y25" s="64">
        <f t="shared" si="12"/>
        <v>2000.5</v>
      </c>
      <c r="Z25" s="22">
        <f t="shared" si="13"/>
        <v>2013.5</v>
      </c>
      <c r="AA25" s="64">
        <f t="shared" si="14"/>
        <v>2015.5</v>
      </c>
      <c r="AB25" s="22">
        <f t="shared" si="15"/>
        <v>2012.5</v>
      </c>
      <c r="AC25" s="22">
        <f t="shared" si="16"/>
        <v>-0.08333333333333333</v>
      </c>
    </row>
    <row r="26" spans="2:29" s="22" customFormat="1" ht="15.75">
      <c r="B26" s="65" t="s">
        <v>77</v>
      </c>
      <c r="C26" s="57">
        <v>10</v>
      </c>
      <c r="D26" s="57">
        <v>2000</v>
      </c>
      <c r="E26" s="58">
        <v>2100.62</v>
      </c>
      <c r="F26" s="59">
        <v>0</v>
      </c>
      <c r="G26" s="57">
        <v>15</v>
      </c>
      <c r="H26" s="22">
        <f t="shared" si="0"/>
        <v>2015</v>
      </c>
      <c r="I26" s="60"/>
      <c r="J26" s="61"/>
      <c r="K26" s="62">
        <v>0</v>
      </c>
      <c r="L26" s="23">
        <f t="shared" si="1"/>
        <v>2100.62</v>
      </c>
      <c r="M26" s="23">
        <f t="shared" si="2"/>
        <v>11.67011111111111</v>
      </c>
      <c r="N26" s="23">
        <f t="shared" si="3"/>
        <v>140.0413333333333</v>
      </c>
      <c r="O26" s="63">
        <f t="shared" si="4"/>
        <v>1645.4856666666665</v>
      </c>
      <c r="P26" s="63">
        <f t="shared" si="5"/>
        <v>1785.5269999999998</v>
      </c>
      <c r="Q26" s="23">
        <f t="shared" si="6"/>
        <v>385.11366666666675</v>
      </c>
      <c r="R26" s="23">
        <f t="shared" si="7"/>
        <v>0</v>
      </c>
      <c r="S26" s="23">
        <f t="shared" si="8"/>
        <v>140.0413333333333</v>
      </c>
      <c r="T26" s="25">
        <v>1</v>
      </c>
      <c r="U26" s="23">
        <f t="shared" si="9"/>
        <v>140.0413333333333</v>
      </c>
      <c r="V26" s="25">
        <v>1</v>
      </c>
      <c r="W26" s="23">
        <f t="shared" si="10"/>
        <v>1645.4856666666665</v>
      </c>
      <c r="X26" s="23">
        <f t="shared" si="11"/>
        <v>1645.4856666666665</v>
      </c>
      <c r="Y26" s="64">
        <f t="shared" si="12"/>
        <v>2000.75</v>
      </c>
      <c r="Z26" s="22">
        <f t="shared" si="13"/>
        <v>2013.5</v>
      </c>
      <c r="AA26" s="64">
        <f t="shared" si="14"/>
        <v>2015.75</v>
      </c>
      <c r="AB26" s="22">
        <f t="shared" si="15"/>
        <v>2012.5</v>
      </c>
      <c r="AC26" s="22">
        <f t="shared" si="16"/>
        <v>-0.08333333333333333</v>
      </c>
    </row>
    <row r="27" spans="2:29" s="22" customFormat="1" ht="15.75">
      <c r="B27" s="65" t="s">
        <v>78</v>
      </c>
      <c r="C27" s="57">
        <v>11</v>
      </c>
      <c r="D27" s="57">
        <v>2000</v>
      </c>
      <c r="E27" s="58">
        <v>1539.32</v>
      </c>
      <c r="F27" s="59">
        <v>0</v>
      </c>
      <c r="G27" s="57">
        <v>15</v>
      </c>
      <c r="H27" s="22">
        <f t="shared" si="0"/>
        <v>2015</v>
      </c>
      <c r="I27" s="60"/>
      <c r="J27" s="61"/>
      <c r="K27" s="62">
        <v>0</v>
      </c>
      <c r="L27" s="23">
        <f t="shared" si="1"/>
        <v>1539.32</v>
      </c>
      <c r="M27" s="23">
        <f t="shared" si="2"/>
        <v>8.551777777777778</v>
      </c>
      <c r="N27" s="23">
        <f t="shared" si="3"/>
        <v>102.62133333333333</v>
      </c>
      <c r="O27" s="63">
        <f t="shared" si="4"/>
        <v>1197.2488888888965</v>
      </c>
      <c r="P27" s="63">
        <f t="shared" si="5"/>
        <v>1299.8702222222298</v>
      </c>
      <c r="Q27" s="23">
        <f t="shared" si="6"/>
        <v>290.76044444443676</v>
      </c>
      <c r="R27" s="23">
        <f t="shared" si="7"/>
        <v>0</v>
      </c>
      <c r="S27" s="23">
        <f t="shared" si="8"/>
        <v>102.62133333333333</v>
      </c>
      <c r="T27" s="25">
        <v>1</v>
      </c>
      <c r="U27" s="23">
        <f t="shared" si="9"/>
        <v>102.62133333333333</v>
      </c>
      <c r="V27" s="25">
        <v>1</v>
      </c>
      <c r="W27" s="23">
        <f t="shared" si="10"/>
        <v>1197.2488888888965</v>
      </c>
      <c r="X27" s="23">
        <f t="shared" si="11"/>
        <v>1197.2488888888965</v>
      </c>
      <c r="Y27" s="64">
        <f t="shared" si="12"/>
        <v>2000.8333333333333</v>
      </c>
      <c r="Z27" s="22">
        <f t="shared" si="13"/>
        <v>2013.5</v>
      </c>
      <c r="AA27" s="64">
        <f t="shared" si="14"/>
        <v>2015.8333333333333</v>
      </c>
      <c r="AB27" s="22">
        <f t="shared" si="15"/>
        <v>2012.5</v>
      </c>
      <c r="AC27" s="22">
        <f t="shared" si="16"/>
        <v>-0.08333333333333333</v>
      </c>
    </row>
    <row r="28" spans="2:29" s="22" customFormat="1" ht="15.75">
      <c r="B28" s="56" t="s">
        <v>16</v>
      </c>
      <c r="C28" s="57">
        <v>8</v>
      </c>
      <c r="D28" s="57">
        <v>2000</v>
      </c>
      <c r="E28" s="58">
        <v>8729.31</v>
      </c>
      <c r="F28" s="59">
        <v>0</v>
      </c>
      <c r="G28" s="57">
        <v>5</v>
      </c>
      <c r="H28" s="22">
        <f t="shared" si="0"/>
        <v>2005</v>
      </c>
      <c r="I28" s="60"/>
      <c r="J28" s="61"/>
      <c r="K28" s="62">
        <v>0</v>
      </c>
      <c r="L28" s="23">
        <f t="shared" si="1"/>
        <v>8729.31</v>
      </c>
      <c r="M28" s="23">
        <f t="shared" si="2"/>
        <v>145.4885</v>
      </c>
      <c r="N28" s="23">
        <f t="shared" si="3"/>
        <v>0</v>
      </c>
      <c r="O28" s="63">
        <f t="shared" si="4"/>
        <v>8729.31</v>
      </c>
      <c r="P28" s="63">
        <f t="shared" si="5"/>
        <v>8729.31</v>
      </c>
      <c r="Q28" s="23">
        <f t="shared" si="6"/>
        <v>0</v>
      </c>
      <c r="R28" s="23">
        <f t="shared" si="7"/>
        <v>0</v>
      </c>
      <c r="S28" s="23">
        <f t="shared" si="8"/>
        <v>0</v>
      </c>
      <c r="T28" s="25">
        <v>1</v>
      </c>
      <c r="U28" s="23">
        <f t="shared" si="9"/>
        <v>0</v>
      </c>
      <c r="V28" s="25">
        <v>1</v>
      </c>
      <c r="W28" s="23">
        <f t="shared" si="10"/>
        <v>8729.31</v>
      </c>
      <c r="X28" s="23">
        <f t="shared" si="11"/>
        <v>8729.31</v>
      </c>
      <c r="Y28" s="64">
        <f t="shared" si="12"/>
        <v>2000.5833333333333</v>
      </c>
      <c r="Z28" s="22">
        <f t="shared" si="13"/>
        <v>2013.5</v>
      </c>
      <c r="AA28" s="64">
        <f t="shared" si="14"/>
        <v>2005.5833333333333</v>
      </c>
      <c r="AB28" s="22">
        <f t="shared" si="15"/>
        <v>2012.5</v>
      </c>
      <c r="AC28" s="22">
        <f t="shared" si="16"/>
        <v>-0.08333333333333333</v>
      </c>
    </row>
    <row r="29" spans="2:29" s="22" customFormat="1" ht="15.75">
      <c r="B29" s="56" t="s">
        <v>20</v>
      </c>
      <c r="C29" s="57">
        <v>12</v>
      </c>
      <c r="D29" s="57">
        <v>2000</v>
      </c>
      <c r="E29" s="58">
        <v>2575.95</v>
      </c>
      <c r="F29" s="59">
        <v>0</v>
      </c>
      <c r="G29" s="57">
        <v>15</v>
      </c>
      <c r="H29" s="22">
        <f t="shared" si="0"/>
        <v>2015</v>
      </c>
      <c r="I29" s="60"/>
      <c r="J29" s="61"/>
      <c r="K29" s="62">
        <v>0</v>
      </c>
      <c r="L29" s="23">
        <f t="shared" si="1"/>
        <v>2575.95</v>
      </c>
      <c r="M29" s="23">
        <f t="shared" si="2"/>
        <v>14.310833333333333</v>
      </c>
      <c r="N29" s="23">
        <f t="shared" si="3"/>
        <v>171.73</v>
      </c>
      <c r="O29" s="63">
        <f t="shared" si="4"/>
        <v>1989.2058333333202</v>
      </c>
      <c r="P29" s="63">
        <f t="shared" si="5"/>
        <v>2160.9358333333203</v>
      </c>
      <c r="Q29" s="23">
        <f t="shared" si="6"/>
        <v>500.87916666667957</v>
      </c>
      <c r="R29" s="23">
        <f t="shared" si="7"/>
        <v>0</v>
      </c>
      <c r="S29" s="23">
        <f t="shared" si="8"/>
        <v>171.73</v>
      </c>
      <c r="T29" s="25">
        <v>1</v>
      </c>
      <c r="U29" s="23">
        <f t="shared" si="9"/>
        <v>171.73</v>
      </c>
      <c r="V29" s="25">
        <v>1</v>
      </c>
      <c r="W29" s="23">
        <f t="shared" si="10"/>
        <v>1989.2058333333202</v>
      </c>
      <c r="X29" s="23">
        <f t="shared" si="11"/>
        <v>1989.2058333333202</v>
      </c>
      <c r="Y29" s="64">
        <f t="shared" si="12"/>
        <v>2000.9166666666667</v>
      </c>
      <c r="Z29" s="22">
        <f t="shared" si="13"/>
        <v>2013.5</v>
      </c>
      <c r="AA29" s="64">
        <f t="shared" si="14"/>
        <v>2015.9166666666667</v>
      </c>
      <c r="AB29" s="22">
        <f t="shared" si="15"/>
        <v>2012.5</v>
      </c>
      <c r="AC29" s="22">
        <f t="shared" si="16"/>
        <v>-0.08333333333333333</v>
      </c>
    </row>
    <row r="30" spans="2:29" s="22" customFormat="1" ht="15.75">
      <c r="B30" s="56" t="s">
        <v>21</v>
      </c>
      <c r="C30" s="57">
        <v>1</v>
      </c>
      <c r="D30" s="57">
        <v>2001</v>
      </c>
      <c r="E30" s="58">
        <v>613.32</v>
      </c>
      <c r="F30" s="59">
        <v>0</v>
      </c>
      <c r="G30" s="57">
        <v>15</v>
      </c>
      <c r="H30" s="22">
        <f t="shared" si="0"/>
        <v>2016</v>
      </c>
      <c r="I30" s="60"/>
      <c r="J30" s="61"/>
      <c r="K30" s="62">
        <v>0</v>
      </c>
      <c r="L30" s="23">
        <f t="shared" si="1"/>
        <v>613.32</v>
      </c>
      <c r="M30" s="23">
        <f t="shared" si="2"/>
        <v>3.4073333333333338</v>
      </c>
      <c r="N30" s="23">
        <f t="shared" si="3"/>
        <v>40.888000000000005</v>
      </c>
      <c r="O30" s="63">
        <f t="shared" si="4"/>
        <v>470.21200000000005</v>
      </c>
      <c r="P30" s="63">
        <f t="shared" si="5"/>
        <v>511.1</v>
      </c>
      <c r="Q30" s="23">
        <f t="shared" si="6"/>
        <v>122.66400000000002</v>
      </c>
      <c r="R30" s="23">
        <f t="shared" si="7"/>
        <v>0</v>
      </c>
      <c r="S30" s="23">
        <f t="shared" si="8"/>
        <v>40.888000000000005</v>
      </c>
      <c r="T30" s="25">
        <v>1</v>
      </c>
      <c r="U30" s="23">
        <f t="shared" si="9"/>
        <v>40.888000000000005</v>
      </c>
      <c r="V30" s="25">
        <v>1</v>
      </c>
      <c r="W30" s="23">
        <f t="shared" si="10"/>
        <v>470.21200000000005</v>
      </c>
      <c r="X30" s="23">
        <f t="shared" si="11"/>
        <v>470.21200000000005</v>
      </c>
      <c r="Y30" s="64">
        <f t="shared" si="12"/>
        <v>2001</v>
      </c>
      <c r="Z30" s="22">
        <f t="shared" si="13"/>
        <v>2013.5</v>
      </c>
      <c r="AA30" s="64">
        <f t="shared" si="14"/>
        <v>2016</v>
      </c>
      <c r="AB30" s="22">
        <f t="shared" si="15"/>
        <v>2012.5</v>
      </c>
      <c r="AC30" s="22">
        <f t="shared" si="16"/>
        <v>-0.08333333333333333</v>
      </c>
    </row>
    <row r="31" spans="2:29" s="22" customFormat="1" ht="15.75">
      <c r="B31" s="56" t="s">
        <v>23</v>
      </c>
      <c r="C31" s="57">
        <v>3</v>
      </c>
      <c r="D31" s="57">
        <v>2001</v>
      </c>
      <c r="E31" s="58">
        <v>919.98</v>
      </c>
      <c r="F31" s="59">
        <v>0</v>
      </c>
      <c r="G31" s="57">
        <v>39</v>
      </c>
      <c r="H31" s="22">
        <f t="shared" si="0"/>
        <v>2040</v>
      </c>
      <c r="I31" s="60"/>
      <c r="J31" s="61"/>
      <c r="K31" s="62">
        <v>0</v>
      </c>
      <c r="L31" s="23">
        <f t="shared" si="1"/>
        <v>919.98</v>
      </c>
      <c r="M31" s="23">
        <f t="shared" si="2"/>
        <v>1.965769230769231</v>
      </c>
      <c r="N31" s="23">
        <f t="shared" si="3"/>
        <v>23.58923076923077</v>
      </c>
      <c r="O31" s="63">
        <f t="shared" si="4"/>
        <v>267.34461538461363</v>
      </c>
      <c r="P31" s="63">
        <f t="shared" si="5"/>
        <v>290.9338461538444</v>
      </c>
      <c r="Q31" s="23">
        <f t="shared" si="6"/>
        <v>640.840769230771</v>
      </c>
      <c r="R31" s="23">
        <f t="shared" si="7"/>
        <v>0</v>
      </c>
      <c r="S31" s="23">
        <f t="shared" si="8"/>
        <v>23.58923076923077</v>
      </c>
      <c r="T31" s="25">
        <v>1</v>
      </c>
      <c r="U31" s="23">
        <f t="shared" si="9"/>
        <v>23.58923076923077</v>
      </c>
      <c r="V31" s="25">
        <v>1</v>
      </c>
      <c r="W31" s="23">
        <f t="shared" si="10"/>
        <v>267.34461538461363</v>
      </c>
      <c r="X31" s="23">
        <f t="shared" si="11"/>
        <v>267.34461538461363</v>
      </c>
      <c r="Y31" s="64">
        <f t="shared" si="12"/>
        <v>2001.1666666666667</v>
      </c>
      <c r="Z31" s="22">
        <f t="shared" si="13"/>
        <v>2013.5</v>
      </c>
      <c r="AA31" s="64">
        <f t="shared" si="14"/>
        <v>2040.1666666666667</v>
      </c>
      <c r="AB31" s="22">
        <f t="shared" si="15"/>
        <v>2012.5</v>
      </c>
      <c r="AC31" s="22">
        <f t="shared" si="16"/>
        <v>-0.08333333333333333</v>
      </c>
    </row>
    <row r="32" spans="2:29" s="22" customFormat="1" ht="15.75">
      <c r="B32" s="56" t="s">
        <v>24</v>
      </c>
      <c r="C32" s="57">
        <v>4</v>
      </c>
      <c r="D32" s="57">
        <v>2001</v>
      </c>
      <c r="E32" s="58">
        <v>1522.54</v>
      </c>
      <c r="F32" s="59">
        <v>0</v>
      </c>
      <c r="G32" s="57">
        <v>15</v>
      </c>
      <c r="H32" s="22">
        <f t="shared" si="0"/>
        <v>2016</v>
      </c>
      <c r="I32" s="60"/>
      <c r="J32" s="61"/>
      <c r="K32" s="62">
        <v>0</v>
      </c>
      <c r="L32" s="23">
        <f t="shared" si="1"/>
        <v>1522.54</v>
      </c>
      <c r="M32" s="23">
        <f t="shared" si="2"/>
        <v>8.458555555555556</v>
      </c>
      <c r="N32" s="23">
        <f t="shared" si="3"/>
        <v>101.50266666666667</v>
      </c>
      <c r="O32" s="63">
        <f t="shared" si="4"/>
        <v>1141.905</v>
      </c>
      <c r="P32" s="63">
        <f t="shared" si="5"/>
        <v>1243.4076666666667</v>
      </c>
      <c r="Q32" s="23">
        <f t="shared" si="6"/>
        <v>329.8836666666666</v>
      </c>
      <c r="R32" s="23">
        <f t="shared" si="7"/>
        <v>0</v>
      </c>
      <c r="S32" s="23">
        <f t="shared" si="8"/>
        <v>101.50266666666667</v>
      </c>
      <c r="T32" s="25">
        <v>1</v>
      </c>
      <c r="U32" s="23">
        <f t="shared" si="9"/>
        <v>101.50266666666667</v>
      </c>
      <c r="V32" s="25">
        <v>1</v>
      </c>
      <c r="W32" s="23">
        <f t="shared" si="10"/>
        <v>1141.905</v>
      </c>
      <c r="X32" s="23">
        <f t="shared" si="11"/>
        <v>1141.905</v>
      </c>
      <c r="Y32" s="64">
        <f t="shared" si="12"/>
        <v>2001.25</v>
      </c>
      <c r="Z32" s="22">
        <f t="shared" si="13"/>
        <v>2013.5</v>
      </c>
      <c r="AA32" s="64">
        <f t="shared" si="14"/>
        <v>2016.25</v>
      </c>
      <c r="AB32" s="22">
        <f t="shared" si="15"/>
        <v>2012.5</v>
      </c>
      <c r="AC32" s="22">
        <f t="shared" si="16"/>
        <v>-0.08333333333333333</v>
      </c>
    </row>
    <row r="33" spans="2:29" s="22" customFormat="1" ht="15.75">
      <c r="B33" s="56" t="s">
        <v>26</v>
      </c>
      <c r="C33" s="57">
        <v>5</v>
      </c>
      <c r="D33" s="57">
        <v>2002</v>
      </c>
      <c r="E33" s="58">
        <v>3094.33</v>
      </c>
      <c r="F33" s="59">
        <v>0</v>
      </c>
      <c r="G33" s="57">
        <v>15</v>
      </c>
      <c r="H33" s="22">
        <f t="shared" si="0"/>
        <v>2017</v>
      </c>
      <c r="I33" s="60"/>
      <c r="J33" s="61"/>
      <c r="K33" s="62">
        <v>0</v>
      </c>
      <c r="L33" s="23">
        <f t="shared" si="1"/>
        <v>3094.33</v>
      </c>
      <c r="M33" s="23">
        <f t="shared" si="2"/>
        <v>17.190722222222224</v>
      </c>
      <c r="N33" s="23">
        <f t="shared" si="3"/>
        <v>206.2886666666667</v>
      </c>
      <c r="O33" s="63">
        <f t="shared" si="4"/>
        <v>2097.268111111127</v>
      </c>
      <c r="P33" s="63">
        <f t="shared" si="5"/>
        <v>2303.5567777777937</v>
      </c>
      <c r="Q33" s="23">
        <f t="shared" si="6"/>
        <v>893.9175555555396</v>
      </c>
      <c r="R33" s="23">
        <f t="shared" si="7"/>
        <v>0</v>
      </c>
      <c r="S33" s="23">
        <f t="shared" si="8"/>
        <v>206.2886666666667</v>
      </c>
      <c r="T33" s="25">
        <v>1</v>
      </c>
      <c r="U33" s="23">
        <f t="shared" si="9"/>
        <v>206.2886666666667</v>
      </c>
      <c r="V33" s="25">
        <v>1</v>
      </c>
      <c r="W33" s="23">
        <f t="shared" si="10"/>
        <v>2097.268111111127</v>
      </c>
      <c r="X33" s="23">
        <f t="shared" si="11"/>
        <v>2097.268111111127</v>
      </c>
      <c r="Y33" s="64">
        <f t="shared" si="12"/>
        <v>2002.3333333333333</v>
      </c>
      <c r="Z33" s="22">
        <f t="shared" si="13"/>
        <v>2013.5</v>
      </c>
      <c r="AA33" s="64">
        <f t="shared" si="14"/>
        <v>2017.3333333333333</v>
      </c>
      <c r="AB33" s="22">
        <f t="shared" si="15"/>
        <v>2012.5</v>
      </c>
      <c r="AC33" s="22">
        <f t="shared" si="16"/>
        <v>-0.08333333333333333</v>
      </c>
    </row>
    <row r="34" spans="2:29" s="22" customFormat="1" ht="15.75">
      <c r="B34" s="56" t="s">
        <v>27</v>
      </c>
      <c r="C34" s="57">
        <v>7</v>
      </c>
      <c r="D34" s="57">
        <v>2002</v>
      </c>
      <c r="E34" s="58">
        <v>5612.04</v>
      </c>
      <c r="F34" s="59">
        <v>0</v>
      </c>
      <c r="G34" s="57">
        <v>15</v>
      </c>
      <c r="H34" s="22">
        <f t="shared" si="0"/>
        <v>2017</v>
      </c>
      <c r="I34" s="60"/>
      <c r="J34" s="61"/>
      <c r="K34" s="62">
        <v>0</v>
      </c>
      <c r="L34" s="23">
        <f t="shared" si="1"/>
        <v>5612.04</v>
      </c>
      <c r="M34" s="23">
        <f t="shared" si="2"/>
        <v>31.178</v>
      </c>
      <c r="N34" s="23">
        <f t="shared" si="3"/>
        <v>374.136</v>
      </c>
      <c r="O34" s="63">
        <f t="shared" si="4"/>
        <v>3741.36</v>
      </c>
      <c r="P34" s="63">
        <f t="shared" si="5"/>
        <v>4115.496</v>
      </c>
      <c r="Q34" s="23">
        <f t="shared" si="6"/>
        <v>1683.6119999999999</v>
      </c>
      <c r="R34" s="23">
        <f t="shared" si="7"/>
        <v>0</v>
      </c>
      <c r="S34" s="23">
        <f t="shared" si="8"/>
        <v>374.136</v>
      </c>
      <c r="T34" s="25">
        <v>1</v>
      </c>
      <c r="U34" s="23">
        <f t="shared" si="9"/>
        <v>374.136</v>
      </c>
      <c r="V34" s="25">
        <v>1</v>
      </c>
      <c r="W34" s="23">
        <f t="shared" si="10"/>
        <v>3741.36</v>
      </c>
      <c r="X34" s="23">
        <f t="shared" si="11"/>
        <v>3741.36</v>
      </c>
      <c r="Y34" s="64">
        <f t="shared" si="12"/>
        <v>2002.5</v>
      </c>
      <c r="Z34" s="22">
        <f t="shared" si="13"/>
        <v>2013.5</v>
      </c>
      <c r="AA34" s="64">
        <f t="shared" si="14"/>
        <v>2017.5</v>
      </c>
      <c r="AB34" s="22">
        <f t="shared" si="15"/>
        <v>2012.5</v>
      </c>
      <c r="AC34" s="22">
        <f t="shared" si="16"/>
        <v>-0.08333333333333333</v>
      </c>
    </row>
    <row r="35" spans="2:29" s="22" customFormat="1" ht="15.75">
      <c r="B35" s="56" t="s">
        <v>27</v>
      </c>
      <c r="C35" s="57">
        <v>8</v>
      </c>
      <c r="D35" s="57">
        <v>2002</v>
      </c>
      <c r="E35" s="58">
        <v>2272.21</v>
      </c>
      <c r="F35" s="59">
        <v>0</v>
      </c>
      <c r="G35" s="57">
        <v>15</v>
      </c>
      <c r="H35" s="22">
        <f t="shared" si="0"/>
        <v>2017</v>
      </c>
      <c r="I35" s="60"/>
      <c r="J35" s="61"/>
      <c r="K35" s="62">
        <v>0</v>
      </c>
      <c r="L35" s="23">
        <f t="shared" si="1"/>
        <v>2272.21</v>
      </c>
      <c r="M35" s="23">
        <f t="shared" si="2"/>
        <v>12.62338888888889</v>
      </c>
      <c r="N35" s="23">
        <f t="shared" si="3"/>
        <v>151.48066666666668</v>
      </c>
      <c r="O35" s="63">
        <f t="shared" si="4"/>
        <v>1502.1832777777893</v>
      </c>
      <c r="P35" s="63">
        <f t="shared" si="5"/>
        <v>1653.6639444444559</v>
      </c>
      <c r="Q35" s="23">
        <f t="shared" si="6"/>
        <v>694.2863888888775</v>
      </c>
      <c r="R35" s="23">
        <f t="shared" si="7"/>
        <v>0</v>
      </c>
      <c r="S35" s="23">
        <f t="shared" si="8"/>
        <v>151.48066666666668</v>
      </c>
      <c r="T35" s="25">
        <v>1</v>
      </c>
      <c r="U35" s="23">
        <f t="shared" si="9"/>
        <v>151.48066666666668</v>
      </c>
      <c r="V35" s="25">
        <v>1</v>
      </c>
      <c r="W35" s="23">
        <f t="shared" si="10"/>
        <v>1502.1832777777893</v>
      </c>
      <c r="X35" s="23">
        <f t="shared" si="11"/>
        <v>1502.1832777777893</v>
      </c>
      <c r="Y35" s="64">
        <f t="shared" si="12"/>
        <v>2002.5833333333333</v>
      </c>
      <c r="Z35" s="22">
        <f t="shared" si="13"/>
        <v>2013.5</v>
      </c>
      <c r="AA35" s="64">
        <f t="shared" si="14"/>
        <v>2017.5833333333333</v>
      </c>
      <c r="AB35" s="22">
        <f t="shared" si="15"/>
        <v>2012.5</v>
      </c>
      <c r="AC35" s="22">
        <f t="shared" si="16"/>
        <v>-0.08333333333333333</v>
      </c>
    </row>
    <row r="36" spans="2:29" s="22" customFormat="1" ht="15.75">
      <c r="B36" s="56" t="s">
        <v>27</v>
      </c>
      <c r="C36" s="57">
        <v>9</v>
      </c>
      <c r="D36" s="57">
        <v>2002</v>
      </c>
      <c r="E36" s="58">
        <v>1326.17</v>
      </c>
      <c r="F36" s="59">
        <v>0</v>
      </c>
      <c r="G36" s="57">
        <v>15</v>
      </c>
      <c r="H36" s="22">
        <f t="shared" si="0"/>
        <v>2017</v>
      </c>
      <c r="I36" s="60"/>
      <c r="J36" s="61"/>
      <c r="K36" s="62">
        <v>0</v>
      </c>
      <c r="L36" s="23">
        <f t="shared" si="1"/>
        <v>1326.17</v>
      </c>
      <c r="M36" s="23">
        <f t="shared" si="2"/>
        <v>7.367611111111111</v>
      </c>
      <c r="N36" s="23">
        <f t="shared" si="3"/>
        <v>88.41133333333333</v>
      </c>
      <c r="O36" s="63">
        <f t="shared" si="4"/>
        <v>869.3781111111043</v>
      </c>
      <c r="P36" s="63">
        <f t="shared" si="5"/>
        <v>957.7894444444377</v>
      </c>
      <c r="Q36" s="23">
        <f t="shared" si="6"/>
        <v>412.5862222222291</v>
      </c>
      <c r="R36" s="23">
        <f t="shared" si="7"/>
        <v>0</v>
      </c>
      <c r="S36" s="23">
        <f t="shared" si="8"/>
        <v>88.41133333333333</v>
      </c>
      <c r="T36" s="25">
        <v>1</v>
      </c>
      <c r="U36" s="23">
        <f t="shared" si="9"/>
        <v>88.41133333333333</v>
      </c>
      <c r="V36" s="25">
        <v>1</v>
      </c>
      <c r="W36" s="23">
        <f t="shared" si="10"/>
        <v>869.3781111111043</v>
      </c>
      <c r="X36" s="23">
        <f t="shared" si="11"/>
        <v>869.3781111111043</v>
      </c>
      <c r="Y36" s="64">
        <f t="shared" si="12"/>
        <v>2002.6666666666667</v>
      </c>
      <c r="Z36" s="22">
        <f t="shared" si="13"/>
        <v>2013.5</v>
      </c>
      <c r="AA36" s="64">
        <f t="shared" si="14"/>
        <v>2017.6666666666667</v>
      </c>
      <c r="AB36" s="22">
        <f t="shared" si="15"/>
        <v>2012.5</v>
      </c>
      <c r="AC36" s="22">
        <f t="shared" si="16"/>
        <v>-0.08333333333333333</v>
      </c>
    </row>
    <row r="37" spans="2:29" ht="15.75">
      <c r="B37" s="66" t="s">
        <v>35</v>
      </c>
      <c r="C37" s="57">
        <v>4</v>
      </c>
      <c r="D37" s="57">
        <v>2000</v>
      </c>
      <c r="E37" s="58">
        <v>2499.28</v>
      </c>
      <c r="F37" s="59">
        <v>0</v>
      </c>
      <c r="G37" s="57">
        <v>15</v>
      </c>
      <c r="H37" s="22">
        <f t="shared" si="0"/>
        <v>2015</v>
      </c>
      <c r="I37" s="60"/>
      <c r="J37" s="61"/>
      <c r="K37" s="62">
        <v>0</v>
      </c>
      <c r="L37" s="23">
        <f t="shared" si="1"/>
        <v>2499.28</v>
      </c>
      <c r="M37" s="23">
        <f t="shared" si="2"/>
        <v>13.88488888888889</v>
      </c>
      <c r="N37" s="23">
        <f t="shared" si="3"/>
        <v>166.61866666666668</v>
      </c>
      <c r="O37" s="63">
        <f t="shared" si="4"/>
        <v>2041.0786666666668</v>
      </c>
      <c r="P37" s="63">
        <f t="shared" si="5"/>
        <v>2207.6973333333335</v>
      </c>
      <c r="Q37" s="23">
        <f t="shared" si="6"/>
        <v>374.89200000000005</v>
      </c>
      <c r="R37" s="23">
        <f t="shared" si="7"/>
        <v>0</v>
      </c>
      <c r="S37" s="23">
        <f t="shared" si="8"/>
        <v>166.61866666666668</v>
      </c>
      <c r="T37" s="25">
        <v>1</v>
      </c>
      <c r="U37" s="23">
        <f t="shared" si="9"/>
        <v>166.61866666666668</v>
      </c>
      <c r="V37" s="25">
        <v>1</v>
      </c>
      <c r="W37" s="23">
        <f t="shared" si="10"/>
        <v>2041.0786666666668</v>
      </c>
      <c r="X37" s="23">
        <f t="shared" si="11"/>
        <v>2041.0786666666668</v>
      </c>
      <c r="Y37" s="64">
        <f t="shared" si="12"/>
        <v>2000.25</v>
      </c>
      <c r="Z37" s="22">
        <f t="shared" si="13"/>
        <v>2013.5</v>
      </c>
      <c r="AA37" s="64">
        <f t="shared" si="14"/>
        <v>2015.25</v>
      </c>
      <c r="AB37" s="22">
        <f t="shared" si="15"/>
        <v>2012.5</v>
      </c>
      <c r="AC37" s="22">
        <f t="shared" si="16"/>
        <v>-0.08333333333333333</v>
      </c>
    </row>
    <row r="38" spans="2:29" s="67" customFormat="1" ht="15.75">
      <c r="B38" s="66" t="s">
        <v>36</v>
      </c>
      <c r="C38" s="57">
        <v>4</v>
      </c>
      <c r="D38" s="57">
        <v>2000</v>
      </c>
      <c r="E38" s="58">
        <v>2085.29</v>
      </c>
      <c r="F38" s="59">
        <v>0</v>
      </c>
      <c r="G38" s="57">
        <v>15</v>
      </c>
      <c r="H38" s="22">
        <f t="shared" si="0"/>
        <v>2015</v>
      </c>
      <c r="I38" s="60"/>
      <c r="J38" s="61"/>
      <c r="K38" s="62">
        <v>0</v>
      </c>
      <c r="L38" s="23">
        <f t="shared" si="1"/>
        <v>2085.29</v>
      </c>
      <c r="M38" s="23">
        <f t="shared" si="2"/>
        <v>11.584944444444444</v>
      </c>
      <c r="N38" s="23">
        <f t="shared" si="3"/>
        <v>139.01933333333332</v>
      </c>
      <c r="O38" s="63">
        <f t="shared" si="4"/>
        <v>1702.9868333333334</v>
      </c>
      <c r="P38" s="63">
        <f t="shared" si="5"/>
        <v>1842.0061666666668</v>
      </c>
      <c r="Q38" s="23">
        <f t="shared" si="6"/>
        <v>312.7934999999999</v>
      </c>
      <c r="R38" s="23">
        <f t="shared" si="7"/>
        <v>0</v>
      </c>
      <c r="S38" s="23">
        <f t="shared" si="8"/>
        <v>139.01933333333332</v>
      </c>
      <c r="T38" s="25">
        <v>1</v>
      </c>
      <c r="U38" s="23">
        <f t="shared" si="9"/>
        <v>139.01933333333332</v>
      </c>
      <c r="V38" s="25">
        <v>1</v>
      </c>
      <c r="W38" s="23">
        <f t="shared" si="10"/>
        <v>1702.9868333333334</v>
      </c>
      <c r="X38" s="23">
        <f t="shared" si="11"/>
        <v>1702.9868333333334</v>
      </c>
      <c r="Y38" s="64">
        <f t="shared" si="12"/>
        <v>2000.25</v>
      </c>
      <c r="Z38" s="22">
        <f t="shared" si="13"/>
        <v>2013.5</v>
      </c>
      <c r="AA38" s="64">
        <f t="shared" si="14"/>
        <v>2015.25</v>
      </c>
      <c r="AB38" s="22">
        <f t="shared" si="15"/>
        <v>2012.5</v>
      </c>
      <c r="AC38" s="22">
        <f t="shared" si="16"/>
        <v>-0.08333333333333333</v>
      </c>
    </row>
    <row r="39" spans="2:29" ht="15.75">
      <c r="B39" s="66" t="s">
        <v>37</v>
      </c>
      <c r="C39" s="57">
        <v>5</v>
      </c>
      <c r="D39" s="57">
        <v>2000</v>
      </c>
      <c r="E39" s="58">
        <v>2054.62</v>
      </c>
      <c r="F39" s="59">
        <v>0</v>
      </c>
      <c r="G39" s="57">
        <v>15</v>
      </c>
      <c r="H39" s="22">
        <f t="shared" si="0"/>
        <v>2015</v>
      </c>
      <c r="I39" s="60"/>
      <c r="J39" s="61"/>
      <c r="K39" s="62">
        <v>0</v>
      </c>
      <c r="L39" s="23">
        <f t="shared" si="1"/>
        <v>2054.62</v>
      </c>
      <c r="M39" s="23">
        <f t="shared" si="2"/>
        <v>11.414555555555554</v>
      </c>
      <c r="N39" s="23">
        <f t="shared" si="3"/>
        <v>136.97466666666665</v>
      </c>
      <c r="O39" s="63">
        <f t="shared" si="4"/>
        <v>1666.5251111111213</v>
      </c>
      <c r="P39" s="63">
        <f t="shared" si="5"/>
        <v>1803.499777777788</v>
      </c>
      <c r="Q39" s="23">
        <f t="shared" si="6"/>
        <v>319.6075555555452</v>
      </c>
      <c r="R39" s="23">
        <f t="shared" si="7"/>
        <v>0</v>
      </c>
      <c r="S39" s="23">
        <f t="shared" si="8"/>
        <v>136.97466666666665</v>
      </c>
      <c r="T39" s="25">
        <v>1</v>
      </c>
      <c r="U39" s="23">
        <f t="shared" si="9"/>
        <v>136.97466666666665</v>
      </c>
      <c r="V39" s="25">
        <v>1</v>
      </c>
      <c r="W39" s="23">
        <f t="shared" si="10"/>
        <v>1666.5251111111213</v>
      </c>
      <c r="X39" s="23">
        <f t="shared" si="11"/>
        <v>1666.5251111111213</v>
      </c>
      <c r="Y39" s="64">
        <f t="shared" si="12"/>
        <v>2000.3333333333333</v>
      </c>
      <c r="Z39" s="22">
        <f t="shared" si="13"/>
        <v>2013.5</v>
      </c>
      <c r="AA39" s="64">
        <f t="shared" si="14"/>
        <v>2015.3333333333333</v>
      </c>
      <c r="AB39" s="22">
        <f t="shared" si="15"/>
        <v>2012.5</v>
      </c>
      <c r="AC39" s="22">
        <f t="shared" si="16"/>
        <v>-0.08333333333333333</v>
      </c>
    </row>
    <row r="40" spans="2:29" ht="15.75">
      <c r="B40" s="66" t="s">
        <v>38</v>
      </c>
      <c r="C40" s="57">
        <v>5</v>
      </c>
      <c r="D40" s="57">
        <v>2000</v>
      </c>
      <c r="E40" s="58">
        <v>2069.95</v>
      </c>
      <c r="F40" s="59">
        <v>0</v>
      </c>
      <c r="G40" s="57">
        <v>15</v>
      </c>
      <c r="H40" s="22">
        <f t="shared" si="0"/>
        <v>2015</v>
      </c>
      <c r="I40" s="60"/>
      <c r="J40" s="61"/>
      <c r="K40" s="62">
        <v>0</v>
      </c>
      <c r="L40" s="23">
        <f t="shared" si="1"/>
        <v>2069.95</v>
      </c>
      <c r="M40" s="23">
        <f t="shared" si="2"/>
        <v>11.49972222222222</v>
      </c>
      <c r="N40" s="23">
        <f t="shared" si="3"/>
        <v>137.99666666666664</v>
      </c>
      <c r="O40" s="63">
        <f t="shared" si="4"/>
        <v>1678.9594444444544</v>
      </c>
      <c r="P40" s="63">
        <f t="shared" si="5"/>
        <v>1816.9561111111211</v>
      </c>
      <c r="Q40" s="23">
        <f t="shared" si="6"/>
        <v>321.99222222221204</v>
      </c>
      <c r="R40" s="23">
        <f t="shared" si="7"/>
        <v>0</v>
      </c>
      <c r="S40" s="23">
        <f t="shared" si="8"/>
        <v>137.99666666666664</v>
      </c>
      <c r="T40" s="25">
        <v>1</v>
      </c>
      <c r="U40" s="23">
        <f t="shared" si="9"/>
        <v>137.99666666666664</v>
      </c>
      <c r="V40" s="25">
        <v>1</v>
      </c>
      <c r="W40" s="23">
        <f t="shared" si="10"/>
        <v>1678.9594444444544</v>
      </c>
      <c r="X40" s="23">
        <f t="shared" si="11"/>
        <v>1678.9594444444544</v>
      </c>
      <c r="Y40" s="64">
        <f t="shared" si="12"/>
        <v>2000.3333333333333</v>
      </c>
      <c r="Z40" s="22">
        <f t="shared" si="13"/>
        <v>2013.5</v>
      </c>
      <c r="AA40" s="64">
        <f t="shared" si="14"/>
        <v>2015.3333333333333</v>
      </c>
      <c r="AB40" s="22">
        <f t="shared" si="15"/>
        <v>2012.5</v>
      </c>
      <c r="AC40" s="22">
        <f t="shared" si="16"/>
        <v>-0.08333333333333333</v>
      </c>
    </row>
    <row r="41" spans="2:29" s="22" customFormat="1" ht="15.75">
      <c r="B41" s="66" t="s">
        <v>39</v>
      </c>
      <c r="C41" s="57">
        <v>5</v>
      </c>
      <c r="D41" s="57">
        <v>2000</v>
      </c>
      <c r="E41" s="58">
        <v>2023.96</v>
      </c>
      <c r="F41" s="59">
        <v>0</v>
      </c>
      <c r="G41" s="57">
        <v>15</v>
      </c>
      <c r="H41" s="22">
        <f t="shared" si="0"/>
        <v>2015</v>
      </c>
      <c r="I41" s="60"/>
      <c r="J41" s="61"/>
      <c r="K41" s="62">
        <v>0</v>
      </c>
      <c r="L41" s="23">
        <f t="shared" si="1"/>
        <v>2023.96</v>
      </c>
      <c r="M41" s="23">
        <f t="shared" si="2"/>
        <v>11.244222222222222</v>
      </c>
      <c r="N41" s="23">
        <f t="shared" si="3"/>
        <v>134.93066666666667</v>
      </c>
      <c r="O41" s="63">
        <f t="shared" si="4"/>
        <v>1641.6564444444546</v>
      </c>
      <c r="P41" s="63">
        <f t="shared" si="5"/>
        <v>1776.5871111111212</v>
      </c>
      <c r="Q41" s="23">
        <f t="shared" si="6"/>
        <v>314.83822222221215</v>
      </c>
      <c r="R41" s="23">
        <f t="shared" si="7"/>
        <v>0</v>
      </c>
      <c r="S41" s="23">
        <f t="shared" si="8"/>
        <v>134.93066666666667</v>
      </c>
      <c r="T41" s="25">
        <v>1</v>
      </c>
      <c r="U41" s="23">
        <f t="shared" si="9"/>
        <v>134.93066666666667</v>
      </c>
      <c r="V41" s="25">
        <v>1</v>
      </c>
      <c r="W41" s="23">
        <f t="shared" si="10"/>
        <v>1641.6564444444546</v>
      </c>
      <c r="X41" s="23">
        <f t="shared" si="11"/>
        <v>1641.6564444444546</v>
      </c>
      <c r="Y41" s="64">
        <f t="shared" si="12"/>
        <v>2000.3333333333333</v>
      </c>
      <c r="Z41" s="22">
        <f t="shared" si="13"/>
        <v>2013.5</v>
      </c>
      <c r="AA41" s="64">
        <f t="shared" si="14"/>
        <v>2015.3333333333333</v>
      </c>
      <c r="AB41" s="22">
        <f t="shared" si="15"/>
        <v>2012.5</v>
      </c>
      <c r="AC41" s="22">
        <f t="shared" si="16"/>
        <v>-0.08333333333333333</v>
      </c>
    </row>
    <row r="42" spans="2:29" s="22" customFormat="1" ht="15.75">
      <c r="B42" s="66" t="s">
        <v>40</v>
      </c>
      <c r="C42" s="57">
        <v>5</v>
      </c>
      <c r="D42" s="57">
        <v>2000</v>
      </c>
      <c r="E42" s="58">
        <v>1502.63</v>
      </c>
      <c r="F42" s="59">
        <v>0</v>
      </c>
      <c r="G42" s="57">
        <v>15</v>
      </c>
      <c r="H42" s="22">
        <f t="shared" si="0"/>
        <v>2015</v>
      </c>
      <c r="I42" s="60"/>
      <c r="J42" s="61"/>
      <c r="K42" s="62">
        <v>0</v>
      </c>
      <c r="L42" s="23">
        <f t="shared" si="1"/>
        <v>1502.63</v>
      </c>
      <c r="M42" s="23">
        <f t="shared" si="2"/>
        <v>8.347944444444446</v>
      </c>
      <c r="N42" s="23">
        <f t="shared" si="3"/>
        <v>100.17533333333336</v>
      </c>
      <c r="O42" s="63">
        <f t="shared" si="4"/>
        <v>1218.7998888888967</v>
      </c>
      <c r="P42" s="63">
        <f t="shared" si="5"/>
        <v>1318.97522222223</v>
      </c>
      <c r="Q42" s="23">
        <f t="shared" si="6"/>
        <v>233.74244444443673</v>
      </c>
      <c r="R42" s="23">
        <f t="shared" si="7"/>
        <v>0</v>
      </c>
      <c r="S42" s="23">
        <f t="shared" si="8"/>
        <v>100.17533333333336</v>
      </c>
      <c r="T42" s="25">
        <v>1</v>
      </c>
      <c r="U42" s="23">
        <f t="shared" si="9"/>
        <v>100.17533333333336</v>
      </c>
      <c r="V42" s="25">
        <v>1</v>
      </c>
      <c r="W42" s="23">
        <f t="shared" si="10"/>
        <v>1218.7998888888967</v>
      </c>
      <c r="X42" s="23">
        <f t="shared" si="11"/>
        <v>1218.7998888888967</v>
      </c>
      <c r="Y42" s="64">
        <f t="shared" si="12"/>
        <v>2000.3333333333333</v>
      </c>
      <c r="Z42" s="22">
        <f t="shared" si="13"/>
        <v>2013.5</v>
      </c>
      <c r="AA42" s="64">
        <f t="shared" si="14"/>
        <v>2015.3333333333333</v>
      </c>
      <c r="AB42" s="22">
        <f t="shared" si="15"/>
        <v>2012.5</v>
      </c>
      <c r="AC42" s="22">
        <f t="shared" si="16"/>
        <v>-0.08333333333333333</v>
      </c>
    </row>
    <row r="43" spans="2:29" s="22" customFormat="1" ht="15.75">
      <c r="B43" s="66" t="s">
        <v>41</v>
      </c>
      <c r="C43" s="57">
        <v>6</v>
      </c>
      <c r="D43" s="57">
        <v>2000</v>
      </c>
      <c r="E43" s="58">
        <v>7160.51</v>
      </c>
      <c r="F43" s="59">
        <v>0</v>
      </c>
      <c r="G43" s="57">
        <v>15</v>
      </c>
      <c r="H43" s="22">
        <f t="shared" si="0"/>
        <v>2015</v>
      </c>
      <c r="I43" s="60"/>
      <c r="J43" s="61"/>
      <c r="K43" s="62">
        <v>0</v>
      </c>
      <c r="L43" s="23">
        <f t="shared" si="1"/>
        <v>7160.51</v>
      </c>
      <c r="M43" s="23">
        <f t="shared" si="2"/>
        <v>39.780611111111114</v>
      </c>
      <c r="N43" s="23">
        <f t="shared" si="3"/>
        <v>477.36733333333336</v>
      </c>
      <c r="O43" s="63">
        <f t="shared" si="4"/>
        <v>5768.188611111075</v>
      </c>
      <c r="P43" s="63">
        <f t="shared" si="5"/>
        <v>6245.555944444409</v>
      </c>
      <c r="Q43" s="23">
        <f t="shared" si="6"/>
        <v>1153.6377222222582</v>
      </c>
      <c r="R43" s="23">
        <f t="shared" si="7"/>
        <v>0</v>
      </c>
      <c r="S43" s="23">
        <f t="shared" si="8"/>
        <v>477.36733333333336</v>
      </c>
      <c r="T43" s="25">
        <v>1</v>
      </c>
      <c r="U43" s="23">
        <f t="shared" si="9"/>
        <v>477.36733333333336</v>
      </c>
      <c r="V43" s="25">
        <v>1</v>
      </c>
      <c r="W43" s="23">
        <f t="shared" si="10"/>
        <v>5768.188611111075</v>
      </c>
      <c r="X43" s="23">
        <f t="shared" si="11"/>
        <v>5768.188611111075</v>
      </c>
      <c r="Y43" s="64">
        <f t="shared" si="12"/>
        <v>2000.4166666666667</v>
      </c>
      <c r="Z43" s="22">
        <f t="shared" si="13"/>
        <v>2013.5</v>
      </c>
      <c r="AA43" s="64">
        <f t="shared" si="14"/>
        <v>2015.4166666666667</v>
      </c>
      <c r="AB43" s="22">
        <f t="shared" si="15"/>
        <v>2012.5</v>
      </c>
      <c r="AC43" s="22">
        <f t="shared" si="16"/>
        <v>-0.08333333333333333</v>
      </c>
    </row>
    <row r="44" spans="2:29" s="22" customFormat="1" ht="15.75">
      <c r="B44" s="66" t="s">
        <v>42</v>
      </c>
      <c r="C44" s="57">
        <v>7</v>
      </c>
      <c r="D44" s="57">
        <v>2000</v>
      </c>
      <c r="E44" s="58">
        <v>9166.02</v>
      </c>
      <c r="F44" s="59">
        <v>0</v>
      </c>
      <c r="G44" s="57">
        <v>15</v>
      </c>
      <c r="H44" s="22">
        <f t="shared" si="0"/>
        <v>2015</v>
      </c>
      <c r="I44" s="60"/>
      <c r="J44" s="61"/>
      <c r="K44" s="62">
        <v>0</v>
      </c>
      <c r="L44" s="23">
        <f t="shared" si="1"/>
        <v>9166.02</v>
      </c>
      <c r="M44" s="23">
        <f t="shared" si="2"/>
        <v>50.922333333333334</v>
      </c>
      <c r="N44" s="23">
        <f t="shared" si="3"/>
        <v>611.068</v>
      </c>
      <c r="O44" s="63">
        <f t="shared" si="4"/>
        <v>7332.816</v>
      </c>
      <c r="P44" s="63">
        <f t="shared" si="5"/>
        <v>7943.884</v>
      </c>
      <c r="Q44" s="23">
        <f t="shared" si="6"/>
        <v>1527.6700000000005</v>
      </c>
      <c r="R44" s="23">
        <f t="shared" si="7"/>
        <v>0</v>
      </c>
      <c r="S44" s="23">
        <f t="shared" si="8"/>
        <v>611.068</v>
      </c>
      <c r="T44" s="25">
        <v>1</v>
      </c>
      <c r="U44" s="23">
        <f t="shared" si="9"/>
        <v>611.068</v>
      </c>
      <c r="V44" s="25">
        <v>1</v>
      </c>
      <c r="W44" s="23">
        <f t="shared" si="10"/>
        <v>7332.816</v>
      </c>
      <c r="X44" s="23">
        <f t="shared" si="11"/>
        <v>7332.816</v>
      </c>
      <c r="Y44" s="64">
        <f t="shared" si="12"/>
        <v>2000.5</v>
      </c>
      <c r="Z44" s="22">
        <f t="shared" si="13"/>
        <v>2013.5</v>
      </c>
      <c r="AA44" s="64">
        <f t="shared" si="14"/>
        <v>2015.5</v>
      </c>
      <c r="AB44" s="22">
        <f t="shared" si="15"/>
        <v>2012.5</v>
      </c>
      <c r="AC44" s="22">
        <f t="shared" si="16"/>
        <v>-0.08333333333333333</v>
      </c>
    </row>
    <row r="45" spans="2:29" s="22" customFormat="1" ht="15.75">
      <c r="B45" s="66" t="s">
        <v>43</v>
      </c>
      <c r="C45" s="57">
        <v>6</v>
      </c>
      <c r="D45" s="57">
        <v>2000</v>
      </c>
      <c r="E45" s="58">
        <v>1349.3</v>
      </c>
      <c r="F45" s="59">
        <v>0</v>
      </c>
      <c r="G45" s="57">
        <v>15</v>
      </c>
      <c r="H45" s="22">
        <f t="shared" si="0"/>
        <v>2015</v>
      </c>
      <c r="I45" s="60"/>
      <c r="J45" s="61"/>
      <c r="K45" s="62">
        <v>0</v>
      </c>
      <c r="L45" s="23">
        <f t="shared" si="1"/>
        <v>1349.3</v>
      </c>
      <c r="M45" s="23">
        <f t="shared" si="2"/>
        <v>7.496111111111111</v>
      </c>
      <c r="N45" s="23">
        <f t="shared" si="3"/>
        <v>89.95333333333333</v>
      </c>
      <c r="O45" s="63">
        <f t="shared" si="4"/>
        <v>1086.9361111111043</v>
      </c>
      <c r="P45" s="63">
        <f t="shared" si="5"/>
        <v>1176.8894444444377</v>
      </c>
      <c r="Q45" s="23">
        <f t="shared" si="6"/>
        <v>217.38722222222896</v>
      </c>
      <c r="R45" s="23">
        <f t="shared" si="7"/>
        <v>0</v>
      </c>
      <c r="S45" s="23">
        <f t="shared" si="8"/>
        <v>89.95333333333333</v>
      </c>
      <c r="T45" s="25">
        <v>1</v>
      </c>
      <c r="U45" s="23">
        <f t="shared" si="9"/>
        <v>89.95333333333333</v>
      </c>
      <c r="V45" s="25">
        <v>1</v>
      </c>
      <c r="W45" s="23">
        <f t="shared" si="10"/>
        <v>1086.9361111111043</v>
      </c>
      <c r="X45" s="23">
        <f t="shared" si="11"/>
        <v>1086.9361111111043</v>
      </c>
      <c r="Y45" s="64">
        <f t="shared" si="12"/>
        <v>2000.4166666666667</v>
      </c>
      <c r="Z45" s="22">
        <f t="shared" si="13"/>
        <v>2013.5</v>
      </c>
      <c r="AA45" s="64">
        <f t="shared" si="14"/>
        <v>2015.4166666666667</v>
      </c>
      <c r="AB45" s="22">
        <f t="shared" si="15"/>
        <v>2012.5</v>
      </c>
      <c r="AC45" s="22">
        <f t="shared" si="16"/>
        <v>-0.08333333333333333</v>
      </c>
    </row>
    <row r="46" spans="2:29" s="22" customFormat="1" ht="15.75">
      <c r="B46" s="66" t="s">
        <v>44</v>
      </c>
      <c r="C46" s="57">
        <v>8</v>
      </c>
      <c r="D46" s="57">
        <v>2000</v>
      </c>
      <c r="E46" s="58">
        <v>2483.95</v>
      </c>
      <c r="F46" s="59">
        <v>0</v>
      </c>
      <c r="G46" s="57">
        <v>15</v>
      </c>
      <c r="H46" s="22">
        <f t="shared" si="0"/>
        <v>2015</v>
      </c>
      <c r="I46" s="60"/>
      <c r="J46" s="61"/>
      <c r="K46" s="62">
        <v>0</v>
      </c>
      <c r="L46" s="23">
        <f t="shared" si="1"/>
        <v>2483.95</v>
      </c>
      <c r="M46" s="23">
        <f t="shared" si="2"/>
        <v>13.799722222222222</v>
      </c>
      <c r="N46" s="23">
        <f t="shared" si="3"/>
        <v>165.59666666666666</v>
      </c>
      <c r="O46" s="63">
        <f t="shared" si="4"/>
        <v>1973.3602777777903</v>
      </c>
      <c r="P46" s="63">
        <f t="shared" si="5"/>
        <v>2138.956944444457</v>
      </c>
      <c r="Q46" s="23">
        <f t="shared" si="6"/>
        <v>427.7913888888762</v>
      </c>
      <c r="R46" s="23">
        <f t="shared" si="7"/>
        <v>0</v>
      </c>
      <c r="S46" s="23">
        <f t="shared" si="8"/>
        <v>165.59666666666666</v>
      </c>
      <c r="T46" s="25">
        <v>1</v>
      </c>
      <c r="U46" s="23">
        <f t="shared" si="9"/>
        <v>165.59666666666666</v>
      </c>
      <c r="V46" s="25">
        <v>1</v>
      </c>
      <c r="W46" s="23">
        <f t="shared" si="10"/>
        <v>1973.3602777777903</v>
      </c>
      <c r="X46" s="23">
        <f t="shared" si="11"/>
        <v>1973.3602777777903</v>
      </c>
      <c r="Y46" s="64">
        <f t="shared" si="12"/>
        <v>2000.5833333333333</v>
      </c>
      <c r="Z46" s="22">
        <f t="shared" si="13"/>
        <v>2013.5</v>
      </c>
      <c r="AA46" s="64">
        <f t="shared" si="14"/>
        <v>2015.5833333333333</v>
      </c>
      <c r="AB46" s="22">
        <f t="shared" si="15"/>
        <v>2012.5</v>
      </c>
      <c r="AC46" s="22">
        <f t="shared" si="16"/>
        <v>-0.08333333333333333</v>
      </c>
    </row>
    <row r="47" spans="2:29" s="22" customFormat="1" ht="15.75">
      <c r="B47" s="66" t="s">
        <v>46</v>
      </c>
      <c r="C47" s="57">
        <v>9</v>
      </c>
      <c r="D47" s="57">
        <v>2000</v>
      </c>
      <c r="E47" s="58">
        <v>9808</v>
      </c>
      <c r="F47" s="59">
        <v>0</v>
      </c>
      <c r="G47" s="57">
        <v>15</v>
      </c>
      <c r="H47" s="22">
        <f t="shared" si="0"/>
        <v>2015</v>
      </c>
      <c r="I47" s="60"/>
      <c r="J47" s="61"/>
      <c r="K47" s="62">
        <v>0</v>
      </c>
      <c r="L47" s="23">
        <f t="shared" si="1"/>
        <v>9808</v>
      </c>
      <c r="M47" s="23">
        <f t="shared" si="2"/>
        <v>54.48888888888889</v>
      </c>
      <c r="N47" s="23">
        <f t="shared" si="3"/>
        <v>653.8666666666667</v>
      </c>
      <c r="O47" s="63">
        <f t="shared" si="4"/>
        <v>7737.422222222172</v>
      </c>
      <c r="P47" s="63">
        <f t="shared" si="5"/>
        <v>8391.28888888884</v>
      </c>
      <c r="Q47" s="23">
        <f t="shared" si="6"/>
        <v>1743.6444444444942</v>
      </c>
      <c r="R47" s="23">
        <f t="shared" si="7"/>
        <v>0</v>
      </c>
      <c r="S47" s="23">
        <f t="shared" si="8"/>
        <v>653.8666666666667</v>
      </c>
      <c r="T47" s="25">
        <v>1</v>
      </c>
      <c r="U47" s="23">
        <f t="shared" si="9"/>
        <v>653.8666666666667</v>
      </c>
      <c r="V47" s="25">
        <v>1</v>
      </c>
      <c r="W47" s="23">
        <f t="shared" si="10"/>
        <v>7737.422222222172</v>
      </c>
      <c r="X47" s="23">
        <f t="shared" si="11"/>
        <v>7737.422222222172</v>
      </c>
      <c r="Y47" s="64">
        <f t="shared" si="12"/>
        <v>2000.6666666666667</v>
      </c>
      <c r="Z47" s="22">
        <f t="shared" si="13"/>
        <v>2013.5</v>
      </c>
      <c r="AA47" s="64">
        <f t="shared" si="14"/>
        <v>2015.6666666666667</v>
      </c>
      <c r="AB47" s="22">
        <f t="shared" si="15"/>
        <v>2012.5</v>
      </c>
      <c r="AC47" s="22">
        <f t="shared" si="16"/>
        <v>-0.08333333333333333</v>
      </c>
    </row>
    <row r="48" spans="2:29" s="22" customFormat="1" ht="15.75">
      <c r="B48" s="66" t="s">
        <v>47</v>
      </c>
      <c r="C48" s="57">
        <v>10</v>
      </c>
      <c r="D48" s="57">
        <v>2000</v>
      </c>
      <c r="E48" s="58">
        <v>2641.58</v>
      </c>
      <c r="F48" s="59">
        <v>0</v>
      </c>
      <c r="G48" s="57">
        <v>15</v>
      </c>
      <c r="H48" s="22">
        <f t="shared" si="0"/>
        <v>2015</v>
      </c>
      <c r="I48" s="60"/>
      <c r="J48" s="61"/>
      <c r="K48" s="62">
        <v>0</v>
      </c>
      <c r="L48" s="23">
        <f t="shared" si="1"/>
        <v>2641.58</v>
      </c>
      <c r="M48" s="23">
        <f t="shared" si="2"/>
        <v>14.675444444444445</v>
      </c>
      <c r="N48" s="23">
        <f t="shared" si="3"/>
        <v>176.10533333333333</v>
      </c>
      <c r="O48" s="63">
        <f t="shared" si="4"/>
        <v>2069.237666666667</v>
      </c>
      <c r="P48" s="63">
        <f t="shared" si="5"/>
        <v>2245.3430000000003</v>
      </c>
      <c r="Q48" s="23">
        <f t="shared" si="6"/>
        <v>484.28966666666634</v>
      </c>
      <c r="R48" s="23">
        <f t="shared" si="7"/>
        <v>0</v>
      </c>
      <c r="S48" s="23">
        <f t="shared" si="8"/>
        <v>176.10533333333333</v>
      </c>
      <c r="T48" s="25">
        <v>1</v>
      </c>
      <c r="U48" s="23">
        <f t="shared" si="9"/>
        <v>176.10533333333333</v>
      </c>
      <c r="V48" s="25">
        <v>1</v>
      </c>
      <c r="W48" s="23">
        <f t="shared" si="10"/>
        <v>2069.237666666667</v>
      </c>
      <c r="X48" s="23">
        <f t="shared" si="11"/>
        <v>2069.237666666667</v>
      </c>
      <c r="Y48" s="64">
        <f t="shared" si="12"/>
        <v>2000.75</v>
      </c>
      <c r="Z48" s="22">
        <f t="shared" si="13"/>
        <v>2013.5</v>
      </c>
      <c r="AA48" s="64">
        <f t="shared" si="14"/>
        <v>2015.75</v>
      </c>
      <c r="AB48" s="22">
        <f t="shared" si="15"/>
        <v>2012.5</v>
      </c>
      <c r="AC48" s="22">
        <f t="shared" si="16"/>
        <v>-0.08333333333333333</v>
      </c>
    </row>
    <row r="49" spans="2:29" s="22" customFormat="1" ht="15.75">
      <c r="B49" s="66" t="s">
        <v>48</v>
      </c>
      <c r="C49" s="57">
        <v>10</v>
      </c>
      <c r="D49" s="57">
        <v>2000</v>
      </c>
      <c r="E49" s="58">
        <v>1364.64</v>
      </c>
      <c r="F49" s="59">
        <v>0</v>
      </c>
      <c r="G49" s="57">
        <v>15</v>
      </c>
      <c r="H49" s="22">
        <f t="shared" si="0"/>
        <v>2015</v>
      </c>
      <c r="I49" s="60"/>
      <c r="J49" s="61"/>
      <c r="K49" s="62">
        <v>0</v>
      </c>
      <c r="L49" s="23">
        <f t="shared" si="1"/>
        <v>1364.64</v>
      </c>
      <c r="M49" s="23">
        <f t="shared" si="2"/>
        <v>7.581333333333334</v>
      </c>
      <c r="N49" s="23">
        <f t="shared" si="3"/>
        <v>90.97600000000001</v>
      </c>
      <c r="O49" s="63">
        <f t="shared" si="4"/>
        <v>1068.968</v>
      </c>
      <c r="P49" s="63">
        <f t="shared" si="5"/>
        <v>1159.9440000000002</v>
      </c>
      <c r="Q49" s="23">
        <f t="shared" si="6"/>
        <v>250.18399999999997</v>
      </c>
      <c r="R49" s="23">
        <f t="shared" si="7"/>
        <v>0</v>
      </c>
      <c r="S49" s="23">
        <f t="shared" si="8"/>
        <v>90.97600000000001</v>
      </c>
      <c r="T49" s="25">
        <v>1</v>
      </c>
      <c r="U49" s="23">
        <f t="shared" si="9"/>
        <v>90.97600000000001</v>
      </c>
      <c r="V49" s="25">
        <v>1</v>
      </c>
      <c r="W49" s="23">
        <f t="shared" si="10"/>
        <v>1068.968</v>
      </c>
      <c r="X49" s="23">
        <f t="shared" si="11"/>
        <v>1068.968</v>
      </c>
      <c r="Y49" s="64">
        <f t="shared" si="12"/>
        <v>2000.75</v>
      </c>
      <c r="Z49" s="22">
        <f t="shared" si="13"/>
        <v>2013.5</v>
      </c>
      <c r="AA49" s="64">
        <f t="shared" si="14"/>
        <v>2015.75</v>
      </c>
      <c r="AB49" s="22">
        <f t="shared" si="15"/>
        <v>2012.5</v>
      </c>
      <c r="AC49" s="22">
        <f t="shared" si="16"/>
        <v>-0.08333333333333333</v>
      </c>
    </row>
    <row r="50" spans="2:29" s="22" customFormat="1" ht="15.75">
      <c r="B50" s="66" t="s">
        <v>49</v>
      </c>
      <c r="C50" s="57">
        <v>11</v>
      </c>
      <c r="D50" s="57">
        <v>2000</v>
      </c>
      <c r="E50" s="58">
        <v>2330.62</v>
      </c>
      <c r="F50" s="59">
        <v>0</v>
      </c>
      <c r="G50" s="57">
        <v>15</v>
      </c>
      <c r="H50" s="22">
        <f t="shared" si="0"/>
        <v>2015</v>
      </c>
      <c r="I50" s="60"/>
      <c r="J50" s="61"/>
      <c r="K50" s="62">
        <v>0</v>
      </c>
      <c r="L50" s="23">
        <f t="shared" si="1"/>
        <v>2330.62</v>
      </c>
      <c r="M50" s="23">
        <f t="shared" si="2"/>
        <v>12.947888888888889</v>
      </c>
      <c r="N50" s="23">
        <f t="shared" si="3"/>
        <v>155.37466666666666</v>
      </c>
      <c r="O50" s="63">
        <f t="shared" si="4"/>
        <v>1812.7044444444562</v>
      </c>
      <c r="P50" s="63">
        <f t="shared" si="5"/>
        <v>1968.0791111111228</v>
      </c>
      <c r="Q50" s="23">
        <f t="shared" si="6"/>
        <v>440.22822222221043</v>
      </c>
      <c r="R50" s="23">
        <f t="shared" si="7"/>
        <v>0</v>
      </c>
      <c r="S50" s="23">
        <f t="shared" si="8"/>
        <v>155.37466666666666</v>
      </c>
      <c r="T50" s="25">
        <v>1</v>
      </c>
      <c r="U50" s="23">
        <f t="shared" si="9"/>
        <v>155.37466666666666</v>
      </c>
      <c r="V50" s="25">
        <v>1</v>
      </c>
      <c r="W50" s="23">
        <f t="shared" si="10"/>
        <v>1812.7044444444562</v>
      </c>
      <c r="X50" s="23">
        <f t="shared" si="11"/>
        <v>1812.7044444444562</v>
      </c>
      <c r="Y50" s="64">
        <f t="shared" si="12"/>
        <v>2000.8333333333333</v>
      </c>
      <c r="Z50" s="22">
        <f t="shared" si="13"/>
        <v>2013.5</v>
      </c>
      <c r="AA50" s="64">
        <f t="shared" si="14"/>
        <v>2015.8333333333333</v>
      </c>
      <c r="AB50" s="22">
        <f t="shared" si="15"/>
        <v>2012.5</v>
      </c>
      <c r="AC50" s="22">
        <f t="shared" si="16"/>
        <v>-0.08333333333333333</v>
      </c>
    </row>
    <row r="51" spans="2:29" s="22" customFormat="1" ht="15.75">
      <c r="B51" s="66" t="s">
        <v>50</v>
      </c>
      <c r="C51" s="57">
        <v>12</v>
      </c>
      <c r="D51" s="57">
        <v>2000</v>
      </c>
      <c r="E51" s="58">
        <v>741.09</v>
      </c>
      <c r="F51" s="59">
        <v>0</v>
      </c>
      <c r="G51" s="57">
        <v>15</v>
      </c>
      <c r="H51" s="22">
        <f t="shared" si="0"/>
        <v>2015</v>
      </c>
      <c r="I51" s="60"/>
      <c r="J51" s="61"/>
      <c r="K51" s="62">
        <v>0</v>
      </c>
      <c r="L51" s="23">
        <f t="shared" si="1"/>
        <v>741.09</v>
      </c>
      <c r="M51" s="23">
        <f t="shared" si="2"/>
        <v>4.117166666666667</v>
      </c>
      <c r="N51" s="23">
        <f t="shared" si="3"/>
        <v>49.406000000000006</v>
      </c>
      <c r="O51" s="63">
        <f t="shared" si="4"/>
        <v>572.2861666666629</v>
      </c>
      <c r="P51" s="63">
        <f t="shared" si="5"/>
        <v>621.6921666666628</v>
      </c>
      <c r="Q51" s="23">
        <f t="shared" si="6"/>
        <v>144.10083333333716</v>
      </c>
      <c r="R51" s="23">
        <f t="shared" si="7"/>
        <v>0</v>
      </c>
      <c r="S51" s="23">
        <f t="shared" si="8"/>
        <v>49.406000000000006</v>
      </c>
      <c r="T51" s="25">
        <v>1</v>
      </c>
      <c r="U51" s="23">
        <f t="shared" si="9"/>
        <v>49.406000000000006</v>
      </c>
      <c r="V51" s="25">
        <v>1</v>
      </c>
      <c r="W51" s="23">
        <f t="shared" si="10"/>
        <v>572.2861666666629</v>
      </c>
      <c r="X51" s="23">
        <f t="shared" si="11"/>
        <v>572.2861666666629</v>
      </c>
      <c r="Y51" s="64">
        <f t="shared" si="12"/>
        <v>2000.9166666666667</v>
      </c>
      <c r="Z51" s="22">
        <f t="shared" si="13"/>
        <v>2013.5</v>
      </c>
      <c r="AA51" s="64">
        <f t="shared" si="14"/>
        <v>2015.9166666666667</v>
      </c>
      <c r="AB51" s="22">
        <f t="shared" si="15"/>
        <v>2012.5</v>
      </c>
      <c r="AC51" s="22">
        <f t="shared" si="16"/>
        <v>-0.08333333333333333</v>
      </c>
    </row>
    <row r="52" spans="2:29" s="22" customFormat="1" ht="15.75">
      <c r="B52" s="66" t="s">
        <v>52</v>
      </c>
      <c r="C52" s="57">
        <v>1</v>
      </c>
      <c r="D52" s="57">
        <v>2001</v>
      </c>
      <c r="E52" s="58">
        <v>1471.97</v>
      </c>
      <c r="F52" s="59">
        <v>0</v>
      </c>
      <c r="G52" s="57">
        <v>15</v>
      </c>
      <c r="H52" s="22">
        <f t="shared" si="0"/>
        <v>2016</v>
      </c>
      <c r="I52" s="60"/>
      <c r="J52" s="61"/>
      <c r="K52" s="62">
        <v>0</v>
      </c>
      <c r="L52" s="23">
        <f t="shared" si="1"/>
        <v>1471.97</v>
      </c>
      <c r="M52" s="23">
        <f t="shared" si="2"/>
        <v>8.17761111111111</v>
      </c>
      <c r="N52" s="23">
        <f t="shared" si="3"/>
        <v>98.13133333333332</v>
      </c>
      <c r="O52" s="63">
        <f t="shared" si="4"/>
        <v>1128.5103333333332</v>
      </c>
      <c r="P52" s="63">
        <f t="shared" si="5"/>
        <v>1226.6416666666664</v>
      </c>
      <c r="Q52" s="23">
        <f t="shared" si="6"/>
        <v>294.39400000000023</v>
      </c>
      <c r="R52" s="23">
        <f t="shared" si="7"/>
        <v>0</v>
      </c>
      <c r="S52" s="23">
        <f t="shared" si="8"/>
        <v>98.13133333333332</v>
      </c>
      <c r="T52" s="25">
        <v>1</v>
      </c>
      <c r="U52" s="23">
        <f t="shared" si="9"/>
        <v>98.13133333333332</v>
      </c>
      <c r="V52" s="25">
        <v>1</v>
      </c>
      <c r="W52" s="23">
        <f t="shared" si="10"/>
        <v>1128.5103333333332</v>
      </c>
      <c r="X52" s="23">
        <f t="shared" si="11"/>
        <v>1128.5103333333332</v>
      </c>
      <c r="Y52" s="64">
        <f t="shared" si="12"/>
        <v>2001</v>
      </c>
      <c r="Z52" s="22">
        <f t="shared" si="13"/>
        <v>2013.5</v>
      </c>
      <c r="AA52" s="64">
        <f t="shared" si="14"/>
        <v>2016</v>
      </c>
      <c r="AB52" s="22">
        <f t="shared" si="15"/>
        <v>2012.5</v>
      </c>
      <c r="AC52" s="22">
        <f t="shared" si="16"/>
        <v>-0.08333333333333333</v>
      </c>
    </row>
    <row r="53" spans="2:29" s="22" customFormat="1" ht="15.75">
      <c r="B53" s="66" t="s">
        <v>53</v>
      </c>
      <c r="C53" s="57">
        <v>1</v>
      </c>
      <c r="D53" s="57">
        <v>2001</v>
      </c>
      <c r="E53" s="58">
        <v>1756.14</v>
      </c>
      <c r="F53" s="59">
        <v>0</v>
      </c>
      <c r="G53" s="57">
        <v>5</v>
      </c>
      <c r="H53" s="22">
        <f t="shared" si="0"/>
        <v>2006</v>
      </c>
      <c r="I53" s="60"/>
      <c r="J53" s="61"/>
      <c r="K53" s="62">
        <v>0</v>
      </c>
      <c r="L53" s="23">
        <f t="shared" si="1"/>
        <v>1756.14</v>
      </c>
      <c r="M53" s="23">
        <f t="shared" si="2"/>
        <v>29.269000000000002</v>
      </c>
      <c r="N53" s="23">
        <f t="shared" si="3"/>
        <v>0</v>
      </c>
      <c r="O53" s="63">
        <f t="shared" si="4"/>
        <v>1756.14</v>
      </c>
      <c r="P53" s="63">
        <f t="shared" si="5"/>
        <v>1756.14</v>
      </c>
      <c r="Q53" s="23">
        <f t="shared" si="6"/>
        <v>0</v>
      </c>
      <c r="R53" s="23">
        <f t="shared" si="7"/>
        <v>0</v>
      </c>
      <c r="S53" s="23">
        <f t="shared" si="8"/>
        <v>0</v>
      </c>
      <c r="T53" s="25">
        <v>1</v>
      </c>
      <c r="U53" s="23">
        <f t="shared" si="9"/>
        <v>0</v>
      </c>
      <c r="V53" s="25">
        <v>1</v>
      </c>
      <c r="W53" s="23">
        <f t="shared" si="10"/>
        <v>1756.14</v>
      </c>
      <c r="X53" s="23">
        <f t="shared" si="11"/>
        <v>1756.14</v>
      </c>
      <c r="Y53" s="64">
        <f t="shared" si="12"/>
        <v>2001</v>
      </c>
      <c r="Z53" s="22">
        <f t="shared" si="13"/>
        <v>2013.5</v>
      </c>
      <c r="AA53" s="64">
        <f t="shared" si="14"/>
        <v>2006</v>
      </c>
      <c r="AB53" s="22">
        <f t="shared" si="15"/>
        <v>2012.5</v>
      </c>
      <c r="AC53" s="22">
        <f t="shared" si="16"/>
        <v>-0.08333333333333333</v>
      </c>
    </row>
    <row r="54" spans="2:29" s="22" customFormat="1" ht="15.75">
      <c r="B54" s="66" t="s">
        <v>60</v>
      </c>
      <c r="C54" s="57">
        <v>5</v>
      </c>
      <c r="D54" s="57">
        <v>2002</v>
      </c>
      <c r="E54" s="58">
        <v>1334.34</v>
      </c>
      <c r="F54" s="59">
        <v>0</v>
      </c>
      <c r="G54" s="57">
        <v>15</v>
      </c>
      <c r="H54" s="22">
        <f t="shared" si="0"/>
        <v>2017</v>
      </c>
      <c r="I54" s="60"/>
      <c r="J54" s="61"/>
      <c r="K54" s="62">
        <v>0</v>
      </c>
      <c r="L54" s="23">
        <f t="shared" si="1"/>
        <v>1334.34</v>
      </c>
      <c r="M54" s="23">
        <f t="shared" si="2"/>
        <v>7.412999999999999</v>
      </c>
      <c r="N54" s="23">
        <f t="shared" si="3"/>
        <v>88.95599999999999</v>
      </c>
      <c r="O54" s="63">
        <f t="shared" si="4"/>
        <v>904.3860000000067</v>
      </c>
      <c r="P54" s="63">
        <f t="shared" si="5"/>
        <v>993.3420000000067</v>
      </c>
      <c r="Q54" s="23">
        <f t="shared" si="6"/>
        <v>385.47599999999323</v>
      </c>
      <c r="R54" s="23">
        <f t="shared" si="7"/>
        <v>0</v>
      </c>
      <c r="S54" s="23">
        <f t="shared" si="8"/>
        <v>88.95599999999999</v>
      </c>
      <c r="T54" s="25">
        <v>1</v>
      </c>
      <c r="U54" s="23">
        <f t="shared" si="9"/>
        <v>88.95599999999999</v>
      </c>
      <c r="V54" s="25">
        <v>1</v>
      </c>
      <c r="W54" s="23">
        <f t="shared" si="10"/>
        <v>904.3860000000067</v>
      </c>
      <c r="X54" s="23">
        <f t="shared" si="11"/>
        <v>904.3860000000067</v>
      </c>
      <c r="Y54" s="64">
        <f t="shared" si="12"/>
        <v>2002.3333333333333</v>
      </c>
      <c r="Z54" s="22">
        <f t="shared" si="13"/>
        <v>2013.5</v>
      </c>
      <c r="AA54" s="64">
        <f t="shared" si="14"/>
        <v>2017.3333333333333</v>
      </c>
      <c r="AB54" s="22">
        <f t="shared" si="15"/>
        <v>2012.5</v>
      </c>
      <c r="AC54" s="22">
        <f t="shared" si="16"/>
        <v>-0.08333333333333333</v>
      </c>
    </row>
    <row r="55" spans="2:29" s="22" customFormat="1" ht="16.5" thickBot="1">
      <c r="B55" s="68"/>
      <c r="C55" s="69"/>
      <c r="D55" s="69"/>
      <c r="E55" s="70"/>
      <c r="F55" s="71"/>
      <c r="G55" s="69"/>
      <c r="H55" s="55"/>
      <c r="I55" s="72"/>
      <c r="J55" s="72"/>
      <c r="K55" s="73"/>
      <c r="M55" s="24"/>
      <c r="N55" s="24"/>
      <c r="O55" s="24"/>
      <c r="P55" s="24"/>
      <c r="Q55" s="24"/>
      <c r="R55" s="24"/>
      <c r="S55" s="24"/>
      <c r="T55" s="74"/>
      <c r="U55" s="24"/>
      <c r="V55" s="74"/>
      <c r="W55" s="24"/>
      <c r="X55" s="24"/>
      <c r="Y55" s="75"/>
      <c r="Z55" s="55"/>
      <c r="AA55" s="75"/>
      <c r="AB55" s="55"/>
      <c r="AC55" s="55"/>
    </row>
    <row r="56" spans="2:29" s="87" customFormat="1" ht="16.5" thickBot="1">
      <c r="B56" s="76" t="s">
        <v>137</v>
      </c>
      <c r="C56" s="77"/>
      <c r="D56" s="77"/>
      <c r="E56" s="78">
        <f>SUM(E12:E54)</f>
        <v>1060185.99</v>
      </c>
      <c r="F56" s="79"/>
      <c r="G56" s="77"/>
      <c r="H56" s="80"/>
      <c r="I56" s="81"/>
      <c r="J56" s="81"/>
      <c r="K56" s="82"/>
      <c r="L56" s="83">
        <f aca="true" t="shared" si="17" ref="L56:Q56">SUM(L12:L54)</f>
        <v>1056185.99</v>
      </c>
      <c r="M56" s="83">
        <f t="shared" si="17"/>
        <v>3266.5018504273507</v>
      </c>
      <c r="N56" s="83">
        <f t="shared" si="17"/>
        <v>27393.14926068374</v>
      </c>
      <c r="O56" s="83">
        <f t="shared" si="17"/>
        <v>555629.2963162396</v>
      </c>
      <c r="P56" s="83">
        <f t="shared" si="17"/>
        <v>583022.4455769238</v>
      </c>
      <c r="Q56" s="83">
        <f t="shared" si="17"/>
        <v>490860.11905341846</v>
      </c>
      <c r="R56" s="83"/>
      <c r="S56" s="83">
        <f>SUM(S12:S54)</f>
        <v>27393.14926068374</v>
      </c>
      <c r="T56" s="84"/>
      <c r="U56" s="83"/>
      <c r="V56" s="84"/>
      <c r="W56" s="83"/>
      <c r="X56" s="83"/>
      <c r="Y56" s="85"/>
      <c r="Z56" s="80"/>
      <c r="AA56" s="85"/>
      <c r="AB56" s="80"/>
      <c r="AC56" s="86"/>
    </row>
    <row r="57" spans="2:29" s="22" customFormat="1" ht="16.5" thickBot="1">
      <c r="B57" s="88"/>
      <c r="C57" s="69"/>
      <c r="D57" s="69"/>
      <c r="E57" s="70"/>
      <c r="F57" s="71"/>
      <c r="G57" s="69"/>
      <c r="H57" s="55"/>
      <c r="I57" s="89">
        <f>'[2]MC-7 - Three-Factor Revised'!$C$20</f>
        <v>0.2336099293317563</v>
      </c>
      <c r="J57" s="90" t="s">
        <v>148</v>
      </c>
      <c r="K57" s="82"/>
      <c r="L57" s="91"/>
      <c r="M57" s="91"/>
      <c r="N57" s="92">
        <f>N56*I57</f>
        <v>6399.311662962581</v>
      </c>
      <c r="O57" s="93"/>
      <c r="P57" s="91"/>
      <c r="Q57" s="94">
        <f>I57*Q56</f>
        <v>114669.79772384657</v>
      </c>
      <c r="R57" s="24"/>
      <c r="S57" s="24"/>
      <c r="T57" s="74"/>
      <c r="U57" s="24"/>
      <c r="V57" s="74"/>
      <c r="W57" s="24"/>
      <c r="X57" s="24"/>
      <c r="Y57" s="75"/>
      <c r="Z57" s="55"/>
      <c r="AA57" s="75"/>
      <c r="AB57" s="55"/>
      <c r="AC57" s="55"/>
    </row>
    <row r="58" spans="2:29" s="22" customFormat="1" ht="15.75">
      <c r="B58" s="88" t="s">
        <v>138</v>
      </c>
      <c r="C58" s="69"/>
      <c r="D58" s="69"/>
      <c r="E58" s="70"/>
      <c r="F58" s="71"/>
      <c r="G58" s="69"/>
      <c r="H58" s="55"/>
      <c r="I58" s="72"/>
      <c r="J58" s="72"/>
      <c r="K58" s="73"/>
      <c r="L58" s="24"/>
      <c r="M58" s="24"/>
      <c r="N58" s="24"/>
      <c r="O58" s="24"/>
      <c r="P58" s="24"/>
      <c r="Q58" s="24"/>
      <c r="R58" s="24"/>
      <c r="S58" s="24"/>
      <c r="T58" s="74"/>
      <c r="U58" s="24"/>
      <c r="V58" s="74"/>
      <c r="W58" s="24"/>
      <c r="X58" s="24"/>
      <c r="Y58" s="75"/>
      <c r="Z58" s="55"/>
      <c r="AA58" s="75"/>
      <c r="AB58" s="55"/>
      <c r="AC58" s="55"/>
    </row>
    <row r="59" spans="2:29" s="22" customFormat="1" ht="15.75">
      <c r="B59" s="95" t="s">
        <v>92</v>
      </c>
      <c r="C59" s="57">
        <v>1</v>
      </c>
      <c r="D59" s="57">
        <v>2008</v>
      </c>
      <c r="E59" s="58">
        <v>421000</v>
      </c>
      <c r="F59" s="59">
        <v>0</v>
      </c>
      <c r="G59" s="57">
        <v>39</v>
      </c>
      <c r="H59" s="22">
        <f aca="true" t="shared" si="18" ref="H59:H67">D59+G59</f>
        <v>2047</v>
      </c>
      <c r="I59" s="96"/>
      <c r="J59" s="96"/>
      <c r="K59" s="97">
        <v>0</v>
      </c>
      <c r="L59" s="23">
        <f aca="true" t="shared" si="19" ref="L59:L66">E59-E59*F59</f>
        <v>421000</v>
      </c>
      <c r="M59" s="23">
        <f aca="true" t="shared" si="20" ref="M59:M66">L59/G59/12</f>
        <v>899.5726495726495</v>
      </c>
      <c r="N59" s="23">
        <f aca="true" t="shared" si="21" ref="N59:N66">IF(K59&gt;0,0,IF(OR(Y59&gt;Z59,AA59&lt;AB59),0,IF(AND(AA59&gt;=AB59,AA59&lt;=Z59),M59*((AA59-AB59)*12),IF(AND(AB59&lt;=Y59,Z59&gt;=Y59),((Z59-Y59)*12)*M59,IF(AA59&gt;Z59,12*M59,0)))))</f>
        <v>10794.871794871795</v>
      </c>
      <c r="O59" s="63">
        <f aca="true" t="shared" si="22" ref="O59:O66">IF(Y59&gt;Z59,0,IF(AA59&lt;AB59,L59,IF(AND(AA59&gt;=AB59,AA59&lt;=Z59),(L59-S59),IF(AND(AB59&lt;=Y59,Z59&gt;=Y59),0,IF(AA59&gt;Z59,((AB59-Y59)*12)*M59,0)))))</f>
        <v>48576.92307692308</v>
      </c>
      <c r="P59" s="63">
        <f aca="true" t="shared" si="23" ref="P59:P66">IF(K59&gt;0,0,X59+U59*V59)*V59</f>
        <v>59371.794871794875</v>
      </c>
      <c r="Q59" s="23">
        <f aca="true" t="shared" si="24" ref="Q59:Q66">IF(K59&gt;0,(E59-X59)/2,IF(Y59&gt;=AB59,(((E59*T59)*V59)-P59)/2,((((E59*T59)*V59)-X59)+(((E59*T59)*V59)-P59))/2))</f>
        <v>367025.641025641</v>
      </c>
      <c r="R59" s="23">
        <f aca="true" t="shared" si="25" ref="R59:R66">IF(K59=0,0,IF(AND(AC59&gt;=AB59,AC59&lt;=AA59),((AC59-AB59)*12)*M59,0))</f>
        <v>0</v>
      </c>
      <c r="S59" s="23">
        <f aca="true" t="shared" si="26" ref="S59:S66">IF(R59&gt;0,R59,N59)</f>
        <v>10794.871794871795</v>
      </c>
      <c r="T59" s="25">
        <v>1</v>
      </c>
      <c r="U59" s="23">
        <f aca="true" t="shared" si="27" ref="U59:U66">T59*(N59+R59)</f>
        <v>10794.871794871795</v>
      </c>
      <c r="V59" s="25">
        <v>1</v>
      </c>
      <c r="W59" s="23">
        <f aca="true" t="shared" si="28" ref="W59:W66">O59*T59</f>
        <v>48576.92307692308</v>
      </c>
      <c r="X59" s="23">
        <f aca="true" t="shared" si="29" ref="X59:X66">W59*V59</f>
        <v>48576.92307692308</v>
      </c>
      <c r="Y59" s="64">
        <f aca="true" t="shared" si="30" ref="Y59:Y67">$D59+(($C59-1)/12)</f>
        <v>2008</v>
      </c>
      <c r="Z59" s="22">
        <f aca="true" t="shared" si="31" ref="Z59:Z67">($G$7+1)-($D$7/12)</f>
        <v>2013.5</v>
      </c>
      <c r="AA59" s="64">
        <f aca="true" t="shared" si="32" ref="AA59:AA67">$H59+(($C59-1)/12)</f>
        <v>2047</v>
      </c>
      <c r="AB59" s="22">
        <f aca="true" t="shared" si="33" ref="AB59:AB67">$E$7+($F$7/12)</f>
        <v>2012.5</v>
      </c>
      <c r="AC59" s="22">
        <f aca="true" t="shared" si="34" ref="AC59:AC67">$J59+(($I59-1)/12)</f>
        <v>-0.08333333333333333</v>
      </c>
    </row>
    <row r="60" spans="2:29" s="22" customFormat="1" ht="15.75">
      <c r="B60" s="98" t="s">
        <v>13</v>
      </c>
      <c r="C60" s="57">
        <v>7</v>
      </c>
      <c r="D60" s="57">
        <v>1998</v>
      </c>
      <c r="E60" s="99">
        <f>6605.48</f>
        <v>6605.48</v>
      </c>
      <c r="F60" s="59">
        <v>0</v>
      </c>
      <c r="G60" s="57">
        <v>15</v>
      </c>
      <c r="H60" s="22">
        <f t="shared" si="18"/>
        <v>2013</v>
      </c>
      <c r="I60" s="96"/>
      <c r="J60" s="96"/>
      <c r="K60" s="97">
        <v>0</v>
      </c>
      <c r="L60" s="23">
        <f t="shared" si="19"/>
        <v>6605.48</v>
      </c>
      <c r="M60" s="23">
        <f t="shared" si="20"/>
        <v>36.697111111111106</v>
      </c>
      <c r="N60" s="23">
        <f t="shared" si="21"/>
        <v>440.3653333333333</v>
      </c>
      <c r="O60" s="63">
        <f t="shared" si="22"/>
        <v>6165.114666666666</v>
      </c>
      <c r="P60" s="63">
        <f t="shared" si="23"/>
        <v>6605.48</v>
      </c>
      <c r="Q60" s="23">
        <f t="shared" si="24"/>
        <v>220.1826666666666</v>
      </c>
      <c r="R60" s="23">
        <f t="shared" si="25"/>
        <v>0</v>
      </c>
      <c r="S60" s="23">
        <f t="shared" si="26"/>
        <v>440.3653333333333</v>
      </c>
      <c r="T60" s="25">
        <v>1</v>
      </c>
      <c r="U60" s="23">
        <f t="shared" si="27"/>
        <v>440.3653333333333</v>
      </c>
      <c r="V60" s="25">
        <v>1</v>
      </c>
      <c r="W60" s="23">
        <f t="shared" si="28"/>
        <v>6165.114666666666</v>
      </c>
      <c r="X60" s="23">
        <f t="shared" si="29"/>
        <v>6165.114666666666</v>
      </c>
      <c r="Y60" s="64">
        <f t="shared" si="30"/>
        <v>1998.5</v>
      </c>
      <c r="Z60" s="22">
        <f t="shared" si="31"/>
        <v>2013.5</v>
      </c>
      <c r="AA60" s="64">
        <f t="shared" si="32"/>
        <v>2013.5</v>
      </c>
      <c r="AB60" s="22">
        <f t="shared" si="33"/>
        <v>2012.5</v>
      </c>
      <c r="AC60" s="22">
        <f t="shared" si="34"/>
        <v>-0.08333333333333333</v>
      </c>
    </row>
    <row r="61" spans="2:29" s="22" customFormat="1" ht="15.75">
      <c r="B61" s="95" t="s">
        <v>66</v>
      </c>
      <c r="C61" s="57">
        <v>11</v>
      </c>
      <c r="D61" s="57">
        <v>1998</v>
      </c>
      <c r="E61" s="99">
        <f>19965.77</f>
        <v>19965.77</v>
      </c>
      <c r="F61" s="59">
        <v>0</v>
      </c>
      <c r="G61" s="57">
        <v>15</v>
      </c>
      <c r="H61" s="22">
        <f t="shared" si="18"/>
        <v>2013</v>
      </c>
      <c r="I61" s="96"/>
      <c r="J61" s="96"/>
      <c r="K61" s="97">
        <v>0</v>
      </c>
      <c r="L61" s="23">
        <f t="shared" si="19"/>
        <v>19965.77</v>
      </c>
      <c r="M61" s="23">
        <f t="shared" si="20"/>
        <v>110.92094444444444</v>
      </c>
      <c r="N61" s="23">
        <f t="shared" si="21"/>
        <v>1331.0513333333333</v>
      </c>
      <c r="O61" s="63">
        <f t="shared" si="22"/>
        <v>18191.03488888899</v>
      </c>
      <c r="P61" s="63">
        <f t="shared" si="23"/>
        <v>19522.086222222322</v>
      </c>
      <c r="Q61" s="23">
        <f t="shared" si="24"/>
        <v>1109.2094444443446</v>
      </c>
      <c r="R61" s="23">
        <f t="shared" si="25"/>
        <v>0</v>
      </c>
      <c r="S61" s="23">
        <f t="shared" si="26"/>
        <v>1331.0513333333333</v>
      </c>
      <c r="T61" s="25">
        <v>1</v>
      </c>
      <c r="U61" s="23">
        <f t="shared" si="27"/>
        <v>1331.0513333333333</v>
      </c>
      <c r="V61" s="25">
        <v>1</v>
      </c>
      <c r="W61" s="23">
        <f t="shared" si="28"/>
        <v>18191.03488888899</v>
      </c>
      <c r="X61" s="23">
        <f t="shared" si="29"/>
        <v>18191.03488888899</v>
      </c>
      <c r="Y61" s="64">
        <f t="shared" si="30"/>
        <v>1998.8333333333333</v>
      </c>
      <c r="Z61" s="22">
        <f t="shared" si="31"/>
        <v>2013.5</v>
      </c>
      <c r="AA61" s="64">
        <f t="shared" si="32"/>
        <v>2013.8333333333333</v>
      </c>
      <c r="AB61" s="22">
        <f t="shared" si="33"/>
        <v>2012.5</v>
      </c>
      <c r="AC61" s="22">
        <f t="shared" si="34"/>
        <v>-0.08333333333333333</v>
      </c>
    </row>
    <row r="62" spans="2:29" s="22" customFormat="1" ht="15.75">
      <c r="B62" s="95" t="s">
        <v>67</v>
      </c>
      <c r="C62" s="57">
        <v>7</v>
      </c>
      <c r="D62" s="57">
        <v>1997</v>
      </c>
      <c r="E62" s="99">
        <f>92656.42</f>
        <v>92656.42</v>
      </c>
      <c r="F62" s="59">
        <v>1</v>
      </c>
      <c r="G62" s="57">
        <v>100</v>
      </c>
      <c r="H62" s="22">
        <f t="shared" si="18"/>
        <v>2097</v>
      </c>
      <c r="I62" s="96"/>
      <c r="J62" s="96"/>
      <c r="K62" s="97">
        <v>0</v>
      </c>
      <c r="L62" s="23">
        <f t="shared" si="19"/>
        <v>0</v>
      </c>
      <c r="M62" s="23">
        <f t="shared" si="20"/>
        <v>0</v>
      </c>
      <c r="N62" s="23">
        <f t="shared" si="21"/>
        <v>0</v>
      </c>
      <c r="O62" s="63">
        <f t="shared" si="22"/>
        <v>0</v>
      </c>
      <c r="P62" s="63">
        <f t="shared" si="23"/>
        <v>0</v>
      </c>
      <c r="Q62" s="23">
        <f t="shared" si="24"/>
        <v>92656.42</v>
      </c>
      <c r="R62" s="23">
        <f t="shared" si="25"/>
        <v>0</v>
      </c>
      <c r="S62" s="23">
        <f t="shared" si="26"/>
        <v>0</v>
      </c>
      <c r="T62" s="25">
        <v>1</v>
      </c>
      <c r="U62" s="23">
        <f t="shared" si="27"/>
        <v>0</v>
      </c>
      <c r="V62" s="25">
        <v>1</v>
      </c>
      <c r="W62" s="23">
        <f t="shared" si="28"/>
        <v>0</v>
      </c>
      <c r="X62" s="23">
        <f t="shared" si="29"/>
        <v>0</v>
      </c>
      <c r="Y62" s="64">
        <f t="shared" si="30"/>
        <v>1997.5</v>
      </c>
      <c r="Z62" s="22">
        <f t="shared" si="31"/>
        <v>2013.5</v>
      </c>
      <c r="AA62" s="64">
        <f t="shared" si="32"/>
        <v>2097.5</v>
      </c>
      <c r="AB62" s="22">
        <f t="shared" si="33"/>
        <v>2012.5</v>
      </c>
      <c r="AC62" s="22">
        <f t="shared" si="34"/>
        <v>-0.08333333333333333</v>
      </c>
    </row>
    <row r="63" spans="2:29" s="22" customFormat="1" ht="15.75">
      <c r="B63" s="95" t="s">
        <v>68</v>
      </c>
      <c r="C63" s="57">
        <v>10</v>
      </c>
      <c r="D63" s="57">
        <v>2006</v>
      </c>
      <c r="E63" s="99">
        <f>40178.79</f>
        <v>40178.79</v>
      </c>
      <c r="F63" s="59">
        <v>0</v>
      </c>
      <c r="G63" s="57">
        <v>15</v>
      </c>
      <c r="H63" s="22">
        <f t="shared" si="18"/>
        <v>2021</v>
      </c>
      <c r="I63" s="96"/>
      <c r="J63" s="96"/>
      <c r="K63" s="97">
        <v>0</v>
      </c>
      <c r="L63" s="23">
        <f t="shared" si="19"/>
        <v>40178.79</v>
      </c>
      <c r="M63" s="23">
        <f t="shared" si="20"/>
        <v>223.21550000000002</v>
      </c>
      <c r="N63" s="23">
        <f t="shared" si="21"/>
        <v>2678.5860000000002</v>
      </c>
      <c r="O63" s="63">
        <f t="shared" si="22"/>
        <v>15401.8695</v>
      </c>
      <c r="P63" s="63">
        <f t="shared" si="23"/>
        <v>18080.4555</v>
      </c>
      <c r="Q63" s="23">
        <f t="shared" si="24"/>
        <v>23437.627500000002</v>
      </c>
      <c r="R63" s="23">
        <f t="shared" si="25"/>
        <v>0</v>
      </c>
      <c r="S63" s="23">
        <f t="shared" si="26"/>
        <v>2678.5860000000002</v>
      </c>
      <c r="T63" s="25">
        <v>1</v>
      </c>
      <c r="U63" s="23">
        <f t="shared" si="27"/>
        <v>2678.5860000000002</v>
      </c>
      <c r="V63" s="25">
        <v>1</v>
      </c>
      <c r="W63" s="23">
        <f t="shared" si="28"/>
        <v>15401.8695</v>
      </c>
      <c r="X63" s="23">
        <f t="shared" si="29"/>
        <v>15401.8695</v>
      </c>
      <c r="Y63" s="64">
        <f t="shared" si="30"/>
        <v>2006.75</v>
      </c>
      <c r="Z63" s="22">
        <f t="shared" si="31"/>
        <v>2013.5</v>
      </c>
      <c r="AA63" s="64">
        <f t="shared" si="32"/>
        <v>2021.75</v>
      </c>
      <c r="AB63" s="22">
        <f t="shared" si="33"/>
        <v>2012.5</v>
      </c>
      <c r="AC63" s="22">
        <f t="shared" si="34"/>
        <v>-0.08333333333333333</v>
      </c>
    </row>
    <row r="64" spans="2:29" s="22" customFormat="1" ht="15.75">
      <c r="B64" s="95" t="s">
        <v>69</v>
      </c>
      <c r="C64" s="57">
        <v>8</v>
      </c>
      <c r="D64" s="57">
        <v>2008</v>
      </c>
      <c r="E64" s="99">
        <f>33633.5</f>
        <v>33633.5</v>
      </c>
      <c r="F64" s="59">
        <v>1</v>
      </c>
      <c r="G64" s="57">
        <v>100</v>
      </c>
      <c r="H64" s="22">
        <f t="shared" si="18"/>
        <v>2108</v>
      </c>
      <c r="I64" s="96"/>
      <c r="J64" s="96"/>
      <c r="K64" s="97">
        <v>0</v>
      </c>
      <c r="L64" s="23">
        <f t="shared" si="19"/>
        <v>0</v>
      </c>
      <c r="M64" s="23">
        <f t="shared" si="20"/>
        <v>0</v>
      </c>
      <c r="N64" s="23">
        <f t="shared" si="21"/>
        <v>0</v>
      </c>
      <c r="O64" s="63">
        <f t="shared" si="22"/>
        <v>0</v>
      </c>
      <c r="P64" s="63">
        <f t="shared" si="23"/>
        <v>0</v>
      </c>
      <c r="Q64" s="23">
        <f t="shared" si="24"/>
        <v>33633.5</v>
      </c>
      <c r="R64" s="23">
        <f t="shared" si="25"/>
        <v>0</v>
      </c>
      <c r="S64" s="23">
        <f t="shared" si="26"/>
        <v>0</v>
      </c>
      <c r="T64" s="25">
        <v>1</v>
      </c>
      <c r="U64" s="23">
        <f t="shared" si="27"/>
        <v>0</v>
      </c>
      <c r="V64" s="25">
        <v>1</v>
      </c>
      <c r="W64" s="23">
        <f t="shared" si="28"/>
        <v>0</v>
      </c>
      <c r="X64" s="23">
        <f t="shared" si="29"/>
        <v>0</v>
      </c>
      <c r="Y64" s="64">
        <f t="shared" si="30"/>
        <v>2008.5833333333333</v>
      </c>
      <c r="Z64" s="22">
        <f t="shared" si="31"/>
        <v>2013.5</v>
      </c>
      <c r="AA64" s="64">
        <f t="shared" si="32"/>
        <v>2108.5833333333335</v>
      </c>
      <c r="AB64" s="22">
        <f t="shared" si="33"/>
        <v>2012.5</v>
      </c>
      <c r="AC64" s="22">
        <f t="shared" si="34"/>
        <v>-0.08333333333333333</v>
      </c>
    </row>
    <row r="65" spans="2:29" s="22" customFormat="1" ht="15.75">
      <c r="B65" s="95" t="s">
        <v>70</v>
      </c>
      <c r="C65" s="57">
        <v>9</v>
      </c>
      <c r="D65" s="57">
        <v>2011</v>
      </c>
      <c r="E65" s="99">
        <f>13971.92</f>
        <v>13971.92</v>
      </c>
      <c r="F65" s="59">
        <v>0</v>
      </c>
      <c r="G65" s="57">
        <v>15</v>
      </c>
      <c r="H65" s="22">
        <f t="shared" si="18"/>
        <v>2026</v>
      </c>
      <c r="I65" s="96"/>
      <c r="J65" s="96"/>
      <c r="K65" s="97">
        <v>0</v>
      </c>
      <c r="L65" s="23">
        <f t="shared" si="19"/>
        <v>13971.92</v>
      </c>
      <c r="M65" s="23">
        <f t="shared" si="20"/>
        <v>77.62177777777778</v>
      </c>
      <c r="N65" s="23">
        <f t="shared" si="21"/>
        <v>931.4613333333334</v>
      </c>
      <c r="O65" s="63">
        <f t="shared" si="22"/>
        <v>776.2177777777072</v>
      </c>
      <c r="P65" s="63">
        <f t="shared" si="23"/>
        <v>1707.6791111110406</v>
      </c>
      <c r="Q65" s="23">
        <f t="shared" si="24"/>
        <v>12729.971555555625</v>
      </c>
      <c r="R65" s="23">
        <f t="shared" si="25"/>
        <v>0</v>
      </c>
      <c r="S65" s="23">
        <f t="shared" si="26"/>
        <v>931.4613333333334</v>
      </c>
      <c r="T65" s="25">
        <v>1</v>
      </c>
      <c r="U65" s="23">
        <f t="shared" si="27"/>
        <v>931.4613333333334</v>
      </c>
      <c r="V65" s="25">
        <v>1</v>
      </c>
      <c r="W65" s="23">
        <f t="shared" si="28"/>
        <v>776.2177777777072</v>
      </c>
      <c r="X65" s="23">
        <f t="shared" si="29"/>
        <v>776.2177777777072</v>
      </c>
      <c r="Y65" s="64">
        <f t="shared" si="30"/>
        <v>2011.6666666666667</v>
      </c>
      <c r="Z65" s="22">
        <f t="shared" si="31"/>
        <v>2013.5</v>
      </c>
      <c r="AA65" s="64">
        <f t="shared" si="32"/>
        <v>2026.6666666666667</v>
      </c>
      <c r="AB65" s="22">
        <f t="shared" si="33"/>
        <v>2012.5</v>
      </c>
      <c r="AC65" s="22">
        <f t="shared" si="34"/>
        <v>-0.08333333333333333</v>
      </c>
    </row>
    <row r="66" spans="2:29" s="22" customFormat="1" ht="15.75">
      <c r="B66" s="95" t="s">
        <v>71</v>
      </c>
      <c r="C66" s="57">
        <v>9</v>
      </c>
      <c r="D66" s="57">
        <v>2011</v>
      </c>
      <c r="E66" s="99">
        <f>33431.85</f>
        <v>33431.85</v>
      </c>
      <c r="F66" s="59">
        <v>0</v>
      </c>
      <c r="G66" s="57">
        <v>15</v>
      </c>
      <c r="H66" s="22">
        <f t="shared" si="18"/>
        <v>2026</v>
      </c>
      <c r="I66" s="96"/>
      <c r="J66" s="96"/>
      <c r="K66" s="97">
        <v>0</v>
      </c>
      <c r="L66" s="23">
        <f t="shared" si="19"/>
        <v>33431.85</v>
      </c>
      <c r="M66" s="23">
        <f t="shared" si="20"/>
        <v>185.7325</v>
      </c>
      <c r="N66" s="23">
        <f t="shared" si="21"/>
        <v>2228.79</v>
      </c>
      <c r="O66" s="63">
        <f t="shared" si="22"/>
        <v>1857.3249999998309</v>
      </c>
      <c r="P66" s="63">
        <f t="shared" si="23"/>
        <v>4086.1149999998306</v>
      </c>
      <c r="Q66" s="23">
        <f t="shared" si="24"/>
        <v>30460.13000000017</v>
      </c>
      <c r="R66" s="23">
        <f t="shared" si="25"/>
        <v>0</v>
      </c>
      <c r="S66" s="23">
        <f t="shared" si="26"/>
        <v>2228.79</v>
      </c>
      <c r="T66" s="25">
        <v>1</v>
      </c>
      <c r="U66" s="23">
        <f t="shared" si="27"/>
        <v>2228.79</v>
      </c>
      <c r="V66" s="25">
        <v>1</v>
      </c>
      <c r="W66" s="23">
        <f t="shared" si="28"/>
        <v>1857.3249999998309</v>
      </c>
      <c r="X66" s="23">
        <f t="shared" si="29"/>
        <v>1857.3249999998309</v>
      </c>
      <c r="Y66" s="64">
        <f t="shared" si="30"/>
        <v>2011.6666666666667</v>
      </c>
      <c r="Z66" s="22">
        <f t="shared" si="31"/>
        <v>2013.5</v>
      </c>
      <c r="AA66" s="64">
        <f t="shared" si="32"/>
        <v>2026.6666666666667</v>
      </c>
      <c r="AB66" s="22">
        <f t="shared" si="33"/>
        <v>2012.5</v>
      </c>
      <c r="AC66" s="22">
        <f t="shared" si="34"/>
        <v>-0.08333333333333333</v>
      </c>
    </row>
    <row r="67" spans="2:29" s="87" customFormat="1" ht="15.75">
      <c r="B67" s="214" t="s">
        <v>265</v>
      </c>
      <c r="C67" s="215"/>
      <c r="D67" s="215">
        <v>2013</v>
      </c>
      <c r="E67" s="238">
        <f>+'Boneyard Imp'!J107+222821</f>
        <v>268060.08</v>
      </c>
      <c r="F67" s="216">
        <v>0</v>
      </c>
      <c r="G67" s="215">
        <v>15</v>
      </c>
      <c r="H67" s="87">
        <f t="shared" si="18"/>
        <v>2028</v>
      </c>
      <c r="I67" s="217"/>
      <c r="J67" s="217"/>
      <c r="K67" s="218">
        <v>0</v>
      </c>
      <c r="L67" s="210">
        <f>E67-E67*F67</f>
        <v>268060.08</v>
      </c>
      <c r="M67" s="210">
        <f>L67/G67/12</f>
        <v>1489.2226666666668</v>
      </c>
      <c r="N67" s="282">
        <f>M67*12</f>
        <v>17870.672000000002</v>
      </c>
      <c r="O67" s="211">
        <f>IF(Y67&gt;Z67,0,IF(AA67&lt;AB67,L67,IF(AND(AA67&gt;=AB67,AA67&lt;=Z67),(L67-S67),IF(AND(AB67&lt;=Y67,Z67&gt;=Y67),0,IF(AA67&gt;Z67,((AB67-Y67)*12)*M67,0)))))</f>
        <v>0</v>
      </c>
      <c r="P67" s="211">
        <f>IF(K67&gt;0,0,X67+U67*V67)*V67</f>
        <v>17870.672000000002</v>
      </c>
      <c r="Q67" s="210">
        <f>IF(K67&gt;0,(E67-X67)/2,IF(Y67&gt;=AB67,(((E67*T67)*V67)-P67)/2,((((E67*T67)*V67)-X67)+(((E67*T67)*V67)-P67))/2))+E67/2</f>
        <v>259124.744</v>
      </c>
      <c r="R67" s="210">
        <f>IF(K67=0,0,IF(AND(AC67&gt;=AB67,AC67&lt;=AA67),((AC67-AB67)*12)*M67,0))</f>
        <v>0</v>
      </c>
      <c r="S67" s="210">
        <f>IF(R67&gt;0,R67,N67)</f>
        <v>17870.672000000002</v>
      </c>
      <c r="T67" s="212">
        <v>1</v>
      </c>
      <c r="U67" s="210">
        <f>T67*(N67+R67)</f>
        <v>17870.672000000002</v>
      </c>
      <c r="V67" s="212">
        <v>1</v>
      </c>
      <c r="W67" s="210">
        <f>O67*T67</f>
        <v>0</v>
      </c>
      <c r="X67" s="210">
        <f>W67*V67</f>
        <v>0</v>
      </c>
      <c r="Y67" s="213">
        <f t="shared" si="30"/>
        <v>2012.9166666666667</v>
      </c>
      <c r="Z67" s="87">
        <f t="shared" si="31"/>
        <v>2013.5</v>
      </c>
      <c r="AA67" s="213">
        <f t="shared" si="32"/>
        <v>2027.9166666666667</v>
      </c>
      <c r="AB67" s="87">
        <f t="shared" si="33"/>
        <v>2012.5</v>
      </c>
      <c r="AC67" s="87">
        <f t="shared" si="34"/>
        <v>-0.08333333333333333</v>
      </c>
    </row>
    <row r="68" spans="2:27" ht="16.5" thickBot="1">
      <c r="B68" s="100"/>
      <c r="C68" s="101"/>
      <c r="D68" s="101"/>
      <c r="E68" s="102"/>
      <c r="F68" s="103"/>
      <c r="G68" s="101"/>
      <c r="Y68" s="75"/>
      <c r="AA68" s="75"/>
    </row>
    <row r="69" spans="2:29" s="106" customFormat="1" ht="16.5" thickBot="1">
      <c r="B69" s="104" t="s">
        <v>139</v>
      </c>
      <c r="C69" s="80"/>
      <c r="D69" s="80"/>
      <c r="E69" s="83">
        <f>SUM(E59:E67)</f>
        <v>929503.81</v>
      </c>
      <c r="F69" s="105"/>
      <c r="G69" s="80"/>
      <c r="H69" s="80"/>
      <c r="I69" s="80"/>
      <c r="J69" s="80"/>
      <c r="K69" s="83"/>
      <c r="L69" s="83">
        <f aca="true" t="shared" si="35" ref="L69:Q69">SUM(L59:L67)</f>
        <v>803213.8899999999</v>
      </c>
      <c r="M69" s="83">
        <f t="shared" si="35"/>
        <v>3022.98314957265</v>
      </c>
      <c r="N69" s="83">
        <f t="shared" si="35"/>
        <v>36275.797794871796</v>
      </c>
      <c r="O69" s="83">
        <f t="shared" si="35"/>
        <v>90968.48491025629</v>
      </c>
      <c r="P69" s="83">
        <f t="shared" si="35"/>
        <v>127244.28270512806</v>
      </c>
      <c r="Q69" s="83">
        <f t="shared" si="35"/>
        <v>820397.4261923078</v>
      </c>
      <c r="R69" s="83">
        <f>SUM(R59:R66)</f>
        <v>0</v>
      </c>
      <c r="S69" s="83">
        <f>SUM(S59:S66)</f>
        <v>18405.125794871794</v>
      </c>
      <c r="T69" s="84"/>
      <c r="U69" s="83"/>
      <c r="V69" s="84"/>
      <c r="W69" s="83"/>
      <c r="X69" s="83"/>
      <c r="Y69" s="85"/>
      <c r="Z69" s="80"/>
      <c r="AA69" s="85"/>
      <c r="AB69" s="80"/>
      <c r="AC69" s="86"/>
    </row>
    <row r="70" spans="2:29" s="106" customFormat="1" ht="16.5" thickBot="1">
      <c r="B70" s="227"/>
      <c r="C70" s="228"/>
      <c r="D70" s="228"/>
      <c r="E70" s="226"/>
      <c r="F70" s="229"/>
      <c r="G70" s="228"/>
      <c r="H70" s="228"/>
      <c r="I70" s="234">
        <v>0.5</v>
      </c>
      <c r="J70" s="235" t="s">
        <v>279</v>
      </c>
      <c r="K70" s="236"/>
      <c r="L70" s="236"/>
      <c r="M70" s="236"/>
      <c r="N70" s="237">
        <f>+I70*N59</f>
        <v>5397.4358974358975</v>
      </c>
      <c r="O70" s="236"/>
      <c r="P70" s="236"/>
      <c r="Q70" s="236">
        <f>+Q59*I70</f>
        <v>183512.8205128205</v>
      </c>
      <c r="R70" s="226"/>
      <c r="S70" s="226"/>
      <c r="T70" s="230"/>
      <c r="U70" s="226"/>
      <c r="V70" s="230"/>
      <c r="W70" s="226"/>
      <c r="X70" s="226"/>
      <c r="Y70" s="231"/>
      <c r="Z70" s="228"/>
      <c r="AA70" s="231"/>
      <c r="AB70" s="228"/>
      <c r="AC70" s="228"/>
    </row>
    <row r="71" spans="2:29" s="106" customFormat="1" ht="16.5" thickBot="1">
      <c r="B71" s="227"/>
      <c r="C71" s="228"/>
      <c r="D71" s="228"/>
      <c r="E71" s="226"/>
      <c r="F71" s="229"/>
      <c r="G71" s="228"/>
      <c r="H71" s="228"/>
      <c r="I71" s="253">
        <f>I57</f>
        <v>0.2336099293317563</v>
      </c>
      <c r="J71" s="235" t="s">
        <v>280</v>
      </c>
      <c r="K71" s="236"/>
      <c r="L71" s="236"/>
      <c r="M71" s="236"/>
      <c r="N71" s="237">
        <f>SUM(N60:N67)*I71</f>
        <v>5952.597322167713</v>
      </c>
      <c r="O71" s="236"/>
      <c r="P71" s="236"/>
      <c r="Q71" s="237">
        <f>SUM(Q60:Q67)*I71</f>
        <v>105912.15069379724</v>
      </c>
      <c r="R71" s="226"/>
      <c r="S71" s="226"/>
      <c r="T71" s="230"/>
      <c r="U71" s="226"/>
      <c r="V71" s="230"/>
      <c r="W71" s="226"/>
      <c r="X71" s="226"/>
      <c r="Y71" s="231"/>
      <c r="Z71" s="228"/>
      <c r="AA71" s="231"/>
      <c r="AB71" s="228"/>
      <c r="AC71" s="228"/>
    </row>
    <row r="72" spans="2:27" ht="16.5" thickBot="1">
      <c r="B72" s="107"/>
      <c r="C72" s="101"/>
      <c r="D72" s="101"/>
      <c r="E72" s="102"/>
      <c r="F72" s="103"/>
      <c r="G72" s="101"/>
      <c r="I72" s="108"/>
      <c r="J72" s="90"/>
      <c r="K72" s="109"/>
      <c r="L72" s="109"/>
      <c r="M72" s="109"/>
      <c r="N72" s="232">
        <f>SUM(N70:N71)</f>
        <v>11350.03321960361</v>
      </c>
      <c r="O72" s="83"/>
      <c r="P72" s="83"/>
      <c r="Q72" s="233">
        <f>SUM(Q70:Q71)</f>
        <v>289424.9712066178</v>
      </c>
      <c r="R72" s="102"/>
      <c r="S72" s="102"/>
      <c r="T72" s="110"/>
      <c r="U72" s="102"/>
      <c r="V72" s="110"/>
      <c r="W72" s="102"/>
      <c r="X72" s="102"/>
      <c r="Y72" s="75"/>
      <c r="AA72" s="75"/>
    </row>
    <row r="73" spans="2:27" ht="15.75">
      <c r="B73" s="107"/>
      <c r="C73" s="101"/>
      <c r="D73" s="101"/>
      <c r="E73" s="102"/>
      <c r="F73" s="103"/>
      <c r="G73" s="101"/>
      <c r="I73" s="229"/>
      <c r="J73" s="223"/>
      <c r="K73" s="224"/>
      <c r="L73" s="224"/>
      <c r="M73" s="224"/>
      <c r="N73" s="225"/>
      <c r="O73" s="226"/>
      <c r="P73" s="226"/>
      <c r="Q73" s="225"/>
      <c r="R73" s="102"/>
      <c r="S73" s="102"/>
      <c r="T73" s="110"/>
      <c r="U73" s="102"/>
      <c r="V73" s="110"/>
      <c r="W73" s="102"/>
      <c r="X73" s="102"/>
      <c r="Y73" s="75"/>
      <c r="AA73" s="75"/>
    </row>
    <row r="74" ht="17.25" customHeight="1">
      <c r="B74" s="52" t="s">
        <v>140</v>
      </c>
    </row>
    <row r="75" spans="2:29" s="22" customFormat="1" ht="15.75">
      <c r="B75" s="95" t="s">
        <v>17</v>
      </c>
      <c r="C75" s="57">
        <v>12</v>
      </c>
      <c r="D75" s="57">
        <v>2007</v>
      </c>
      <c r="E75" s="58">
        <v>752.63</v>
      </c>
      <c r="F75" s="59">
        <v>0</v>
      </c>
      <c r="G75" s="57">
        <v>39</v>
      </c>
      <c r="H75" s="22">
        <f>D75+G75</f>
        <v>2046</v>
      </c>
      <c r="I75" s="96"/>
      <c r="J75" s="96"/>
      <c r="K75" s="97">
        <v>0</v>
      </c>
      <c r="L75" s="23">
        <f>E75-E75*F75</f>
        <v>752.63</v>
      </c>
      <c r="M75" s="23">
        <f>L75/G75/12</f>
        <v>1.6081837606837608</v>
      </c>
      <c r="N75" s="23">
        <f aca="true" t="shared" si="36" ref="N75:N103">IF(K75&gt;0,0,IF(OR(Y75&gt;Z75,AA75&lt;AB75),0,IF(AND(AA75&gt;=AB75,AA75&lt;=Z75),M75*((AA75-AB75)*12),IF(AND(AB75&lt;=Y75,Z75&gt;=Y75),((Z75-Y75)*12)*M75,IF(AA75&gt;Z75,12*M75,0)))))</f>
        <v>19.29820512820513</v>
      </c>
      <c r="O75" s="63">
        <f aca="true" t="shared" si="37" ref="O75:O103">IF(Y75&gt;Z75,0,IF(AA75&lt;AB75,L75,IF(AND(AA75&gt;=AB75,AA75&lt;=Z75),(L75-S75),IF(AND(AB75&lt;=Y75,Z75&gt;=Y75),0,IF(AA75&gt;Z75,((AB75-Y75)*12)*M75,0)))))</f>
        <v>88.45010683760538</v>
      </c>
      <c r="P75" s="63">
        <f aca="true" t="shared" si="38" ref="P75:P103">IF(K75&gt;0,0,X75+U75*V75)*V75</f>
        <v>107.7483119658105</v>
      </c>
      <c r="Q75" s="23">
        <f aca="true" t="shared" si="39" ref="Q75:Q103">IF(K75&gt;0,(E75-X75)/2,IF(Y75&gt;=AB75,(((E75*T75)*V75)-P75)/2,((((E75*T75)*V75)-X75)+(((E75*T75)*V75)-P75))/2))</f>
        <v>654.530790598292</v>
      </c>
      <c r="R75" s="23">
        <f aca="true" t="shared" si="40" ref="R75:R103">IF(K75=0,0,IF(AND(AC75&gt;=AB75,AC75&lt;=AA75),((AC75-AB75)*12)*M75,0))</f>
        <v>0</v>
      </c>
      <c r="S75" s="23">
        <f aca="true" t="shared" si="41" ref="S75:S103">IF(R75&gt;0,R75,N75)</f>
        <v>19.29820512820513</v>
      </c>
      <c r="T75" s="25">
        <v>1</v>
      </c>
      <c r="U75" s="23">
        <f aca="true" t="shared" si="42" ref="U75:U103">T75*(N75+R75)</f>
        <v>19.29820512820513</v>
      </c>
      <c r="V75" s="25">
        <v>1</v>
      </c>
      <c r="W75" s="23">
        <f aca="true" t="shared" si="43" ref="W75:W103">O75*T75</f>
        <v>88.45010683760538</v>
      </c>
      <c r="X75" s="23">
        <f>W75*V75</f>
        <v>88.45010683760538</v>
      </c>
      <c r="Y75" s="64">
        <f>(+$D75+(($C75-1)/12))</f>
        <v>2007.9166666666667</v>
      </c>
      <c r="Z75" s="22">
        <f>($G$7+1)-($D$7/12)</f>
        <v>2013.5</v>
      </c>
      <c r="AA75" s="64">
        <f>$H75+(($C75-1)/12)</f>
        <v>2046.9166666666667</v>
      </c>
      <c r="AB75" s="22">
        <f>$E$7+($F$7/12)</f>
        <v>2012.5</v>
      </c>
      <c r="AC75" s="22">
        <f>$J75+(($I75-1)/12)</f>
        <v>-0.08333333333333333</v>
      </c>
    </row>
    <row r="76" spans="2:29" s="22" customFormat="1" ht="15.75">
      <c r="B76" s="95" t="s">
        <v>18</v>
      </c>
      <c r="C76" s="57">
        <v>12</v>
      </c>
      <c r="D76" s="57">
        <v>2007</v>
      </c>
      <c r="E76" s="58">
        <v>1310.44</v>
      </c>
      <c r="F76" s="59">
        <v>0</v>
      </c>
      <c r="G76" s="57">
        <v>15</v>
      </c>
      <c r="H76" s="22">
        <f aca="true" t="shared" si="44" ref="H76:H128">D76+G76</f>
        <v>2022</v>
      </c>
      <c r="I76" s="96"/>
      <c r="J76" s="96"/>
      <c r="K76" s="97">
        <v>0</v>
      </c>
      <c r="L76" s="23">
        <f aca="true" t="shared" si="45" ref="L76:L128">E76-E76*F76</f>
        <v>1310.44</v>
      </c>
      <c r="M76" s="23">
        <f aca="true" t="shared" si="46" ref="M76:M128">L76/G76/12</f>
        <v>7.280222222222222</v>
      </c>
      <c r="N76" s="23">
        <f t="shared" si="36"/>
        <v>87.36266666666667</v>
      </c>
      <c r="O76" s="63">
        <f t="shared" si="37"/>
        <v>400.4122222222156</v>
      </c>
      <c r="P76" s="63">
        <f t="shared" si="38"/>
        <v>487.77488888888223</v>
      </c>
      <c r="Q76" s="23">
        <f t="shared" si="39"/>
        <v>866.3464444444511</v>
      </c>
      <c r="R76" s="23">
        <f t="shared" si="40"/>
        <v>0</v>
      </c>
      <c r="S76" s="23">
        <f t="shared" si="41"/>
        <v>87.36266666666667</v>
      </c>
      <c r="T76" s="25">
        <v>1</v>
      </c>
      <c r="U76" s="23">
        <f t="shared" si="42"/>
        <v>87.36266666666667</v>
      </c>
      <c r="V76" s="25">
        <v>1</v>
      </c>
      <c r="W76" s="23">
        <f t="shared" si="43"/>
        <v>400.4122222222156</v>
      </c>
      <c r="X76" s="23">
        <f aca="true" t="shared" si="47" ref="X76:X128">W76*V76</f>
        <v>400.4122222222156</v>
      </c>
      <c r="Y76" s="64">
        <f aca="true" t="shared" si="48" ref="Y76:Y128">(+$D76+(($C76-1)/12))</f>
        <v>2007.9166666666667</v>
      </c>
      <c r="Z76" s="22">
        <f aca="true" t="shared" si="49" ref="Z76:Z128">($G$7+1)-($D$7/12)</f>
        <v>2013.5</v>
      </c>
      <c r="AA76" s="64">
        <f aca="true" t="shared" si="50" ref="AA76:AA128">$H76+(($C76-1)/12)</f>
        <v>2022.9166666666667</v>
      </c>
      <c r="AB76" s="22">
        <f aca="true" t="shared" si="51" ref="AB76:AB128">$E$7+($F$7/12)</f>
        <v>2012.5</v>
      </c>
      <c r="AC76" s="22">
        <f aca="true" t="shared" si="52" ref="AC76:AC128">$J76+(($I76-1)/12)</f>
        <v>-0.08333333333333333</v>
      </c>
    </row>
    <row r="77" spans="2:29" s="22" customFormat="1" ht="15.75">
      <c r="B77" s="95" t="s">
        <v>19</v>
      </c>
      <c r="C77" s="57">
        <v>11</v>
      </c>
      <c r="D77" s="57">
        <v>2007</v>
      </c>
      <c r="E77" s="58">
        <v>1537.67</v>
      </c>
      <c r="F77" s="59">
        <v>0</v>
      </c>
      <c r="G77" s="57">
        <v>15</v>
      </c>
      <c r="H77" s="22">
        <f t="shared" si="44"/>
        <v>2022</v>
      </c>
      <c r="I77" s="96"/>
      <c r="J77" s="96"/>
      <c r="K77" s="97">
        <v>0</v>
      </c>
      <c r="L77" s="23">
        <f t="shared" si="45"/>
        <v>1537.67</v>
      </c>
      <c r="M77" s="23">
        <f t="shared" si="46"/>
        <v>8.542611111111112</v>
      </c>
      <c r="N77" s="23">
        <f t="shared" si="36"/>
        <v>102.51133333333334</v>
      </c>
      <c r="O77" s="63">
        <f t="shared" si="37"/>
        <v>478.38622222223006</v>
      </c>
      <c r="P77" s="63">
        <f t="shared" si="38"/>
        <v>580.8975555555634</v>
      </c>
      <c r="Q77" s="23">
        <f t="shared" si="39"/>
        <v>1008.0281111111033</v>
      </c>
      <c r="R77" s="23">
        <f t="shared" si="40"/>
        <v>0</v>
      </c>
      <c r="S77" s="23">
        <f t="shared" si="41"/>
        <v>102.51133333333334</v>
      </c>
      <c r="T77" s="25">
        <v>1</v>
      </c>
      <c r="U77" s="23">
        <f t="shared" si="42"/>
        <v>102.51133333333334</v>
      </c>
      <c r="V77" s="25">
        <v>1</v>
      </c>
      <c r="W77" s="23">
        <f t="shared" si="43"/>
        <v>478.38622222223006</v>
      </c>
      <c r="X77" s="23">
        <f t="shared" si="47"/>
        <v>478.38622222223006</v>
      </c>
      <c r="Y77" s="64">
        <f t="shared" si="48"/>
        <v>2007.8333333333333</v>
      </c>
      <c r="Z77" s="22">
        <f t="shared" si="49"/>
        <v>2013.5</v>
      </c>
      <c r="AA77" s="64">
        <f t="shared" si="50"/>
        <v>2022.8333333333333</v>
      </c>
      <c r="AB77" s="22">
        <f t="shared" si="51"/>
        <v>2012.5</v>
      </c>
      <c r="AC77" s="22">
        <f t="shared" si="52"/>
        <v>-0.08333333333333333</v>
      </c>
    </row>
    <row r="78" spans="2:29" s="22" customFormat="1" ht="15.75">
      <c r="B78" s="95" t="s">
        <v>76</v>
      </c>
      <c r="C78" s="57">
        <v>8</v>
      </c>
      <c r="D78" s="57">
        <v>2007</v>
      </c>
      <c r="E78" s="58">
        <v>3506.7</v>
      </c>
      <c r="F78" s="59">
        <v>0</v>
      </c>
      <c r="G78" s="57">
        <v>15</v>
      </c>
      <c r="H78" s="22">
        <f t="shared" si="44"/>
        <v>2022</v>
      </c>
      <c r="I78" s="96"/>
      <c r="J78" s="96"/>
      <c r="K78" s="97">
        <v>0</v>
      </c>
      <c r="L78" s="23">
        <f t="shared" si="45"/>
        <v>3506.7</v>
      </c>
      <c r="M78" s="23">
        <f t="shared" si="46"/>
        <v>19.481666666666666</v>
      </c>
      <c r="N78" s="23">
        <f t="shared" si="36"/>
        <v>233.77999999999997</v>
      </c>
      <c r="O78" s="63">
        <f t="shared" si="37"/>
        <v>1149.418333333351</v>
      </c>
      <c r="P78" s="63">
        <f t="shared" si="38"/>
        <v>1383.198333333351</v>
      </c>
      <c r="Q78" s="23">
        <f t="shared" si="39"/>
        <v>2240.3916666666487</v>
      </c>
      <c r="R78" s="23">
        <f t="shared" si="40"/>
        <v>0</v>
      </c>
      <c r="S78" s="23">
        <f t="shared" si="41"/>
        <v>233.77999999999997</v>
      </c>
      <c r="T78" s="25">
        <v>1</v>
      </c>
      <c r="U78" s="23">
        <f t="shared" si="42"/>
        <v>233.77999999999997</v>
      </c>
      <c r="V78" s="25">
        <v>1</v>
      </c>
      <c r="W78" s="23">
        <f t="shared" si="43"/>
        <v>1149.418333333351</v>
      </c>
      <c r="X78" s="23">
        <f t="shared" si="47"/>
        <v>1149.418333333351</v>
      </c>
      <c r="Y78" s="64">
        <f t="shared" si="48"/>
        <v>2007.5833333333333</v>
      </c>
      <c r="Z78" s="22">
        <f t="shared" si="49"/>
        <v>2013.5</v>
      </c>
      <c r="AA78" s="64">
        <f t="shared" si="50"/>
        <v>2022.5833333333333</v>
      </c>
      <c r="AB78" s="22">
        <f t="shared" si="51"/>
        <v>2012.5</v>
      </c>
      <c r="AC78" s="22">
        <f t="shared" si="52"/>
        <v>-0.08333333333333333</v>
      </c>
    </row>
    <row r="79" spans="2:29" s="22" customFormat="1" ht="15.75">
      <c r="B79" s="95" t="s">
        <v>17</v>
      </c>
      <c r="C79" s="57">
        <v>1</v>
      </c>
      <c r="D79" s="57">
        <v>2006</v>
      </c>
      <c r="E79" s="58">
        <v>2316.92</v>
      </c>
      <c r="F79" s="59">
        <v>0</v>
      </c>
      <c r="G79" s="57">
        <v>39</v>
      </c>
      <c r="H79" s="22">
        <f t="shared" si="44"/>
        <v>2045</v>
      </c>
      <c r="I79" s="96"/>
      <c r="J79" s="96"/>
      <c r="K79" s="97">
        <v>0</v>
      </c>
      <c r="L79" s="23">
        <f t="shared" si="45"/>
        <v>2316.92</v>
      </c>
      <c r="M79" s="23">
        <f t="shared" si="46"/>
        <v>4.950683760683761</v>
      </c>
      <c r="N79" s="23">
        <f t="shared" si="36"/>
        <v>59.40820512820513</v>
      </c>
      <c r="O79" s="63">
        <f t="shared" si="37"/>
        <v>386.15333333333336</v>
      </c>
      <c r="P79" s="63">
        <f t="shared" si="38"/>
        <v>445.5615384615385</v>
      </c>
      <c r="Q79" s="23">
        <f t="shared" si="39"/>
        <v>1901.062564102564</v>
      </c>
      <c r="R79" s="23">
        <f t="shared" si="40"/>
        <v>0</v>
      </c>
      <c r="S79" s="23">
        <f t="shared" si="41"/>
        <v>59.40820512820513</v>
      </c>
      <c r="T79" s="25">
        <v>1</v>
      </c>
      <c r="U79" s="23">
        <f t="shared" si="42"/>
        <v>59.40820512820513</v>
      </c>
      <c r="V79" s="25">
        <v>1</v>
      </c>
      <c r="W79" s="23">
        <f t="shared" si="43"/>
        <v>386.15333333333336</v>
      </c>
      <c r="X79" s="23">
        <f t="shared" si="47"/>
        <v>386.15333333333336</v>
      </c>
      <c r="Y79" s="64">
        <f t="shared" si="48"/>
        <v>2006</v>
      </c>
      <c r="Z79" s="22">
        <f t="shared" si="49"/>
        <v>2013.5</v>
      </c>
      <c r="AA79" s="64">
        <f t="shared" si="50"/>
        <v>2045</v>
      </c>
      <c r="AB79" s="22">
        <f t="shared" si="51"/>
        <v>2012.5</v>
      </c>
      <c r="AC79" s="22">
        <f t="shared" si="52"/>
        <v>-0.08333333333333333</v>
      </c>
    </row>
    <row r="80" spans="2:29" s="22" customFormat="1" ht="15.75">
      <c r="B80" s="95" t="s">
        <v>17</v>
      </c>
      <c r="C80" s="57">
        <v>2</v>
      </c>
      <c r="D80" s="57">
        <v>2007</v>
      </c>
      <c r="E80" s="58">
        <v>1349.53</v>
      </c>
      <c r="F80" s="59">
        <v>0</v>
      </c>
      <c r="G80" s="57">
        <v>39</v>
      </c>
      <c r="H80" s="22">
        <f t="shared" si="44"/>
        <v>2046</v>
      </c>
      <c r="I80" s="96"/>
      <c r="J80" s="96"/>
      <c r="K80" s="97">
        <v>0</v>
      </c>
      <c r="L80" s="23">
        <f t="shared" si="45"/>
        <v>1349.53</v>
      </c>
      <c r="M80" s="23">
        <f t="shared" si="46"/>
        <v>2.883611111111111</v>
      </c>
      <c r="N80" s="23">
        <f t="shared" si="36"/>
        <v>34.60333333333333</v>
      </c>
      <c r="O80" s="63">
        <f t="shared" si="37"/>
        <v>187.43472222222485</v>
      </c>
      <c r="P80" s="63">
        <f t="shared" si="38"/>
        <v>222.03805555555817</v>
      </c>
      <c r="Q80" s="23">
        <f t="shared" si="39"/>
        <v>1144.7936111111085</v>
      </c>
      <c r="R80" s="23">
        <f t="shared" si="40"/>
        <v>0</v>
      </c>
      <c r="S80" s="23">
        <f t="shared" si="41"/>
        <v>34.60333333333333</v>
      </c>
      <c r="T80" s="25">
        <v>1</v>
      </c>
      <c r="U80" s="23">
        <f t="shared" si="42"/>
        <v>34.60333333333333</v>
      </c>
      <c r="V80" s="25">
        <v>1</v>
      </c>
      <c r="W80" s="23">
        <f t="shared" si="43"/>
        <v>187.43472222222485</v>
      </c>
      <c r="X80" s="23">
        <f t="shared" si="47"/>
        <v>187.43472222222485</v>
      </c>
      <c r="Y80" s="64">
        <f t="shared" si="48"/>
        <v>2007.0833333333333</v>
      </c>
      <c r="Z80" s="22">
        <f t="shared" si="49"/>
        <v>2013.5</v>
      </c>
      <c r="AA80" s="64">
        <f t="shared" si="50"/>
        <v>2046.0833333333333</v>
      </c>
      <c r="AB80" s="22">
        <f t="shared" si="51"/>
        <v>2012.5</v>
      </c>
      <c r="AC80" s="22">
        <f t="shared" si="52"/>
        <v>-0.08333333333333333</v>
      </c>
    </row>
    <row r="81" spans="2:29" s="22" customFormat="1" ht="15.75">
      <c r="B81" s="95" t="s">
        <v>17</v>
      </c>
      <c r="C81" s="57">
        <v>3</v>
      </c>
      <c r="D81" s="57">
        <v>2007</v>
      </c>
      <c r="E81" s="58">
        <v>476.05</v>
      </c>
      <c r="F81" s="59">
        <v>0</v>
      </c>
      <c r="G81" s="57">
        <v>39</v>
      </c>
      <c r="H81" s="22">
        <f t="shared" si="44"/>
        <v>2046</v>
      </c>
      <c r="I81" s="96"/>
      <c r="J81" s="96"/>
      <c r="K81" s="97">
        <v>0</v>
      </c>
      <c r="L81" s="23">
        <f t="shared" si="45"/>
        <v>476.05</v>
      </c>
      <c r="M81" s="23">
        <f t="shared" si="46"/>
        <v>1.0172008547008546</v>
      </c>
      <c r="N81" s="23">
        <f t="shared" si="36"/>
        <v>12.206410256410255</v>
      </c>
      <c r="O81" s="63">
        <f t="shared" si="37"/>
        <v>65.10085470085377</v>
      </c>
      <c r="P81" s="63">
        <f t="shared" si="38"/>
        <v>77.30726495726402</v>
      </c>
      <c r="Q81" s="23">
        <f t="shared" si="39"/>
        <v>404.84594017094116</v>
      </c>
      <c r="R81" s="23">
        <f t="shared" si="40"/>
        <v>0</v>
      </c>
      <c r="S81" s="23">
        <f t="shared" si="41"/>
        <v>12.206410256410255</v>
      </c>
      <c r="T81" s="25">
        <v>1</v>
      </c>
      <c r="U81" s="23">
        <f t="shared" si="42"/>
        <v>12.206410256410255</v>
      </c>
      <c r="V81" s="25">
        <v>1</v>
      </c>
      <c r="W81" s="23">
        <f t="shared" si="43"/>
        <v>65.10085470085377</v>
      </c>
      <c r="X81" s="23">
        <f t="shared" si="47"/>
        <v>65.10085470085377</v>
      </c>
      <c r="Y81" s="64">
        <f t="shared" si="48"/>
        <v>2007.1666666666667</v>
      </c>
      <c r="Z81" s="22">
        <f t="shared" si="49"/>
        <v>2013.5</v>
      </c>
      <c r="AA81" s="64">
        <f t="shared" si="50"/>
        <v>2046.1666666666667</v>
      </c>
      <c r="AB81" s="22">
        <f t="shared" si="51"/>
        <v>2012.5</v>
      </c>
      <c r="AC81" s="22">
        <f t="shared" si="52"/>
        <v>-0.08333333333333333</v>
      </c>
    </row>
    <row r="82" spans="2:29" s="22" customFormat="1" ht="15.75">
      <c r="B82" s="95" t="s">
        <v>22</v>
      </c>
      <c r="C82" s="57">
        <v>3</v>
      </c>
      <c r="D82" s="57">
        <v>2007</v>
      </c>
      <c r="E82" s="58">
        <v>551.99</v>
      </c>
      <c r="F82" s="59">
        <v>0</v>
      </c>
      <c r="G82" s="57">
        <v>15</v>
      </c>
      <c r="H82" s="22">
        <f t="shared" si="44"/>
        <v>2022</v>
      </c>
      <c r="I82" s="96"/>
      <c r="J82" s="96"/>
      <c r="K82" s="97">
        <v>0</v>
      </c>
      <c r="L82" s="23">
        <f t="shared" si="45"/>
        <v>551.99</v>
      </c>
      <c r="M82" s="23">
        <f t="shared" si="46"/>
        <v>3.0666111111111114</v>
      </c>
      <c r="N82" s="23">
        <f t="shared" si="36"/>
        <v>36.79933333333334</v>
      </c>
      <c r="O82" s="63">
        <f t="shared" si="37"/>
        <v>196.26311111110834</v>
      </c>
      <c r="P82" s="63">
        <f t="shared" si="38"/>
        <v>233.06244444444167</v>
      </c>
      <c r="Q82" s="23">
        <f t="shared" si="39"/>
        <v>337.32722222222503</v>
      </c>
      <c r="R82" s="23">
        <f t="shared" si="40"/>
        <v>0</v>
      </c>
      <c r="S82" s="23">
        <f t="shared" si="41"/>
        <v>36.79933333333334</v>
      </c>
      <c r="T82" s="25">
        <v>1</v>
      </c>
      <c r="U82" s="23">
        <f t="shared" si="42"/>
        <v>36.79933333333334</v>
      </c>
      <c r="V82" s="25">
        <v>1</v>
      </c>
      <c r="W82" s="23">
        <f t="shared" si="43"/>
        <v>196.26311111110834</v>
      </c>
      <c r="X82" s="23">
        <f t="shared" si="47"/>
        <v>196.26311111110834</v>
      </c>
      <c r="Y82" s="64">
        <f t="shared" si="48"/>
        <v>2007.1666666666667</v>
      </c>
      <c r="Z82" s="22">
        <f t="shared" si="49"/>
        <v>2013.5</v>
      </c>
      <c r="AA82" s="64">
        <f t="shared" si="50"/>
        <v>2022.1666666666667</v>
      </c>
      <c r="AB82" s="22">
        <f t="shared" si="51"/>
        <v>2012.5</v>
      </c>
      <c r="AC82" s="22">
        <f t="shared" si="52"/>
        <v>-0.08333333333333333</v>
      </c>
    </row>
    <row r="83" spans="2:29" s="22" customFormat="1" ht="15.75">
      <c r="B83" s="95" t="s">
        <v>25</v>
      </c>
      <c r="C83" s="57">
        <v>4</v>
      </c>
      <c r="D83" s="57">
        <v>2007</v>
      </c>
      <c r="E83" s="58">
        <v>8407.41</v>
      </c>
      <c r="F83" s="59">
        <v>0</v>
      </c>
      <c r="G83" s="57">
        <v>15</v>
      </c>
      <c r="H83" s="22">
        <f t="shared" si="44"/>
        <v>2022</v>
      </c>
      <c r="I83" s="96"/>
      <c r="J83" s="96"/>
      <c r="K83" s="97">
        <v>0</v>
      </c>
      <c r="L83" s="23">
        <f t="shared" si="45"/>
        <v>8407.41</v>
      </c>
      <c r="M83" s="23">
        <f t="shared" si="46"/>
        <v>46.70783333333333</v>
      </c>
      <c r="N83" s="23">
        <f t="shared" si="36"/>
        <v>560.494</v>
      </c>
      <c r="O83" s="63">
        <f t="shared" si="37"/>
        <v>2942.5935</v>
      </c>
      <c r="P83" s="63">
        <f t="shared" si="38"/>
        <v>3503.0875</v>
      </c>
      <c r="Q83" s="23">
        <f t="shared" si="39"/>
        <v>5184.5695</v>
      </c>
      <c r="R83" s="23">
        <f t="shared" si="40"/>
        <v>0</v>
      </c>
      <c r="S83" s="23">
        <f t="shared" si="41"/>
        <v>560.494</v>
      </c>
      <c r="T83" s="25">
        <v>1</v>
      </c>
      <c r="U83" s="23">
        <f t="shared" si="42"/>
        <v>560.494</v>
      </c>
      <c r="V83" s="25">
        <v>1</v>
      </c>
      <c r="W83" s="23">
        <f t="shared" si="43"/>
        <v>2942.5935</v>
      </c>
      <c r="X83" s="23">
        <f t="shared" si="47"/>
        <v>2942.5935</v>
      </c>
      <c r="Y83" s="64">
        <f t="shared" si="48"/>
        <v>2007.25</v>
      </c>
      <c r="Z83" s="22">
        <f t="shared" si="49"/>
        <v>2013.5</v>
      </c>
      <c r="AA83" s="64">
        <f t="shared" si="50"/>
        <v>2022.25</v>
      </c>
      <c r="AB83" s="22">
        <f t="shared" si="51"/>
        <v>2012.5</v>
      </c>
      <c r="AC83" s="22">
        <f t="shared" si="52"/>
        <v>-0.08333333333333333</v>
      </c>
    </row>
    <row r="84" spans="2:29" s="22" customFormat="1" ht="15.75">
      <c r="B84" s="95" t="s">
        <v>28</v>
      </c>
      <c r="C84" s="57">
        <v>10</v>
      </c>
      <c r="D84" s="57">
        <v>2007</v>
      </c>
      <c r="E84" s="58">
        <v>1147.73</v>
      </c>
      <c r="F84" s="59">
        <v>0</v>
      </c>
      <c r="G84" s="57">
        <v>15</v>
      </c>
      <c r="H84" s="22">
        <f t="shared" si="44"/>
        <v>2022</v>
      </c>
      <c r="I84" s="96"/>
      <c r="J84" s="96"/>
      <c r="K84" s="97">
        <v>0</v>
      </c>
      <c r="L84" s="23">
        <f t="shared" si="45"/>
        <v>1147.73</v>
      </c>
      <c r="M84" s="23">
        <f t="shared" si="46"/>
        <v>6.376277777777777</v>
      </c>
      <c r="N84" s="23">
        <f t="shared" si="36"/>
        <v>76.51533333333333</v>
      </c>
      <c r="O84" s="63">
        <f t="shared" si="37"/>
        <v>363.4478333333333</v>
      </c>
      <c r="P84" s="63">
        <f t="shared" si="38"/>
        <v>439.9631666666666</v>
      </c>
      <c r="Q84" s="23">
        <f t="shared" si="39"/>
        <v>746.0245</v>
      </c>
      <c r="R84" s="23">
        <f t="shared" si="40"/>
        <v>0</v>
      </c>
      <c r="S84" s="23">
        <f t="shared" si="41"/>
        <v>76.51533333333333</v>
      </c>
      <c r="T84" s="25">
        <v>1</v>
      </c>
      <c r="U84" s="23">
        <f t="shared" si="42"/>
        <v>76.51533333333333</v>
      </c>
      <c r="V84" s="25">
        <v>1</v>
      </c>
      <c r="W84" s="23">
        <f t="shared" si="43"/>
        <v>363.4478333333333</v>
      </c>
      <c r="X84" s="23">
        <f t="shared" si="47"/>
        <v>363.4478333333333</v>
      </c>
      <c r="Y84" s="64">
        <f t="shared" si="48"/>
        <v>2007.75</v>
      </c>
      <c r="Z84" s="22">
        <f t="shared" si="49"/>
        <v>2013.5</v>
      </c>
      <c r="AA84" s="64">
        <f t="shared" si="50"/>
        <v>2022.75</v>
      </c>
      <c r="AB84" s="22">
        <f t="shared" si="51"/>
        <v>2012.5</v>
      </c>
      <c r="AC84" s="22">
        <f t="shared" si="52"/>
        <v>-0.08333333333333333</v>
      </c>
    </row>
    <row r="85" spans="2:29" s="22" customFormat="1" ht="15.75">
      <c r="B85" s="95" t="s">
        <v>33</v>
      </c>
      <c r="C85" s="57">
        <v>7</v>
      </c>
      <c r="D85" s="57">
        <v>2007</v>
      </c>
      <c r="E85" s="58">
        <v>1040.13</v>
      </c>
      <c r="F85" s="59">
        <v>0</v>
      </c>
      <c r="G85" s="57">
        <v>15</v>
      </c>
      <c r="H85" s="22">
        <f t="shared" si="44"/>
        <v>2022</v>
      </c>
      <c r="I85" s="96"/>
      <c r="J85" s="96"/>
      <c r="K85" s="97">
        <v>0</v>
      </c>
      <c r="L85" s="23">
        <f t="shared" si="45"/>
        <v>1040.13</v>
      </c>
      <c r="M85" s="23">
        <f t="shared" si="46"/>
        <v>5.778500000000001</v>
      </c>
      <c r="N85" s="23">
        <f t="shared" si="36"/>
        <v>69.34200000000001</v>
      </c>
      <c r="O85" s="63">
        <f t="shared" si="37"/>
        <v>346.71000000000004</v>
      </c>
      <c r="P85" s="63">
        <f t="shared" si="38"/>
        <v>416.052</v>
      </c>
      <c r="Q85" s="23">
        <f t="shared" si="39"/>
        <v>658.749</v>
      </c>
      <c r="R85" s="23">
        <f t="shared" si="40"/>
        <v>0</v>
      </c>
      <c r="S85" s="23">
        <f t="shared" si="41"/>
        <v>69.34200000000001</v>
      </c>
      <c r="T85" s="25">
        <v>1</v>
      </c>
      <c r="U85" s="23">
        <f t="shared" si="42"/>
        <v>69.34200000000001</v>
      </c>
      <c r="V85" s="25">
        <v>1</v>
      </c>
      <c r="W85" s="23">
        <f t="shared" si="43"/>
        <v>346.71000000000004</v>
      </c>
      <c r="X85" s="23">
        <f t="shared" si="47"/>
        <v>346.71000000000004</v>
      </c>
      <c r="Y85" s="64">
        <f t="shared" si="48"/>
        <v>2007.5</v>
      </c>
      <c r="Z85" s="22">
        <f t="shared" si="49"/>
        <v>2013.5</v>
      </c>
      <c r="AA85" s="64">
        <f t="shared" si="50"/>
        <v>2022.5</v>
      </c>
      <c r="AB85" s="22">
        <f t="shared" si="51"/>
        <v>2012.5</v>
      </c>
      <c r="AC85" s="22">
        <f t="shared" si="52"/>
        <v>-0.08333333333333333</v>
      </c>
    </row>
    <row r="86" spans="2:29" s="22" customFormat="1" ht="15.75">
      <c r="B86" s="95" t="s">
        <v>34</v>
      </c>
      <c r="C86" s="57">
        <v>7</v>
      </c>
      <c r="D86" s="57">
        <v>2007</v>
      </c>
      <c r="E86" s="58">
        <v>4056.46</v>
      </c>
      <c r="F86" s="59">
        <v>0</v>
      </c>
      <c r="G86" s="57">
        <v>15</v>
      </c>
      <c r="H86" s="22">
        <f t="shared" si="44"/>
        <v>2022</v>
      </c>
      <c r="I86" s="96"/>
      <c r="J86" s="96"/>
      <c r="K86" s="97">
        <v>0</v>
      </c>
      <c r="L86" s="23">
        <f t="shared" si="45"/>
        <v>4056.46</v>
      </c>
      <c r="M86" s="23">
        <f t="shared" si="46"/>
        <v>22.53588888888889</v>
      </c>
      <c r="N86" s="23">
        <f t="shared" si="36"/>
        <v>270.4306666666667</v>
      </c>
      <c r="O86" s="63">
        <f t="shared" si="37"/>
        <v>1352.1533333333334</v>
      </c>
      <c r="P86" s="63">
        <f t="shared" si="38"/>
        <v>1622.584</v>
      </c>
      <c r="Q86" s="23">
        <f t="shared" si="39"/>
        <v>2569.0913333333333</v>
      </c>
      <c r="R86" s="23">
        <f t="shared" si="40"/>
        <v>0</v>
      </c>
      <c r="S86" s="23">
        <f t="shared" si="41"/>
        <v>270.4306666666667</v>
      </c>
      <c r="T86" s="25">
        <v>1</v>
      </c>
      <c r="U86" s="23">
        <f t="shared" si="42"/>
        <v>270.4306666666667</v>
      </c>
      <c r="V86" s="25">
        <v>1</v>
      </c>
      <c r="W86" s="23">
        <f t="shared" si="43"/>
        <v>1352.1533333333334</v>
      </c>
      <c r="X86" s="23">
        <f t="shared" si="47"/>
        <v>1352.1533333333334</v>
      </c>
      <c r="Y86" s="64">
        <f t="shared" si="48"/>
        <v>2007.5</v>
      </c>
      <c r="Z86" s="22">
        <f t="shared" si="49"/>
        <v>2013.5</v>
      </c>
      <c r="AA86" s="64">
        <f t="shared" si="50"/>
        <v>2022.5</v>
      </c>
      <c r="AB86" s="22">
        <f t="shared" si="51"/>
        <v>2012.5</v>
      </c>
      <c r="AC86" s="22">
        <f t="shared" si="52"/>
        <v>-0.08333333333333333</v>
      </c>
    </row>
    <row r="87" spans="2:29" s="22" customFormat="1" ht="15.75">
      <c r="B87" s="95" t="s">
        <v>34</v>
      </c>
      <c r="C87" s="57">
        <v>7</v>
      </c>
      <c r="D87" s="57">
        <v>2006</v>
      </c>
      <c r="E87" s="58">
        <v>1073.3</v>
      </c>
      <c r="F87" s="59">
        <v>0</v>
      </c>
      <c r="G87" s="57">
        <v>15</v>
      </c>
      <c r="H87" s="22">
        <f t="shared" si="44"/>
        <v>2021</v>
      </c>
      <c r="I87" s="96"/>
      <c r="J87" s="96"/>
      <c r="K87" s="97">
        <v>0</v>
      </c>
      <c r="L87" s="23">
        <f t="shared" si="45"/>
        <v>1073.3</v>
      </c>
      <c r="M87" s="23">
        <f t="shared" si="46"/>
        <v>5.962777777777777</v>
      </c>
      <c r="N87" s="23">
        <f t="shared" si="36"/>
        <v>71.55333333333333</v>
      </c>
      <c r="O87" s="63">
        <f t="shared" si="37"/>
        <v>429.31999999999994</v>
      </c>
      <c r="P87" s="63">
        <f t="shared" si="38"/>
        <v>500.8733333333333</v>
      </c>
      <c r="Q87" s="23">
        <f t="shared" si="39"/>
        <v>608.2033333333334</v>
      </c>
      <c r="R87" s="23">
        <f t="shared" si="40"/>
        <v>0</v>
      </c>
      <c r="S87" s="23">
        <f t="shared" si="41"/>
        <v>71.55333333333333</v>
      </c>
      <c r="T87" s="25">
        <v>1</v>
      </c>
      <c r="U87" s="23">
        <f t="shared" si="42"/>
        <v>71.55333333333333</v>
      </c>
      <c r="V87" s="25">
        <v>1</v>
      </c>
      <c r="W87" s="23">
        <f t="shared" si="43"/>
        <v>429.31999999999994</v>
      </c>
      <c r="X87" s="23">
        <f t="shared" si="47"/>
        <v>429.31999999999994</v>
      </c>
      <c r="Y87" s="64">
        <f t="shared" si="48"/>
        <v>2006.5</v>
      </c>
      <c r="Z87" s="22">
        <f t="shared" si="49"/>
        <v>2013.5</v>
      </c>
      <c r="AA87" s="64">
        <f t="shared" si="50"/>
        <v>2021.5</v>
      </c>
      <c r="AB87" s="22">
        <f t="shared" si="51"/>
        <v>2012.5</v>
      </c>
      <c r="AC87" s="22">
        <f t="shared" si="52"/>
        <v>-0.08333333333333333</v>
      </c>
    </row>
    <row r="88" spans="2:29" s="22" customFormat="1" ht="15.75">
      <c r="B88" s="95" t="s">
        <v>45</v>
      </c>
      <c r="C88" s="57">
        <v>8</v>
      </c>
      <c r="D88" s="57">
        <v>2000</v>
      </c>
      <c r="E88" s="58">
        <v>3506.69</v>
      </c>
      <c r="F88" s="59">
        <v>0</v>
      </c>
      <c r="G88" s="57">
        <v>15</v>
      </c>
      <c r="H88" s="22">
        <f t="shared" si="44"/>
        <v>2015</v>
      </c>
      <c r="I88" s="96"/>
      <c r="J88" s="96"/>
      <c r="K88" s="97">
        <v>0</v>
      </c>
      <c r="L88" s="23">
        <f t="shared" si="45"/>
        <v>3506.69</v>
      </c>
      <c r="M88" s="23">
        <f t="shared" si="46"/>
        <v>19.48161111111111</v>
      </c>
      <c r="N88" s="23">
        <f t="shared" si="36"/>
        <v>233.77933333333334</v>
      </c>
      <c r="O88" s="63">
        <f t="shared" si="37"/>
        <v>2785.8703888889067</v>
      </c>
      <c r="P88" s="63">
        <f t="shared" si="38"/>
        <v>3019.64972222224</v>
      </c>
      <c r="Q88" s="23">
        <f t="shared" si="39"/>
        <v>603.9299444444266</v>
      </c>
      <c r="R88" s="23">
        <f t="shared" si="40"/>
        <v>0</v>
      </c>
      <c r="S88" s="23">
        <f t="shared" si="41"/>
        <v>233.77933333333334</v>
      </c>
      <c r="T88" s="25">
        <v>1</v>
      </c>
      <c r="U88" s="23">
        <f t="shared" si="42"/>
        <v>233.77933333333334</v>
      </c>
      <c r="V88" s="25">
        <v>1</v>
      </c>
      <c r="W88" s="23">
        <f t="shared" si="43"/>
        <v>2785.8703888889067</v>
      </c>
      <c r="X88" s="23">
        <f t="shared" si="47"/>
        <v>2785.8703888889067</v>
      </c>
      <c r="Y88" s="64">
        <f t="shared" si="48"/>
        <v>2000.5833333333333</v>
      </c>
      <c r="Z88" s="22">
        <f t="shared" si="49"/>
        <v>2013.5</v>
      </c>
      <c r="AA88" s="64">
        <f t="shared" si="50"/>
        <v>2015.5833333333333</v>
      </c>
      <c r="AB88" s="22">
        <f t="shared" si="51"/>
        <v>2012.5</v>
      </c>
      <c r="AC88" s="22">
        <f t="shared" si="52"/>
        <v>-0.08333333333333333</v>
      </c>
    </row>
    <row r="89" spans="2:29" s="22" customFormat="1" ht="15.75">
      <c r="B89" s="95" t="s">
        <v>79</v>
      </c>
      <c r="C89" s="57">
        <v>11</v>
      </c>
      <c r="D89" s="57">
        <v>2002</v>
      </c>
      <c r="E89" s="58">
        <v>2269.29</v>
      </c>
      <c r="F89" s="59">
        <v>0</v>
      </c>
      <c r="G89" s="57">
        <v>39</v>
      </c>
      <c r="H89" s="22">
        <f t="shared" si="44"/>
        <v>2041</v>
      </c>
      <c r="I89" s="96"/>
      <c r="J89" s="96"/>
      <c r="K89" s="97">
        <v>0</v>
      </c>
      <c r="L89" s="23">
        <f t="shared" si="45"/>
        <v>2269.29</v>
      </c>
      <c r="M89" s="23">
        <f t="shared" si="46"/>
        <v>4.848910256410256</v>
      </c>
      <c r="N89" s="23">
        <f t="shared" si="36"/>
        <v>58.186923076923065</v>
      </c>
      <c r="O89" s="63">
        <f t="shared" si="37"/>
        <v>562.4735897435941</v>
      </c>
      <c r="P89" s="63">
        <f t="shared" si="38"/>
        <v>620.6605128205172</v>
      </c>
      <c r="Q89" s="23">
        <f t="shared" si="39"/>
        <v>1677.7229487179443</v>
      </c>
      <c r="R89" s="23">
        <f t="shared" si="40"/>
        <v>0</v>
      </c>
      <c r="S89" s="23">
        <f t="shared" si="41"/>
        <v>58.186923076923065</v>
      </c>
      <c r="T89" s="25">
        <v>1</v>
      </c>
      <c r="U89" s="23">
        <f t="shared" si="42"/>
        <v>58.186923076923065</v>
      </c>
      <c r="V89" s="25">
        <v>1</v>
      </c>
      <c r="W89" s="23">
        <f t="shared" si="43"/>
        <v>562.4735897435941</v>
      </c>
      <c r="X89" s="23">
        <f t="shared" si="47"/>
        <v>562.4735897435941</v>
      </c>
      <c r="Y89" s="64">
        <f t="shared" si="48"/>
        <v>2002.8333333333333</v>
      </c>
      <c r="Z89" s="22">
        <f t="shared" si="49"/>
        <v>2013.5</v>
      </c>
      <c r="AA89" s="64">
        <f t="shared" si="50"/>
        <v>2041.8333333333333</v>
      </c>
      <c r="AB89" s="22">
        <f t="shared" si="51"/>
        <v>2012.5</v>
      </c>
      <c r="AC89" s="22">
        <f t="shared" si="52"/>
        <v>-0.08333333333333333</v>
      </c>
    </row>
    <row r="90" spans="2:29" s="22" customFormat="1" ht="15.75">
      <c r="B90" s="95" t="s">
        <v>80</v>
      </c>
      <c r="C90" s="57">
        <v>12</v>
      </c>
      <c r="D90" s="57">
        <v>2008</v>
      </c>
      <c r="E90" s="58">
        <v>1310.44</v>
      </c>
      <c r="F90" s="59">
        <v>0</v>
      </c>
      <c r="G90" s="57">
        <v>15</v>
      </c>
      <c r="H90" s="22">
        <f t="shared" si="44"/>
        <v>2023</v>
      </c>
      <c r="I90" s="96"/>
      <c r="J90" s="96"/>
      <c r="K90" s="97">
        <v>0</v>
      </c>
      <c r="L90" s="23">
        <f t="shared" si="45"/>
        <v>1310.44</v>
      </c>
      <c r="M90" s="23">
        <f t="shared" si="46"/>
        <v>7.280222222222222</v>
      </c>
      <c r="N90" s="23">
        <f t="shared" si="36"/>
        <v>87.36266666666667</v>
      </c>
      <c r="O90" s="63">
        <f t="shared" si="37"/>
        <v>313.0495555555489</v>
      </c>
      <c r="P90" s="63">
        <f t="shared" si="38"/>
        <v>400.4122222222156</v>
      </c>
      <c r="Q90" s="23">
        <f t="shared" si="39"/>
        <v>953.7091111111177</v>
      </c>
      <c r="R90" s="23">
        <f t="shared" si="40"/>
        <v>0</v>
      </c>
      <c r="S90" s="23">
        <f t="shared" si="41"/>
        <v>87.36266666666667</v>
      </c>
      <c r="T90" s="25">
        <v>1</v>
      </c>
      <c r="U90" s="23">
        <f t="shared" si="42"/>
        <v>87.36266666666667</v>
      </c>
      <c r="V90" s="25">
        <v>1</v>
      </c>
      <c r="W90" s="23">
        <f t="shared" si="43"/>
        <v>313.0495555555489</v>
      </c>
      <c r="X90" s="23">
        <f t="shared" si="47"/>
        <v>313.0495555555489</v>
      </c>
      <c r="Y90" s="64">
        <f t="shared" si="48"/>
        <v>2008.9166666666667</v>
      </c>
      <c r="Z90" s="22">
        <f t="shared" si="49"/>
        <v>2013.5</v>
      </c>
      <c r="AA90" s="64">
        <f t="shared" si="50"/>
        <v>2023.9166666666667</v>
      </c>
      <c r="AB90" s="22">
        <f t="shared" si="51"/>
        <v>2012.5</v>
      </c>
      <c r="AC90" s="22">
        <f t="shared" si="52"/>
        <v>-0.08333333333333333</v>
      </c>
    </row>
    <row r="91" spans="2:29" s="22" customFormat="1" ht="15.75">
      <c r="B91" s="95" t="s">
        <v>81</v>
      </c>
      <c r="C91" s="57">
        <v>12</v>
      </c>
      <c r="D91" s="57">
        <v>2007</v>
      </c>
      <c r="E91" s="58">
        <v>3954.25</v>
      </c>
      <c r="F91" s="59">
        <v>0</v>
      </c>
      <c r="G91" s="57">
        <v>39</v>
      </c>
      <c r="H91" s="22">
        <f t="shared" si="44"/>
        <v>2046</v>
      </c>
      <c r="I91" s="96"/>
      <c r="J91" s="96"/>
      <c r="K91" s="97">
        <v>0</v>
      </c>
      <c r="L91" s="23">
        <f t="shared" si="45"/>
        <v>3954.25</v>
      </c>
      <c r="M91" s="23">
        <f t="shared" si="46"/>
        <v>8.449252136752136</v>
      </c>
      <c r="N91" s="23">
        <f t="shared" si="36"/>
        <v>101.39102564102564</v>
      </c>
      <c r="O91" s="63">
        <f t="shared" si="37"/>
        <v>464.7088675213598</v>
      </c>
      <c r="P91" s="63">
        <f t="shared" si="38"/>
        <v>566.0998931623855</v>
      </c>
      <c r="Q91" s="23">
        <f t="shared" si="39"/>
        <v>3438.8456196581274</v>
      </c>
      <c r="R91" s="23">
        <f t="shared" si="40"/>
        <v>0</v>
      </c>
      <c r="S91" s="23">
        <f t="shared" si="41"/>
        <v>101.39102564102564</v>
      </c>
      <c r="T91" s="25">
        <v>1</v>
      </c>
      <c r="U91" s="23">
        <f t="shared" si="42"/>
        <v>101.39102564102564</v>
      </c>
      <c r="V91" s="25">
        <v>1</v>
      </c>
      <c r="W91" s="23">
        <f t="shared" si="43"/>
        <v>464.7088675213598</v>
      </c>
      <c r="X91" s="23">
        <f t="shared" si="47"/>
        <v>464.7088675213598</v>
      </c>
      <c r="Y91" s="64">
        <f t="shared" si="48"/>
        <v>2007.9166666666667</v>
      </c>
      <c r="Z91" s="22">
        <f t="shared" si="49"/>
        <v>2013.5</v>
      </c>
      <c r="AA91" s="64">
        <f t="shared" si="50"/>
        <v>2046.9166666666667</v>
      </c>
      <c r="AB91" s="22">
        <f t="shared" si="51"/>
        <v>2012.5</v>
      </c>
      <c r="AC91" s="22">
        <f t="shared" si="52"/>
        <v>-0.08333333333333333</v>
      </c>
    </row>
    <row r="92" spans="2:29" s="22" customFormat="1" ht="15.75">
      <c r="B92" s="95" t="s">
        <v>51</v>
      </c>
      <c r="C92" s="57">
        <v>12</v>
      </c>
      <c r="D92" s="57">
        <v>2007</v>
      </c>
      <c r="E92" s="58">
        <v>1686.63</v>
      </c>
      <c r="F92" s="59">
        <v>0</v>
      </c>
      <c r="G92" s="57">
        <v>39</v>
      </c>
      <c r="H92" s="22">
        <f t="shared" si="44"/>
        <v>2046</v>
      </c>
      <c r="I92" s="96"/>
      <c r="J92" s="96"/>
      <c r="K92" s="97">
        <v>0</v>
      </c>
      <c r="L92" s="23">
        <f t="shared" si="45"/>
        <v>1686.63</v>
      </c>
      <c r="M92" s="23">
        <f t="shared" si="46"/>
        <v>3.603910256410257</v>
      </c>
      <c r="N92" s="23">
        <f t="shared" si="36"/>
        <v>43.24692307692308</v>
      </c>
      <c r="O92" s="63">
        <f t="shared" si="37"/>
        <v>198.21506410256086</v>
      </c>
      <c r="P92" s="63">
        <f t="shared" si="38"/>
        <v>241.46198717948394</v>
      </c>
      <c r="Q92" s="23">
        <f t="shared" si="39"/>
        <v>1466.7914743589777</v>
      </c>
      <c r="R92" s="23">
        <f t="shared" si="40"/>
        <v>0</v>
      </c>
      <c r="S92" s="23">
        <f t="shared" si="41"/>
        <v>43.24692307692308</v>
      </c>
      <c r="T92" s="25">
        <v>1</v>
      </c>
      <c r="U92" s="23">
        <f t="shared" si="42"/>
        <v>43.24692307692308</v>
      </c>
      <c r="V92" s="25">
        <v>1</v>
      </c>
      <c r="W92" s="23">
        <f t="shared" si="43"/>
        <v>198.21506410256086</v>
      </c>
      <c r="X92" s="23">
        <f t="shared" si="47"/>
        <v>198.21506410256086</v>
      </c>
      <c r="Y92" s="64">
        <f t="shared" si="48"/>
        <v>2007.9166666666667</v>
      </c>
      <c r="Z92" s="22">
        <f t="shared" si="49"/>
        <v>2013.5</v>
      </c>
      <c r="AA92" s="64">
        <f t="shared" si="50"/>
        <v>2046.9166666666667</v>
      </c>
      <c r="AB92" s="22">
        <f t="shared" si="51"/>
        <v>2012.5</v>
      </c>
      <c r="AC92" s="22">
        <f t="shared" si="52"/>
        <v>-0.08333333333333333</v>
      </c>
    </row>
    <row r="93" spans="2:29" s="22" customFormat="1" ht="15.75">
      <c r="B93" s="95" t="s">
        <v>59</v>
      </c>
      <c r="C93" s="57">
        <v>1</v>
      </c>
      <c r="D93" s="57">
        <v>2003</v>
      </c>
      <c r="E93" s="58">
        <v>3097.27</v>
      </c>
      <c r="F93" s="59">
        <v>0</v>
      </c>
      <c r="G93" s="57">
        <v>39</v>
      </c>
      <c r="H93" s="22">
        <f t="shared" si="44"/>
        <v>2042</v>
      </c>
      <c r="I93" s="96"/>
      <c r="J93" s="96"/>
      <c r="K93" s="97">
        <v>0</v>
      </c>
      <c r="L93" s="23">
        <f t="shared" si="45"/>
        <v>3097.27</v>
      </c>
      <c r="M93" s="23">
        <f t="shared" si="46"/>
        <v>6.61809829059829</v>
      </c>
      <c r="N93" s="23">
        <f t="shared" si="36"/>
        <v>79.41717948717948</v>
      </c>
      <c r="O93" s="63">
        <f t="shared" si="37"/>
        <v>754.4632051282051</v>
      </c>
      <c r="P93" s="63">
        <f t="shared" si="38"/>
        <v>833.8803846153846</v>
      </c>
      <c r="Q93" s="23">
        <f t="shared" si="39"/>
        <v>2303.0982051282053</v>
      </c>
      <c r="R93" s="23">
        <f t="shared" si="40"/>
        <v>0</v>
      </c>
      <c r="S93" s="23">
        <f t="shared" si="41"/>
        <v>79.41717948717948</v>
      </c>
      <c r="T93" s="25">
        <v>1</v>
      </c>
      <c r="U93" s="23">
        <f t="shared" si="42"/>
        <v>79.41717948717948</v>
      </c>
      <c r="V93" s="25">
        <v>1</v>
      </c>
      <c r="W93" s="23">
        <f t="shared" si="43"/>
        <v>754.4632051282051</v>
      </c>
      <c r="X93" s="23">
        <f t="shared" si="47"/>
        <v>754.4632051282051</v>
      </c>
      <c r="Y93" s="64">
        <f t="shared" si="48"/>
        <v>2003</v>
      </c>
      <c r="Z93" s="22">
        <f t="shared" si="49"/>
        <v>2013.5</v>
      </c>
      <c r="AA93" s="64">
        <f t="shared" si="50"/>
        <v>2042</v>
      </c>
      <c r="AB93" s="22">
        <f t="shared" si="51"/>
        <v>2012.5</v>
      </c>
      <c r="AC93" s="22">
        <f t="shared" si="52"/>
        <v>-0.08333333333333333</v>
      </c>
    </row>
    <row r="94" spans="2:29" s="22" customFormat="1" ht="15.75">
      <c r="B94" s="95" t="s">
        <v>54</v>
      </c>
      <c r="C94" s="57">
        <v>2</v>
      </c>
      <c r="D94" s="57">
        <v>2005</v>
      </c>
      <c r="E94" s="58">
        <v>1763.3</v>
      </c>
      <c r="F94" s="59">
        <v>0</v>
      </c>
      <c r="G94" s="57">
        <v>39</v>
      </c>
      <c r="H94" s="22">
        <f t="shared" si="44"/>
        <v>2044</v>
      </c>
      <c r="I94" s="96"/>
      <c r="J94" s="96"/>
      <c r="K94" s="97">
        <v>0</v>
      </c>
      <c r="L94" s="23">
        <f t="shared" si="45"/>
        <v>1763.3</v>
      </c>
      <c r="M94" s="23">
        <f t="shared" si="46"/>
        <v>3.7677350427350427</v>
      </c>
      <c r="N94" s="23">
        <f t="shared" si="36"/>
        <v>45.212820512820514</v>
      </c>
      <c r="O94" s="63">
        <f t="shared" si="37"/>
        <v>335.3284188034222</v>
      </c>
      <c r="P94" s="63">
        <f t="shared" si="38"/>
        <v>380.5412393162427</v>
      </c>
      <c r="Q94" s="23">
        <f t="shared" si="39"/>
        <v>1405.3651709401674</v>
      </c>
      <c r="R94" s="23">
        <f t="shared" si="40"/>
        <v>0</v>
      </c>
      <c r="S94" s="23">
        <f t="shared" si="41"/>
        <v>45.212820512820514</v>
      </c>
      <c r="T94" s="25">
        <v>1</v>
      </c>
      <c r="U94" s="23">
        <f t="shared" si="42"/>
        <v>45.212820512820514</v>
      </c>
      <c r="V94" s="25">
        <v>1</v>
      </c>
      <c r="W94" s="23">
        <f t="shared" si="43"/>
        <v>335.3284188034222</v>
      </c>
      <c r="X94" s="23">
        <f t="shared" si="47"/>
        <v>335.3284188034222</v>
      </c>
      <c r="Y94" s="64">
        <f t="shared" si="48"/>
        <v>2005.0833333333333</v>
      </c>
      <c r="Z94" s="22">
        <f t="shared" si="49"/>
        <v>2013.5</v>
      </c>
      <c r="AA94" s="64">
        <f t="shared" si="50"/>
        <v>2044.0833333333333</v>
      </c>
      <c r="AB94" s="22">
        <f t="shared" si="51"/>
        <v>2012.5</v>
      </c>
      <c r="AC94" s="22">
        <f t="shared" si="52"/>
        <v>-0.08333333333333333</v>
      </c>
    </row>
    <row r="95" spans="2:29" s="22" customFormat="1" ht="15.75">
      <c r="B95" s="95" t="s">
        <v>55</v>
      </c>
      <c r="C95" s="57">
        <v>3</v>
      </c>
      <c r="D95" s="57">
        <v>1999</v>
      </c>
      <c r="E95" s="58">
        <v>337.33</v>
      </c>
      <c r="F95" s="59">
        <v>0</v>
      </c>
      <c r="G95" s="57">
        <v>39</v>
      </c>
      <c r="H95" s="22">
        <f t="shared" si="44"/>
        <v>2038</v>
      </c>
      <c r="I95" s="96"/>
      <c r="J95" s="96"/>
      <c r="K95" s="97">
        <v>0</v>
      </c>
      <c r="L95" s="23">
        <f t="shared" si="45"/>
        <v>337.33</v>
      </c>
      <c r="M95" s="23">
        <f t="shared" si="46"/>
        <v>0.7207905982905983</v>
      </c>
      <c r="N95" s="23">
        <f t="shared" si="36"/>
        <v>8.64948717948718</v>
      </c>
      <c r="O95" s="63">
        <f t="shared" si="37"/>
        <v>115.32649572649508</v>
      </c>
      <c r="P95" s="63">
        <f t="shared" si="38"/>
        <v>123.97598290598226</v>
      </c>
      <c r="Q95" s="23">
        <f t="shared" si="39"/>
        <v>217.6787606837613</v>
      </c>
      <c r="R95" s="23">
        <f t="shared" si="40"/>
        <v>0</v>
      </c>
      <c r="S95" s="23">
        <f t="shared" si="41"/>
        <v>8.64948717948718</v>
      </c>
      <c r="T95" s="25">
        <v>1</v>
      </c>
      <c r="U95" s="23">
        <f t="shared" si="42"/>
        <v>8.64948717948718</v>
      </c>
      <c r="V95" s="25">
        <v>1</v>
      </c>
      <c r="W95" s="23">
        <f t="shared" si="43"/>
        <v>115.32649572649508</v>
      </c>
      <c r="X95" s="23">
        <f t="shared" si="47"/>
        <v>115.32649572649508</v>
      </c>
      <c r="Y95" s="64">
        <f t="shared" si="48"/>
        <v>1999.1666666666667</v>
      </c>
      <c r="Z95" s="22">
        <f t="shared" si="49"/>
        <v>2013.5</v>
      </c>
      <c r="AA95" s="64">
        <f t="shared" si="50"/>
        <v>2038.1666666666667</v>
      </c>
      <c r="AB95" s="22">
        <f t="shared" si="51"/>
        <v>2012.5</v>
      </c>
      <c r="AC95" s="22">
        <f t="shared" si="52"/>
        <v>-0.08333333333333333</v>
      </c>
    </row>
    <row r="96" spans="2:29" s="22" customFormat="1" ht="15.75">
      <c r="B96" s="95" t="s">
        <v>17</v>
      </c>
      <c r="C96" s="57">
        <v>3</v>
      </c>
      <c r="D96" s="57">
        <v>2006</v>
      </c>
      <c r="E96" s="58">
        <v>174.85</v>
      </c>
      <c r="F96" s="59">
        <v>0</v>
      </c>
      <c r="G96" s="57">
        <v>39</v>
      </c>
      <c r="H96" s="22">
        <f t="shared" si="44"/>
        <v>2045</v>
      </c>
      <c r="I96" s="96"/>
      <c r="J96" s="96"/>
      <c r="K96" s="97">
        <v>0</v>
      </c>
      <c r="L96" s="23">
        <f t="shared" si="45"/>
        <v>174.85</v>
      </c>
      <c r="M96" s="23">
        <f t="shared" si="46"/>
        <v>0.3736111111111111</v>
      </c>
      <c r="N96" s="23">
        <f t="shared" si="36"/>
        <v>4.483333333333333</v>
      </c>
      <c r="O96" s="63">
        <f t="shared" si="37"/>
        <v>28.394444444444105</v>
      </c>
      <c r="P96" s="63">
        <f t="shared" si="38"/>
        <v>32.87777777777744</v>
      </c>
      <c r="Q96" s="23">
        <f t="shared" si="39"/>
        <v>144.21388888888924</v>
      </c>
      <c r="R96" s="23">
        <f t="shared" si="40"/>
        <v>0</v>
      </c>
      <c r="S96" s="23">
        <f t="shared" si="41"/>
        <v>4.483333333333333</v>
      </c>
      <c r="T96" s="25">
        <v>1</v>
      </c>
      <c r="U96" s="23">
        <f t="shared" si="42"/>
        <v>4.483333333333333</v>
      </c>
      <c r="V96" s="25">
        <v>1</v>
      </c>
      <c r="W96" s="23">
        <f t="shared" si="43"/>
        <v>28.394444444444105</v>
      </c>
      <c r="X96" s="23">
        <f t="shared" si="47"/>
        <v>28.394444444444105</v>
      </c>
      <c r="Y96" s="64">
        <f t="shared" si="48"/>
        <v>2006.1666666666667</v>
      </c>
      <c r="Z96" s="22">
        <f t="shared" si="49"/>
        <v>2013.5</v>
      </c>
      <c r="AA96" s="64">
        <f t="shared" si="50"/>
        <v>2045.1666666666667</v>
      </c>
      <c r="AB96" s="22">
        <f t="shared" si="51"/>
        <v>2012.5</v>
      </c>
      <c r="AC96" s="22">
        <f t="shared" si="52"/>
        <v>-0.08333333333333333</v>
      </c>
    </row>
    <row r="97" spans="2:29" s="22" customFormat="1" ht="15.75">
      <c r="B97" s="95" t="s">
        <v>24</v>
      </c>
      <c r="C97" s="57">
        <v>4</v>
      </c>
      <c r="D97" s="57">
        <v>2005</v>
      </c>
      <c r="E97" s="58">
        <v>1522.54</v>
      </c>
      <c r="F97" s="59">
        <v>0</v>
      </c>
      <c r="G97" s="57">
        <v>15</v>
      </c>
      <c r="H97" s="22">
        <f t="shared" si="44"/>
        <v>2020</v>
      </c>
      <c r="I97" s="96"/>
      <c r="J97" s="96"/>
      <c r="K97" s="97">
        <v>0</v>
      </c>
      <c r="L97" s="23">
        <f t="shared" si="45"/>
        <v>1522.54</v>
      </c>
      <c r="M97" s="23">
        <f t="shared" si="46"/>
        <v>8.458555555555556</v>
      </c>
      <c r="N97" s="23">
        <f t="shared" si="36"/>
        <v>101.50266666666667</v>
      </c>
      <c r="O97" s="63">
        <f t="shared" si="37"/>
        <v>735.8943333333334</v>
      </c>
      <c r="P97" s="63">
        <f t="shared" si="38"/>
        <v>837.397</v>
      </c>
      <c r="Q97" s="23">
        <f t="shared" si="39"/>
        <v>735.8943333333332</v>
      </c>
      <c r="R97" s="23">
        <f t="shared" si="40"/>
        <v>0</v>
      </c>
      <c r="S97" s="23">
        <f t="shared" si="41"/>
        <v>101.50266666666667</v>
      </c>
      <c r="T97" s="25">
        <v>1</v>
      </c>
      <c r="U97" s="23">
        <f t="shared" si="42"/>
        <v>101.50266666666667</v>
      </c>
      <c r="V97" s="25">
        <v>1</v>
      </c>
      <c r="W97" s="23">
        <f t="shared" si="43"/>
        <v>735.8943333333334</v>
      </c>
      <c r="X97" s="23">
        <f t="shared" si="47"/>
        <v>735.8943333333334</v>
      </c>
      <c r="Y97" s="64">
        <f t="shared" si="48"/>
        <v>2005.25</v>
      </c>
      <c r="Z97" s="22">
        <f t="shared" si="49"/>
        <v>2013.5</v>
      </c>
      <c r="AA97" s="64">
        <f t="shared" si="50"/>
        <v>2020.25</v>
      </c>
      <c r="AB97" s="22">
        <f t="shared" si="51"/>
        <v>2012.5</v>
      </c>
      <c r="AC97" s="22">
        <f t="shared" si="52"/>
        <v>-0.08333333333333333</v>
      </c>
    </row>
    <row r="98" spans="2:29" s="22" customFormat="1" ht="15.75">
      <c r="B98" s="95" t="s">
        <v>56</v>
      </c>
      <c r="C98" s="57">
        <v>4</v>
      </c>
      <c r="D98" s="57">
        <v>2008</v>
      </c>
      <c r="E98" s="58">
        <v>356.87</v>
      </c>
      <c r="F98" s="59">
        <v>0</v>
      </c>
      <c r="G98" s="57">
        <v>15</v>
      </c>
      <c r="H98" s="22">
        <f t="shared" si="44"/>
        <v>2023</v>
      </c>
      <c r="I98" s="96"/>
      <c r="J98" s="96"/>
      <c r="K98" s="97">
        <v>0</v>
      </c>
      <c r="L98" s="23">
        <f t="shared" si="45"/>
        <v>356.87</v>
      </c>
      <c r="M98" s="23">
        <f t="shared" si="46"/>
        <v>1.982611111111111</v>
      </c>
      <c r="N98" s="23">
        <f t="shared" si="36"/>
        <v>23.791333333333334</v>
      </c>
      <c r="O98" s="63">
        <f t="shared" si="37"/>
        <v>101.11316666666667</v>
      </c>
      <c r="P98" s="63">
        <f t="shared" si="38"/>
        <v>124.90450000000001</v>
      </c>
      <c r="Q98" s="23">
        <f t="shared" si="39"/>
        <v>243.86116666666666</v>
      </c>
      <c r="R98" s="23">
        <f t="shared" si="40"/>
        <v>0</v>
      </c>
      <c r="S98" s="23">
        <f t="shared" si="41"/>
        <v>23.791333333333334</v>
      </c>
      <c r="T98" s="25">
        <v>1</v>
      </c>
      <c r="U98" s="23">
        <f t="shared" si="42"/>
        <v>23.791333333333334</v>
      </c>
      <c r="V98" s="25">
        <v>1</v>
      </c>
      <c r="W98" s="23">
        <f t="shared" si="43"/>
        <v>101.11316666666667</v>
      </c>
      <c r="X98" s="23">
        <f t="shared" si="47"/>
        <v>101.11316666666667</v>
      </c>
      <c r="Y98" s="64">
        <f t="shared" si="48"/>
        <v>2008.25</v>
      </c>
      <c r="Z98" s="22">
        <f t="shared" si="49"/>
        <v>2013.5</v>
      </c>
      <c r="AA98" s="64">
        <f t="shared" si="50"/>
        <v>2023.25</v>
      </c>
      <c r="AB98" s="22">
        <f t="shared" si="51"/>
        <v>2012.5</v>
      </c>
      <c r="AC98" s="22">
        <f t="shared" si="52"/>
        <v>-0.08333333333333333</v>
      </c>
    </row>
    <row r="99" spans="2:29" s="22" customFormat="1" ht="15.75">
      <c r="B99" s="95" t="s">
        <v>57</v>
      </c>
      <c r="C99" s="57">
        <v>4</v>
      </c>
      <c r="D99" s="57">
        <v>2012</v>
      </c>
      <c r="E99" s="58">
        <v>8159.68</v>
      </c>
      <c r="F99" s="59">
        <v>0</v>
      </c>
      <c r="G99" s="57">
        <v>15</v>
      </c>
      <c r="H99" s="22">
        <f t="shared" si="44"/>
        <v>2027</v>
      </c>
      <c r="I99" s="96"/>
      <c r="J99" s="96"/>
      <c r="K99" s="97">
        <v>0</v>
      </c>
      <c r="L99" s="23">
        <f t="shared" si="45"/>
        <v>8159.68</v>
      </c>
      <c r="M99" s="23">
        <f t="shared" si="46"/>
        <v>45.33155555555555</v>
      </c>
      <c r="N99" s="23">
        <f t="shared" si="36"/>
        <v>543.9786666666666</v>
      </c>
      <c r="O99" s="63">
        <f t="shared" si="37"/>
        <v>135.99466666666666</v>
      </c>
      <c r="P99" s="63">
        <f t="shared" si="38"/>
        <v>679.9733333333334</v>
      </c>
      <c r="Q99" s="23">
        <f t="shared" si="39"/>
        <v>7751.696</v>
      </c>
      <c r="R99" s="23">
        <f t="shared" si="40"/>
        <v>0</v>
      </c>
      <c r="S99" s="23">
        <f t="shared" si="41"/>
        <v>543.9786666666666</v>
      </c>
      <c r="T99" s="25">
        <v>1</v>
      </c>
      <c r="U99" s="23">
        <f t="shared" si="42"/>
        <v>543.9786666666666</v>
      </c>
      <c r="V99" s="25">
        <v>1</v>
      </c>
      <c r="W99" s="23">
        <f t="shared" si="43"/>
        <v>135.99466666666666</v>
      </c>
      <c r="X99" s="23">
        <f t="shared" si="47"/>
        <v>135.99466666666666</v>
      </c>
      <c r="Y99" s="64">
        <f t="shared" si="48"/>
        <v>2012.25</v>
      </c>
      <c r="Z99" s="22">
        <f t="shared" si="49"/>
        <v>2013.5</v>
      </c>
      <c r="AA99" s="64">
        <f t="shared" si="50"/>
        <v>2027.25</v>
      </c>
      <c r="AB99" s="22">
        <f t="shared" si="51"/>
        <v>2012.5</v>
      </c>
      <c r="AC99" s="22">
        <f t="shared" si="52"/>
        <v>-0.08333333333333333</v>
      </c>
    </row>
    <row r="100" spans="2:29" s="22" customFormat="1" ht="15.75">
      <c r="B100" s="95" t="s">
        <v>58</v>
      </c>
      <c r="C100" s="57">
        <v>8</v>
      </c>
      <c r="D100" s="57">
        <v>2005</v>
      </c>
      <c r="E100" s="58">
        <v>11590.82</v>
      </c>
      <c r="F100" s="59">
        <v>0</v>
      </c>
      <c r="G100" s="57">
        <v>15</v>
      </c>
      <c r="H100" s="22">
        <f t="shared" si="44"/>
        <v>2020</v>
      </c>
      <c r="I100" s="96"/>
      <c r="J100" s="96"/>
      <c r="K100" s="97">
        <v>0</v>
      </c>
      <c r="L100" s="23">
        <f t="shared" si="45"/>
        <v>11590.82</v>
      </c>
      <c r="M100" s="23">
        <f t="shared" si="46"/>
        <v>64.39344444444444</v>
      </c>
      <c r="N100" s="23">
        <f t="shared" si="36"/>
        <v>772.7213333333333</v>
      </c>
      <c r="O100" s="63">
        <f t="shared" si="37"/>
        <v>5344.655888888947</v>
      </c>
      <c r="P100" s="63">
        <f t="shared" si="38"/>
        <v>6117.37722222228</v>
      </c>
      <c r="Q100" s="23">
        <f t="shared" si="39"/>
        <v>5859.8034444443865</v>
      </c>
      <c r="R100" s="23">
        <f t="shared" si="40"/>
        <v>0</v>
      </c>
      <c r="S100" s="23">
        <f t="shared" si="41"/>
        <v>772.7213333333333</v>
      </c>
      <c r="T100" s="25">
        <v>1</v>
      </c>
      <c r="U100" s="23">
        <f t="shared" si="42"/>
        <v>772.7213333333333</v>
      </c>
      <c r="V100" s="25">
        <v>1</v>
      </c>
      <c r="W100" s="23">
        <f t="shared" si="43"/>
        <v>5344.655888888947</v>
      </c>
      <c r="X100" s="23">
        <f t="shared" si="47"/>
        <v>5344.655888888947</v>
      </c>
      <c r="Y100" s="64">
        <f t="shared" si="48"/>
        <v>2005.5833333333333</v>
      </c>
      <c r="Z100" s="22">
        <f t="shared" si="49"/>
        <v>2013.5</v>
      </c>
      <c r="AA100" s="64">
        <f t="shared" si="50"/>
        <v>2020.5833333333333</v>
      </c>
      <c r="AB100" s="22">
        <f t="shared" si="51"/>
        <v>2012.5</v>
      </c>
      <c r="AC100" s="22">
        <f t="shared" si="52"/>
        <v>-0.08333333333333333</v>
      </c>
    </row>
    <row r="101" spans="2:29" s="22" customFormat="1" ht="15.75">
      <c r="B101" s="95" t="s">
        <v>28</v>
      </c>
      <c r="C101" s="57">
        <v>10</v>
      </c>
      <c r="D101" s="57">
        <v>2011</v>
      </c>
      <c r="E101" s="58">
        <v>1147.73</v>
      </c>
      <c r="F101" s="59">
        <v>0</v>
      </c>
      <c r="G101" s="57">
        <v>15</v>
      </c>
      <c r="H101" s="22">
        <f t="shared" si="44"/>
        <v>2026</v>
      </c>
      <c r="I101" s="96"/>
      <c r="J101" s="96"/>
      <c r="K101" s="97">
        <v>0</v>
      </c>
      <c r="L101" s="23">
        <f t="shared" si="45"/>
        <v>1147.73</v>
      </c>
      <c r="M101" s="23">
        <f t="shared" si="46"/>
        <v>6.376277777777777</v>
      </c>
      <c r="N101" s="23">
        <f t="shared" si="36"/>
        <v>76.51533333333333</v>
      </c>
      <c r="O101" s="63">
        <f t="shared" si="37"/>
        <v>57.3865</v>
      </c>
      <c r="P101" s="63">
        <f t="shared" si="38"/>
        <v>133.90183333333334</v>
      </c>
      <c r="Q101" s="23">
        <f t="shared" si="39"/>
        <v>1052.0858333333333</v>
      </c>
      <c r="R101" s="23">
        <f t="shared" si="40"/>
        <v>0</v>
      </c>
      <c r="S101" s="23">
        <f t="shared" si="41"/>
        <v>76.51533333333333</v>
      </c>
      <c r="T101" s="25">
        <v>1</v>
      </c>
      <c r="U101" s="23">
        <f t="shared" si="42"/>
        <v>76.51533333333333</v>
      </c>
      <c r="V101" s="25">
        <v>1</v>
      </c>
      <c r="W101" s="23">
        <f t="shared" si="43"/>
        <v>57.3865</v>
      </c>
      <c r="X101" s="23">
        <f t="shared" si="47"/>
        <v>57.3865</v>
      </c>
      <c r="Y101" s="64">
        <f t="shared" si="48"/>
        <v>2011.75</v>
      </c>
      <c r="Z101" s="22">
        <f t="shared" si="49"/>
        <v>2013.5</v>
      </c>
      <c r="AA101" s="64">
        <f t="shared" si="50"/>
        <v>2026.75</v>
      </c>
      <c r="AB101" s="22">
        <f t="shared" si="51"/>
        <v>2012.5</v>
      </c>
      <c r="AC101" s="22">
        <f t="shared" si="52"/>
        <v>-0.08333333333333333</v>
      </c>
    </row>
    <row r="102" spans="2:29" s="22" customFormat="1" ht="15.75">
      <c r="B102" s="95" t="s">
        <v>61</v>
      </c>
      <c r="C102" s="57">
        <v>2</v>
      </c>
      <c r="D102" s="57">
        <v>2004</v>
      </c>
      <c r="E102" s="58">
        <v>548.76</v>
      </c>
      <c r="F102" s="59">
        <v>0</v>
      </c>
      <c r="G102" s="57">
        <v>15</v>
      </c>
      <c r="H102" s="22">
        <f t="shared" si="44"/>
        <v>2019</v>
      </c>
      <c r="I102" s="96"/>
      <c r="J102" s="96"/>
      <c r="K102" s="97">
        <v>0</v>
      </c>
      <c r="L102" s="23">
        <f t="shared" si="45"/>
        <v>548.76</v>
      </c>
      <c r="M102" s="23">
        <f t="shared" si="46"/>
        <v>3.048666666666666</v>
      </c>
      <c r="N102" s="23">
        <f t="shared" si="36"/>
        <v>36.583999999999996</v>
      </c>
      <c r="O102" s="63">
        <f t="shared" si="37"/>
        <v>307.91533333333604</v>
      </c>
      <c r="P102" s="63">
        <f t="shared" si="38"/>
        <v>344.49933333333604</v>
      </c>
      <c r="Q102" s="23">
        <f t="shared" si="39"/>
        <v>222.55266666666395</v>
      </c>
      <c r="R102" s="23">
        <f t="shared" si="40"/>
        <v>0</v>
      </c>
      <c r="S102" s="23">
        <f t="shared" si="41"/>
        <v>36.583999999999996</v>
      </c>
      <c r="T102" s="25">
        <v>1</v>
      </c>
      <c r="U102" s="23">
        <f t="shared" si="42"/>
        <v>36.583999999999996</v>
      </c>
      <c r="V102" s="25">
        <v>1</v>
      </c>
      <c r="W102" s="23">
        <f t="shared" si="43"/>
        <v>307.91533333333604</v>
      </c>
      <c r="X102" s="23">
        <f t="shared" si="47"/>
        <v>307.91533333333604</v>
      </c>
      <c r="Y102" s="64">
        <f t="shared" si="48"/>
        <v>2004.0833333333333</v>
      </c>
      <c r="Z102" s="22">
        <f t="shared" si="49"/>
        <v>2013.5</v>
      </c>
      <c r="AA102" s="64">
        <f t="shared" si="50"/>
        <v>2019.0833333333333</v>
      </c>
      <c r="AB102" s="22">
        <f t="shared" si="51"/>
        <v>2012.5</v>
      </c>
      <c r="AC102" s="22">
        <f t="shared" si="52"/>
        <v>-0.08333333333333333</v>
      </c>
    </row>
    <row r="103" spans="2:29" s="22" customFormat="1" ht="15.75">
      <c r="B103" s="95" t="s">
        <v>6</v>
      </c>
      <c r="C103" s="57">
        <v>11</v>
      </c>
      <c r="D103" s="57">
        <v>2006</v>
      </c>
      <c r="E103" s="58">
        <v>13402.64</v>
      </c>
      <c r="F103" s="59">
        <v>0</v>
      </c>
      <c r="G103" s="57">
        <v>15</v>
      </c>
      <c r="H103" s="22">
        <f t="shared" si="44"/>
        <v>2021</v>
      </c>
      <c r="I103" s="96"/>
      <c r="J103" s="96"/>
      <c r="K103" s="97">
        <v>0</v>
      </c>
      <c r="L103" s="23">
        <f t="shared" si="45"/>
        <v>13402.64</v>
      </c>
      <c r="M103" s="23">
        <f t="shared" si="46"/>
        <v>74.45911111111111</v>
      </c>
      <c r="N103" s="23">
        <f t="shared" si="36"/>
        <v>893.5093333333334</v>
      </c>
      <c r="O103" s="63">
        <f t="shared" si="37"/>
        <v>5063.219555555624</v>
      </c>
      <c r="P103" s="63">
        <f t="shared" si="38"/>
        <v>5956.728888888957</v>
      </c>
      <c r="Q103" s="23">
        <f t="shared" si="39"/>
        <v>7892.665777777709</v>
      </c>
      <c r="R103" s="23">
        <f t="shared" si="40"/>
        <v>0</v>
      </c>
      <c r="S103" s="23">
        <f t="shared" si="41"/>
        <v>893.5093333333334</v>
      </c>
      <c r="T103" s="25">
        <v>1</v>
      </c>
      <c r="U103" s="23">
        <f t="shared" si="42"/>
        <v>893.5093333333334</v>
      </c>
      <c r="V103" s="25">
        <v>1</v>
      </c>
      <c r="W103" s="23">
        <f t="shared" si="43"/>
        <v>5063.219555555624</v>
      </c>
      <c r="X103" s="23">
        <f t="shared" si="47"/>
        <v>5063.219555555624</v>
      </c>
      <c r="Y103" s="64">
        <f t="shared" si="48"/>
        <v>2006.8333333333333</v>
      </c>
      <c r="Z103" s="22">
        <f t="shared" si="49"/>
        <v>2013.5</v>
      </c>
      <c r="AA103" s="64">
        <f t="shared" si="50"/>
        <v>2021.8333333333333</v>
      </c>
      <c r="AB103" s="22">
        <f t="shared" si="51"/>
        <v>2012.5</v>
      </c>
      <c r="AC103" s="22">
        <f t="shared" si="52"/>
        <v>-0.08333333333333333</v>
      </c>
    </row>
    <row r="104" spans="2:27" ht="16.5" thickBot="1">
      <c r="B104" s="111"/>
      <c r="C104" s="69"/>
      <c r="D104" s="69"/>
      <c r="E104" s="70"/>
      <c r="F104" s="71"/>
      <c r="G104" s="69"/>
      <c r="I104" s="112"/>
      <c r="J104" s="112"/>
      <c r="K104" s="113"/>
      <c r="Y104" s="75"/>
      <c r="AA104" s="75"/>
    </row>
    <row r="105" spans="2:29" ht="16.5" thickBot="1">
      <c r="B105" s="104" t="s">
        <v>141</v>
      </c>
      <c r="C105" s="114"/>
      <c r="D105" s="114"/>
      <c r="E105" s="78">
        <f>SUM(E75:E103)</f>
        <v>82356.04999999999</v>
      </c>
      <c r="F105" s="115"/>
      <c r="G105" s="114"/>
      <c r="H105" s="116"/>
      <c r="I105" s="117"/>
      <c r="J105" s="117"/>
      <c r="K105" s="118"/>
      <c r="L105" s="83">
        <f>SUM(L75:L103)</f>
        <v>82356.04999999999</v>
      </c>
      <c r="M105" s="83">
        <f>SUM(M75:M103)</f>
        <v>395.3864316239316</v>
      </c>
      <c r="N105" s="83">
        <f aca="true" t="shared" si="53" ref="N105:S105">SUM(N75:N103)</f>
        <v>4744.637179487179</v>
      </c>
      <c r="O105" s="83">
        <f t="shared" si="53"/>
        <v>25689.853047008703</v>
      </c>
      <c r="P105" s="83">
        <f t="shared" si="53"/>
        <v>30434.49022649588</v>
      </c>
      <c r="Q105" s="83">
        <f t="shared" si="53"/>
        <v>54293.8783632477</v>
      </c>
      <c r="R105" s="83">
        <f t="shared" si="53"/>
        <v>0</v>
      </c>
      <c r="S105" s="83">
        <f t="shared" si="53"/>
        <v>4744.637179487179</v>
      </c>
      <c r="T105" s="119"/>
      <c r="U105" s="91"/>
      <c r="V105" s="119"/>
      <c r="W105" s="91"/>
      <c r="X105" s="91"/>
      <c r="Y105" s="120"/>
      <c r="Z105" s="116"/>
      <c r="AA105" s="120"/>
      <c r="AB105" s="116"/>
      <c r="AC105" s="121"/>
    </row>
    <row r="106" spans="2:27" ht="16.5" thickBot="1">
      <c r="B106" s="111"/>
      <c r="C106" s="69"/>
      <c r="D106" s="69"/>
      <c r="E106" s="70"/>
      <c r="F106" s="71"/>
      <c r="G106" s="69"/>
      <c r="I106" s="220">
        <f>I71</f>
        <v>0.2336099293317563</v>
      </c>
      <c r="J106" s="123" t="s">
        <v>148</v>
      </c>
      <c r="K106" s="124"/>
      <c r="L106" s="83"/>
      <c r="M106" s="83"/>
      <c r="N106" s="92">
        <f>I106*N105</f>
        <v>1108.3943562048235</v>
      </c>
      <c r="O106" s="83"/>
      <c r="P106" s="83"/>
      <c r="Q106" s="94">
        <f>Q105*I106</f>
        <v>12683.589087585267</v>
      </c>
      <c r="Y106" s="75"/>
      <c r="AA106" s="75"/>
    </row>
    <row r="107" spans="2:27" ht="15.75">
      <c r="B107" s="52" t="s">
        <v>142</v>
      </c>
      <c r="C107" s="69"/>
      <c r="D107" s="69"/>
      <c r="E107" s="70"/>
      <c r="F107" s="71"/>
      <c r="G107" s="69"/>
      <c r="I107" s="112"/>
      <c r="J107" s="112"/>
      <c r="K107" s="113"/>
      <c r="Y107" s="75"/>
      <c r="AA107" s="75"/>
    </row>
    <row r="108" spans="2:29" s="22" customFormat="1" ht="15.75">
      <c r="B108" s="95" t="s">
        <v>143</v>
      </c>
      <c r="C108" s="57">
        <v>1</v>
      </c>
      <c r="D108" s="57">
        <v>2007</v>
      </c>
      <c r="E108" s="58">
        <v>402137.38</v>
      </c>
      <c r="F108" s="59">
        <v>1</v>
      </c>
      <c r="G108" s="57">
        <v>100</v>
      </c>
      <c r="H108" s="22">
        <f t="shared" si="44"/>
        <v>2107</v>
      </c>
      <c r="I108" s="96"/>
      <c r="J108" s="96"/>
      <c r="K108" s="97">
        <v>0</v>
      </c>
      <c r="L108" s="23">
        <f t="shared" si="45"/>
        <v>0</v>
      </c>
      <c r="M108" s="23">
        <f t="shared" si="46"/>
        <v>0</v>
      </c>
      <c r="N108" s="23">
        <f>IF(K108&gt;0,0,IF(OR(Y108&gt;Z108,AA108&lt;AB108),0,IF(AND(AA108&gt;=AB108,AA108&lt;=Z108),M108*((AA108-AB108)*12),IF(AND(AB108&lt;=Y108,Z108&gt;=Y108),((Z108-Y108)*12)*M108,IF(AA108&gt;Z108,12*M108,0)))))</f>
        <v>0</v>
      </c>
      <c r="O108" s="63">
        <f>IF(Y108&gt;Z108,0,IF(AA108&lt;AB108,L108,IF(AND(AA108&gt;=AB108,AA108&lt;=Z108),(L108-S108),IF(AND(AB108&lt;=Y108,Z108&gt;=Y108),0,IF(AA108&gt;Z108,((AB108-Y108)*12)*M108,0)))))</f>
        <v>0</v>
      </c>
      <c r="P108" s="63">
        <f>IF(K108&gt;0,0,X108+U108*V108)*V108</f>
        <v>0</v>
      </c>
      <c r="Q108" s="23">
        <f>IF(K108&gt;0,(E108-X108)/2,IF(Y108&gt;=AB108,(((E108*T108)*V108)-P108)/2,((((E108*T108)*V108)-X108)+(((E108*T108)*V108)-P108))/2))</f>
        <v>402137.38</v>
      </c>
      <c r="R108" s="23">
        <f>IF(K108=0,0,IF(AND(AC108&gt;=AB108,AC108&lt;=AA108),((AC108-AB108)*12)*M108,0))</f>
        <v>0</v>
      </c>
      <c r="S108" s="23">
        <f>IF(R108&gt;0,R108,N108)</f>
        <v>0</v>
      </c>
      <c r="T108" s="25">
        <v>1</v>
      </c>
      <c r="U108" s="23">
        <f>T108*(N108+R108)</f>
        <v>0</v>
      </c>
      <c r="V108" s="25">
        <v>1</v>
      </c>
      <c r="W108" s="23">
        <f>O108*T108</f>
        <v>0</v>
      </c>
      <c r="X108" s="23">
        <f t="shared" si="47"/>
        <v>0</v>
      </c>
      <c r="Y108" s="64">
        <f t="shared" si="48"/>
        <v>2007</v>
      </c>
      <c r="Z108" s="22">
        <f t="shared" si="49"/>
        <v>2013.5</v>
      </c>
      <c r="AA108" s="64">
        <f t="shared" si="50"/>
        <v>2107</v>
      </c>
      <c r="AB108" s="22">
        <f t="shared" si="51"/>
        <v>2012.5</v>
      </c>
      <c r="AC108" s="22">
        <f t="shared" si="52"/>
        <v>-0.08333333333333333</v>
      </c>
    </row>
    <row r="109" spans="2:29" s="22" customFormat="1" ht="16.5" thickBot="1">
      <c r="B109" s="125"/>
      <c r="C109" s="69"/>
      <c r="D109" s="69"/>
      <c r="E109" s="70"/>
      <c r="F109" s="71"/>
      <c r="G109" s="69"/>
      <c r="H109" s="55"/>
      <c r="I109" s="112"/>
      <c r="J109" s="112"/>
      <c r="K109" s="113"/>
      <c r="L109" s="24"/>
      <c r="M109" s="24"/>
      <c r="N109" s="24"/>
      <c r="O109" s="24"/>
      <c r="P109" s="24"/>
      <c r="Q109" s="24"/>
      <c r="R109" s="24"/>
      <c r="S109" s="24"/>
      <c r="T109" s="74"/>
      <c r="U109" s="24"/>
      <c r="V109" s="74"/>
      <c r="W109" s="24"/>
      <c r="X109" s="24"/>
      <c r="Y109" s="75"/>
      <c r="Z109" s="55"/>
      <c r="AA109" s="75"/>
      <c r="AB109" s="55"/>
      <c r="AC109" s="55"/>
    </row>
    <row r="110" spans="2:29" s="87" customFormat="1" ht="16.5" thickBot="1">
      <c r="B110" s="104" t="s">
        <v>144</v>
      </c>
      <c r="C110" s="77"/>
      <c r="D110" s="77"/>
      <c r="E110" s="78">
        <f>E108</f>
        <v>402137.38</v>
      </c>
      <c r="F110" s="79"/>
      <c r="G110" s="77"/>
      <c r="H110" s="80"/>
      <c r="I110" s="77"/>
      <c r="J110" s="77"/>
      <c r="K110" s="124"/>
      <c r="L110" s="83">
        <f aca="true" t="shared" si="54" ref="L110:S110">L108</f>
        <v>0</v>
      </c>
      <c r="M110" s="83">
        <f t="shared" si="54"/>
        <v>0</v>
      </c>
      <c r="N110" s="83">
        <f t="shared" si="54"/>
        <v>0</v>
      </c>
      <c r="O110" s="83">
        <f t="shared" si="54"/>
        <v>0</v>
      </c>
      <c r="P110" s="83">
        <f t="shared" si="54"/>
        <v>0</v>
      </c>
      <c r="Q110" s="83">
        <f>Q108</f>
        <v>402137.38</v>
      </c>
      <c r="R110" s="83">
        <f t="shared" si="54"/>
        <v>0</v>
      </c>
      <c r="S110" s="83">
        <f t="shared" si="54"/>
        <v>0</v>
      </c>
      <c r="T110" s="84"/>
      <c r="U110" s="83"/>
      <c r="V110" s="84"/>
      <c r="W110" s="83"/>
      <c r="X110" s="83"/>
      <c r="Y110" s="85"/>
      <c r="Z110" s="80"/>
      <c r="AA110" s="85"/>
      <c r="AB110" s="80"/>
      <c r="AC110" s="86"/>
    </row>
    <row r="111" spans="2:29" s="22" customFormat="1" ht="16.5" thickBot="1">
      <c r="B111" s="125"/>
      <c r="C111" s="69"/>
      <c r="D111" s="69"/>
      <c r="E111" s="70"/>
      <c r="F111" s="71"/>
      <c r="G111" s="69"/>
      <c r="H111" s="55"/>
      <c r="I111" s="122">
        <v>0.5</v>
      </c>
      <c r="J111" s="123" t="s">
        <v>148</v>
      </c>
      <c r="K111" s="118"/>
      <c r="L111" s="91"/>
      <c r="M111" s="91"/>
      <c r="N111" s="126">
        <f>I111*N110</f>
        <v>0</v>
      </c>
      <c r="O111" s="91"/>
      <c r="P111" s="91"/>
      <c r="Q111" s="94">
        <f>I111*Q110</f>
        <v>201068.69</v>
      </c>
      <c r="R111" s="24"/>
      <c r="S111" s="24"/>
      <c r="T111" s="74"/>
      <c r="U111" s="24"/>
      <c r="V111" s="74"/>
      <c r="W111" s="24"/>
      <c r="X111" s="24"/>
      <c r="Y111" s="75"/>
      <c r="Z111" s="55"/>
      <c r="AA111" s="75"/>
      <c r="AB111" s="55"/>
      <c r="AC111" s="55"/>
    </row>
    <row r="112" spans="2:29" s="22" customFormat="1" ht="15.75">
      <c r="B112" s="52" t="s">
        <v>0</v>
      </c>
      <c r="C112" s="69"/>
      <c r="D112" s="69"/>
      <c r="E112" s="70"/>
      <c r="F112" s="71"/>
      <c r="G112" s="69"/>
      <c r="H112" s="55"/>
      <c r="I112" s="112"/>
      <c r="J112" s="112"/>
      <c r="K112" s="113"/>
      <c r="L112" s="24"/>
      <c r="M112" s="24"/>
      <c r="N112" s="24"/>
      <c r="O112" s="24"/>
      <c r="P112" s="24"/>
      <c r="Q112" s="24"/>
      <c r="R112" s="24"/>
      <c r="S112" s="24"/>
      <c r="T112" s="74"/>
      <c r="U112" s="24"/>
      <c r="V112" s="74"/>
      <c r="W112" s="24"/>
      <c r="X112" s="24"/>
      <c r="Y112" s="75"/>
      <c r="Z112" s="55"/>
      <c r="AA112" s="75"/>
      <c r="AB112" s="55"/>
      <c r="AC112" s="55"/>
    </row>
    <row r="113" spans="2:29" s="22" customFormat="1" ht="15.75">
      <c r="B113" s="95" t="s">
        <v>1</v>
      </c>
      <c r="C113" s="57">
        <v>5</v>
      </c>
      <c r="D113" s="57">
        <v>2003</v>
      </c>
      <c r="E113" s="58">
        <v>754.68</v>
      </c>
      <c r="F113" s="59">
        <v>0</v>
      </c>
      <c r="G113" s="57">
        <v>15</v>
      </c>
      <c r="H113" s="22">
        <f t="shared" si="44"/>
        <v>2018</v>
      </c>
      <c r="I113" s="96"/>
      <c r="J113" s="96"/>
      <c r="K113" s="97">
        <v>0</v>
      </c>
      <c r="L113" s="23">
        <f t="shared" si="45"/>
        <v>754.68</v>
      </c>
      <c r="M113" s="23">
        <f t="shared" si="46"/>
        <v>4.192666666666667</v>
      </c>
      <c r="N113" s="23">
        <f aca="true" t="shared" si="55" ref="N113:N128">IF(K113&gt;0,0,IF(OR(Y113&gt;Z113,AA113&lt;AB113),0,IF(AND(AA113&gt;=AB113,AA113&lt;=Z113),M113*((AA113-AB113)*12),IF(AND(AB113&lt;=Y113,Z113&gt;=Y113),((Z113-Y113)*12)*M113,IF(AA113&gt;Z113,12*M113,0)))))</f>
        <v>50.312</v>
      </c>
      <c r="O113" s="63">
        <f aca="true" t="shared" si="56" ref="O113:O128">IF(Y113&gt;Z113,0,IF(AA113&lt;AB113,L113,IF(AND(AA113&gt;=AB113,AA113&lt;=Z113),(L113-S113),IF(AND(AB113&lt;=Y113,Z113&gt;=Y113),0,IF(AA113&gt;Z113,((AB113-Y113)*12)*M113,0)))))</f>
        <v>461.19333333333714</v>
      </c>
      <c r="P113" s="63">
        <f aca="true" t="shared" si="57" ref="P113:P128">IF(K113&gt;0,0,X113+U113*V113)*V113</f>
        <v>511.50533333333715</v>
      </c>
      <c r="Q113" s="23">
        <f aca="true" t="shared" si="58" ref="Q113:Q128">IF(K113&gt;0,(E113-X113)/2,IF(Y113&gt;=AB113,(((E113*T113)*V113)-P113)/2,((((E113*T113)*V113)-X113)+(((E113*T113)*V113)-P113))/2))</f>
        <v>268.3306666666628</v>
      </c>
      <c r="R113" s="23">
        <f aca="true" t="shared" si="59" ref="R113:R128">IF(K113=0,0,IF(AND(AC113&gt;=AB113,AC113&lt;=AA113),((AC113-AB113)*12)*M113,0))</f>
        <v>0</v>
      </c>
      <c r="S113" s="23">
        <f aca="true" t="shared" si="60" ref="S113:S128">IF(R113&gt;0,R113,N113)</f>
        <v>50.312</v>
      </c>
      <c r="T113" s="25">
        <v>1</v>
      </c>
      <c r="U113" s="23">
        <f aca="true" t="shared" si="61" ref="U113:U128">T113*(N113+R113)</f>
        <v>50.312</v>
      </c>
      <c r="V113" s="25">
        <v>1</v>
      </c>
      <c r="W113" s="23">
        <f aca="true" t="shared" si="62" ref="W113:W128">O113*T113</f>
        <v>461.19333333333714</v>
      </c>
      <c r="X113" s="23">
        <f t="shared" si="47"/>
        <v>461.19333333333714</v>
      </c>
      <c r="Y113" s="64">
        <f t="shared" si="48"/>
        <v>2003.3333333333333</v>
      </c>
      <c r="Z113" s="22">
        <f t="shared" si="49"/>
        <v>2013.5</v>
      </c>
      <c r="AA113" s="64">
        <f t="shared" si="50"/>
        <v>2018.3333333333333</v>
      </c>
      <c r="AB113" s="22">
        <f t="shared" si="51"/>
        <v>2012.5</v>
      </c>
      <c r="AC113" s="22">
        <f t="shared" si="52"/>
        <v>-0.08333333333333333</v>
      </c>
    </row>
    <row r="114" spans="2:29" s="22" customFormat="1" ht="15.75">
      <c r="B114" s="95" t="s">
        <v>2</v>
      </c>
      <c r="C114" s="57">
        <v>6</v>
      </c>
      <c r="D114" s="57">
        <v>2003</v>
      </c>
      <c r="E114" s="58">
        <v>1124.25</v>
      </c>
      <c r="F114" s="59">
        <v>0</v>
      </c>
      <c r="G114" s="57">
        <v>15</v>
      </c>
      <c r="H114" s="22">
        <f t="shared" si="44"/>
        <v>2018</v>
      </c>
      <c r="I114" s="96"/>
      <c r="J114" s="96"/>
      <c r="K114" s="97">
        <v>0</v>
      </c>
      <c r="L114" s="23">
        <f t="shared" si="45"/>
        <v>1124.25</v>
      </c>
      <c r="M114" s="23">
        <f t="shared" si="46"/>
        <v>6.245833333333334</v>
      </c>
      <c r="N114" s="23">
        <f t="shared" si="55"/>
        <v>74.95</v>
      </c>
      <c r="O114" s="63">
        <f t="shared" si="56"/>
        <v>680.7958333333277</v>
      </c>
      <c r="P114" s="63">
        <f t="shared" si="57"/>
        <v>755.7458333333277</v>
      </c>
      <c r="Q114" s="23">
        <f t="shared" si="58"/>
        <v>405.9791666666723</v>
      </c>
      <c r="R114" s="23">
        <f t="shared" si="59"/>
        <v>0</v>
      </c>
      <c r="S114" s="23">
        <f t="shared" si="60"/>
        <v>74.95</v>
      </c>
      <c r="T114" s="25">
        <v>1</v>
      </c>
      <c r="U114" s="23">
        <f t="shared" si="61"/>
        <v>74.95</v>
      </c>
      <c r="V114" s="25">
        <v>1</v>
      </c>
      <c r="W114" s="23">
        <f t="shared" si="62"/>
        <v>680.7958333333277</v>
      </c>
      <c r="X114" s="23">
        <f t="shared" si="47"/>
        <v>680.7958333333277</v>
      </c>
      <c r="Y114" s="64">
        <f t="shared" si="48"/>
        <v>2003.4166666666667</v>
      </c>
      <c r="Z114" s="22">
        <f t="shared" si="49"/>
        <v>2013.5</v>
      </c>
      <c r="AA114" s="64">
        <f t="shared" si="50"/>
        <v>2018.4166666666667</v>
      </c>
      <c r="AB114" s="22">
        <f t="shared" si="51"/>
        <v>2012.5</v>
      </c>
      <c r="AC114" s="22">
        <f t="shared" si="52"/>
        <v>-0.08333333333333333</v>
      </c>
    </row>
    <row r="115" spans="2:29" s="22" customFormat="1" ht="15.75">
      <c r="B115" s="95" t="s">
        <v>29</v>
      </c>
      <c r="C115" s="57">
        <v>8</v>
      </c>
      <c r="D115" s="57">
        <v>2003</v>
      </c>
      <c r="E115" s="58">
        <v>940.56</v>
      </c>
      <c r="F115" s="59">
        <v>0</v>
      </c>
      <c r="G115" s="57">
        <v>15</v>
      </c>
      <c r="H115" s="22">
        <f t="shared" si="44"/>
        <v>2018</v>
      </c>
      <c r="I115" s="96"/>
      <c r="J115" s="96"/>
      <c r="K115" s="97">
        <v>0</v>
      </c>
      <c r="L115" s="23">
        <f t="shared" si="45"/>
        <v>940.56</v>
      </c>
      <c r="M115" s="23">
        <f t="shared" si="46"/>
        <v>5.2253333333333325</v>
      </c>
      <c r="N115" s="23">
        <f t="shared" si="55"/>
        <v>62.70399999999999</v>
      </c>
      <c r="O115" s="63">
        <f t="shared" si="56"/>
        <v>559.1106666666714</v>
      </c>
      <c r="P115" s="63">
        <f t="shared" si="57"/>
        <v>621.8146666666713</v>
      </c>
      <c r="Q115" s="23">
        <f t="shared" si="58"/>
        <v>350.0973333333286</v>
      </c>
      <c r="R115" s="23">
        <f t="shared" si="59"/>
        <v>0</v>
      </c>
      <c r="S115" s="23">
        <f t="shared" si="60"/>
        <v>62.70399999999999</v>
      </c>
      <c r="T115" s="25">
        <v>1</v>
      </c>
      <c r="U115" s="23">
        <f t="shared" si="61"/>
        <v>62.70399999999999</v>
      </c>
      <c r="V115" s="25">
        <v>1</v>
      </c>
      <c r="W115" s="23">
        <f t="shared" si="62"/>
        <v>559.1106666666714</v>
      </c>
      <c r="X115" s="23">
        <f t="shared" si="47"/>
        <v>559.1106666666714</v>
      </c>
      <c r="Y115" s="64">
        <f t="shared" si="48"/>
        <v>2003.5833333333333</v>
      </c>
      <c r="Z115" s="22">
        <f t="shared" si="49"/>
        <v>2013.5</v>
      </c>
      <c r="AA115" s="64">
        <f t="shared" si="50"/>
        <v>2018.5833333333333</v>
      </c>
      <c r="AB115" s="22">
        <f t="shared" si="51"/>
        <v>2012.5</v>
      </c>
      <c r="AC115" s="22">
        <f t="shared" si="52"/>
        <v>-0.08333333333333333</v>
      </c>
    </row>
    <row r="116" spans="2:29" s="22" customFormat="1" ht="15.75">
      <c r="B116" s="95" t="s">
        <v>30</v>
      </c>
      <c r="C116" s="57">
        <v>9</v>
      </c>
      <c r="D116" s="57">
        <v>2003</v>
      </c>
      <c r="E116" s="58">
        <v>1221.49</v>
      </c>
      <c r="F116" s="59">
        <v>0</v>
      </c>
      <c r="G116" s="57">
        <v>15</v>
      </c>
      <c r="H116" s="22">
        <f t="shared" si="44"/>
        <v>2018</v>
      </c>
      <c r="I116" s="96"/>
      <c r="J116" s="96"/>
      <c r="K116" s="97">
        <v>0</v>
      </c>
      <c r="L116" s="23">
        <f t="shared" si="45"/>
        <v>1221.49</v>
      </c>
      <c r="M116" s="23">
        <f t="shared" si="46"/>
        <v>6.7860555555555555</v>
      </c>
      <c r="N116" s="23">
        <f t="shared" si="55"/>
        <v>81.43266666666666</v>
      </c>
      <c r="O116" s="63">
        <f t="shared" si="56"/>
        <v>719.3218888888828</v>
      </c>
      <c r="P116" s="63">
        <f t="shared" si="57"/>
        <v>800.7545555555495</v>
      </c>
      <c r="Q116" s="23">
        <f t="shared" si="58"/>
        <v>461.4517777777839</v>
      </c>
      <c r="R116" s="23">
        <f t="shared" si="59"/>
        <v>0</v>
      </c>
      <c r="S116" s="23">
        <f t="shared" si="60"/>
        <v>81.43266666666666</v>
      </c>
      <c r="T116" s="25">
        <v>1</v>
      </c>
      <c r="U116" s="23">
        <f t="shared" si="61"/>
        <v>81.43266666666666</v>
      </c>
      <c r="V116" s="25">
        <v>1</v>
      </c>
      <c r="W116" s="23">
        <f t="shared" si="62"/>
        <v>719.3218888888828</v>
      </c>
      <c r="X116" s="23">
        <f t="shared" si="47"/>
        <v>719.3218888888828</v>
      </c>
      <c r="Y116" s="64">
        <f t="shared" si="48"/>
        <v>2003.6666666666667</v>
      </c>
      <c r="Z116" s="22">
        <f t="shared" si="49"/>
        <v>2013.5</v>
      </c>
      <c r="AA116" s="64">
        <f t="shared" si="50"/>
        <v>2018.6666666666667</v>
      </c>
      <c r="AB116" s="22">
        <f t="shared" si="51"/>
        <v>2012.5</v>
      </c>
      <c r="AC116" s="22">
        <f t="shared" si="52"/>
        <v>-0.08333333333333333</v>
      </c>
    </row>
    <row r="117" spans="2:29" s="22" customFormat="1" ht="15.75">
      <c r="B117" s="95" t="s">
        <v>31</v>
      </c>
      <c r="C117" s="57">
        <v>9</v>
      </c>
      <c r="D117" s="57">
        <v>2003</v>
      </c>
      <c r="E117" s="58">
        <v>1704.53</v>
      </c>
      <c r="F117" s="59">
        <v>0</v>
      </c>
      <c r="G117" s="57">
        <v>15</v>
      </c>
      <c r="H117" s="22">
        <f t="shared" si="44"/>
        <v>2018</v>
      </c>
      <c r="I117" s="96"/>
      <c r="J117" s="96"/>
      <c r="K117" s="97">
        <v>0</v>
      </c>
      <c r="L117" s="23">
        <f t="shared" si="45"/>
        <v>1704.53</v>
      </c>
      <c r="M117" s="23">
        <f t="shared" si="46"/>
        <v>9.469611111111112</v>
      </c>
      <c r="N117" s="23">
        <f t="shared" si="55"/>
        <v>113.63533333333334</v>
      </c>
      <c r="O117" s="63">
        <f t="shared" si="56"/>
        <v>1003.7787777777693</v>
      </c>
      <c r="P117" s="63">
        <f t="shared" si="57"/>
        <v>1117.4141111111026</v>
      </c>
      <c r="Q117" s="23">
        <f t="shared" si="58"/>
        <v>643.933555555564</v>
      </c>
      <c r="R117" s="23">
        <f t="shared" si="59"/>
        <v>0</v>
      </c>
      <c r="S117" s="23">
        <f t="shared" si="60"/>
        <v>113.63533333333334</v>
      </c>
      <c r="T117" s="25">
        <v>1</v>
      </c>
      <c r="U117" s="23">
        <f t="shared" si="61"/>
        <v>113.63533333333334</v>
      </c>
      <c r="V117" s="25">
        <v>1</v>
      </c>
      <c r="W117" s="23">
        <f t="shared" si="62"/>
        <v>1003.7787777777693</v>
      </c>
      <c r="X117" s="23">
        <f t="shared" si="47"/>
        <v>1003.7787777777693</v>
      </c>
      <c r="Y117" s="64">
        <f t="shared" si="48"/>
        <v>2003.6666666666667</v>
      </c>
      <c r="Z117" s="22">
        <f t="shared" si="49"/>
        <v>2013.5</v>
      </c>
      <c r="AA117" s="64">
        <f t="shared" si="50"/>
        <v>2018.6666666666667</v>
      </c>
      <c r="AB117" s="22">
        <f t="shared" si="51"/>
        <v>2012.5</v>
      </c>
      <c r="AC117" s="22">
        <f t="shared" si="52"/>
        <v>-0.08333333333333333</v>
      </c>
    </row>
    <row r="118" spans="2:29" s="22" customFormat="1" ht="15.75">
      <c r="B118" s="95" t="s">
        <v>32</v>
      </c>
      <c r="C118" s="57">
        <v>10</v>
      </c>
      <c r="D118" s="57">
        <v>2003</v>
      </c>
      <c r="E118" s="58">
        <v>1248.03</v>
      </c>
      <c r="F118" s="59">
        <v>0</v>
      </c>
      <c r="G118" s="57">
        <v>15</v>
      </c>
      <c r="H118" s="22">
        <f t="shared" si="44"/>
        <v>2018</v>
      </c>
      <c r="I118" s="96"/>
      <c r="J118" s="96"/>
      <c r="K118" s="97">
        <v>0</v>
      </c>
      <c r="L118" s="23">
        <f t="shared" si="45"/>
        <v>1248.03</v>
      </c>
      <c r="M118" s="23">
        <f t="shared" si="46"/>
        <v>6.9334999999999996</v>
      </c>
      <c r="N118" s="23">
        <f t="shared" si="55"/>
        <v>83.202</v>
      </c>
      <c r="O118" s="63">
        <f t="shared" si="56"/>
        <v>728.0174999999999</v>
      </c>
      <c r="P118" s="63">
        <f t="shared" si="57"/>
        <v>811.2194999999999</v>
      </c>
      <c r="Q118" s="23">
        <f t="shared" si="58"/>
        <v>478.41150000000005</v>
      </c>
      <c r="R118" s="23">
        <f t="shared" si="59"/>
        <v>0</v>
      </c>
      <c r="S118" s="23">
        <f t="shared" si="60"/>
        <v>83.202</v>
      </c>
      <c r="T118" s="25">
        <v>1</v>
      </c>
      <c r="U118" s="23">
        <f t="shared" si="61"/>
        <v>83.202</v>
      </c>
      <c r="V118" s="25">
        <v>1</v>
      </c>
      <c r="W118" s="23">
        <f t="shared" si="62"/>
        <v>728.0174999999999</v>
      </c>
      <c r="X118" s="23">
        <f t="shared" si="47"/>
        <v>728.0174999999999</v>
      </c>
      <c r="Y118" s="64">
        <f t="shared" si="48"/>
        <v>2003.75</v>
      </c>
      <c r="Z118" s="22">
        <f t="shared" si="49"/>
        <v>2013.5</v>
      </c>
      <c r="AA118" s="64">
        <f t="shared" si="50"/>
        <v>2018.75</v>
      </c>
      <c r="AB118" s="22">
        <f t="shared" si="51"/>
        <v>2012.5</v>
      </c>
      <c r="AC118" s="22">
        <f t="shared" si="52"/>
        <v>-0.08333333333333333</v>
      </c>
    </row>
    <row r="119" spans="2:29" s="22" customFormat="1" ht="15.75">
      <c r="B119" s="95" t="s">
        <v>62</v>
      </c>
      <c r="C119" s="57">
        <v>8</v>
      </c>
      <c r="D119" s="57">
        <v>2003</v>
      </c>
      <c r="E119" s="58">
        <v>940.57</v>
      </c>
      <c r="F119" s="59">
        <v>0</v>
      </c>
      <c r="G119" s="57">
        <v>15</v>
      </c>
      <c r="H119" s="22">
        <f t="shared" si="44"/>
        <v>2018</v>
      </c>
      <c r="I119" s="96"/>
      <c r="J119" s="96"/>
      <c r="K119" s="97">
        <v>0</v>
      </c>
      <c r="L119" s="23">
        <f t="shared" si="45"/>
        <v>940.57</v>
      </c>
      <c r="M119" s="23">
        <f t="shared" si="46"/>
        <v>5.225388888888889</v>
      </c>
      <c r="N119" s="23">
        <f t="shared" si="55"/>
        <v>62.70466666666667</v>
      </c>
      <c r="O119" s="63">
        <f t="shared" si="56"/>
        <v>559.116611111116</v>
      </c>
      <c r="P119" s="63">
        <f t="shared" si="57"/>
        <v>621.8212777777826</v>
      </c>
      <c r="Q119" s="23">
        <f t="shared" si="58"/>
        <v>350.1010555555508</v>
      </c>
      <c r="R119" s="23">
        <f t="shared" si="59"/>
        <v>0</v>
      </c>
      <c r="S119" s="23">
        <f t="shared" si="60"/>
        <v>62.70466666666667</v>
      </c>
      <c r="T119" s="25">
        <v>1</v>
      </c>
      <c r="U119" s="23">
        <f t="shared" si="61"/>
        <v>62.70466666666667</v>
      </c>
      <c r="V119" s="25">
        <v>1</v>
      </c>
      <c r="W119" s="23">
        <f t="shared" si="62"/>
        <v>559.116611111116</v>
      </c>
      <c r="X119" s="23">
        <f t="shared" si="47"/>
        <v>559.116611111116</v>
      </c>
      <c r="Y119" s="64">
        <f t="shared" si="48"/>
        <v>2003.5833333333333</v>
      </c>
      <c r="Z119" s="22">
        <f t="shared" si="49"/>
        <v>2013.5</v>
      </c>
      <c r="AA119" s="64">
        <f t="shared" si="50"/>
        <v>2018.5833333333333</v>
      </c>
      <c r="AB119" s="22">
        <f t="shared" si="51"/>
        <v>2012.5</v>
      </c>
      <c r="AC119" s="22">
        <f t="shared" si="52"/>
        <v>-0.08333333333333333</v>
      </c>
    </row>
    <row r="120" spans="2:29" s="22" customFormat="1" ht="15.75">
      <c r="B120" s="95" t="s">
        <v>63</v>
      </c>
      <c r="C120" s="57">
        <v>7</v>
      </c>
      <c r="D120" s="57">
        <v>2003</v>
      </c>
      <c r="E120" s="58">
        <v>1162.08</v>
      </c>
      <c r="F120" s="59">
        <v>0</v>
      </c>
      <c r="G120" s="57">
        <v>15</v>
      </c>
      <c r="H120" s="22">
        <f t="shared" si="44"/>
        <v>2018</v>
      </c>
      <c r="I120" s="96"/>
      <c r="J120" s="96"/>
      <c r="K120" s="97">
        <v>0</v>
      </c>
      <c r="L120" s="23">
        <f t="shared" si="45"/>
        <v>1162.08</v>
      </c>
      <c r="M120" s="23">
        <f t="shared" si="46"/>
        <v>6.4559999999999995</v>
      </c>
      <c r="N120" s="23">
        <f t="shared" si="55"/>
        <v>77.472</v>
      </c>
      <c r="O120" s="63">
        <f t="shared" si="56"/>
        <v>697.2479999999999</v>
      </c>
      <c r="P120" s="63">
        <f t="shared" si="57"/>
        <v>774.7199999999999</v>
      </c>
      <c r="Q120" s="23">
        <f t="shared" si="58"/>
        <v>426.096</v>
      </c>
      <c r="R120" s="23">
        <f t="shared" si="59"/>
        <v>0</v>
      </c>
      <c r="S120" s="23">
        <f t="shared" si="60"/>
        <v>77.472</v>
      </c>
      <c r="T120" s="25">
        <v>1</v>
      </c>
      <c r="U120" s="23">
        <f t="shared" si="61"/>
        <v>77.472</v>
      </c>
      <c r="V120" s="25">
        <v>1</v>
      </c>
      <c r="W120" s="23">
        <f t="shared" si="62"/>
        <v>697.2479999999999</v>
      </c>
      <c r="X120" s="23">
        <f t="shared" si="47"/>
        <v>697.2479999999999</v>
      </c>
      <c r="Y120" s="64">
        <f t="shared" si="48"/>
        <v>2003.5</v>
      </c>
      <c r="Z120" s="22">
        <f t="shared" si="49"/>
        <v>2013.5</v>
      </c>
      <c r="AA120" s="64">
        <f t="shared" si="50"/>
        <v>2018.5</v>
      </c>
      <c r="AB120" s="22">
        <f t="shared" si="51"/>
        <v>2012.5</v>
      </c>
      <c r="AC120" s="22">
        <f t="shared" si="52"/>
        <v>-0.08333333333333333</v>
      </c>
    </row>
    <row r="121" spans="2:29" s="22" customFormat="1" ht="15.75">
      <c r="B121" s="95" t="s">
        <v>62</v>
      </c>
      <c r="C121" s="57">
        <v>8</v>
      </c>
      <c r="D121" s="57">
        <v>2003</v>
      </c>
      <c r="E121" s="58">
        <v>940.57</v>
      </c>
      <c r="F121" s="59">
        <v>0</v>
      </c>
      <c r="G121" s="57">
        <v>15</v>
      </c>
      <c r="H121" s="22">
        <f t="shared" si="44"/>
        <v>2018</v>
      </c>
      <c r="I121" s="96"/>
      <c r="J121" s="96"/>
      <c r="K121" s="97">
        <v>0</v>
      </c>
      <c r="L121" s="23">
        <f t="shared" si="45"/>
        <v>940.57</v>
      </c>
      <c r="M121" s="23">
        <f t="shared" si="46"/>
        <v>5.225388888888889</v>
      </c>
      <c r="N121" s="23">
        <f t="shared" si="55"/>
        <v>62.70466666666667</v>
      </c>
      <c r="O121" s="63">
        <f t="shared" si="56"/>
        <v>559.116611111116</v>
      </c>
      <c r="P121" s="63">
        <f t="shared" si="57"/>
        <v>621.8212777777826</v>
      </c>
      <c r="Q121" s="23">
        <f t="shared" si="58"/>
        <v>350.1010555555508</v>
      </c>
      <c r="R121" s="23">
        <f t="shared" si="59"/>
        <v>0</v>
      </c>
      <c r="S121" s="23">
        <f t="shared" si="60"/>
        <v>62.70466666666667</v>
      </c>
      <c r="T121" s="25">
        <v>1</v>
      </c>
      <c r="U121" s="23">
        <f t="shared" si="61"/>
        <v>62.70466666666667</v>
      </c>
      <c r="V121" s="25">
        <v>1</v>
      </c>
      <c r="W121" s="23">
        <f t="shared" si="62"/>
        <v>559.116611111116</v>
      </c>
      <c r="X121" s="23">
        <f t="shared" si="47"/>
        <v>559.116611111116</v>
      </c>
      <c r="Y121" s="64">
        <f t="shared" si="48"/>
        <v>2003.5833333333333</v>
      </c>
      <c r="Z121" s="22">
        <f t="shared" si="49"/>
        <v>2013.5</v>
      </c>
      <c r="AA121" s="64">
        <f t="shared" si="50"/>
        <v>2018.5833333333333</v>
      </c>
      <c r="AB121" s="22">
        <f t="shared" si="51"/>
        <v>2012.5</v>
      </c>
      <c r="AC121" s="22">
        <f t="shared" si="52"/>
        <v>-0.08333333333333333</v>
      </c>
    </row>
    <row r="122" spans="2:29" s="22" customFormat="1" ht="15.75">
      <c r="B122" s="95" t="s">
        <v>62</v>
      </c>
      <c r="C122" s="57">
        <v>9</v>
      </c>
      <c r="D122" s="57">
        <v>2003</v>
      </c>
      <c r="E122" s="58">
        <v>1221.49</v>
      </c>
      <c r="F122" s="59">
        <v>0</v>
      </c>
      <c r="G122" s="57">
        <v>15</v>
      </c>
      <c r="H122" s="22">
        <f t="shared" si="44"/>
        <v>2018</v>
      </c>
      <c r="I122" s="96"/>
      <c r="J122" s="96"/>
      <c r="K122" s="97">
        <v>0</v>
      </c>
      <c r="L122" s="23">
        <f t="shared" si="45"/>
        <v>1221.49</v>
      </c>
      <c r="M122" s="23">
        <f t="shared" si="46"/>
        <v>6.7860555555555555</v>
      </c>
      <c r="N122" s="23">
        <f t="shared" si="55"/>
        <v>81.43266666666666</v>
      </c>
      <c r="O122" s="63">
        <f t="shared" si="56"/>
        <v>719.3218888888828</v>
      </c>
      <c r="P122" s="63">
        <f t="shared" si="57"/>
        <v>800.7545555555495</v>
      </c>
      <c r="Q122" s="23">
        <f t="shared" si="58"/>
        <v>461.4517777777839</v>
      </c>
      <c r="R122" s="23">
        <f t="shared" si="59"/>
        <v>0</v>
      </c>
      <c r="S122" s="23">
        <f t="shared" si="60"/>
        <v>81.43266666666666</v>
      </c>
      <c r="T122" s="25">
        <v>1</v>
      </c>
      <c r="U122" s="23">
        <f t="shared" si="61"/>
        <v>81.43266666666666</v>
      </c>
      <c r="V122" s="25">
        <v>1</v>
      </c>
      <c r="W122" s="23">
        <f t="shared" si="62"/>
        <v>719.3218888888828</v>
      </c>
      <c r="X122" s="23">
        <f t="shared" si="47"/>
        <v>719.3218888888828</v>
      </c>
      <c r="Y122" s="64">
        <f>(+$D122+(($C122-1)/12))</f>
        <v>2003.6666666666667</v>
      </c>
      <c r="Z122" s="22">
        <f>($G$7+1)-($D$7/12)</f>
        <v>2013.5</v>
      </c>
      <c r="AA122" s="64">
        <f>$H122+(($C122-1)/12)</f>
        <v>2018.6666666666667</v>
      </c>
      <c r="AB122" s="22">
        <f>$E$7+($F$7/12)</f>
        <v>2012.5</v>
      </c>
      <c r="AC122" s="22">
        <f>$J122+(($I122-1)/12)</f>
        <v>-0.08333333333333333</v>
      </c>
    </row>
    <row r="123" spans="2:29" s="22" customFormat="1" ht="15.75">
      <c r="B123" s="95" t="s">
        <v>64</v>
      </c>
      <c r="C123" s="57">
        <v>9</v>
      </c>
      <c r="D123" s="57">
        <v>2003</v>
      </c>
      <c r="E123" s="58">
        <v>1704.53</v>
      </c>
      <c r="F123" s="59">
        <v>0</v>
      </c>
      <c r="G123" s="57">
        <v>15</v>
      </c>
      <c r="H123" s="22">
        <f>D123+G123</f>
        <v>2018</v>
      </c>
      <c r="I123" s="96"/>
      <c r="J123" s="96"/>
      <c r="K123" s="97">
        <v>0</v>
      </c>
      <c r="L123" s="23">
        <f t="shared" si="45"/>
        <v>1704.53</v>
      </c>
      <c r="M123" s="23">
        <f t="shared" si="46"/>
        <v>9.469611111111112</v>
      </c>
      <c r="N123" s="23">
        <f t="shared" si="55"/>
        <v>113.63533333333334</v>
      </c>
      <c r="O123" s="63">
        <f t="shared" si="56"/>
        <v>1003.7787777777693</v>
      </c>
      <c r="P123" s="63">
        <f t="shared" si="57"/>
        <v>1117.4141111111026</v>
      </c>
      <c r="Q123" s="23">
        <f t="shared" si="58"/>
        <v>643.933555555564</v>
      </c>
      <c r="R123" s="23">
        <f t="shared" si="59"/>
        <v>0</v>
      </c>
      <c r="S123" s="23">
        <f t="shared" si="60"/>
        <v>113.63533333333334</v>
      </c>
      <c r="T123" s="25">
        <v>1</v>
      </c>
      <c r="U123" s="23">
        <f t="shared" si="61"/>
        <v>113.63533333333334</v>
      </c>
      <c r="V123" s="25">
        <v>1</v>
      </c>
      <c r="W123" s="23">
        <f t="shared" si="62"/>
        <v>1003.7787777777693</v>
      </c>
      <c r="X123" s="23">
        <f t="shared" si="47"/>
        <v>1003.7787777777693</v>
      </c>
      <c r="Y123" s="64">
        <f t="shared" si="48"/>
        <v>2003.6666666666667</v>
      </c>
      <c r="Z123" s="22">
        <f t="shared" si="49"/>
        <v>2013.5</v>
      </c>
      <c r="AA123" s="64">
        <f t="shared" si="50"/>
        <v>2018.6666666666667</v>
      </c>
      <c r="AB123" s="22">
        <f t="shared" si="51"/>
        <v>2012.5</v>
      </c>
      <c r="AC123" s="22">
        <f t="shared" si="52"/>
        <v>-0.08333333333333333</v>
      </c>
    </row>
    <row r="124" spans="2:29" s="22" customFormat="1" ht="15.75">
      <c r="B124" s="95" t="s">
        <v>65</v>
      </c>
      <c r="C124" s="57">
        <v>10</v>
      </c>
      <c r="D124" s="57">
        <v>2003</v>
      </c>
      <c r="E124" s="58">
        <v>1248.03</v>
      </c>
      <c r="F124" s="59">
        <v>0</v>
      </c>
      <c r="G124" s="57">
        <v>15</v>
      </c>
      <c r="H124" s="22">
        <f t="shared" si="44"/>
        <v>2018</v>
      </c>
      <c r="I124" s="96"/>
      <c r="J124" s="96"/>
      <c r="K124" s="97">
        <v>0</v>
      </c>
      <c r="L124" s="275">
        <f>E124-E124*F124</f>
        <v>1248.03</v>
      </c>
      <c r="M124" s="23">
        <f t="shared" si="46"/>
        <v>6.9334999999999996</v>
      </c>
      <c r="N124" s="23">
        <f>IF(K124&gt;0,0,IF(OR(Y124&gt;Z124,AA124&lt;AB124),0,IF(AND(AA124&gt;=AB124,AA124&lt;=Z124),M124*((AA124-AB124)*12),IF(AND(AB124&lt;=Y124,Z124&gt;=Y124),((Z124-Y124)*12)*M124,IF(AA124&gt;Z124,12*M124,0)))))</f>
        <v>83.202</v>
      </c>
      <c r="O124" s="63">
        <f>IF(Y124&gt;Z124,0,IF(AA124&lt;AB124,L124,IF(AND(AA124&gt;=AB124,AA124&lt;=Z124),(L124-S124),IF(AND(AB124&lt;=Y124,Z124&gt;=Y124),0,IF(AA124&gt;Z124,((AB124-Y124)*12)*M124,0)))))</f>
        <v>728.0174999999999</v>
      </c>
      <c r="P124" s="63">
        <f>IF(K124&gt;0,0,X124+U124*V124)*V124</f>
        <v>811.2194999999999</v>
      </c>
      <c r="Q124" s="23">
        <f>IF(K124&gt;0,(E124-X124)/2,IF(Y124&gt;=AB124,(((E124*T124)*V124)-P124)/2,((((E124*T124)*V124)-X124)+(((E124*T124)*V124)-P124))/2))</f>
        <v>478.41150000000005</v>
      </c>
      <c r="R124" s="23">
        <f>IF(K124=0,0,IF(AND(AC124&gt;=AB124,AC124&lt;=AA124),((AC124-AB124)*12)*M124,0))</f>
        <v>0</v>
      </c>
      <c r="S124" s="23">
        <f>IF(R124&gt;0,R124,N124)</f>
        <v>83.202</v>
      </c>
      <c r="T124" s="25">
        <v>1</v>
      </c>
      <c r="U124" s="275">
        <f>T124*(N124+R124)</f>
        <v>83.202</v>
      </c>
      <c r="V124" s="25">
        <v>1</v>
      </c>
      <c r="W124" s="23">
        <f t="shared" si="62"/>
        <v>728.0174999999999</v>
      </c>
      <c r="X124" s="23">
        <f t="shared" si="47"/>
        <v>728.0174999999999</v>
      </c>
      <c r="Y124" s="64">
        <f t="shared" si="48"/>
        <v>2003.75</v>
      </c>
      <c r="Z124" s="22">
        <f t="shared" si="49"/>
        <v>2013.5</v>
      </c>
      <c r="AA124" s="64">
        <f t="shared" si="50"/>
        <v>2018.75</v>
      </c>
      <c r="AB124" s="22">
        <f t="shared" si="51"/>
        <v>2012.5</v>
      </c>
      <c r="AC124" s="22">
        <f t="shared" si="52"/>
        <v>-0.08333333333333333</v>
      </c>
    </row>
    <row r="125" spans="2:29" s="22" customFormat="1" ht="15.75">
      <c r="B125" s="95" t="s">
        <v>72</v>
      </c>
      <c r="C125" s="57">
        <v>6</v>
      </c>
      <c r="D125" s="57">
        <v>2001</v>
      </c>
      <c r="E125" s="58">
        <v>111236.54</v>
      </c>
      <c r="F125" s="59">
        <v>1</v>
      </c>
      <c r="G125" s="57">
        <v>100</v>
      </c>
      <c r="H125" s="22">
        <f t="shared" si="44"/>
        <v>2101</v>
      </c>
      <c r="I125" s="96"/>
      <c r="J125" s="96"/>
      <c r="K125" s="97">
        <v>0</v>
      </c>
      <c r="L125" s="23">
        <f t="shared" si="45"/>
        <v>0</v>
      </c>
      <c r="M125" s="23">
        <f t="shared" si="46"/>
        <v>0</v>
      </c>
      <c r="N125" s="23">
        <f t="shared" si="55"/>
        <v>0</v>
      </c>
      <c r="O125" s="63">
        <f t="shared" si="56"/>
        <v>0</v>
      </c>
      <c r="P125" s="63">
        <f t="shared" si="57"/>
        <v>0</v>
      </c>
      <c r="Q125" s="23">
        <f t="shared" si="58"/>
        <v>111236.54</v>
      </c>
      <c r="R125" s="23">
        <f t="shared" si="59"/>
        <v>0</v>
      </c>
      <c r="S125" s="23">
        <f t="shared" si="60"/>
        <v>0</v>
      </c>
      <c r="T125" s="25">
        <v>1</v>
      </c>
      <c r="U125" s="23">
        <f t="shared" si="61"/>
        <v>0</v>
      </c>
      <c r="V125" s="25">
        <v>1</v>
      </c>
      <c r="W125" s="23">
        <f t="shared" si="62"/>
        <v>0</v>
      </c>
      <c r="X125" s="23">
        <f t="shared" si="47"/>
        <v>0</v>
      </c>
      <c r="Y125" s="64">
        <f t="shared" si="48"/>
        <v>2001.4166666666667</v>
      </c>
      <c r="Z125" s="22">
        <f t="shared" si="49"/>
        <v>2013.5</v>
      </c>
      <c r="AA125" s="64">
        <f t="shared" si="50"/>
        <v>2101.4166666666665</v>
      </c>
      <c r="AB125" s="22">
        <f t="shared" si="51"/>
        <v>2012.5</v>
      </c>
      <c r="AC125" s="22">
        <f t="shared" si="52"/>
        <v>-0.08333333333333333</v>
      </c>
    </row>
    <row r="126" spans="2:29" s="22" customFormat="1" ht="15.75">
      <c r="B126" s="95" t="s">
        <v>73</v>
      </c>
      <c r="C126" s="57">
        <v>6</v>
      </c>
      <c r="D126" s="57">
        <v>2003</v>
      </c>
      <c r="E126" s="58">
        <v>11754.22</v>
      </c>
      <c r="F126" s="59">
        <v>0</v>
      </c>
      <c r="G126" s="57">
        <v>15</v>
      </c>
      <c r="H126" s="22">
        <f t="shared" si="44"/>
        <v>2018</v>
      </c>
      <c r="I126" s="96"/>
      <c r="J126" s="96"/>
      <c r="K126" s="97">
        <v>0</v>
      </c>
      <c r="L126" s="23">
        <f t="shared" si="45"/>
        <v>11754.22</v>
      </c>
      <c r="M126" s="23">
        <f t="shared" si="46"/>
        <v>65.30122222222222</v>
      </c>
      <c r="N126" s="23">
        <f t="shared" si="55"/>
        <v>783.6146666666666</v>
      </c>
      <c r="O126" s="63">
        <f t="shared" si="56"/>
        <v>7117.8332222221625</v>
      </c>
      <c r="P126" s="63">
        <f t="shared" si="57"/>
        <v>7901.447888888829</v>
      </c>
      <c r="Q126" s="23">
        <f t="shared" si="58"/>
        <v>4244.579444444504</v>
      </c>
      <c r="R126" s="23">
        <f t="shared" si="59"/>
        <v>0</v>
      </c>
      <c r="S126" s="23">
        <f t="shared" si="60"/>
        <v>783.6146666666666</v>
      </c>
      <c r="T126" s="25">
        <v>1</v>
      </c>
      <c r="U126" s="23">
        <f t="shared" si="61"/>
        <v>783.6146666666666</v>
      </c>
      <c r="V126" s="25">
        <v>1</v>
      </c>
      <c r="W126" s="23">
        <f t="shared" si="62"/>
        <v>7117.8332222221625</v>
      </c>
      <c r="X126" s="23">
        <f t="shared" si="47"/>
        <v>7117.8332222221625</v>
      </c>
      <c r="Y126" s="64">
        <f t="shared" si="48"/>
        <v>2003.4166666666667</v>
      </c>
      <c r="Z126" s="22">
        <f t="shared" si="49"/>
        <v>2013.5</v>
      </c>
      <c r="AA126" s="64">
        <f t="shared" si="50"/>
        <v>2018.4166666666667</v>
      </c>
      <c r="AB126" s="22">
        <f t="shared" si="51"/>
        <v>2012.5</v>
      </c>
      <c r="AC126" s="22">
        <f t="shared" si="52"/>
        <v>-0.08333333333333333</v>
      </c>
    </row>
    <row r="127" spans="2:29" s="22" customFormat="1" ht="15.75">
      <c r="B127" s="95" t="s">
        <v>74</v>
      </c>
      <c r="C127" s="57">
        <v>9</v>
      </c>
      <c r="D127" s="57">
        <v>2003</v>
      </c>
      <c r="E127" s="58">
        <v>7363.46</v>
      </c>
      <c r="F127" s="59">
        <v>0</v>
      </c>
      <c r="G127" s="57">
        <v>15</v>
      </c>
      <c r="H127" s="22">
        <f t="shared" si="44"/>
        <v>2018</v>
      </c>
      <c r="I127" s="96"/>
      <c r="J127" s="96"/>
      <c r="K127" s="97">
        <v>0</v>
      </c>
      <c r="L127" s="23">
        <f t="shared" si="45"/>
        <v>7363.46</v>
      </c>
      <c r="M127" s="23">
        <f t="shared" si="46"/>
        <v>40.90811111111111</v>
      </c>
      <c r="N127" s="23">
        <f t="shared" si="55"/>
        <v>490.89733333333334</v>
      </c>
      <c r="O127" s="63">
        <f t="shared" si="56"/>
        <v>4336.259777777741</v>
      </c>
      <c r="P127" s="63">
        <f t="shared" si="57"/>
        <v>4827.157111111074</v>
      </c>
      <c r="Q127" s="23">
        <f t="shared" si="58"/>
        <v>2781.7515555555924</v>
      </c>
      <c r="R127" s="23">
        <f t="shared" si="59"/>
        <v>0</v>
      </c>
      <c r="S127" s="23">
        <f t="shared" si="60"/>
        <v>490.89733333333334</v>
      </c>
      <c r="T127" s="25">
        <v>1</v>
      </c>
      <c r="U127" s="23">
        <f t="shared" si="61"/>
        <v>490.89733333333334</v>
      </c>
      <c r="V127" s="25">
        <v>1</v>
      </c>
      <c r="W127" s="23">
        <f t="shared" si="62"/>
        <v>4336.259777777741</v>
      </c>
      <c r="X127" s="23">
        <f t="shared" si="47"/>
        <v>4336.259777777741</v>
      </c>
      <c r="Y127" s="64">
        <f t="shared" si="48"/>
        <v>2003.6666666666667</v>
      </c>
      <c r="Z127" s="22">
        <f t="shared" si="49"/>
        <v>2013.5</v>
      </c>
      <c r="AA127" s="64">
        <f t="shared" si="50"/>
        <v>2018.6666666666667</v>
      </c>
      <c r="AB127" s="22">
        <f t="shared" si="51"/>
        <v>2012.5</v>
      </c>
      <c r="AC127" s="22">
        <f t="shared" si="52"/>
        <v>-0.08333333333333333</v>
      </c>
    </row>
    <row r="128" spans="2:29" s="22" customFormat="1" ht="15.75">
      <c r="B128" s="95" t="s">
        <v>75</v>
      </c>
      <c r="C128" s="57">
        <v>10</v>
      </c>
      <c r="D128" s="57">
        <v>2003</v>
      </c>
      <c r="E128" s="58">
        <v>8698.16</v>
      </c>
      <c r="F128" s="59">
        <v>0</v>
      </c>
      <c r="G128" s="57">
        <v>15</v>
      </c>
      <c r="H128" s="22">
        <f t="shared" si="44"/>
        <v>2018</v>
      </c>
      <c r="I128" s="96"/>
      <c r="J128" s="96"/>
      <c r="K128" s="97">
        <v>0</v>
      </c>
      <c r="L128" s="23">
        <f t="shared" si="45"/>
        <v>8698.16</v>
      </c>
      <c r="M128" s="23">
        <f t="shared" si="46"/>
        <v>48.32311111111111</v>
      </c>
      <c r="N128" s="23">
        <f t="shared" si="55"/>
        <v>579.8773333333334</v>
      </c>
      <c r="O128" s="63">
        <f t="shared" si="56"/>
        <v>5073.926666666666</v>
      </c>
      <c r="P128" s="63">
        <f t="shared" si="57"/>
        <v>5653.804</v>
      </c>
      <c r="Q128" s="23">
        <f t="shared" si="58"/>
        <v>3334.2946666666667</v>
      </c>
      <c r="R128" s="23">
        <f t="shared" si="59"/>
        <v>0</v>
      </c>
      <c r="S128" s="23">
        <f t="shared" si="60"/>
        <v>579.8773333333334</v>
      </c>
      <c r="T128" s="25">
        <v>1</v>
      </c>
      <c r="U128" s="23">
        <f t="shared" si="61"/>
        <v>579.8773333333334</v>
      </c>
      <c r="V128" s="25">
        <v>1</v>
      </c>
      <c r="W128" s="23">
        <f t="shared" si="62"/>
        <v>5073.926666666666</v>
      </c>
      <c r="X128" s="23">
        <f t="shared" si="47"/>
        <v>5073.926666666666</v>
      </c>
      <c r="Y128" s="64">
        <f t="shared" si="48"/>
        <v>2003.75</v>
      </c>
      <c r="Z128" s="22">
        <f t="shared" si="49"/>
        <v>2013.5</v>
      </c>
      <c r="AA128" s="64">
        <f t="shared" si="50"/>
        <v>2018.75</v>
      </c>
      <c r="AB128" s="22">
        <f t="shared" si="51"/>
        <v>2012.5</v>
      </c>
      <c r="AC128" s="22">
        <f t="shared" si="52"/>
        <v>-0.08333333333333333</v>
      </c>
    </row>
    <row r="129" spans="2:27" ht="16.5" thickBot="1">
      <c r="B129" s="100"/>
      <c r="C129" s="101"/>
      <c r="D129" s="101"/>
      <c r="E129" s="102"/>
      <c r="F129" s="103"/>
      <c r="G129" s="101"/>
      <c r="Y129" s="75"/>
      <c r="AA129" s="75"/>
    </row>
    <row r="130" spans="2:29" s="106" customFormat="1" ht="16.5" thickBot="1">
      <c r="B130" s="104" t="s">
        <v>145</v>
      </c>
      <c r="C130" s="80"/>
      <c r="D130" s="80"/>
      <c r="E130" s="83">
        <f>SUM(E113:E128)</f>
        <v>153263.18999999997</v>
      </c>
      <c r="F130" s="80"/>
      <c r="G130" s="80"/>
      <c r="H130" s="80"/>
      <c r="I130" s="80"/>
      <c r="J130" s="80"/>
      <c r="K130" s="83"/>
      <c r="L130" s="83">
        <f aca="true" t="shared" si="63" ref="L130:S130">SUM(L113:L128)</f>
        <v>42026.649999999994</v>
      </c>
      <c r="M130" s="83">
        <f t="shared" si="63"/>
        <v>233.48138888888886</v>
      </c>
      <c r="N130" s="83">
        <f t="shared" si="63"/>
        <v>2801.7766666666666</v>
      </c>
      <c r="O130" s="83">
        <f t="shared" si="63"/>
        <v>24946.83705555544</v>
      </c>
      <c r="P130" s="83">
        <f t="shared" si="63"/>
        <v>27748.613722222108</v>
      </c>
      <c r="Q130" s="83">
        <f t="shared" si="63"/>
        <v>126915.46461111122</v>
      </c>
      <c r="R130" s="83">
        <f t="shared" si="63"/>
        <v>0</v>
      </c>
      <c r="S130" s="83">
        <f t="shared" si="63"/>
        <v>2801.7766666666666</v>
      </c>
      <c r="T130" s="84"/>
      <c r="U130" s="83"/>
      <c r="V130" s="84"/>
      <c r="W130" s="83"/>
      <c r="X130" s="83"/>
      <c r="Y130" s="80"/>
      <c r="Z130" s="80"/>
      <c r="AA130" s="80"/>
      <c r="AB130" s="80"/>
      <c r="AC130" s="86"/>
    </row>
    <row r="131" spans="2:17" ht="16.5" thickBot="1">
      <c r="B131" s="127"/>
      <c r="I131" s="108">
        <v>0.5</v>
      </c>
      <c r="J131" s="80" t="s">
        <v>148</v>
      </c>
      <c r="K131" s="83"/>
      <c r="L131" s="83"/>
      <c r="M131" s="83"/>
      <c r="N131" s="92">
        <f>I131*N130</f>
        <v>1400.8883333333333</v>
      </c>
      <c r="O131" s="83"/>
      <c r="P131" s="83"/>
      <c r="Q131" s="94">
        <f>Q130*I131</f>
        <v>63457.73230555561</v>
      </c>
    </row>
    <row r="132" spans="2:27" ht="15.75">
      <c r="B132" s="100"/>
      <c r="C132" s="101"/>
      <c r="D132" s="101"/>
      <c r="E132" s="102"/>
      <c r="F132" s="103"/>
      <c r="G132" s="101"/>
      <c r="Y132" s="75"/>
      <c r="AA132" s="75"/>
    </row>
    <row r="133" spans="2:27" s="129" customFormat="1" ht="15.75">
      <c r="B133" s="128" t="s">
        <v>146</v>
      </c>
      <c r="E133" s="130">
        <f>SUM(E56,E69,E105,E110,E130)</f>
        <v>2627446.42</v>
      </c>
      <c r="F133" s="131"/>
      <c r="K133" s="130"/>
      <c r="L133" s="130">
        <f aca="true" t="shared" si="64" ref="L133:S133">SUM(L56,L69,L105,L110,L130)</f>
        <v>1983782.5799999998</v>
      </c>
      <c r="M133" s="130">
        <f t="shared" si="64"/>
        <v>6918.3528205128205</v>
      </c>
      <c r="N133" s="130">
        <f t="shared" si="64"/>
        <v>71215.36090170938</v>
      </c>
      <c r="O133" s="130">
        <f t="shared" si="64"/>
        <v>697234.4713290602</v>
      </c>
      <c r="P133" s="130">
        <f t="shared" si="64"/>
        <v>768449.8322307699</v>
      </c>
      <c r="Q133" s="130">
        <f t="shared" si="64"/>
        <v>1894604.2682200852</v>
      </c>
      <c r="R133" s="130">
        <f t="shared" si="64"/>
        <v>0</v>
      </c>
      <c r="S133" s="130">
        <f t="shared" si="64"/>
        <v>53344.68890170938</v>
      </c>
      <c r="T133" s="132"/>
      <c r="U133" s="130"/>
      <c r="V133" s="132"/>
      <c r="W133" s="130"/>
      <c r="X133" s="130"/>
      <c r="Y133" s="133"/>
      <c r="AA133" s="133"/>
    </row>
    <row r="134" spans="2:27" s="129" customFormat="1" ht="15.75">
      <c r="B134" s="128"/>
      <c r="E134" s="130"/>
      <c r="F134" s="131"/>
      <c r="K134" s="130"/>
      <c r="L134" s="130"/>
      <c r="M134" s="130"/>
      <c r="N134" s="130"/>
      <c r="O134" s="130"/>
      <c r="P134" s="130"/>
      <c r="Q134" s="130"/>
      <c r="R134" s="130"/>
      <c r="S134" s="130"/>
      <c r="T134" s="132"/>
      <c r="U134" s="130"/>
      <c r="V134" s="132"/>
      <c r="W134" s="130"/>
      <c r="X134" s="130"/>
      <c r="Y134" s="133"/>
      <c r="AA134" s="133"/>
    </row>
    <row r="135" spans="2:27" s="129" customFormat="1" ht="15.75">
      <c r="B135" s="128"/>
      <c r="E135" s="130"/>
      <c r="F135" s="131"/>
      <c r="K135" s="130"/>
      <c r="L135" s="130"/>
      <c r="M135" s="130"/>
      <c r="N135" s="130"/>
      <c r="O135" s="130"/>
      <c r="P135" s="130"/>
      <c r="Q135" s="130"/>
      <c r="R135" s="130"/>
      <c r="S135" s="130"/>
      <c r="T135" s="132"/>
      <c r="U135" s="130"/>
      <c r="V135" s="132"/>
      <c r="W135" s="130"/>
      <c r="X135" s="130"/>
      <c r="Y135" s="133"/>
      <c r="AA135" s="133"/>
    </row>
    <row r="136" spans="2:27" s="129" customFormat="1" ht="15.75">
      <c r="B136" s="244" t="s">
        <v>270</v>
      </c>
      <c r="C136" s="245"/>
      <c r="D136" s="245"/>
      <c r="E136" s="246"/>
      <c r="F136" s="247"/>
      <c r="G136" s="245"/>
      <c r="H136" s="245"/>
      <c r="I136" s="245"/>
      <c r="J136" s="245"/>
      <c r="K136" s="246"/>
      <c r="L136" s="246"/>
      <c r="M136" s="246"/>
      <c r="N136" s="277" t="s">
        <v>294</v>
      </c>
      <c r="O136" s="246"/>
      <c r="P136" s="246"/>
      <c r="Q136" s="246"/>
      <c r="R136" s="130"/>
      <c r="S136" s="130"/>
      <c r="T136" s="132"/>
      <c r="U136" s="130"/>
      <c r="V136" s="132"/>
      <c r="W136" s="130"/>
      <c r="X136" s="130"/>
      <c r="Y136" s="133"/>
      <c r="AA136" s="133"/>
    </row>
    <row r="137" spans="2:27" s="129" customFormat="1" ht="15.75">
      <c r="B137" s="244"/>
      <c r="C137" s="245"/>
      <c r="D137" s="245"/>
      <c r="E137" s="246"/>
      <c r="F137" s="247"/>
      <c r="G137" s="245"/>
      <c r="H137" s="245"/>
      <c r="I137" s="245"/>
      <c r="J137" s="245"/>
      <c r="K137" s="246"/>
      <c r="L137" s="246"/>
      <c r="M137" s="246"/>
      <c r="N137" s="246"/>
      <c r="O137" s="246"/>
      <c r="P137" s="246"/>
      <c r="Q137" s="246"/>
      <c r="R137" s="130"/>
      <c r="S137" s="130"/>
      <c r="T137" s="132"/>
      <c r="U137" s="130"/>
      <c r="V137" s="132"/>
      <c r="W137" s="130"/>
      <c r="X137" s="130"/>
      <c r="Y137" s="133"/>
      <c r="AA137" s="133"/>
    </row>
    <row r="138" spans="2:29" s="129" customFormat="1" ht="15.75">
      <c r="B138" s="244" t="s">
        <v>271</v>
      </c>
      <c r="C138" s="245">
        <v>3</v>
      </c>
      <c r="D138" s="245">
        <v>2014</v>
      </c>
      <c r="E138" s="246">
        <v>357826.87</v>
      </c>
      <c r="F138" s="247">
        <v>1</v>
      </c>
      <c r="G138" s="245">
        <v>100</v>
      </c>
      <c r="H138" s="248">
        <f>D138+G138</f>
        <v>2114</v>
      </c>
      <c r="I138" s="249"/>
      <c r="J138" s="249"/>
      <c r="K138" s="250">
        <v>0</v>
      </c>
      <c r="L138" s="251">
        <f>E138-E138*F138</f>
        <v>0</v>
      </c>
      <c r="M138" s="251">
        <f>L138/G138/12</f>
        <v>0</v>
      </c>
      <c r="N138" s="251">
        <f>IF(K138&gt;0,0,IF(OR(Y138&gt;Z138,AA138&lt;AB138),0,IF(AND(AA138&gt;=AB138,AA138&lt;=Z138),M138*((AA138-AB138)*12),IF(AND(AB138&lt;=Y138,Z138&gt;=Y138),((Z138-Y138)*12)*M138,IF(AA138&gt;Z138,12*M138,0)))))</f>
        <v>0</v>
      </c>
      <c r="O138" s="251">
        <f>IF(Y138&gt;Z138,0,IF(AA138&lt;AB138,L138,IF(AND(AA138&gt;=AB138,AA138&lt;=Z138),(L138-S138),IF(AND(AB138&lt;=Y138,Z138&gt;=Y138),0,IF(AA138&gt;Z138,((AB138-Y138)*12)*M138,0)))))</f>
        <v>0</v>
      </c>
      <c r="P138" s="251">
        <f>IF(K138&gt;0,0,X138+U138*V138)*V138</f>
        <v>0</v>
      </c>
      <c r="Q138" s="251">
        <f>+E138</f>
        <v>357826.87</v>
      </c>
      <c r="R138" s="23">
        <f>IF(K138=0,0,IF(AND(AC138&gt;=AB138,AC138&lt;=AA138),((AC138-AB138)*12)*M138,0))</f>
        <v>0</v>
      </c>
      <c r="S138" s="23">
        <f>IF(R138&gt;0,R138,N138)</f>
        <v>0</v>
      </c>
      <c r="T138" s="25">
        <v>1</v>
      </c>
      <c r="U138" s="23">
        <f>T138*(N138+R138)</f>
        <v>0</v>
      </c>
      <c r="V138" s="25">
        <v>1</v>
      </c>
      <c r="W138" s="23">
        <f>O138*T138</f>
        <v>0</v>
      </c>
      <c r="X138" s="23">
        <f>W138*V138</f>
        <v>0</v>
      </c>
      <c r="Y138" s="64">
        <f>(+$D138+(($C138-1)/12))</f>
        <v>2014.1666666666667</v>
      </c>
      <c r="Z138" s="22">
        <f>($G$7+1)-($D$7/12)</f>
        <v>2013.5</v>
      </c>
      <c r="AA138" s="64">
        <f>$H138+(($C138-1)/12)</f>
        <v>2114.1666666666665</v>
      </c>
      <c r="AB138" s="22">
        <f>$E$7+($F$7/12)</f>
        <v>2012.5</v>
      </c>
      <c r="AC138" s="22">
        <f>$J138+(($I138-1)/12)</f>
        <v>-0.08333333333333333</v>
      </c>
    </row>
    <row r="139" spans="2:29" s="129" customFormat="1" ht="15.75">
      <c r="B139" s="244" t="s">
        <v>272</v>
      </c>
      <c r="C139" s="245">
        <v>3</v>
      </c>
      <c r="D139" s="245">
        <v>2014</v>
      </c>
      <c r="E139" s="246">
        <v>918899.63</v>
      </c>
      <c r="F139" s="247">
        <v>0</v>
      </c>
      <c r="G139" s="245">
        <v>39</v>
      </c>
      <c r="H139" s="248">
        <f>D139+G139</f>
        <v>2053</v>
      </c>
      <c r="I139" s="249"/>
      <c r="J139" s="249"/>
      <c r="K139" s="250">
        <v>0</v>
      </c>
      <c r="L139" s="276">
        <f>E139-E139*F139</f>
        <v>918899.63</v>
      </c>
      <c r="M139" s="251">
        <f>L139/G139/12</f>
        <v>1963.460747863248</v>
      </c>
      <c r="N139" s="251">
        <f>+M139*12</f>
        <v>23561.528974358975</v>
      </c>
      <c r="O139" s="251">
        <f>IF(Y139&gt;Z139,0,IF(AA139&lt;AB139,L139,IF(AND(AA139&gt;=AB139,AA139&lt;=Z139),(L139-S139),IF(AND(AB139&lt;=Y139,Z139&gt;=Y139),0,IF(AA139&gt;Z139,((AB139-Y139)*12)*M139,0)))))</f>
        <v>0</v>
      </c>
      <c r="P139" s="251">
        <f>IF(K139&gt;0,0,X139+U139*V139)*V139</f>
        <v>23561.528974358975</v>
      </c>
      <c r="Q139" s="251">
        <f>(E139+(E139-P139))/2</f>
        <v>907118.8655128205</v>
      </c>
      <c r="R139" s="23">
        <f>IF(K139=0,0,IF(AND(AC139&gt;=AB139,AC139&lt;=AA139),((AC139-AB139)*12)*M139,0))</f>
        <v>0</v>
      </c>
      <c r="S139" s="23">
        <f>IF(R139&gt;0,R139,N139)</f>
        <v>23561.528974358975</v>
      </c>
      <c r="T139" s="25">
        <v>1</v>
      </c>
      <c r="U139" s="23">
        <f>T139*(N139+R139)</f>
        <v>23561.528974358975</v>
      </c>
      <c r="V139" s="25">
        <v>1</v>
      </c>
      <c r="W139" s="23">
        <f>O139*T139</f>
        <v>0</v>
      </c>
      <c r="X139" s="23">
        <f>W139*V139</f>
        <v>0</v>
      </c>
      <c r="Y139" s="64">
        <f>(+$D139+(($C139-1)/12))</f>
        <v>2014.1666666666667</v>
      </c>
      <c r="Z139" s="22">
        <f>($G$7+1)-($D$7/12)</f>
        <v>2013.5</v>
      </c>
      <c r="AA139" s="64">
        <f>$H139+(($C139-1)/12)</f>
        <v>2053.1666666666665</v>
      </c>
      <c r="AB139" s="22">
        <f>$E$7+($F$7/12)</f>
        <v>2012.5</v>
      </c>
      <c r="AC139" s="22">
        <f>$J139+(($I139-1)/12)</f>
        <v>-0.08333333333333333</v>
      </c>
    </row>
    <row r="140" spans="2:29" s="129" customFormat="1" ht="15.75">
      <c r="B140" s="244" t="s">
        <v>273</v>
      </c>
      <c r="C140" s="245">
        <v>3</v>
      </c>
      <c r="D140" s="245">
        <v>2014</v>
      </c>
      <c r="E140" s="246">
        <f>194242.95+109727.04</f>
        <v>303969.99</v>
      </c>
      <c r="F140" s="247">
        <v>0</v>
      </c>
      <c r="G140" s="245">
        <v>15</v>
      </c>
      <c r="H140" s="248">
        <f>D140+G140</f>
        <v>2029</v>
      </c>
      <c r="I140" s="249"/>
      <c r="J140" s="249"/>
      <c r="K140" s="250">
        <v>0</v>
      </c>
      <c r="L140" s="251">
        <f>E140-E140*F140</f>
        <v>303969.99</v>
      </c>
      <c r="M140" s="251">
        <f>L140/G140/12</f>
        <v>1688.7221666666667</v>
      </c>
      <c r="N140" s="251">
        <f>+M140*12</f>
        <v>20264.666</v>
      </c>
      <c r="O140" s="251">
        <f>IF(Y140&gt;Z140,0,IF(AA140&lt;AB140,L140,IF(AND(AA140&gt;=AB140,AA140&lt;=Z140),(L140-S140),IF(AND(AB140&lt;=Y140,Z140&gt;=Y140),0,IF(AA140&gt;Z140,((AB140-Y140)*12)*M140,0)))))</f>
        <v>0</v>
      </c>
      <c r="P140" s="251">
        <f>IF(K140&gt;0,0,X140+U140*V140)*V140</f>
        <v>20264.666</v>
      </c>
      <c r="Q140" s="251">
        <f>(E140+(E140-P140))/2</f>
        <v>293837.657</v>
      </c>
      <c r="R140" s="23">
        <f>IF(K140=0,0,IF(AND(AC140&gt;=AB140,AC140&lt;=AA140),((AC140-AB140)*12)*M140,0))</f>
        <v>0</v>
      </c>
      <c r="S140" s="23">
        <f>IF(R140&gt;0,R140,N140)</f>
        <v>20264.666</v>
      </c>
      <c r="T140" s="25">
        <v>1</v>
      </c>
      <c r="U140" s="23">
        <f>T140*(N140+R140)</f>
        <v>20264.666</v>
      </c>
      <c r="V140" s="25">
        <v>1</v>
      </c>
      <c r="W140" s="23">
        <f>O140*T140</f>
        <v>0</v>
      </c>
      <c r="X140" s="23">
        <f>W140*V140</f>
        <v>0</v>
      </c>
      <c r="Y140" s="64">
        <f>(+$D140+(($C140-1)/12))</f>
        <v>2014.1666666666667</v>
      </c>
      <c r="Z140" s="22">
        <f>($G$7+1)-($D$7/12)</f>
        <v>2013.5</v>
      </c>
      <c r="AA140" s="64">
        <f>$H140+(($C140-1)/12)</f>
        <v>2029.1666666666667</v>
      </c>
      <c r="AB140" s="22">
        <f>$E$7+($F$7/12)</f>
        <v>2012.5</v>
      </c>
      <c r="AC140" s="22">
        <f>$J140+(($I140-1)/12)</f>
        <v>-0.08333333333333333</v>
      </c>
    </row>
    <row r="141" spans="2:29" s="129" customFormat="1" ht="15.75">
      <c r="B141" s="244" t="s">
        <v>274</v>
      </c>
      <c r="C141" s="245">
        <v>3</v>
      </c>
      <c r="D141" s="245">
        <v>2014</v>
      </c>
      <c r="E141" s="246">
        <v>16254</v>
      </c>
      <c r="F141" s="247">
        <v>0</v>
      </c>
      <c r="G141" s="245">
        <v>15</v>
      </c>
      <c r="H141" s="248">
        <f>D141+G141</f>
        <v>2029</v>
      </c>
      <c r="I141" s="249"/>
      <c r="J141" s="249"/>
      <c r="K141" s="250">
        <v>0</v>
      </c>
      <c r="L141" s="251">
        <f>E141-E141*F141</f>
        <v>16254</v>
      </c>
      <c r="M141" s="251">
        <f>L141/G141/12</f>
        <v>90.3</v>
      </c>
      <c r="N141" s="251">
        <f>+M141*12</f>
        <v>1083.6</v>
      </c>
      <c r="O141" s="251">
        <f>IF(Y141&gt;Z141,0,IF(AA141&lt;AB141,L141,IF(AND(AA141&gt;=AB141,AA141&lt;=Z141),(L141-S141),IF(AND(AB141&lt;=Y141,Z141&gt;=Y141),0,IF(AA141&gt;Z141,((AB141-Y141)*12)*M141,0)))))</f>
        <v>0</v>
      </c>
      <c r="P141" s="251">
        <f>IF(K141&gt;0,0,X141+U141*V141)*V141</f>
        <v>1083.6</v>
      </c>
      <c r="Q141" s="251">
        <f>(E141+(E141-P141))/2</f>
        <v>15712.2</v>
      </c>
      <c r="R141" s="23">
        <f>IF(K141=0,0,IF(AND(AC141&gt;=AB141,AC141&lt;=AA141),((AC141-AB141)*12)*M141,0))</f>
        <v>0</v>
      </c>
      <c r="S141" s="23">
        <f>IF(R141&gt;0,R141,N141)</f>
        <v>1083.6</v>
      </c>
      <c r="T141" s="25">
        <v>1</v>
      </c>
      <c r="U141" s="23">
        <f>T141*(N141+R141)</f>
        <v>1083.6</v>
      </c>
      <c r="V141" s="25">
        <v>1</v>
      </c>
      <c r="W141" s="23">
        <f>O141*T141</f>
        <v>0</v>
      </c>
      <c r="X141" s="23">
        <f>W141*V141</f>
        <v>0</v>
      </c>
      <c r="Y141" s="64">
        <f>(+$D141+(($C141-1)/12))</f>
        <v>2014.1666666666667</v>
      </c>
      <c r="Z141" s="22">
        <f>($G$7+1)-($D$7/12)</f>
        <v>2013.5</v>
      </c>
      <c r="AA141" s="64">
        <f>$H141+(($C141-1)/12)</f>
        <v>2029.1666666666667</v>
      </c>
      <c r="AB141" s="22">
        <f>$E$7+($F$7/12)</f>
        <v>2012.5</v>
      </c>
      <c r="AC141" s="22">
        <f>$J141+(($I141-1)/12)</f>
        <v>-0.08333333333333333</v>
      </c>
    </row>
    <row r="142" spans="2:27" s="129" customFormat="1" ht="15.75">
      <c r="B142" s="128"/>
      <c r="E142" s="130"/>
      <c r="F142" s="131"/>
      <c r="K142" s="130"/>
      <c r="L142" s="130"/>
      <c r="M142" s="130"/>
      <c r="N142" s="130"/>
      <c r="O142" s="130"/>
      <c r="P142" s="130"/>
      <c r="Q142" s="130"/>
      <c r="R142" s="130"/>
      <c r="S142" s="130"/>
      <c r="T142" s="132"/>
      <c r="U142" s="130"/>
      <c r="V142" s="132"/>
      <c r="W142" s="130"/>
      <c r="X142" s="130"/>
      <c r="Y142" s="133"/>
      <c r="AA142" s="133"/>
    </row>
    <row r="143" spans="2:27" s="129" customFormat="1" ht="15.75">
      <c r="B143" s="128"/>
      <c r="E143" s="130"/>
      <c r="F143" s="131"/>
      <c r="K143" s="130"/>
      <c r="L143" s="130"/>
      <c r="M143" s="130"/>
      <c r="N143" s="130"/>
      <c r="O143" s="130"/>
      <c r="P143" s="130"/>
      <c r="Q143" s="130"/>
      <c r="R143" s="130"/>
      <c r="S143" s="130"/>
      <c r="T143" s="132"/>
      <c r="U143" s="130"/>
      <c r="V143" s="132"/>
      <c r="W143" s="130"/>
      <c r="X143" s="130"/>
      <c r="Y143" s="133"/>
      <c r="AA143" s="133"/>
    </row>
    <row r="144" spans="2:27" s="129" customFormat="1" ht="15.75">
      <c r="B144" s="128"/>
      <c r="E144" s="130"/>
      <c r="F144" s="131"/>
      <c r="K144" s="130"/>
      <c r="L144" s="130"/>
      <c r="M144" s="130"/>
      <c r="N144" s="130"/>
      <c r="O144" s="130"/>
      <c r="P144" s="130"/>
      <c r="Q144" s="130"/>
      <c r="R144" s="130"/>
      <c r="S144" s="130"/>
      <c r="T144" s="132"/>
      <c r="U144" s="130"/>
      <c r="V144" s="132"/>
      <c r="W144" s="130"/>
      <c r="X144" s="130"/>
      <c r="Y144" s="133"/>
      <c r="AA144" s="133"/>
    </row>
    <row r="145" ht="16.5" thickBot="1"/>
    <row r="146" spans="2:29" ht="16.5" thickBot="1">
      <c r="B146" s="134" t="s">
        <v>149</v>
      </c>
      <c r="C146" s="80"/>
      <c r="D146" s="80"/>
      <c r="E146" s="83"/>
      <c r="F146" s="80"/>
      <c r="G146" s="80"/>
      <c r="H146" s="80"/>
      <c r="I146" s="80"/>
      <c r="J146" s="80"/>
      <c r="K146" s="83"/>
      <c r="L146" s="83"/>
      <c r="M146" s="83"/>
      <c r="N146" s="83">
        <f>SUM(N138:N141)</f>
        <v>44909.79497435898</v>
      </c>
      <c r="O146" s="83"/>
      <c r="P146" s="83"/>
      <c r="Q146" s="83">
        <f>SUM(Q138:Q145)</f>
        <v>1574495.5925128206</v>
      </c>
      <c r="R146" s="83"/>
      <c r="S146" s="83"/>
      <c r="T146" s="84"/>
      <c r="U146" s="83"/>
      <c r="V146" s="84"/>
      <c r="W146" s="83"/>
      <c r="X146" s="83"/>
      <c r="Y146" s="80"/>
      <c r="Z146" s="80"/>
      <c r="AA146" s="80"/>
      <c r="AB146" s="80"/>
      <c r="AC146" s="86"/>
    </row>
    <row r="147" spans="9:17" ht="16.5" thickBot="1">
      <c r="I147" s="219">
        <f>+'Truck Counts'!D5</f>
        <v>0.24242424242424243</v>
      </c>
      <c r="J147" s="80" t="s">
        <v>275</v>
      </c>
      <c r="K147" s="83"/>
      <c r="L147" s="83"/>
      <c r="M147" s="83"/>
      <c r="N147" s="92">
        <f>I147*N146</f>
        <v>10887.223024087025</v>
      </c>
      <c r="O147" s="83"/>
      <c r="P147" s="83"/>
      <c r="Q147" s="94">
        <f>Q146*I147</f>
        <v>381695.90121522924</v>
      </c>
    </row>
    <row r="148" ht="15.75">
      <c r="B148" s="55" t="s">
        <v>151</v>
      </c>
    </row>
    <row r="149" spans="2:29" ht="15.75">
      <c r="B149" s="125" t="s">
        <v>152</v>
      </c>
      <c r="C149" s="69">
        <v>2</v>
      </c>
      <c r="D149" s="69">
        <v>1995</v>
      </c>
      <c r="E149" s="70">
        <v>66667</v>
      </c>
      <c r="F149" s="71">
        <v>1</v>
      </c>
      <c r="G149" s="69">
        <v>100</v>
      </c>
      <c r="H149" s="55">
        <f>D149+G149</f>
        <v>2095</v>
      </c>
      <c r="I149" s="112"/>
      <c r="J149" s="112"/>
      <c r="K149" s="113">
        <v>0</v>
      </c>
      <c r="L149" s="24">
        <f>E149-E149*F149</f>
        <v>0</v>
      </c>
      <c r="M149" s="24">
        <f>L149/G149/12</f>
        <v>0</v>
      </c>
      <c r="N149" s="24">
        <f>IF(K149&gt;0,0,IF(OR(Y149&gt;Z149,AA149&lt;AB149),0,IF(AND(AA149&gt;=AB149,AA149&lt;=Z149),M149*((AA149-AB149)*12),IF(AND(AB149&lt;=Y149,Z149&gt;=Y149),((Z149-Y149)*12)*M149,IF(AA149&gt;Z149,12*M149,0)))))</f>
        <v>0</v>
      </c>
      <c r="O149" s="24">
        <f>IF(Y149&gt;Z149,0,IF(AA149&lt;AB149,L149,IF(AND(AA149&gt;=AB149,AA149&lt;=Z149),(L149-S149),IF(AND(AB149&lt;=Y149,Z149&gt;=Y149),0,IF(AA149&gt;Z149,((AB149-Y149)*12)*M149,0)))))</f>
        <v>0</v>
      </c>
      <c r="P149" s="24">
        <f>IF(K149&gt;0,0,X149+U149*V149)*V149</f>
        <v>0</v>
      </c>
      <c r="Q149" s="24">
        <f>IF(K149&gt;0,(E149-X149)/2,IF(Y149&gt;=AB149,(((E149*T149)*V149)-P149)/2,((((E149*T149)*V149)-X149)+(((E149*T149)*V149)-P149))/2))</f>
        <v>66667</v>
      </c>
      <c r="R149" s="24">
        <f>IF(K149=0,0,IF(AND(AC149&gt;=AB149,AC149&lt;=AA149),((AC149-AB149)*12)*M149,0))</f>
        <v>0</v>
      </c>
      <c r="S149" s="24">
        <f>IF(R149&gt;0,R149,N149)</f>
        <v>0</v>
      </c>
      <c r="T149" s="74">
        <v>1</v>
      </c>
      <c r="U149" s="24">
        <f>T149*(N149+R149)</f>
        <v>0</v>
      </c>
      <c r="V149" s="74">
        <v>1</v>
      </c>
      <c r="W149" s="24">
        <f>O149*T149</f>
        <v>0</v>
      </c>
      <c r="X149" s="24">
        <f>W149*V149</f>
        <v>0</v>
      </c>
      <c r="Y149" s="75">
        <f>(+$D149+(($C149-1)/12))</f>
        <v>1995.0833333333333</v>
      </c>
      <c r="Z149" s="55">
        <f>($G$7+1)-($D$7/12)</f>
        <v>2013.5</v>
      </c>
      <c r="AA149" s="75">
        <f>$H149+(($C149-1)/12)</f>
        <v>2095.0833333333335</v>
      </c>
      <c r="AB149" s="55">
        <f>$E$7+($F$7/12)</f>
        <v>2012.5</v>
      </c>
      <c r="AC149" s="55">
        <f>$J149+(($I149-1)/12)</f>
        <v>-0.08333333333333333</v>
      </c>
    </row>
    <row r="150" spans="2:29" ht="15.75">
      <c r="B150" s="125" t="s">
        <v>93</v>
      </c>
      <c r="C150" s="69">
        <v>2</v>
      </c>
      <c r="D150" s="69">
        <v>1995</v>
      </c>
      <c r="E150" s="70">
        <v>155604</v>
      </c>
      <c r="F150" s="71">
        <v>0</v>
      </c>
      <c r="G150" s="69">
        <v>39</v>
      </c>
      <c r="H150" s="55">
        <f>D150+G150</f>
        <v>2034</v>
      </c>
      <c r="I150" s="112"/>
      <c r="J150" s="112"/>
      <c r="K150" s="113">
        <v>0</v>
      </c>
      <c r="L150" s="24">
        <f>E150-E150*F150</f>
        <v>155604</v>
      </c>
      <c r="M150" s="24">
        <f>L150/G150/12</f>
        <v>332.4871794871795</v>
      </c>
      <c r="N150" s="24">
        <f>IF(K150&gt;0,0,IF(OR(Y150&gt;Z150,AA150&lt;AB150),0,IF(AND(AA150&gt;=AB150,AA150&lt;=Z150),M150*((AA150-AB150)*12),IF(AND(AB150&lt;=Y150,Z150&gt;=Y150),((Z150-Y150)*12)*M150,IF(AA150&gt;Z150,12*M150,0)))))</f>
        <v>3989.8461538461543</v>
      </c>
      <c r="O150" s="24">
        <f>IF(Y150&gt;Z150,0,IF(AA150&lt;AB150,L150,IF(AND(AA150&gt;=AB150,AA150&lt;=Z150),(L150-S150),IF(AND(AB150&lt;=Y150,Z150&gt;=Y150),0,IF(AA150&gt;Z150,((AB150-Y150)*12)*M150,0)))))</f>
        <v>69489.82051282082</v>
      </c>
      <c r="P150" s="24">
        <f>IF(K150&gt;0,0,X150+U150*V150)*V150</f>
        <v>73479.66666666698</v>
      </c>
      <c r="Q150" s="24">
        <f>IF(K150&gt;0,(E150-X150)/2,IF(Y150&gt;=AB150,(((E150*T150)*V150)-P150)/2,((((E150*T150)*V150)-X150)+(((E150*T150)*V150)-P150))/2))</f>
        <v>84119.2564102561</v>
      </c>
      <c r="R150" s="24">
        <f>IF(K150=0,0,IF(AND(AC150&gt;=AB150,AC150&lt;=AA150),((AC150-AB150)*12)*M150,0))</f>
        <v>0</v>
      </c>
      <c r="S150" s="24">
        <f>IF(R150&gt;0,R150,N150)</f>
        <v>3989.8461538461543</v>
      </c>
      <c r="T150" s="74">
        <v>1</v>
      </c>
      <c r="U150" s="24">
        <f>T150*(N150+R150)</f>
        <v>3989.8461538461543</v>
      </c>
      <c r="V150" s="74">
        <v>1</v>
      </c>
      <c r="W150" s="24">
        <f>O150*T150</f>
        <v>69489.82051282082</v>
      </c>
      <c r="X150" s="24">
        <f>W150*V150</f>
        <v>69489.82051282082</v>
      </c>
      <c r="Y150" s="75">
        <f>(+$D150+(($C150-1)/12))</f>
        <v>1995.0833333333333</v>
      </c>
      <c r="Z150" s="55">
        <f>($G$7+1)-($D$7/12)</f>
        <v>2013.5</v>
      </c>
      <c r="AA150" s="75">
        <f>$H150+(($C150-1)/12)</f>
        <v>2034.0833333333333</v>
      </c>
      <c r="AB150" s="55">
        <f>$E$7+($F$7/12)</f>
        <v>2012.5</v>
      </c>
      <c r="AC150" s="55">
        <f>$J150+(($I150-1)/12)</f>
        <v>-0.08333333333333333</v>
      </c>
    </row>
    <row r="151" spans="2:29" ht="15.75">
      <c r="B151" s="125" t="s">
        <v>153</v>
      </c>
      <c r="C151" s="69">
        <v>3</v>
      </c>
      <c r="D151" s="69">
        <v>2003</v>
      </c>
      <c r="E151" s="70">
        <f>956026.49*0.2</f>
        <v>191205.298</v>
      </c>
      <c r="F151" s="71">
        <v>0</v>
      </c>
      <c r="G151" s="69">
        <v>39</v>
      </c>
      <c r="H151" s="55">
        <f>D151+G151</f>
        <v>2042</v>
      </c>
      <c r="I151" s="112"/>
      <c r="J151" s="112"/>
      <c r="K151" s="113">
        <v>0</v>
      </c>
      <c r="L151" s="24">
        <f>E151-E151*F151</f>
        <v>191205.298</v>
      </c>
      <c r="M151" s="24">
        <f>L151/G151/12</f>
        <v>408.5583290598291</v>
      </c>
      <c r="N151" s="24">
        <f>IF(K151&gt;0,0,IF(OR(Y151&gt;Z151,AA151&lt;AB151),0,IF(AND(AA151&gt;=AB151,AA151&lt;=Z151),M151*((AA151-AB151)*12),IF(AND(AB151&lt;=Y151,Z151&gt;=Y151),((Z151-Y151)*12)*M151,IF(AA151&gt;Z151,12*M151,0)))))</f>
        <v>4902.699948717949</v>
      </c>
      <c r="O151" s="24">
        <f>IF(Y151&gt;Z151,0,IF(AA151&lt;AB151,L151,IF(AND(AA151&gt;=AB151,AA151&lt;=Z151),(L151-S151),IF(AND(AB151&lt;=Y151,Z151&gt;=Y151),0,IF(AA151&gt;Z151,((AB151-Y151)*12)*M151,0)))))</f>
        <v>45758.53285470048</v>
      </c>
      <c r="P151" s="24">
        <f>IF(K151&gt;0,0,X151+U151*V151)*V151</f>
        <v>50661.23280341843</v>
      </c>
      <c r="Q151" s="24">
        <f>IF(K151&gt;0,(E151-X151)/2,IF(Y151&gt;=AB151,(((E151*T151)*V151)-P151)/2,((((E151*T151)*V151)-X151)+(((E151*T151)*V151)-P151))/2))</f>
        <v>142995.41517094057</v>
      </c>
      <c r="R151" s="24">
        <f>IF(K151=0,0,IF(AND(AC151&gt;=AB151,AC151&lt;=AA151),((AC151-AB151)*12)*M151,0))</f>
        <v>0</v>
      </c>
      <c r="S151" s="24">
        <f>IF(R151&gt;0,R151,N151)</f>
        <v>4902.699948717949</v>
      </c>
      <c r="T151" s="74">
        <v>1</v>
      </c>
      <c r="U151" s="24">
        <f>T151*(N151+R151)</f>
        <v>4902.699948717949</v>
      </c>
      <c r="V151" s="74">
        <v>1</v>
      </c>
      <c r="W151" s="24">
        <f>O151*T151</f>
        <v>45758.53285470048</v>
      </c>
      <c r="X151" s="24">
        <f>W151*V151</f>
        <v>45758.53285470048</v>
      </c>
      <c r="Y151" s="75">
        <f>(+$D151+(($C151-1)/12))</f>
        <v>2003.1666666666667</v>
      </c>
      <c r="Z151" s="55">
        <f>($G$7+1)-($D$7/12)</f>
        <v>2013.5</v>
      </c>
      <c r="AA151" s="75">
        <f>$H151+(($C151-1)/12)</f>
        <v>2042.1666666666667</v>
      </c>
      <c r="AB151" s="55">
        <f>$E$7+($F$7/12)</f>
        <v>2012.5</v>
      </c>
      <c r="AC151" s="55">
        <f>$J151+(($I151-1)/12)</f>
        <v>-0.08333333333333333</v>
      </c>
    </row>
    <row r="152" spans="2:29" ht="15.75">
      <c r="B152" s="125" t="s">
        <v>154</v>
      </c>
      <c r="C152" s="69">
        <v>8</v>
      </c>
      <c r="D152" s="69">
        <v>2006</v>
      </c>
      <c r="E152" s="70">
        <f>23210.4*0.33</f>
        <v>7659.432000000001</v>
      </c>
      <c r="F152" s="71">
        <v>0</v>
      </c>
      <c r="G152" s="69">
        <v>15</v>
      </c>
      <c r="H152" s="55">
        <f>D152+G152</f>
        <v>2021</v>
      </c>
      <c r="I152" s="112"/>
      <c r="J152" s="112"/>
      <c r="K152" s="113">
        <v>0</v>
      </c>
      <c r="L152" s="24">
        <f>E152-E152*F152</f>
        <v>7659.432000000001</v>
      </c>
      <c r="M152" s="24">
        <f>L152/G152/12</f>
        <v>42.552400000000006</v>
      </c>
      <c r="N152" s="24">
        <f>IF(K152&gt;0,0,IF(OR(Y152&gt;Z152,AA152&lt;AB152),0,IF(AND(AA152&gt;=AB152,AA152&lt;=Z152),M152*((AA152-AB152)*12),IF(AND(AB152&lt;=Y152,Z152&gt;=Y152),((Z152-Y152)*12)*M152,IF(AA152&gt;Z152,12*M152,0)))))</f>
        <v>510.62880000000007</v>
      </c>
      <c r="O152" s="24">
        <f>IF(Y152&gt;Z152,0,IF(AA152&lt;AB152,L152,IF(AND(AA152&gt;=AB152,AA152&lt;=Z152),(L152-S152),IF(AND(AB152&lt;=Y152,Z152&gt;=Y152),0,IF(AA152&gt;Z152,((AB152-Y152)*12)*M152,0)))))</f>
        <v>3021.2204000000393</v>
      </c>
      <c r="P152" s="24">
        <f>IF(K152&gt;0,0,X152+U152*V152)*V152</f>
        <v>3531.849200000039</v>
      </c>
      <c r="Q152" s="24">
        <f>IF(K152&gt;0,(E152-X152)/2,IF(Y152&gt;=AB152,(((E152*T152)*V152)-P152)/2,((((E152*T152)*V152)-X152)+(((E152*T152)*V152)-P152))/2))</f>
        <v>4382.897199999961</v>
      </c>
      <c r="R152" s="24">
        <f>IF(K152=0,0,IF(AND(AC152&gt;=AB152,AC152&lt;=AA152),((AC152-AB152)*12)*M152,0))</f>
        <v>0</v>
      </c>
      <c r="S152" s="24">
        <f>IF(R152&gt;0,R152,N152)</f>
        <v>510.62880000000007</v>
      </c>
      <c r="T152" s="74">
        <v>1</v>
      </c>
      <c r="U152" s="24">
        <f>T152*(N152+R152)</f>
        <v>510.62880000000007</v>
      </c>
      <c r="V152" s="74">
        <v>1</v>
      </c>
      <c r="W152" s="24">
        <f>O152*T152</f>
        <v>3021.2204000000393</v>
      </c>
      <c r="X152" s="24">
        <f>W152*V152</f>
        <v>3021.2204000000393</v>
      </c>
      <c r="Y152" s="75">
        <f>(+$D152+(($C152-1)/12))</f>
        <v>2006.5833333333333</v>
      </c>
      <c r="Z152" s="55">
        <f>($G$7+1)-($D$7/12)</f>
        <v>2013.5</v>
      </c>
      <c r="AA152" s="75">
        <f>$H152+(($C152-1)/12)</f>
        <v>2021.5833333333333</v>
      </c>
      <c r="AB152" s="55">
        <f>$E$7+($F$7/12)</f>
        <v>2012.5</v>
      </c>
      <c r="AC152" s="55">
        <f>$J152+(($I152-1)/12)</f>
        <v>-0.08333333333333333</v>
      </c>
    </row>
    <row r="153" spans="2:29" ht="15.75">
      <c r="B153" s="125" t="s">
        <v>153</v>
      </c>
      <c r="C153" s="69">
        <v>9</v>
      </c>
      <c r="D153" s="69">
        <v>2006</v>
      </c>
      <c r="E153" s="70">
        <f>1030905.36*0.15</f>
        <v>154635.804</v>
      </c>
      <c r="F153" s="71">
        <v>0</v>
      </c>
      <c r="G153" s="69">
        <v>39</v>
      </c>
      <c r="H153" s="55">
        <f>D153+G153</f>
        <v>2045</v>
      </c>
      <c r="I153" s="112"/>
      <c r="J153" s="112"/>
      <c r="K153" s="113">
        <v>0</v>
      </c>
      <c r="L153" s="24">
        <f>E153-E153*F153</f>
        <v>154635.804</v>
      </c>
      <c r="M153" s="24">
        <f>L153/G153/12</f>
        <v>330.41838461538464</v>
      </c>
      <c r="N153" s="24">
        <f>IF(K153&gt;0,0,IF(OR(Y153&gt;Z153,AA153&lt;AB153),0,IF(AND(AA153&gt;=AB153,AA153&lt;=Z153),M153*((AA153-AB153)*12),IF(AND(AB153&lt;=Y153,Z153&gt;=Y153),((Z153-Y153)*12)*M153,IF(AA153&gt;Z153,12*M153,0)))))</f>
        <v>3965.0206153846157</v>
      </c>
      <c r="O153" s="24">
        <f>IF(Y153&gt;Z153,0,IF(AA153&lt;AB153,L153,IF(AND(AA153&gt;=AB153,AA153&lt;=Z153),(L153-S153),IF(AND(AB153&lt;=Y153,Z153&gt;=Y153),0,IF(AA153&gt;Z153,((AB153-Y153)*12)*M153,0)))))</f>
        <v>23129.286923076623</v>
      </c>
      <c r="P153" s="24">
        <f>IF(K153&gt;0,0,X153+U153*V153)*V153</f>
        <v>27094.30753846124</v>
      </c>
      <c r="Q153" s="24">
        <f>IF(K153&gt;0,(E153-X153)/2,IF(Y153&gt;=AB153,(((E153*T153)*V153)-P153)/2,((((E153*T153)*V153)-X153)+(((E153*T153)*V153)-P153))/2))</f>
        <v>129524.00676923108</v>
      </c>
      <c r="R153" s="24">
        <f>IF(K153=0,0,IF(AND(AC153&gt;=AB153,AC153&lt;=AA153),((AC153-AB153)*12)*M153,0))</f>
        <v>0</v>
      </c>
      <c r="S153" s="24">
        <f>IF(R153&gt;0,R153,N153)</f>
        <v>3965.0206153846157</v>
      </c>
      <c r="T153" s="74">
        <v>1</v>
      </c>
      <c r="U153" s="24">
        <f>T153*(N153+R153)</f>
        <v>3965.0206153846157</v>
      </c>
      <c r="V153" s="74">
        <v>1</v>
      </c>
      <c r="W153" s="24">
        <f>O153*T153</f>
        <v>23129.286923076623</v>
      </c>
      <c r="X153" s="24">
        <f>W153*V153</f>
        <v>23129.286923076623</v>
      </c>
      <c r="Y153" s="75">
        <f>(+$D153+(($C153-1)/12))</f>
        <v>2006.6666666666667</v>
      </c>
      <c r="Z153" s="55">
        <f>($G$7+1)-($D$7/12)</f>
        <v>2013.5</v>
      </c>
      <c r="AA153" s="75">
        <f>$H153+(($C153-1)/12)</f>
        <v>2045.6666666666667</v>
      </c>
      <c r="AB153" s="55">
        <f>$E$7+($F$7/12)</f>
        <v>2012.5</v>
      </c>
      <c r="AC153" s="55">
        <f>$J153+(($I153-1)/12)</f>
        <v>-0.08333333333333333</v>
      </c>
    </row>
    <row r="154" ht="15.75"/>
    <row r="155" spans="5:19" ht="16.5" thickBot="1">
      <c r="E155" s="24">
        <f>SUM(E149:E154)</f>
        <v>575771.534</v>
      </c>
      <c r="L155" s="24">
        <f>SUM(L149:L154)</f>
        <v>509104.534</v>
      </c>
      <c r="M155" s="24">
        <f aca="true" t="shared" si="65" ref="M155:S155">SUM(M149:M154)</f>
        <v>1114.0162931623931</v>
      </c>
      <c r="N155" s="24">
        <f t="shared" si="65"/>
        <v>13368.19551794872</v>
      </c>
      <c r="O155" s="24">
        <f t="shared" si="65"/>
        <v>141398.86069059797</v>
      </c>
      <c r="P155" s="24">
        <f t="shared" si="65"/>
        <v>154767.05620854668</v>
      </c>
      <c r="Q155" s="24">
        <f t="shared" si="65"/>
        <v>427688.57555042766</v>
      </c>
      <c r="R155" s="24">
        <f t="shared" si="65"/>
        <v>0</v>
      </c>
      <c r="S155" s="24">
        <f t="shared" si="65"/>
        <v>13368.19551794872</v>
      </c>
    </row>
    <row r="156" spans="9:17" ht="16.5" thickBot="1">
      <c r="I156" s="219">
        <f>I106</f>
        <v>0.2336099293317563</v>
      </c>
      <c r="J156" s="80" t="s">
        <v>148</v>
      </c>
      <c r="K156" s="83"/>
      <c r="L156" s="83"/>
      <c r="M156" s="83"/>
      <c r="N156" s="92">
        <f>I156*N155</f>
        <v>3122.943210241102</v>
      </c>
      <c r="O156" s="83"/>
      <c r="P156" s="83"/>
      <c r="Q156" s="94">
        <f>Q155*I156</f>
        <v>99912.29791033492</v>
      </c>
    </row>
    <row r="157" ht="15.75">
      <c r="E157" s="70"/>
    </row>
    <row r="158" ht="15.75">
      <c r="E158" s="70"/>
    </row>
    <row r="159" ht="15.75">
      <c r="E159" s="70"/>
    </row>
    <row r="160" ht="15.75">
      <c r="E160" s="70"/>
    </row>
    <row r="161" ht="15.75">
      <c r="E161" s="70"/>
    </row>
  </sheetData>
  <sheetProtection/>
  <mergeCells count="7">
    <mergeCell ref="O9:P9"/>
    <mergeCell ref="W9:X9"/>
    <mergeCell ref="D5:E5"/>
    <mergeCell ref="F5:G5"/>
    <mergeCell ref="C9:D9"/>
    <mergeCell ref="I9:K9"/>
    <mergeCell ref="M9:N9"/>
  </mergeCells>
  <printOptions/>
  <pageMargins left="0.2" right="0.2" top="0.5" bottom="0.8" header="0.3" footer="0.3"/>
  <pageSetup horizontalDpi="600" verticalDpi="600" orientation="landscape" scale="56" r:id="rId3"/>
  <headerFooter>
    <oddFooter>&amp;L&amp;A</oddFooter>
  </headerFooter>
  <rowBreaks count="1" manualBreakCount="1">
    <brk id="111" max="16" man="1"/>
  </rowBreaks>
  <colBreaks count="1" manualBreakCount="1">
    <brk id="1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8"/>
  <sheetViews>
    <sheetView zoomScalePageLayoutView="0" workbookViewId="0" topLeftCell="A1">
      <selection activeCell="A5" sqref="A5"/>
    </sheetView>
  </sheetViews>
  <sheetFormatPr defaultColWidth="9.00390625" defaultRowHeight="15.75"/>
  <sheetData>
    <row r="1" ht="15.75">
      <c r="A1" t="s">
        <v>96</v>
      </c>
    </row>
    <row r="2" ht="15.75">
      <c r="A2" t="s">
        <v>281</v>
      </c>
    </row>
    <row r="4" ht="15.75">
      <c r="A4" s="290" t="s">
        <v>304</v>
      </c>
    </row>
    <row r="5" spans="1:4" ht="15.75">
      <c r="A5" t="s">
        <v>282</v>
      </c>
      <c r="C5">
        <v>8</v>
      </c>
      <c r="D5">
        <f>+C5/C8</f>
        <v>0.24242424242424243</v>
      </c>
    </row>
    <row r="6" spans="1:3" ht="15.75">
      <c r="A6" t="s">
        <v>283</v>
      </c>
      <c r="C6">
        <v>10</v>
      </c>
    </row>
    <row r="7" spans="1:4" ht="15.75">
      <c r="A7" t="s">
        <v>284</v>
      </c>
      <c r="C7" s="252">
        <v>15</v>
      </c>
      <c r="D7" t="s">
        <v>285</v>
      </c>
    </row>
    <row r="8" ht="15.75">
      <c r="C8">
        <f>SUM(C5:C7)</f>
        <v>33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6"/>
  <sheetViews>
    <sheetView zoomScale="80" zoomScaleNormal="80" zoomScalePageLayoutView="0" workbookViewId="0" topLeftCell="A1">
      <selection activeCell="G35" sqref="G35"/>
    </sheetView>
  </sheetViews>
  <sheetFormatPr defaultColWidth="9.00390625" defaultRowHeight="15.75"/>
  <cols>
    <col min="1" max="1" width="24.875" style="0" customWidth="1"/>
    <col min="3" max="3" width="10.125" style="0" bestFit="1" customWidth="1"/>
    <col min="5" max="5" width="13.50390625" style="0" customWidth="1"/>
    <col min="6" max="6" width="10.125" style="0" bestFit="1" customWidth="1"/>
    <col min="8" max="8" width="11.875" style="0" customWidth="1"/>
  </cols>
  <sheetData>
    <row r="1" spans="1:10" ht="15.75">
      <c r="A1" s="290" t="s">
        <v>303</v>
      </c>
      <c r="F1" s="12"/>
      <c r="J1" s="254"/>
    </row>
    <row r="2" spans="6:10" ht="15.75">
      <c r="F2" s="12"/>
      <c r="J2" s="254"/>
    </row>
    <row r="3" spans="6:10" ht="15.75">
      <c r="F3" s="255" t="s">
        <v>286</v>
      </c>
      <c r="G3" s="256" t="s">
        <v>150</v>
      </c>
      <c r="H3" s="257">
        <f>'[2]Schedule 4, R-6E'!$C$11</f>
        <v>0.12516908847982403</v>
      </c>
      <c r="I3" s="258"/>
      <c r="J3" s="254"/>
    </row>
    <row r="4" spans="6:10" ht="15.75">
      <c r="F4" s="255" t="s">
        <v>287</v>
      </c>
      <c r="G4" s="256" t="s">
        <v>150</v>
      </c>
      <c r="H4" s="257">
        <f>'[2]Schedule 4, R-6E'!$C$12</f>
        <v>0.06328332456967044</v>
      </c>
      <c r="I4" s="258"/>
      <c r="J4" s="254"/>
    </row>
    <row r="5" spans="6:10" ht="15.75">
      <c r="F5" s="255" t="s">
        <v>288</v>
      </c>
      <c r="G5" s="256" t="s">
        <v>150</v>
      </c>
      <c r="H5" s="257">
        <f>'[2]Schedule 4, R-6E'!$C$13</f>
        <v>0.9367166754303295</v>
      </c>
      <c r="I5" s="258"/>
      <c r="J5" s="254"/>
    </row>
    <row r="6" spans="6:10" ht="15.75">
      <c r="F6" s="255" t="s">
        <v>289</v>
      </c>
      <c r="G6" s="256" t="s">
        <v>150</v>
      </c>
      <c r="H6" s="257">
        <f>'[2]Schedule 4, R-6E'!$C$14</f>
        <v>0.021961399990722337</v>
      </c>
      <c r="I6" s="258"/>
      <c r="J6" s="254"/>
    </row>
    <row r="7" spans="1:10" ht="15.75">
      <c r="A7" s="293" t="s">
        <v>157</v>
      </c>
      <c r="B7" s="12" t="s">
        <v>147</v>
      </c>
      <c r="C7" s="12" t="s">
        <v>161</v>
      </c>
      <c r="F7" s="259"/>
      <c r="G7" s="256"/>
      <c r="H7" s="260"/>
      <c r="I7" s="258"/>
      <c r="J7" s="254"/>
    </row>
    <row r="8" spans="1:10" ht="15.75">
      <c r="A8" t="s">
        <v>158</v>
      </c>
      <c r="B8" s="181">
        <v>58300.26</v>
      </c>
      <c r="C8" s="16">
        <f>B8*$C$15</f>
        <v>4532.614268860056</v>
      </c>
      <c r="F8" s="255" t="str">
        <f>F3</f>
        <v>Staff Calculated Return on equity percentage</v>
      </c>
      <c r="G8" s="256" t="s">
        <v>290</v>
      </c>
      <c r="H8" s="257">
        <f>'[2]Schedule 4, R-6E'!$C$16</f>
        <v>0.13146582517480263</v>
      </c>
      <c r="I8" s="258"/>
      <c r="J8" s="254"/>
    </row>
    <row r="9" spans="1:10" ht="15.75">
      <c r="A9" t="s">
        <v>159</v>
      </c>
      <c r="B9" s="181">
        <v>5748.8</v>
      </c>
      <c r="C9" s="16">
        <f>B9*$C$15</f>
        <v>446.9464271483984</v>
      </c>
      <c r="F9" s="261" t="str">
        <f>F4</f>
        <v>Equity percentage 2013</v>
      </c>
      <c r="G9" s="256" t="s">
        <v>290</v>
      </c>
      <c r="H9" s="257">
        <f>'[2]Schedule 4, R-6E'!$C$17</f>
        <v>0.46201452160820566</v>
      </c>
      <c r="I9" s="258"/>
      <c r="J9" s="254"/>
    </row>
    <row r="10" spans="1:10" ht="15.75">
      <c r="A10" t="s">
        <v>160</v>
      </c>
      <c r="B10" s="181">
        <f>22179.06+133</f>
        <v>22312.06</v>
      </c>
      <c r="C10" s="16">
        <f>B10*$C$15</f>
        <v>1734.674279731543</v>
      </c>
      <c r="D10" s="16"/>
      <c r="E10" s="16"/>
      <c r="F10" s="255" t="str">
        <f>F5</f>
        <v>Debt percentage 2013</v>
      </c>
      <c r="G10" s="256" t="s">
        <v>290</v>
      </c>
      <c r="H10" s="257">
        <f>'[2]Schedule 4, R-6E'!$C$18</f>
        <v>0.5379854783917943</v>
      </c>
      <c r="I10" s="258"/>
      <c r="J10" s="254"/>
    </row>
    <row r="11" spans="2:10" ht="15.75">
      <c r="B11" s="16"/>
      <c r="C11" s="17">
        <f>SUM(C8:C10)</f>
        <v>6714.234975739997</v>
      </c>
      <c r="D11" s="16"/>
      <c r="E11" s="16"/>
      <c r="F11" s="255" t="str">
        <f>F6</f>
        <v>Cost of debt 2013</v>
      </c>
      <c r="G11" s="256" t="s">
        <v>290</v>
      </c>
      <c r="H11" s="257">
        <f>'[2]Schedule 4, R-6E'!$C$19</f>
        <v>0.04277849950795026</v>
      </c>
      <c r="I11" s="258"/>
      <c r="J11" s="254"/>
    </row>
    <row r="12" spans="2:10" ht="15.75">
      <c r="B12" s="16"/>
      <c r="C12" s="16"/>
      <c r="D12" s="16"/>
      <c r="E12" s="16"/>
      <c r="J12" s="254"/>
    </row>
    <row r="13" spans="1:10" ht="15.75">
      <c r="A13" t="s">
        <v>267</v>
      </c>
      <c r="C13" s="16">
        <v>120000</v>
      </c>
      <c r="D13" s="16"/>
      <c r="E13" s="16"/>
      <c r="F13" s="16"/>
      <c r="G13" s="16"/>
      <c r="H13" s="16"/>
      <c r="I13" s="16"/>
      <c r="J13" s="16"/>
    </row>
    <row r="14" spans="1:10" ht="15.75">
      <c r="A14" t="s">
        <v>196</v>
      </c>
      <c r="B14" s="16"/>
      <c r="C14" s="16">
        <v>1543487</v>
      </c>
      <c r="D14" s="16"/>
      <c r="E14" s="16"/>
      <c r="F14" s="16"/>
      <c r="G14" s="16"/>
      <c r="H14" s="16"/>
      <c r="I14" s="16"/>
      <c r="J14" s="16"/>
    </row>
    <row r="15" spans="1:10" ht="15.75">
      <c r="A15" s="16"/>
      <c r="B15" s="16"/>
      <c r="C15" s="13">
        <f>C13/C14</f>
        <v>0.07774603867735848</v>
      </c>
      <c r="D15" s="16"/>
      <c r="E15" s="16"/>
      <c r="F15" s="16"/>
      <c r="G15" s="16"/>
      <c r="H15" s="16"/>
      <c r="I15" s="16"/>
      <c r="J15" s="16"/>
    </row>
    <row r="16" spans="2:10" ht="15.75">
      <c r="B16" s="16"/>
      <c r="C16" s="16"/>
      <c r="D16" s="16"/>
      <c r="E16" s="16"/>
      <c r="F16" s="16"/>
      <c r="G16" s="16"/>
      <c r="H16" s="16"/>
      <c r="I16" s="16"/>
      <c r="J16" s="16"/>
    </row>
    <row r="17" spans="2:10" ht="15.75">
      <c r="B17" s="16"/>
      <c r="C17" s="16"/>
      <c r="D17" s="16"/>
      <c r="E17" s="16"/>
      <c r="F17" s="16"/>
      <c r="G17" s="16"/>
      <c r="H17" s="16"/>
      <c r="I17" s="16"/>
      <c r="J17" s="16"/>
    </row>
    <row r="18" spans="2:10" ht="15.75">
      <c r="B18" s="16"/>
      <c r="C18" s="16"/>
      <c r="D18" s="16"/>
      <c r="E18" s="16"/>
      <c r="F18" s="16"/>
      <c r="G18" s="16"/>
      <c r="H18" s="16"/>
      <c r="I18" s="16"/>
      <c r="J18" s="16"/>
    </row>
    <row r="19" spans="2:10" ht="15.75"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5.75">
      <c r="A20" s="293" t="s">
        <v>156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.75">
      <c r="A21" t="s">
        <v>160</v>
      </c>
      <c r="B21" s="181">
        <v>1300.48</v>
      </c>
      <c r="C21" s="16">
        <f>B21*$C$35</f>
        <v>72.8392464854033</v>
      </c>
      <c r="D21" s="16"/>
      <c r="E21" s="16"/>
      <c r="F21" s="16"/>
      <c r="G21" s="16"/>
      <c r="H21" s="16"/>
      <c r="I21" s="16"/>
      <c r="J21" s="16"/>
    </row>
    <row r="22" spans="1:10" ht="15.75">
      <c r="A22" t="s">
        <v>162</v>
      </c>
      <c r="B22" s="181">
        <v>8872.09</v>
      </c>
      <c r="C22" s="16">
        <f aca="true" t="shared" si="0" ref="C22:C27">B22*$C$35</f>
        <v>496.9214062120769</v>
      </c>
      <c r="D22" s="16"/>
      <c r="E22" s="16"/>
      <c r="F22" s="16"/>
      <c r="G22" s="16"/>
      <c r="H22" s="16"/>
      <c r="I22" s="16"/>
      <c r="J22" s="16"/>
    </row>
    <row r="23" spans="1:10" ht="15.75">
      <c r="A23" t="s">
        <v>163</v>
      </c>
      <c r="B23" s="181">
        <f>27345.53+1418.38</f>
        <v>28763.91</v>
      </c>
      <c r="C23" s="16">
        <f t="shared" si="0"/>
        <v>1611.0524809100923</v>
      </c>
      <c r="D23" s="16"/>
      <c r="E23" s="16"/>
      <c r="F23" s="16"/>
      <c r="G23" s="16"/>
      <c r="H23" s="16"/>
      <c r="I23" s="16"/>
      <c r="J23" s="16"/>
    </row>
    <row r="24" spans="1:10" ht="15.75">
      <c r="A24" t="s">
        <v>164</v>
      </c>
      <c r="B24" s="181">
        <v>31178.97</v>
      </c>
      <c r="C24" s="16">
        <f t="shared" si="0"/>
        <v>1746.3188061261956</v>
      </c>
      <c r="D24" s="16"/>
      <c r="E24" s="16"/>
      <c r="F24" s="16"/>
      <c r="G24" s="16"/>
      <c r="H24" s="16"/>
      <c r="I24" s="16"/>
      <c r="J24" s="16"/>
    </row>
    <row r="25" spans="1:3" ht="15.75">
      <c r="A25" t="s">
        <v>159</v>
      </c>
      <c r="B25" s="181">
        <v>15492</v>
      </c>
      <c r="C25" s="16">
        <f t="shared" si="0"/>
        <v>867.6993160616602</v>
      </c>
    </row>
    <row r="26" spans="1:3" ht="15.75">
      <c r="A26" t="s">
        <v>165</v>
      </c>
      <c r="B26" s="181">
        <v>11600.8</v>
      </c>
      <c r="C26" s="16">
        <f t="shared" si="0"/>
        <v>649.7551139793511</v>
      </c>
    </row>
    <row r="27" spans="1:3" ht="15.75">
      <c r="A27" t="s">
        <v>166</v>
      </c>
      <c r="B27" s="181">
        <v>2378.98</v>
      </c>
      <c r="C27" s="16">
        <f t="shared" si="0"/>
        <v>133.24550212524971</v>
      </c>
    </row>
    <row r="28" spans="2:3" ht="15.75">
      <c r="B28" s="17">
        <f>SUM(B21:B27)</f>
        <v>99587.23</v>
      </c>
      <c r="C28" s="17">
        <f>SUM(C21:C27)</f>
        <v>5577.83187190003</v>
      </c>
    </row>
    <row r="29" ht="15.75">
      <c r="B29" s="16"/>
    </row>
    <row r="30" ht="15.75">
      <c r="B30" s="16"/>
    </row>
    <row r="33" spans="1:3" ht="15.75">
      <c r="A33" t="s">
        <v>268</v>
      </c>
      <c r="C33" s="16">
        <v>18000</v>
      </c>
    </row>
    <row r="34" spans="1:3" ht="15.75">
      <c r="A34" t="s">
        <v>197</v>
      </c>
      <c r="C34" s="16">
        <v>321374</v>
      </c>
    </row>
    <row r="35" ht="15.75">
      <c r="C35" s="13">
        <f>C33/C34</f>
        <v>0.056009509170001304</v>
      </c>
    </row>
    <row r="36" ht="15.75">
      <c r="C36" s="16"/>
    </row>
  </sheetData>
  <sheetProtection/>
  <printOptions/>
  <pageMargins left="0.7" right="0.7" top="0.75" bottom="0.75" header="0.3" footer="0.3"/>
  <pageSetup fitToHeight="1" fitToWidth="1" horizontalDpi="600" verticalDpi="600" orientation="landscape" scale="94" r:id="rId3"/>
  <headerFooter>
    <oddFooter>&amp;L&amp;A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15"/>
  <sheetViews>
    <sheetView zoomScalePageLayoutView="0" workbookViewId="0" topLeftCell="A1">
      <selection activeCell="B9" sqref="B9"/>
    </sheetView>
  </sheetViews>
  <sheetFormatPr defaultColWidth="9.00390625" defaultRowHeight="15.75"/>
  <cols>
    <col min="1" max="1" width="25.75390625" style="0" customWidth="1"/>
    <col min="2" max="2" width="20.875" style="0" customWidth="1"/>
    <col min="3" max="3" width="12.625" style="0" customWidth="1"/>
  </cols>
  <sheetData>
    <row r="1" spans="1:3" ht="15.75">
      <c r="A1" s="1" t="str">
        <f>'1150 3rd Ave - Comm'!A1</f>
        <v>Owner</v>
      </c>
      <c r="B1" s="1" t="str">
        <f>'1150 3rd Ave - Comm'!B1</f>
        <v>Heirborne Investments LLC</v>
      </c>
      <c r="C1" s="1"/>
    </row>
    <row r="2" spans="1:3" ht="15.75">
      <c r="A2" s="1" t="str">
        <f>'1150 3rd Ave - Comm'!A2</f>
        <v>Parcel</v>
      </c>
      <c r="B2" s="1" t="s">
        <v>302</v>
      </c>
      <c r="C2" s="1"/>
    </row>
    <row r="3" spans="1:3" ht="15.75">
      <c r="A3" s="1"/>
      <c r="B3" s="1"/>
      <c r="C3" s="1"/>
    </row>
    <row r="5" ht="15.75">
      <c r="A5" s="254"/>
    </row>
    <row r="6" spans="1:3" ht="15.75">
      <c r="A6" s="1" t="s">
        <v>112</v>
      </c>
      <c r="B6" s="1"/>
      <c r="C6" s="5">
        <f>+'Cost Calculation'!Q147</f>
        <v>381695.90121522924</v>
      </c>
    </row>
    <row r="7" spans="1:3" ht="15.75">
      <c r="A7" s="1"/>
      <c r="B7" s="1"/>
      <c r="C7" s="5"/>
    </row>
    <row r="8" spans="1:3" ht="15.75">
      <c r="A8" s="1" t="s">
        <v>87</v>
      </c>
      <c r="B8" s="262">
        <f>'Admin costs'!H5</f>
        <v>0.9367166754303295</v>
      </c>
      <c r="C8" s="6">
        <f>B8*C6</f>
        <v>357540.915611713</v>
      </c>
    </row>
    <row r="9" spans="1:3" ht="15.75">
      <c r="A9" s="1" t="s">
        <v>88</v>
      </c>
      <c r="B9" s="262">
        <f>1-B8</f>
        <v>0.06328332456967045</v>
      </c>
      <c r="C9" s="6">
        <f>B9*C6</f>
        <v>24154.985603516223</v>
      </c>
    </row>
    <row r="10" spans="1:3" ht="15.75">
      <c r="A10" s="1"/>
      <c r="B10" s="263"/>
      <c r="C10" s="6"/>
    </row>
    <row r="11" spans="1:3" ht="15.75">
      <c r="A11" s="1" t="s">
        <v>89</v>
      </c>
      <c r="B11" s="262">
        <f>'Admin costs'!H6</f>
        <v>0.021961399990722337</v>
      </c>
      <c r="C11" s="6">
        <f>B11*C8</f>
        <v>7852.09906079793</v>
      </c>
    </row>
    <row r="12" spans="1:3" ht="15.75">
      <c r="A12" s="7" t="s">
        <v>88</v>
      </c>
      <c r="B12" s="264">
        <f>'Admin costs'!H3</f>
        <v>0.12516908847982403</v>
      </c>
      <c r="C12" s="8">
        <f>B12*C9</f>
        <v>3023.457530235398</v>
      </c>
    </row>
    <row r="13" spans="1:3" ht="15.75">
      <c r="A13" s="1" t="s">
        <v>147</v>
      </c>
      <c r="B13" s="1"/>
      <c r="C13" s="9">
        <f>SUM(C11:C12)</f>
        <v>10875.556591033328</v>
      </c>
    </row>
    <row r="15" spans="1:3" ht="15.75">
      <c r="A15" s="1" t="s">
        <v>299</v>
      </c>
      <c r="C15" s="9">
        <f>C13</f>
        <v>10875.556591033328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15"/>
  <sheetViews>
    <sheetView zoomScalePageLayoutView="0" workbookViewId="0" topLeftCell="A1">
      <selection activeCell="B9" sqref="B9"/>
    </sheetView>
  </sheetViews>
  <sheetFormatPr defaultColWidth="9.00390625" defaultRowHeight="15.75"/>
  <cols>
    <col min="1" max="1" width="25.875" style="0" customWidth="1"/>
    <col min="2" max="2" width="20.875" style="0" customWidth="1"/>
    <col min="3" max="3" width="12.625" style="0" customWidth="1"/>
  </cols>
  <sheetData>
    <row r="1" spans="1:2" ht="15.75">
      <c r="A1" s="1" t="s">
        <v>84</v>
      </c>
      <c r="B1" s="1" t="s">
        <v>85</v>
      </c>
    </row>
    <row r="2" spans="1:2" ht="15.75">
      <c r="A2" s="1" t="s">
        <v>86</v>
      </c>
      <c r="B2" s="2">
        <v>10022</v>
      </c>
    </row>
    <row r="4" spans="1:3" ht="15.75">
      <c r="A4" s="3"/>
      <c r="B4" s="1"/>
      <c r="C4" s="1"/>
    </row>
    <row r="5" spans="1:3" ht="15.75">
      <c r="A5" s="1"/>
      <c r="B5" s="1"/>
      <c r="C5" s="4"/>
    </row>
    <row r="6" spans="1:3" ht="15.75">
      <c r="A6" s="1" t="s">
        <v>112</v>
      </c>
      <c r="B6" s="1"/>
      <c r="C6" s="5">
        <f>'Cost Calculation'!Q57</f>
        <v>114669.79772384657</v>
      </c>
    </row>
    <row r="7" spans="1:3" ht="15.75">
      <c r="A7" s="1"/>
      <c r="B7" s="1"/>
      <c r="C7" s="1"/>
    </row>
    <row r="8" spans="1:3" ht="15.75">
      <c r="A8" s="1" t="s">
        <v>87</v>
      </c>
      <c r="B8" s="262">
        <f>'Truck shop - new'!B8</f>
        <v>0.9367166754303295</v>
      </c>
      <c r="C8" s="6">
        <f>B8*C6</f>
        <v>107413.11169614992</v>
      </c>
    </row>
    <row r="9" spans="1:3" ht="15.75">
      <c r="A9" s="1" t="s">
        <v>88</v>
      </c>
      <c r="B9" s="262">
        <f>1-B8</f>
        <v>0.06328332456967045</v>
      </c>
      <c r="C9" s="6">
        <f>B9*C6</f>
        <v>7256.68602769664</v>
      </c>
    </row>
    <row r="10" spans="1:3" ht="15.75">
      <c r="A10" s="1"/>
      <c r="B10" s="263"/>
      <c r="C10" s="6"/>
    </row>
    <row r="11" spans="1:3" ht="15.75">
      <c r="A11" s="1" t="s">
        <v>89</v>
      </c>
      <c r="B11" s="262">
        <f>'Truck shop - new'!B11</f>
        <v>0.021961399990722337</v>
      </c>
      <c r="C11" s="6">
        <f>B11*C8</f>
        <v>2358.942310207284</v>
      </c>
    </row>
    <row r="12" spans="1:3" ht="15.75">
      <c r="A12" s="7" t="s">
        <v>88</v>
      </c>
      <c r="B12" s="262">
        <f>'Truck shop - new'!B12</f>
        <v>0.12516908847982403</v>
      </c>
      <c r="C12" s="8">
        <f>B12*C9</f>
        <v>908.3127754710634</v>
      </c>
    </row>
    <row r="13" spans="1:3" ht="15.75">
      <c r="A13" s="1" t="s">
        <v>147</v>
      </c>
      <c r="B13" s="1"/>
      <c r="C13" s="9">
        <f>SUM(C11:C12)</f>
        <v>3267.2550856783478</v>
      </c>
    </row>
    <row r="15" spans="1:3" ht="15.75">
      <c r="A15" s="1" t="s">
        <v>299</v>
      </c>
      <c r="C15" s="9">
        <f>C13</f>
        <v>3267.2550856783478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33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25.875" style="0" customWidth="1"/>
    <col min="2" max="2" width="20.875" style="0" customWidth="1"/>
    <col min="3" max="3" width="12.625" style="0" customWidth="1"/>
  </cols>
  <sheetData>
    <row r="1" spans="1:2" ht="15.75">
      <c r="A1" s="1" t="s">
        <v>84</v>
      </c>
      <c r="B1" s="1" t="s">
        <v>85</v>
      </c>
    </row>
    <row r="2" spans="1:2" ht="15.75">
      <c r="A2" s="1" t="s">
        <v>86</v>
      </c>
      <c r="B2" s="2">
        <v>10068</v>
      </c>
    </row>
    <row r="4" spans="1:3" ht="15.75">
      <c r="A4" s="3"/>
      <c r="B4" s="1"/>
      <c r="C4" s="1"/>
    </row>
    <row r="5" spans="1:3" ht="15.75">
      <c r="A5" s="1"/>
      <c r="B5" s="1"/>
      <c r="C5" s="4"/>
    </row>
    <row r="6" spans="1:3" ht="15.75">
      <c r="A6" s="1" t="s">
        <v>112</v>
      </c>
      <c r="B6" s="1"/>
      <c r="C6" s="5">
        <f>+'Cost Calculation'!Q72</f>
        <v>289424.9712066178</v>
      </c>
    </row>
    <row r="7" spans="1:3" ht="15.75">
      <c r="A7" s="1"/>
      <c r="B7" s="1"/>
      <c r="C7" s="1"/>
    </row>
    <row r="8" spans="1:3" ht="15.75">
      <c r="A8" s="1" t="s">
        <v>87</v>
      </c>
      <c r="B8" s="265">
        <f>'1150 3rd Ave - Comm'!B8</f>
        <v>0.9367166754303295</v>
      </c>
      <c r="C8" s="6">
        <f>B8*C6</f>
        <v>271109.1968151819</v>
      </c>
    </row>
    <row r="9" spans="1:3" ht="15.75">
      <c r="A9" s="1" t="s">
        <v>88</v>
      </c>
      <c r="B9" s="265">
        <f>1-B8</f>
        <v>0.06328332456967045</v>
      </c>
      <c r="C9" s="6">
        <f>B9*C6</f>
        <v>18315.774391435916</v>
      </c>
    </row>
    <row r="10" spans="1:3" ht="15.75">
      <c r="A10" s="1"/>
      <c r="B10" s="265"/>
      <c r="C10" s="6"/>
    </row>
    <row r="11" spans="1:3" ht="15.75">
      <c r="A11" s="1" t="s">
        <v>89</v>
      </c>
      <c r="B11" s="265">
        <f>'1150 3rd Ave - Comm'!B11</f>
        <v>0.021961399990722337</v>
      </c>
      <c r="C11" s="6">
        <f>B11*C8</f>
        <v>5953.937512421676</v>
      </c>
    </row>
    <row r="12" spans="1:3" ht="15.75">
      <c r="A12" s="7" t="s">
        <v>88</v>
      </c>
      <c r="B12" s="265">
        <f>'1150 3rd Ave - Comm'!B12</f>
        <v>0.12516908847982403</v>
      </c>
      <c r="C12" s="8">
        <f>B12*C9</f>
        <v>2292.5687853781374</v>
      </c>
    </row>
    <row r="13" spans="1:3" ht="15.75">
      <c r="A13" s="1" t="s">
        <v>147</v>
      </c>
      <c r="B13" s="1"/>
      <c r="C13" s="9">
        <f>SUM(C11:C12)</f>
        <v>8246.506297799813</v>
      </c>
    </row>
    <row r="15" spans="1:3" ht="15.75">
      <c r="A15" s="1" t="s">
        <v>299</v>
      </c>
      <c r="C15" s="9">
        <f>C13</f>
        <v>8246.506297799813</v>
      </c>
    </row>
    <row r="19" spans="2:7" ht="15.75">
      <c r="B19" s="13"/>
      <c r="C19" s="13"/>
      <c r="D19" s="13"/>
      <c r="E19" s="13"/>
      <c r="F19" s="13"/>
      <c r="G19" s="13"/>
    </row>
    <row r="20" spans="2:7" ht="15.75">
      <c r="B20" s="13"/>
      <c r="C20" s="13"/>
      <c r="D20" s="13"/>
      <c r="E20" s="13"/>
      <c r="F20" s="13"/>
      <c r="G20" s="13"/>
    </row>
    <row r="21" spans="2:7" ht="15.75">
      <c r="B21" s="13"/>
      <c r="C21" s="13"/>
      <c r="D21" s="13"/>
      <c r="E21" s="13"/>
      <c r="F21" s="13"/>
      <c r="G21" s="13"/>
    </row>
    <row r="22" spans="2:7" ht="15.75">
      <c r="B22" s="13"/>
      <c r="C22" s="13"/>
      <c r="D22" s="13"/>
      <c r="E22" s="13"/>
      <c r="F22" s="13"/>
      <c r="G22" s="13"/>
    </row>
    <row r="23" spans="2:7" ht="15.75">
      <c r="B23" s="13"/>
      <c r="C23" s="13"/>
      <c r="D23" s="13"/>
      <c r="E23" s="13"/>
      <c r="F23" s="13"/>
      <c r="G23" s="13"/>
    </row>
    <row r="24" spans="2:7" ht="15.75">
      <c r="B24" s="15"/>
      <c r="C24" s="13"/>
      <c r="D24" s="13"/>
      <c r="E24" s="13"/>
      <c r="F24" s="13"/>
      <c r="G24" s="13"/>
    </row>
    <row r="25" spans="2:7" ht="15.75">
      <c r="B25" s="14"/>
      <c r="C25" s="13"/>
      <c r="D25" s="13"/>
      <c r="E25" s="13"/>
      <c r="F25" s="13"/>
      <c r="G25" s="13"/>
    </row>
    <row r="26" spans="2:7" ht="15.75">
      <c r="B26" s="14"/>
      <c r="C26" s="13"/>
      <c r="D26" s="13"/>
      <c r="E26" s="13"/>
      <c r="F26" s="13"/>
      <c r="G26" s="13"/>
    </row>
    <row r="27" spans="2:7" ht="15.75">
      <c r="B27" s="14"/>
      <c r="C27" s="13"/>
      <c r="D27" s="13"/>
      <c r="E27" s="13"/>
      <c r="F27" s="13"/>
      <c r="G27" s="13"/>
    </row>
    <row r="28" spans="2:7" ht="15.75">
      <c r="B28" s="14"/>
      <c r="C28" s="13"/>
      <c r="D28" s="13"/>
      <c r="E28" s="13"/>
      <c r="F28" s="13"/>
      <c r="G28" s="13"/>
    </row>
    <row r="29" spans="2:7" ht="15.75">
      <c r="B29" s="202"/>
      <c r="C29" s="13"/>
      <c r="D29" s="13"/>
      <c r="E29" s="13"/>
      <c r="F29" s="13"/>
      <c r="G29" s="13"/>
    </row>
    <row r="30" spans="2:7" ht="15.75">
      <c r="B30" s="202"/>
      <c r="C30" s="13"/>
      <c r="D30" s="13"/>
      <c r="E30" s="13"/>
      <c r="F30" s="13"/>
      <c r="G30" s="13"/>
    </row>
    <row r="31" spans="2:7" ht="15.75">
      <c r="B31" s="13"/>
      <c r="C31" s="13"/>
      <c r="D31" s="13"/>
      <c r="E31" s="13"/>
      <c r="F31" s="13"/>
      <c r="G31" s="13"/>
    </row>
    <row r="32" spans="2:7" ht="15.75">
      <c r="B32" s="13"/>
      <c r="C32" s="13"/>
      <c r="D32" s="13"/>
      <c r="E32" s="13"/>
      <c r="F32" s="13"/>
      <c r="G32" s="13"/>
    </row>
    <row r="33" spans="2:7" ht="15.75">
      <c r="B33" s="13"/>
      <c r="C33" s="13"/>
      <c r="D33" s="13"/>
      <c r="E33" s="13"/>
      <c r="F33" s="13"/>
      <c r="G33" s="13"/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5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25.875" style="0" customWidth="1"/>
    <col min="2" max="2" width="20.875" style="0" customWidth="1"/>
    <col min="3" max="3" width="12.625" style="0" customWidth="1"/>
  </cols>
  <sheetData>
    <row r="1" spans="1:2" ht="15.75">
      <c r="A1" s="1" t="s">
        <v>84</v>
      </c>
      <c r="B1" s="1" t="s">
        <v>85</v>
      </c>
    </row>
    <row r="2" spans="1:2" ht="15.75">
      <c r="A2" s="1" t="s">
        <v>86</v>
      </c>
      <c r="B2" s="2">
        <v>10018</v>
      </c>
    </row>
    <row r="4" spans="1:3" ht="15.75">
      <c r="A4" s="3"/>
      <c r="B4" s="1"/>
      <c r="C4" s="1"/>
    </row>
    <row r="5" spans="1:3" ht="15.75">
      <c r="A5" s="1"/>
      <c r="B5" s="1"/>
      <c r="C5" s="4"/>
    </row>
    <row r="6" spans="1:3" ht="15.75">
      <c r="A6" s="1" t="s">
        <v>112</v>
      </c>
      <c r="B6" s="1"/>
      <c r="C6" s="5">
        <f>'Cost Calculation'!Q106</f>
        <v>12683.589087585267</v>
      </c>
    </row>
    <row r="7" spans="1:3" ht="15.75">
      <c r="A7" s="1"/>
      <c r="B7" s="263"/>
      <c r="C7" s="1"/>
    </row>
    <row r="8" spans="1:3" ht="15.75">
      <c r="A8" s="1" t="s">
        <v>87</v>
      </c>
      <c r="B8" s="262">
        <f>'950 3rd Ave - Cov. Parking'!B8</f>
        <v>0.9367166754303295</v>
      </c>
      <c r="C8" s="6">
        <f>B8*C6</f>
        <v>11880.929402647278</v>
      </c>
    </row>
    <row r="9" spans="1:3" ht="15.75">
      <c r="A9" s="1" t="s">
        <v>88</v>
      </c>
      <c r="B9" s="262">
        <f>1-B8</f>
        <v>0.06328332456967045</v>
      </c>
      <c r="C9" s="6">
        <f>B9*C6</f>
        <v>802.6596849379888</v>
      </c>
    </row>
    <row r="10" spans="1:3" ht="15.75">
      <c r="A10" s="1"/>
      <c r="B10" s="263"/>
      <c r="C10" s="6"/>
    </row>
    <row r="11" spans="1:3" ht="15.75">
      <c r="A11" s="1" t="s">
        <v>89</v>
      </c>
      <c r="B11" s="262">
        <f>'950 3rd Ave - Cov. Parking'!B11</f>
        <v>0.021961399990722337</v>
      </c>
      <c r="C11" s="6">
        <f>B11*C8</f>
        <v>260.92184287307066</v>
      </c>
    </row>
    <row r="12" spans="1:3" ht="15.75">
      <c r="A12" s="7" t="s">
        <v>88</v>
      </c>
      <c r="B12" s="262">
        <f>'950 3rd Ave - Cov. Parking'!B12</f>
        <v>0.12516908847982403</v>
      </c>
      <c r="C12" s="8">
        <f>B12*C9</f>
        <v>100.4681811231908</v>
      </c>
    </row>
    <row r="13" spans="1:3" ht="15.75">
      <c r="A13" s="1" t="s">
        <v>147</v>
      </c>
      <c r="B13" s="1"/>
      <c r="C13" s="9">
        <f>SUM(C11:C12)</f>
        <v>361.39002399626145</v>
      </c>
    </row>
    <row r="15" spans="1:3" ht="15.75">
      <c r="A15" s="1" t="s">
        <v>299</v>
      </c>
      <c r="C15" s="9">
        <f>C13</f>
        <v>361.39002399626145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B34"/>
  <sheetViews>
    <sheetView zoomScalePageLayoutView="0" workbookViewId="0" topLeftCell="A1">
      <selection activeCell="B1" sqref="B1"/>
    </sheetView>
  </sheetViews>
  <sheetFormatPr defaultColWidth="9.00390625" defaultRowHeight="15.75"/>
  <cols>
    <col min="1" max="1" width="25.875" style="0" customWidth="1"/>
    <col min="2" max="2" width="20.875" style="0" customWidth="1"/>
    <col min="3" max="3" width="12.625" style="0" customWidth="1"/>
    <col min="4" max="4" width="13.75390625" style="0" customWidth="1"/>
    <col min="8" max="8" width="2.00390625" style="0" customWidth="1"/>
  </cols>
  <sheetData>
    <row r="1" spans="1:4" ht="15.75">
      <c r="A1" s="137" t="s">
        <v>84</v>
      </c>
      <c r="B1" s="137" t="s">
        <v>155</v>
      </c>
      <c r="C1" s="136"/>
      <c r="D1" s="136"/>
    </row>
    <row r="2" spans="1:4" ht="15.75">
      <c r="A2" s="137" t="s">
        <v>86</v>
      </c>
      <c r="B2" s="138"/>
      <c r="C2" s="136"/>
      <c r="D2" s="136"/>
    </row>
    <row r="3" spans="1:4" ht="15.75">
      <c r="A3" s="135"/>
      <c r="B3" s="135"/>
      <c r="C3" s="135"/>
      <c r="D3" s="135"/>
    </row>
    <row r="4" spans="1:4" ht="15.75">
      <c r="A4" s="139"/>
      <c r="B4" s="137"/>
      <c r="C4" s="137"/>
      <c r="D4" s="136"/>
    </row>
    <row r="5" spans="1:4" ht="15.75">
      <c r="A5" s="137"/>
      <c r="B5" s="137"/>
      <c r="C5" s="140"/>
      <c r="D5" s="136"/>
    </row>
    <row r="6" spans="1:4" ht="15.75">
      <c r="A6" s="137" t="s">
        <v>112</v>
      </c>
      <c r="B6" s="137"/>
      <c r="C6" s="157">
        <f>+'Cost Calculation'!Q156</f>
        <v>99912.29791033492</v>
      </c>
      <c r="D6" s="136"/>
    </row>
    <row r="7" spans="1:4" ht="15.75">
      <c r="A7" s="137"/>
      <c r="B7" s="137"/>
      <c r="C7" s="137"/>
      <c r="D7" s="136"/>
    </row>
    <row r="8" spans="1:4" ht="15.75">
      <c r="A8" s="137" t="s">
        <v>87</v>
      </c>
      <c r="B8" s="266">
        <f>'Admin costs'!H10</f>
        <v>0.5379854783917943</v>
      </c>
      <c r="C8" s="141">
        <f>+C6*B8</f>
        <v>53751.365388515005</v>
      </c>
      <c r="D8" s="199"/>
    </row>
    <row r="9" spans="1:4" ht="15.75">
      <c r="A9" s="137" t="s">
        <v>88</v>
      </c>
      <c r="B9" s="266">
        <f>'Admin costs'!H9</f>
        <v>0.46201452160820566</v>
      </c>
      <c r="C9" s="141">
        <f>+C6*B9</f>
        <v>46160.932521819916</v>
      </c>
      <c r="D9" s="136"/>
    </row>
    <row r="10" spans="1:4" ht="15.75">
      <c r="A10" s="137"/>
      <c r="B10" s="267"/>
      <c r="C10" s="141"/>
      <c r="D10" s="136"/>
    </row>
    <row r="11" spans="1:4" ht="15.75">
      <c r="A11" s="137" t="s">
        <v>89</v>
      </c>
      <c r="B11" s="266">
        <f>'Admin costs'!H11</f>
        <v>0.04277849950795026</v>
      </c>
      <c r="C11" s="141">
        <f>+C8*B11</f>
        <v>2299.402757824244</v>
      </c>
      <c r="D11" s="136"/>
    </row>
    <row r="12" spans="1:4" ht="15.75">
      <c r="A12" s="142" t="s">
        <v>88</v>
      </c>
      <c r="B12" s="268">
        <f>'Admin costs'!H8</f>
        <v>0.13146582517480263</v>
      </c>
      <c r="C12" s="143">
        <f>+C9*B12</f>
        <v>6068.585084819438</v>
      </c>
      <c r="D12" s="145"/>
    </row>
    <row r="13" spans="1:4" ht="15.75">
      <c r="A13" s="137" t="s">
        <v>147</v>
      </c>
      <c r="B13" s="137"/>
      <c r="C13" s="144">
        <f>SUM(C11:C12)</f>
        <v>8367.98784264368</v>
      </c>
      <c r="D13" s="136"/>
    </row>
    <row r="14" spans="1:4" ht="15.75">
      <c r="A14" s="135"/>
      <c r="B14" s="135"/>
      <c r="C14" s="135"/>
      <c r="D14" s="198"/>
    </row>
    <row r="15" spans="1:4" ht="15.75">
      <c r="A15" s="1" t="s">
        <v>299</v>
      </c>
      <c r="B15" s="136"/>
      <c r="C15" s="144">
        <f>+C13</f>
        <v>8367.98784264368</v>
      </c>
      <c r="D15" s="136"/>
    </row>
    <row r="18" spans="1:28" ht="15.75">
      <c r="A18" s="147"/>
      <c r="B18" s="147"/>
      <c r="C18" s="147"/>
      <c r="D18" s="147"/>
      <c r="E18" s="147"/>
      <c r="F18" s="147"/>
      <c r="G18" s="147"/>
      <c r="H18" s="147"/>
      <c r="I18" s="147"/>
      <c r="J18" s="148"/>
      <c r="K18" s="148"/>
      <c r="L18" s="148"/>
      <c r="M18" s="148"/>
      <c r="N18" s="149"/>
      <c r="O18" s="149"/>
      <c r="P18" s="148"/>
      <c r="Q18" s="148"/>
      <c r="R18" s="148"/>
      <c r="S18" s="150"/>
      <c r="T18" s="148"/>
      <c r="U18" s="150"/>
      <c r="V18" s="148"/>
      <c r="W18" s="148"/>
      <c r="X18" s="147"/>
      <c r="Y18" s="146"/>
      <c r="Z18" s="146"/>
      <c r="AA18" s="147"/>
      <c r="AB18" s="147"/>
    </row>
    <row r="20" ht="15.75">
      <c r="D20" s="197"/>
    </row>
    <row r="21" ht="15.75">
      <c r="D21" s="197"/>
    </row>
    <row r="22" ht="15.75">
      <c r="D22" s="292"/>
    </row>
    <row r="23" ht="15.75">
      <c r="D23" s="197"/>
    </row>
    <row r="26" ht="15.75">
      <c r="D26" s="182"/>
    </row>
    <row r="31" ht="15.75">
      <c r="D31" s="182"/>
    </row>
    <row r="33" ht="15.75">
      <c r="D33" s="182"/>
    </row>
    <row r="34" ht="15.75">
      <c r="D34" s="182"/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2014-10-21T22:19:59Z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140560</vt:lpwstr>
  </property>
  <property fmtid="{D5CDD505-2E9C-101B-9397-08002B2CF9AE}" pid="6" name="IsConfidenti">
    <vt:lpwstr>0</vt:lpwstr>
  </property>
  <property fmtid="{D5CDD505-2E9C-101B-9397-08002B2CF9AE}" pid="7" name="Dat">
    <vt:lpwstr>2014-10-21T00:00:00Z</vt:lpwstr>
  </property>
  <property fmtid="{D5CDD505-2E9C-101B-9397-08002B2CF9AE}" pid="8" name="CaseTy">
    <vt:lpwstr>Tariff Revision</vt:lpwstr>
  </property>
  <property fmtid="{D5CDD505-2E9C-101B-9397-08002B2CF9AE}" pid="9" name="OpenedDa">
    <vt:lpwstr>2014-04-03T00:00:00Z</vt:lpwstr>
  </property>
  <property fmtid="{D5CDD505-2E9C-101B-9397-08002B2CF9AE}" pid="10" name="Pref">
    <vt:lpwstr>TG</vt:lpwstr>
  </property>
  <property fmtid="{D5CDD505-2E9C-101B-9397-08002B2CF9AE}" pid="11" name="CaseCompanyNam">
    <vt:lpwstr>WASTE CONTROL,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