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26876E7B-C0D4-4121-8214-2135671C016B}" xr6:coauthVersionLast="47" xr6:coauthVersionMax="47" xr10:uidLastSave="{00000000-0000-0000-0000-000000000000}"/>
  <bookViews>
    <workbookView xWindow="-120" yWindow="-120" windowWidth="20730" windowHeight="11160" xr2:uid="{C72B39BD-7947-48FA-8559-4E66272556A4}"/>
  </bookViews>
  <sheets>
    <sheet name="WA ELEC" sheetId="2" r:id="rId1"/>
    <sheet name="Sheet7" sheetId="11" r:id="rId2"/>
    <sheet name="Electric True Up" sheetId="14" r:id="rId3"/>
    <sheet name="Elec NIUC Calc" sheetId="9" state="hidden" r:id="rId4"/>
    <sheet name="Sheet2" sheetId="5" r:id="rId5"/>
    <sheet name="Sheet3" sheetId="6" r:id="rId6"/>
    <sheet name="Sheet1" sheetId="4" r:id="rId7"/>
    <sheet name="WA GAS" sheetId="1" r:id="rId8"/>
    <sheet name="Sheet6" sheetId="10" r:id="rId9"/>
    <sheet name="Gas True Up" sheetId="15" r:id="rId10"/>
    <sheet name="Sheet8" sheetId="12" r:id="rId11"/>
    <sheet name="Sheet4" sheetId="7" r:id="rId12"/>
    <sheet name="Sheet5" sheetId="8" r:id="rId13"/>
    <sheet name="BCP Charts" sheetId="13" r:id="rId14"/>
  </sheets>
  <externalReferences>
    <externalReference r:id="rId15"/>
    <externalReference r:id="rId16"/>
  </externalReferences>
  <definedNames>
    <definedName name="_xlnm._FilterDatabase" localSheetId="2" hidden="1">'Electric True Up'!$K$37:$K$60</definedName>
    <definedName name="_xlnm._FilterDatabase" localSheetId="7" hidden="1">'WA GAS'!$G$37:$H$48</definedName>
    <definedName name="_xlnm.Print_Area" localSheetId="13">'BCP Charts'!$A$1:$F$52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2" l="1"/>
  <c r="O30" i="2" s="1"/>
  <c r="E29" i="2"/>
  <c r="I40" i="2"/>
  <c r="I38" i="2"/>
  <c r="C53" i="14" l="1"/>
  <c r="J37" i="13"/>
  <c r="J38" i="13"/>
  <c r="J39" i="13"/>
  <c r="J40" i="13"/>
  <c r="J41" i="13"/>
  <c r="J42" i="13"/>
  <c r="J43" i="13"/>
  <c r="J44" i="13"/>
  <c r="J45" i="13"/>
  <c r="J46" i="13"/>
  <c r="J47" i="13"/>
  <c r="J48" i="13"/>
  <c r="J36" i="13"/>
  <c r="C67" i="13"/>
  <c r="E52" i="13"/>
  <c r="E5" i="13"/>
  <c r="E51" i="13" s="1"/>
  <c r="H23" i="13" s="1"/>
  <c r="E13" i="13"/>
  <c r="E30" i="13"/>
  <c r="E49" i="13"/>
  <c r="E50" i="13" l="1"/>
  <c r="D4" i="15"/>
  <c r="E4" i="15"/>
  <c r="D5" i="15"/>
  <c r="E5" i="15"/>
  <c r="E3" i="15"/>
  <c r="D3" i="15"/>
  <c r="D51" i="13"/>
  <c r="C49" i="13"/>
  <c r="C51" i="13" s="1"/>
  <c r="O23" i="1"/>
  <c r="J53" i="13"/>
  <c r="C58" i="13"/>
  <c r="C60" i="14"/>
  <c r="F21" i="13"/>
  <c r="K19" i="14"/>
  <c r="I6" i="15"/>
  <c r="G8" i="15"/>
  <c r="N20" i="15"/>
  <c r="E2" i="1"/>
  <c r="E3" i="1" s="1"/>
  <c r="D3" i="1"/>
  <c r="C3" i="1"/>
  <c r="D17" i="1"/>
  <c r="E17" i="1"/>
  <c r="E13" i="1"/>
  <c r="E14" i="1"/>
  <c r="E15" i="1"/>
  <c r="E16" i="1"/>
  <c r="E12" i="1"/>
  <c r="E6" i="1"/>
  <c r="E7" i="1"/>
  <c r="E8" i="1"/>
  <c r="E9" i="1"/>
  <c r="E5" i="1"/>
  <c r="E10" i="1" s="1"/>
  <c r="D10" i="1"/>
  <c r="C10" i="1"/>
  <c r="C3" i="15"/>
  <c r="C8" i="15" s="1"/>
  <c r="C63" i="14"/>
  <c r="F22" i="14"/>
  <c r="X7" i="14"/>
  <c r="X15" i="14"/>
  <c r="X33" i="14"/>
  <c r="X34" i="14" s="1"/>
  <c r="R3" i="15"/>
  <c r="C42" i="15"/>
  <c r="C24" i="15"/>
  <c r="N6" i="15"/>
  <c r="N21" i="15" s="1"/>
  <c r="G3" i="15" s="1"/>
  <c r="N13" i="15"/>
  <c r="B4" i="14"/>
  <c r="F3" i="13"/>
  <c r="B3" i="14" l="1"/>
  <c r="X36" i="14" s="1"/>
  <c r="B14" i="1"/>
  <c r="B17" i="1" s="1"/>
  <c r="N18" i="1" s="1"/>
  <c r="B7" i="1"/>
  <c r="B10" i="1"/>
  <c r="N11" i="1" s="1"/>
  <c r="B3" i="1"/>
  <c r="C65" i="13"/>
  <c r="G4" i="13"/>
  <c r="C37" i="13" s="1"/>
  <c r="I38" i="13"/>
  <c r="I39" i="13"/>
  <c r="I40" i="13"/>
  <c r="I41" i="13"/>
  <c r="I42" i="13"/>
  <c r="I43" i="13"/>
  <c r="I44" i="13"/>
  <c r="I45" i="13"/>
  <c r="I46" i="13"/>
  <c r="I47" i="13"/>
  <c r="I48" i="13"/>
  <c r="I37" i="13"/>
  <c r="H36" i="13"/>
  <c r="H50" i="13" s="1"/>
  <c r="I50" i="13" s="1"/>
  <c r="B59" i="13"/>
  <c r="B58" i="13"/>
  <c r="I6" i="13"/>
  <c r="I5" i="13"/>
  <c r="D30" i="13"/>
  <c r="D13" i="13"/>
  <c r="D5" i="13"/>
  <c r="B22" i="14"/>
  <c r="E33" i="13"/>
  <c r="B30" i="14"/>
  <c r="B36" i="2"/>
  <c r="B30" i="2"/>
  <c r="N30" i="2"/>
  <c r="B13" i="2"/>
  <c r="C30" i="13"/>
  <c r="C52" i="13"/>
  <c r="B30" i="13"/>
  <c r="B61" i="13" s="1"/>
  <c r="F38" i="13"/>
  <c r="F39" i="13"/>
  <c r="F45" i="13"/>
  <c r="F46" i="13"/>
  <c r="F47" i="13"/>
  <c r="F36" i="13"/>
  <c r="G4" i="15"/>
  <c r="T3" i="15"/>
  <c r="R13" i="15"/>
  <c r="S13" i="15" s="1"/>
  <c r="R5" i="15"/>
  <c r="T4" i="15"/>
  <c r="T6" i="15"/>
  <c r="T7" i="15"/>
  <c r="T8" i="15"/>
  <c r="T9" i="15"/>
  <c r="T10" i="15"/>
  <c r="T11" i="15"/>
  <c r="T12" i="15"/>
  <c r="T14" i="15"/>
  <c r="T15" i="15"/>
  <c r="R20" i="15"/>
  <c r="I3" i="15"/>
  <c r="I5" i="15"/>
  <c r="I7" i="15"/>
  <c r="H6" i="15"/>
  <c r="C41" i="15"/>
  <c r="C38" i="15"/>
  <c r="C31" i="15"/>
  <c r="F40" i="13"/>
  <c r="F41" i="13"/>
  <c r="F42" i="13"/>
  <c r="F43" i="13"/>
  <c r="F44" i="13"/>
  <c r="F48" i="13"/>
  <c r="D49" i="13"/>
  <c r="B49" i="13"/>
  <c r="F32" i="13"/>
  <c r="F33" i="13"/>
  <c r="D34" i="13"/>
  <c r="E34" i="13"/>
  <c r="B34" i="13"/>
  <c r="L16" i="14"/>
  <c r="L19" i="14"/>
  <c r="K32" i="14"/>
  <c r="R3" i="14"/>
  <c r="R17" i="14" s="1"/>
  <c r="Q19" i="14" s="1"/>
  <c r="Q21" i="14" s="1"/>
  <c r="X37" i="14"/>
  <c r="C4" i="2"/>
  <c r="B6" i="14"/>
  <c r="B7" i="14" s="1"/>
  <c r="D4" i="14"/>
  <c r="D5" i="14"/>
  <c r="D3" i="14"/>
  <c r="C7" i="14"/>
  <c r="D9" i="14" s="1"/>
  <c r="S17" i="14"/>
  <c r="S18" i="14" s="1"/>
  <c r="C47" i="14"/>
  <c r="C30" i="14"/>
  <c r="C22" i="14"/>
  <c r="B52" i="14"/>
  <c r="C52" i="14"/>
  <c r="C55" i="14" s="1"/>
  <c r="E37" i="2"/>
  <c r="T4" i="14"/>
  <c r="T5" i="14"/>
  <c r="T6" i="14"/>
  <c r="T7" i="14"/>
  <c r="T8" i="14"/>
  <c r="T9" i="14"/>
  <c r="T10" i="14"/>
  <c r="T11" i="14"/>
  <c r="T12" i="14"/>
  <c r="T13" i="14"/>
  <c r="T14" i="14"/>
  <c r="T15" i="14"/>
  <c r="T16" i="14"/>
  <c r="G10" i="15" l="1"/>
  <c r="G13" i="15"/>
  <c r="B53" i="14"/>
  <c r="R19" i="14"/>
  <c r="T19" i="14" s="1"/>
  <c r="S5" i="15"/>
  <c r="S16" i="15" s="1"/>
  <c r="R16" i="15"/>
  <c r="Q20" i="15" s="1"/>
  <c r="H8" i="15"/>
  <c r="H10" i="15" s="1"/>
  <c r="I4" i="15"/>
  <c r="I8" i="15" s="1"/>
  <c r="T13" i="15"/>
  <c r="D7" i="14"/>
  <c r="D50" i="13"/>
  <c r="I11" i="13"/>
  <c r="I36" i="13"/>
  <c r="R22" i="14"/>
  <c r="B19" i="1"/>
  <c r="B21" i="1" s="1"/>
  <c r="B13" i="13"/>
  <c r="C34" i="13"/>
  <c r="F34" i="13"/>
  <c r="T3" i="14"/>
  <c r="T17" i="14" s="1"/>
  <c r="T22" i="14" s="1"/>
  <c r="D6" i="14"/>
  <c r="T5" i="15" l="1"/>
  <c r="T16" i="15" s="1"/>
  <c r="S19" i="15"/>
  <c r="R19" i="15"/>
  <c r="R18" i="15"/>
  <c r="D8" i="14"/>
  <c r="B60" i="13"/>
  <c r="B65" i="13" s="1"/>
  <c r="C5" i="13"/>
  <c r="B5" i="13"/>
  <c r="B50" i="13" s="1"/>
  <c r="B51" i="13" s="1"/>
  <c r="C13" i="13"/>
  <c r="F30" i="13"/>
  <c r="F22" i="13"/>
  <c r="F29" i="13"/>
  <c r="F7" i="13"/>
  <c r="F12" i="13"/>
  <c r="F15" i="13"/>
  <c r="F20" i="13"/>
  <c r="F23" i="13"/>
  <c r="F28" i="13"/>
  <c r="F2" i="13"/>
  <c r="F4" i="13"/>
  <c r="F8" i="13"/>
  <c r="F9" i="13"/>
  <c r="F10" i="13"/>
  <c r="F11" i="13"/>
  <c r="F16" i="13"/>
  <c r="F17" i="13"/>
  <c r="F18" i="13"/>
  <c r="F19" i="13"/>
  <c r="F24" i="13"/>
  <c r="F25" i="13"/>
  <c r="F26" i="13"/>
  <c r="F27" i="13"/>
  <c r="F59" i="10"/>
  <c r="F5" i="13" l="1"/>
  <c r="F13" i="13"/>
  <c r="N3" i="1" l="1"/>
  <c r="N5" i="1"/>
  <c r="N6" i="1"/>
  <c r="N7" i="1"/>
  <c r="N8" i="1"/>
  <c r="N9" i="1"/>
  <c r="N10" i="1"/>
  <c r="N12" i="1"/>
  <c r="N13" i="1"/>
  <c r="N14" i="1"/>
  <c r="N15" i="1"/>
  <c r="N16" i="1"/>
  <c r="N17" i="1"/>
  <c r="N19" i="1"/>
  <c r="N21" i="1"/>
  <c r="N2" i="1"/>
  <c r="O3" i="1"/>
  <c r="O5" i="1"/>
  <c r="O6" i="1"/>
  <c r="O7" i="1"/>
  <c r="O8" i="1"/>
  <c r="O9" i="1"/>
  <c r="O10" i="1"/>
  <c r="O12" i="1"/>
  <c r="O13" i="1"/>
  <c r="O14" i="1"/>
  <c r="O15" i="1"/>
  <c r="O16" i="1"/>
  <c r="O19" i="1"/>
  <c r="O21" i="1"/>
  <c r="O2" i="1"/>
  <c r="A38" i="2"/>
  <c r="B12" i="2"/>
  <c r="N12" i="2" s="1"/>
  <c r="O3" i="2"/>
  <c r="O4" i="2"/>
  <c r="O5" i="2"/>
  <c r="O6" i="2"/>
  <c r="O7" i="2"/>
  <c r="O8" i="2"/>
  <c r="O9" i="2"/>
  <c r="O11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2" i="2"/>
  <c r="N3" i="2"/>
  <c r="N4" i="2"/>
  <c r="N5" i="2"/>
  <c r="N6" i="2"/>
  <c r="N7" i="2"/>
  <c r="N8" i="2"/>
  <c r="N9" i="2"/>
  <c r="N10" i="2"/>
  <c r="N11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2" i="2"/>
  <c r="K31" i="11" l="1"/>
  <c r="D31" i="11"/>
  <c r="D34" i="11" s="1"/>
  <c r="K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30" i="11"/>
  <c r="K34" i="11"/>
  <c r="K41" i="11"/>
  <c r="K44" i="11" s="1"/>
  <c r="L44" i="11"/>
  <c r="B46" i="11"/>
  <c r="B45" i="11"/>
  <c r="F34" i="11"/>
  <c r="D33" i="11"/>
  <c r="B33" i="11"/>
  <c r="B31" i="11"/>
  <c r="D30" i="11"/>
  <c r="C21" i="11"/>
  <c r="B34" i="11"/>
  <c r="C36" i="11" s="1"/>
  <c r="C34" i="11"/>
  <c r="B5" i="11"/>
  <c r="D3" i="2"/>
  <c r="C3" i="2"/>
  <c r="C67" i="10"/>
  <c r="B24" i="10"/>
  <c r="B25" i="10"/>
  <c r="D24" i="10"/>
  <c r="B27" i="10"/>
  <c r="B35" i="10"/>
  <c r="D35" i="10" s="1"/>
  <c r="B26" i="10"/>
  <c r="C26" i="10"/>
  <c r="D25" i="10"/>
  <c r="D26" i="10"/>
  <c r="D27" i="10"/>
  <c r="D28" i="10"/>
  <c r="D29" i="10"/>
  <c r="D30" i="10"/>
  <c r="D31" i="10"/>
  <c r="D32" i="10"/>
  <c r="D33" i="10"/>
  <c r="D34" i="10"/>
  <c r="D36" i="10"/>
  <c r="C37" i="10"/>
  <c r="B37" i="10"/>
  <c r="B14" i="10"/>
  <c r="D14" i="10" s="1"/>
  <c r="C19" i="1"/>
  <c r="C21" i="1" s="1"/>
  <c r="B13" i="10" s="1"/>
  <c r="D13" i="10" s="1"/>
  <c r="C7" i="10"/>
  <c r="B15" i="10"/>
  <c r="D15" i="10" s="1"/>
  <c r="B16" i="10"/>
  <c r="D16" i="10"/>
  <c r="C42" i="10" l="1"/>
  <c r="M44" i="11"/>
  <c r="M46" i="11" s="1"/>
  <c r="C25" i="11"/>
  <c r="D37" i="10"/>
  <c r="D26" i="11" l="1"/>
  <c r="B35" i="11"/>
  <c r="C18" i="10"/>
  <c r="D18" i="10"/>
  <c r="D39" i="10" s="1"/>
  <c r="E38" i="10" s="1"/>
  <c r="B18" i="10"/>
  <c r="B20" i="10" s="1"/>
  <c r="B7" i="10"/>
  <c r="K68" i="8"/>
  <c r="K54" i="8"/>
  <c r="K57" i="8"/>
  <c r="K55" i="8"/>
  <c r="K62" i="8"/>
  <c r="K58" i="8"/>
  <c r="K59" i="8"/>
  <c r="M70" i="8"/>
  <c r="K56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54" i="8"/>
  <c r="M45" i="8"/>
  <c r="L45" i="8"/>
  <c r="L46" i="8" s="1"/>
  <c r="L68" i="8"/>
  <c r="M49" i="8"/>
  <c r="K45" i="8"/>
  <c r="M43" i="8"/>
  <c r="M44" i="8"/>
  <c r="M42" i="8"/>
  <c r="K46" i="8"/>
  <c r="D52" i="8"/>
  <c r="F54" i="8"/>
  <c r="F57" i="8"/>
  <c r="J27" i="8"/>
  <c r="D14" i="6"/>
  <c r="F29" i="8"/>
  <c r="E29" i="8"/>
  <c r="U32" i="8"/>
  <c r="Q20" i="8"/>
  <c r="R16" i="8"/>
  <c r="S16" i="8"/>
  <c r="Q13" i="8"/>
  <c r="S13" i="8"/>
  <c r="S14" i="8"/>
  <c r="S15" i="8"/>
  <c r="S12" i="8"/>
  <c r="Q16" i="8"/>
  <c r="P25" i="8"/>
  <c r="D4" i="2"/>
  <c r="E3" i="2"/>
  <c r="E4" i="2" s="1"/>
  <c r="E2" i="2"/>
  <c r="M45" i="5"/>
  <c r="C35" i="2"/>
  <c r="C29" i="2"/>
  <c r="D37" i="4"/>
  <c r="E31" i="4"/>
  <c r="E32" i="4" s="1"/>
  <c r="C32" i="4"/>
  <c r="C31" i="4"/>
  <c r="C38" i="6"/>
  <c r="C56" i="2"/>
  <c r="C58" i="2"/>
  <c r="F16" i="10" l="1"/>
  <c r="M68" i="8"/>
  <c r="N70" i="8" s="1"/>
  <c r="M46" i="8"/>
  <c r="L70" i="8"/>
  <c r="C17" i="1" l="1"/>
  <c r="O17" i="1"/>
  <c r="D34" i="1"/>
  <c r="D30" i="1"/>
  <c r="D31" i="1"/>
  <c r="D32" i="1"/>
  <c r="D33" i="1"/>
  <c r="C24" i="1"/>
  <c r="B24" i="1"/>
  <c r="E7" i="2"/>
  <c r="E8" i="2"/>
  <c r="E9" i="2"/>
  <c r="E10" i="2"/>
  <c r="O10" i="2" s="1"/>
  <c r="E11" i="2"/>
  <c r="E6" i="2"/>
  <c r="E12" i="2" l="1"/>
  <c r="C62" i="14" l="1"/>
  <c r="C67" i="14" s="1"/>
  <c r="O12" i="2"/>
  <c r="O43" i="4" l="1"/>
  <c r="O33" i="4"/>
  <c r="M19" i="4"/>
  <c r="O26" i="6" l="1"/>
  <c r="C41" i="6" l="1"/>
  <c r="F37" i="6" s="1"/>
  <c r="L30" i="6" l="1"/>
  <c r="B29" i="2"/>
  <c r="D16" i="6"/>
  <c r="D13" i="6"/>
  <c r="H12" i="5"/>
  <c r="H11" i="5"/>
  <c r="H13" i="5"/>
  <c r="N24" i="5" l="1"/>
  <c r="N25" i="5"/>
  <c r="N26" i="5"/>
  <c r="N27" i="5"/>
  <c r="N28" i="5"/>
  <c r="N29" i="5"/>
  <c r="N30" i="5"/>
  <c r="N31" i="5"/>
  <c r="N32" i="5"/>
  <c r="N33" i="5"/>
  <c r="N23" i="5"/>
  <c r="M35" i="5"/>
  <c r="M24" i="5"/>
  <c r="M25" i="5"/>
  <c r="M26" i="5"/>
  <c r="M27" i="5"/>
  <c r="M28" i="5"/>
  <c r="M29" i="5"/>
  <c r="M30" i="5"/>
  <c r="M31" i="5"/>
  <c r="M32" i="5"/>
  <c r="M33" i="5"/>
  <c r="M23" i="5"/>
  <c r="H23" i="5" l="1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22" i="5"/>
  <c r="F49" i="5"/>
  <c r="F50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B129" i="5"/>
  <c r="F23" i="5"/>
  <c r="F24" i="5"/>
  <c r="F25" i="5"/>
  <c r="F26" i="5"/>
  <c r="F27" i="5"/>
  <c r="F28" i="5"/>
  <c r="F29" i="5"/>
  <c r="F30" i="5"/>
  <c r="F31" i="5"/>
  <c r="F22" i="5"/>
  <c r="G32" i="5" l="1"/>
  <c r="H20" i="9" l="1"/>
  <c r="B5" i="9"/>
  <c r="D24" i="2" l="1"/>
  <c r="I9" i="8" l="1"/>
  <c r="K10" i="8" s="1"/>
  <c r="I4" i="8"/>
  <c r="I5" i="8"/>
  <c r="I6" i="8"/>
  <c r="I7" i="8"/>
  <c r="I3" i="8"/>
  <c r="F4" i="8"/>
  <c r="F5" i="8"/>
  <c r="F6" i="8"/>
  <c r="F7" i="8"/>
  <c r="F3" i="8"/>
  <c r="B3" i="8"/>
  <c r="B4" i="8"/>
  <c r="B5" i="8"/>
  <c r="B6" i="8"/>
  <c r="B7" i="8"/>
  <c r="B13" i="8"/>
  <c r="B8" i="8" l="1"/>
  <c r="B9" i="8"/>
  <c r="B10" i="8"/>
  <c r="B11" i="8"/>
  <c r="B12" i="8"/>
  <c r="B14" i="8"/>
  <c r="B15" i="8"/>
  <c r="B16" i="8"/>
  <c r="B17" i="8"/>
  <c r="B18" i="8"/>
  <c r="D31" i="7" l="1"/>
  <c r="E31" i="7"/>
  <c r="F31" i="7"/>
  <c r="D32" i="7"/>
  <c r="E32" i="7"/>
  <c r="F32" i="7"/>
  <c r="E30" i="7"/>
  <c r="F30" i="7"/>
  <c r="D30" i="7"/>
  <c r="Q21" i="7"/>
  <c r="Q22" i="7" s="1"/>
  <c r="L31" i="7"/>
  <c r="M31" i="7"/>
  <c r="N31" i="7"/>
  <c r="O31" i="7"/>
  <c r="L32" i="7"/>
  <c r="M32" i="7"/>
  <c r="N32" i="7"/>
  <c r="O32" i="7"/>
  <c r="L33" i="7"/>
  <c r="N33" i="7"/>
  <c r="O33" i="7"/>
  <c r="M30" i="7"/>
  <c r="N30" i="7"/>
  <c r="O30" i="7"/>
  <c r="L30" i="7"/>
  <c r="Q17" i="7" l="1"/>
  <c r="R7" i="7"/>
  <c r="R9" i="7"/>
  <c r="R10" i="7"/>
  <c r="R11" i="7"/>
  <c r="R12" i="7"/>
  <c r="R13" i="7"/>
  <c r="R14" i="7"/>
  <c r="R15" i="7"/>
  <c r="R16" i="7"/>
  <c r="R18" i="7"/>
  <c r="R6" i="7"/>
  <c r="R20" i="7" s="1"/>
  <c r="Q8" i="7"/>
  <c r="Q20" i="7" s="1"/>
  <c r="Q19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6" i="7"/>
  <c r="D13" i="7"/>
  <c r="B23" i="7"/>
  <c r="C13" i="7"/>
  <c r="C12" i="7"/>
  <c r="D12" i="7"/>
  <c r="I12" i="7"/>
  <c r="H12" i="7"/>
  <c r="D10" i="7"/>
  <c r="D11" i="7"/>
  <c r="D9" i="7"/>
  <c r="C20" i="7"/>
  <c r="C1" i="7"/>
  <c r="C5" i="7"/>
  <c r="E2" i="7"/>
  <c r="E24" i="1"/>
  <c r="F24" i="1" s="1"/>
  <c r="E25" i="1"/>
  <c r="D25" i="1"/>
  <c r="H9" i="6"/>
  <c r="C12" i="2"/>
  <c r="I41" i="2" s="1"/>
  <c r="B4" i="6"/>
  <c r="B10" i="6" s="1"/>
  <c r="J4" i="6"/>
  <c r="O8" i="5"/>
  <c r="O6" i="5"/>
  <c r="N6" i="5"/>
  <c r="O2" i="5"/>
  <c r="O3" i="5"/>
  <c r="O4" i="5"/>
  <c r="O5" i="5"/>
  <c r="N5" i="5"/>
  <c r="J9" i="5"/>
  <c r="M2" i="5"/>
  <c r="M3" i="5"/>
  <c r="M5" i="5"/>
  <c r="L3" i="5"/>
  <c r="L4" i="5"/>
  <c r="L5" i="5"/>
  <c r="L6" i="5"/>
  <c r="L2" i="5"/>
  <c r="D10" i="5"/>
  <c r="C10" i="5"/>
  <c r="D13" i="5"/>
  <c r="B49" i="2"/>
  <c r="S43" i="2"/>
  <c r="I42" i="2"/>
  <c r="I39" i="2"/>
  <c r="I44" i="2"/>
  <c r="I45" i="2"/>
  <c r="I46" i="2"/>
  <c r="I47" i="2"/>
  <c r="I52" i="2"/>
  <c r="I51" i="2"/>
  <c r="R7" i="2"/>
  <c r="C3" i="7" l="1"/>
  <c r="C19" i="7"/>
  <c r="C2" i="7" s="1"/>
  <c r="C21" i="7"/>
  <c r="C4" i="7" s="1"/>
  <c r="F2" i="7"/>
  <c r="R20" i="2"/>
  <c r="R11" i="2"/>
  <c r="R23" i="2"/>
  <c r="R14" i="2"/>
  <c r="R6" i="2"/>
  <c r="R22" i="2"/>
  <c r="R13" i="2"/>
  <c r="R21" i="2"/>
  <c r="R12" i="2"/>
  <c r="R18" i="2"/>
  <c r="R10" i="2"/>
  <c r="R17" i="2"/>
  <c r="R9" i="2"/>
  <c r="R16" i="2"/>
  <c r="R8" i="2"/>
  <c r="R5" i="2"/>
  <c r="R15" i="2"/>
  <c r="I16" i="4"/>
  <c r="G14" i="4"/>
  <c r="G15" i="4"/>
  <c r="G16" i="4"/>
  <c r="G5" i="4"/>
  <c r="G6" i="4"/>
  <c r="G7" i="4"/>
  <c r="G8" i="4"/>
  <c r="G9" i="4"/>
  <c r="G10" i="4"/>
  <c r="G11" i="4"/>
  <c r="G12" i="4"/>
  <c r="G13" i="4"/>
  <c r="G4" i="4"/>
  <c r="C18" i="4"/>
  <c r="F7" i="4"/>
  <c r="F14" i="4"/>
  <c r="D18" i="4"/>
  <c r="F3" i="4"/>
  <c r="F4" i="4"/>
  <c r="F5" i="4"/>
  <c r="F6" i="4"/>
  <c r="F8" i="4"/>
  <c r="F9" i="4"/>
  <c r="F10" i="4"/>
  <c r="F11" i="4"/>
  <c r="F12" i="4"/>
  <c r="F13" i="4"/>
  <c r="F16" i="4"/>
  <c r="F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2" i="4"/>
  <c r="B27" i="2"/>
  <c r="B31" i="2" l="1"/>
  <c r="B35" i="2" s="1"/>
  <c r="C31" i="2"/>
  <c r="T40" i="2" s="1"/>
  <c r="B8" i="9" l="1"/>
  <c r="P36" i="2"/>
  <c r="P38" i="2" s="1"/>
  <c r="N38" i="2" s="1"/>
  <c r="F8" i="9"/>
  <c r="B10" i="9"/>
  <c r="K15" i="9" s="1"/>
  <c r="D33" i="2"/>
  <c r="D28" i="2"/>
  <c r="D27" i="2"/>
  <c r="D26" i="2"/>
  <c r="D25" i="2"/>
  <c r="D23" i="2"/>
  <c r="D22" i="2"/>
  <c r="D21" i="2"/>
  <c r="D20" i="2"/>
  <c r="D19" i="2"/>
  <c r="D18" i="2"/>
  <c r="D17" i="2"/>
  <c r="D16" i="2"/>
  <c r="D15" i="2"/>
  <c r="G9" i="9" l="1"/>
  <c r="F9" i="9"/>
  <c r="F10" i="9" s="1"/>
  <c r="G31" i="2" l="1"/>
  <c r="G35" i="2" s="1"/>
  <c r="H31" i="2" l="1"/>
  <c r="H35" i="2" s="1"/>
  <c r="J31" i="2" l="1"/>
  <c r="I31" i="2"/>
  <c r="M31" i="2"/>
  <c r="L31" i="2"/>
  <c r="J35" i="2" l="1"/>
  <c r="I35" i="2"/>
  <c r="M35" i="2" l="1"/>
  <c r="L35" i="2"/>
  <c r="C8" i="6" l="1"/>
  <c r="C1" i="6"/>
  <c r="C4" i="6" s="1"/>
  <c r="D12" i="2"/>
  <c r="C10" i="6" l="1"/>
  <c r="B32" i="1" l="1"/>
  <c r="B34" i="1" s="1"/>
  <c r="L28" i="1" l="1"/>
  <c r="L27" i="1" l="1"/>
  <c r="K27" i="1" l="1"/>
  <c r="K28" i="1"/>
  <c r="D14" i="2" l="1"/>
  <c r="D29" i="2" s="1"/>
  <c r="D31" i="2" s="1"/>
  <c r="D35" i="2" s="1"/>
  <c r="E31" i="2"/>
  <c r="E35" i="2" s="1"/>
  <c r="E36" i="2" l="1"/>
  <c r="D39" i="2" s="1"/>
  <c r="I49" i="2"/>
  <c r="I36" i="2"/>
  <c r="I50" i="2"/>
  <c r="C34" i="4"/>
  <c r="D34" i="4" s="1"/>
  <c r="O45" i="4"/>
  <c r="P34" i="2"/>
  <c r="I53" i="2" l="1"/>
  <c r="H54" i="2" s="1"/>
  <c r="F37" i="13" l="1"/>
  <c r="F49" i="13" s="1"/>
  <c r="F51" i="13" s="1"/>
  <c r="F50" i="13" l="1"/>
</calcChain>
</file>

<file path=xl/sharedStrings.xml><?xml version="1.0" encoding="utf-8"?>
<sst xmlns="http://schemas.openxmlformats.org/spreadsheetml/2006/main" count="803" uniqueCount="236">
  <si>
    <t>Program</t>
  </si>
  <si>
    <t>kWh</t>
  </si>
  <si>
    <t>Incentive</t>
  </si>
  <si>
    <t>Non Incentive</t>
  </si>
  <si>
    <t>Total Budget</t>
  </si>
  <si>
    <t>Plan kWh</t>
  </si>
  <si>
    <t>Incentive Budget</t>
  </si>
  <si>
    <t>Administrative Costs</t>
  </si>
  <si>
    <t>TRC</t>
  </si>
  <si>
    <t>UCT</t>
  </si>
  <si>
    <t>Low-Income Program</t>
  </si>
  <si>
    <t>Named Communities Investent Fund</t>
  </si>
  <si>
    <t>Washington Equity and Justice</t>
  </si>
  <si>
    <t>Residential Prescriptive</t>
  </si>
  <si>
    <t>MultiFamily (New)</t>
  </si>
  <si>
    <t>Residential Midstream</t>
  </si>
  <si>
    <t>On Bill Repayment</t>
  </si>
  <si>
    <t>Always On</t>
  </si>
  <si>
    <t>Home Energy Audit</t>
  </si>
  <si>
    <t>Residential</t>
  </si>
  <si>
    <t>Interior Prescriptive Lighting</t>
  </si>
  <si>
    <t>Exterior Pres Lighting</t>
  </si>
  <si>
    <t>Direct Install Lighting</t>
  </si>
  <si>
    <t>Pay for Performance</t>
  </si>
  <si>
    <t>Site Specific</t>
  </si>
  <si>
    <t>Contractor Incentive Program</t>
  </si>
  <si>
    <t>Clean Buildings Accelerator</t>
  </si>
  <si>
    <t>Prescriptive Shell</t>
  </si>
  <si>
    <t>Green Motors</t>
  </si>
  <si>
    <t>Variable Frequency Drives</t>
  </si>
  <si>
    <t>Compressed Air</t>
  </si>
  <si>
    <t>Grocer</t>
  </si>
  <si>
    <t>Appliances</t>
  </si>
  <si>
    <t>Non-Residential Midstream</t>
  </si>
  <si>
    <t>Active Energy Management</t>
  </si>
  <si>
    <t>Commercial</t>
  </si>
  <si>
    <t>WA Electric (Minus Low Income)</t>
  </si>
  <si>
    <t>Pilots</t>
  </si>
  <si>
    <t>WA Electric (Total)</t>
  </si>
  <si>
    <t>3rd Party</t>
  </si>
  <si>
    <t>Admin</t>
  </si>
  <si>
    <t>Low-Income Programs</t>
  </si>
  <si>
    <t>Named Communities</t>
  </si>
  <si>
    <t>Low-Income Admin</t>
  </si>
  <si>
    <t>Total Incentives and Direct Benefit to Customer (DBtC)</t>
  </si>
  <si>
    <t>Residential Programs</t>
  </si>
  <si>
    <t>Program Labor/DBtC</t>
  </si>
  <si>
    <t>=</t>
  </si>
  <si>
    <t>Multifamily Weatherization</t>
  </si>
  <si>
    <t>Pilot Programs</t>
  </si>
  <si>
    <t>Multifamily Direct Install</t>
  </si>
  <si>
    <t>Total Non-Labor/Non-Incentive</t>
  </si>
  <si>
    <t>Always-On</t>
  </si>
  <si>
    <t>Total</t>
  </si>
  <si>
    <t>Commercial/Industrial Programs</t>
  </si>
  <si>
    <t>Commercial/Industrial Midstream</t>
  </si>
  <si>
    <t>Energy-Efficiency Pilot Programs</t>
  </si>
  <si>
    <t>Third Party Costs</t>
  </si>
  <si>
    <t>General Admin, Labor, and Program Support</t>
  </si>
  <si>
    <t>CPA and EM&amp;V Engagements</t>
  </si>
  <si>
    <t>Northwest Energy Efficiency Analyst</t>
  </si>
  <si>
    <t>NIUC</t>
  </si>
  <si>
    <t>Last Year Total</t>
  </si>
  <si>
    <t>Ratio ($/kWh)</t>
  </si>
  <si>
    <t>2024 kWh</t>
  </si>
  <si>
    <t>2024 NIUC</t>
  </si>
  <si>
    <t>Back Solving</t>
  </si>
  <si>
    <t>Total NIUC (w/o 3rd party cost, NEEA, CPA or R&amp;D) =</t>
  </si>
  <si>
    <t>Proration</t>
  </si>
  <si>
    <t>Washington (70%)</t>
  </si>
  <si>
    <t>Electric (90%)</t>
  </si>
  <si>
    <t>Gas (10%)</t>
  </si>
  <si>
    <t>Idaho (30%)</t>
  </si>
  <si>
    <t>ENERGY STAR Homes Program</t>
  </si>
  <si>
    <t>Midstream</t>
  </si>
  <si>
    <t>Multifamily (New)</t>
  </si>
  <si>
    <t>Total Residential</t>
  </si>
  <si>
    <t>Underfunded / (Overfunded)</t>
  </si>
  <si>
    <t>$ 25,461  </t>
  </si>
  <si>
    <t>Northwest Energy Efficiency Alliance</t>
  </si>
  <si>
    <t>Waiting on this number</t>
  </si>
  <si>
    <t> @Oglesby, Austin same Always-On Budget question as above</t>
  </si>
  <si>
    <t>Expense Type</t>
  </si>
  <si>
    <t>Washington Electric Portfolio</t>
  </si>
  <si>
    <t>Supplemental Budget</t>
  </si>
  <si>
    <t>Non-Supplemental Budget</t>
  </si>
  <si>
    <t>Third-Party Non-Incentive Payments</t>
  </si>
  <si>
    <t>Labor</t>
  </si>
  <si>
    <t>EM&amp;V</t>
  </si>
  <si>
    <t>Memberships</t>
  </si>
  <si>
    <t>Outreach</t>
  </si>
  <si>
    <t>Marketing</t>
  </si>
  <si>
    <t>Training/Travel</t>
  </si>
  <si>
    <t>Regulatory</t>
  </si>
  <si>
    <t>Scott Morris Center Lease</t>
  </si>
  <si>
    <r>
      <t>$ 0</t>
    </r>
    <r>
      <rPr>
        <sz val="8"/>
        <rFont val="Calibri"/>
        <family val="2"/>
      </rPr>
      <t>   </t>
    </r>
  </si>
  <si>
    <t>Studies and Research</t>
  </si>
  <si>
    <t>Software</t>
  </si>
  <si>
    <t>Conservation Potential Assessment</t>
  </si>
  <si>
    <t>General Implementation</t>
  </si>
  <si>
    <t>NEEA</t>
  </si>
  <si>
    <t>Other Program and Administrative</t>
  </si>
  <si>
    <t>$ 1,222,200 </t>
  </si>
  <si>
    <t> Check these values for NEEA information</t>
  </si>
  <si>
    <t>Therms</t>
  </si>
  <si>
    <t>Plan Therms</t>
  </si>
  <si>
    <t xml:space="preserve">WA LI </t>
  </si>
  <si>
    <t>Low Income</t>
  </si>
  <si>
    <t>Commercial Shell</t>
  </si>
  <si>
    <t>Commercial Midstream</t>
  </si>
  <si>
    <t>WA NG TOTAL (W/O LI)</t>
  </si>
  <si>
    <t>WA NG TOTAL</t>
  </si>
  <si>
    <t>Put in a legend</t>
  </si>
  <si>
    <t>Total Incentives</t>
  </si>
  <si>
    <t>Administrative Labor</t>
  </si>
  <si>
    <t>Direct Benefit to Customer Labor</t>
  </si>
  <si>
    <t>Customer Outreach</t>
  </si>
  <si>
    <t>Software Implementation</t>
  </si>
  <si>
    <t>NEEA Market Transformation</t>
  </si>
  <si>
    <t>Individual Evaluations</t>
  </si>
  <si>
    <t>Evaluation Type</t>
  </si>
  <si>
    <t>Contractor</t>
  </si>
  <si>
    <t>Budget (System)</t>
  </si>
  <si>
    <t>WA Expense</t>
  </si>
  <si>
    <t>ID Expense</t>
  </si>
  <si>
    <t>2022-23 Electric and Natural Gas Portfolio</t>
  </si>
  <si>
    <t>Impact</t>
  </si>
  <si>
    <t>ADM</t>
  </si>
  <si>
    <t>Electric and Natural Gas DSM Operations (or components of)</t>
  </si>
  <si>
    <t>Process</t>
  </si>
  <si>
    <t>Total Budget for Individual Evaluations</t>
  </si>
  <si>
    <t xml:space="preserve"> </t>
  </si>
  <si>
    <t>Total Portfolio</t>
  </si>
  <si>
    <t>Portfolio W/O Low Income</t>
  </si>
  <si>
    <t>Total Resource Cost (TRC)</t>
  </si>
  <si>
    <t>Utility Cost Test (UCT)</t>
  </si>
  <si>
    <t>2023 Washington Electric Budget</t>
  </si>
  <si>
    <r>
      <t> </t>
    </r>
    <r>
      <rPr>
        <sz val="10"/>
        <color theme="1"/>
        <rFont val="Calibri"/>
        <family val="2"/>
        <scheme val="minor"/>
      </rPr>
      <t>Update with NEEA spending</t>
    </r>
  </si>
  <si>
    <r>
      <t> </t>
    </r>
    <r>
      <rPr>
        <sz val="10"/>
        <color theme="1"/>
        <rFont val="Calibri"/>
        <family val="2"/>
        <scheme val="minor"/>
      </rPr>
      <t>This probably shouldn’t be zero- are there some third-party costs that should be in this column?</t>
    </r>
  </si>
  <si>
    <r>
      <t> </t>
    </r>
    <r>
      <rPr>
        <sz val="10"/>
        <color theme="1"/>
        <rFont val="Calibri"/>
        <family val="2"/>
        <scheme val="minor"/>
      </rPr>
      <t>Third party costs are being tracked in the third party costs row. Program rows are only tracking incentive spend.</t>
    </r>
  </si>
  <si>
    <r>
      <t>$ 3,620,460</t>
    </r>
    <r>
      <rPr>
        <sz val="8"/>
        <color theme="1"/>
        <rFont val="Calibri"/>
        <family val="2"/>
        <scheme val="minor"/>
      </rPr>
      <t> </t>
    </r>
  </si>
  <si>
    <r>
      <t>$ 3,646,275</t>
    </r>
    <r>
      <rPr>
        <sz val="8"/>
        <color theme="1"/>
        <rFont val="Calibri"/>
        <family val="2"/>
        <scheme val="minor"/>
      </rPr>
      <t>   </t>
    </r>
  </si>
  <si>
    <t>MWh</t>
  </si>
  <si>
    <t>Budget</t>
  </si>
  <si>
    <t xml:space="preserve">TBD </t>
  </si>
  <si>
    <t>EM&amp;V / CPA</t>
  </si>
  <si>
    <t xml:space="preserve"> – </t>
  </si>
  <si>
    <r>
      <t> </t>
    </r>
    <r>
      <rPr>
        <sz val="10"/>
        <color theme="1"/>
        <rFont val="Calibri"/>
        <family val="2"/>
        <scheme val="minor"/>
      </rPr>
      <t>Update this chart when NEEA money is available</t>
    </r>
  </si>
  <si>
    <t>Sector</t>
  </si>
  <si>
    <r>
      <t>NEEA Savings</t>
    </r>
    <r>
      <rPr>
        <sz val="8"/>
        <rFont val="Calibri"/>
        <family val="2"/>
      </rPr>
      <t>  </t>
    </r>
  </si>
  <si>
    <t>Program Support Expenses Not Allocated to Program Costs</t>
  </si>
  <si>
    <t>–</t>
  </si>
  <si>
    <t>2024 Natural Gas Budget</t>
  </si>
  <si>
    <t>Washington Natural Gas Portfolio</t>
  </si>
  <si>
    <t>Therm Savings</t>
  </si>
  <si>
    <t>Estimated Budget</t>
  </si>
  <si>
    <t>Low-Income Programs Total</t>
  </si>
  <si>
    <t>Prescriptive</t>
  </si>
  <si>
    <t>Multifamily</t>
  </si>
  <si>
    <t>Residential Programs Total</t>
  </si>
  <si>
    <t>Shell</t>
  </si>
  <si>
    <t>Site-Specific</t>
  </si>
  <si>
    <t>Commercial/Industrial Programs Total</t>
  </si>
  <si>
    <t>NEEA, CPA, EM&amp;V</t>
  </si>
  <si>
    <t>Total Other Program and Administrative</t>
  </si>
  <si>
    <t>Total Natural Gas Budget</t>
  </si>
  <si>
    <t>Estimated Electric Energy Efficiency Balances</t>
  </si>
  <si>
    <t>Estimated Balance at January 1, 2024</t>
  </si>
  <si>
    <t>Tariff Rider Funding</t>
  </si>
  <si>
    <t>Annual Expenditures</t>
  </si>
  <si>
    <t>Estimated Balance at December 31, 2024</t>
  </si>
  <si>
    <t>$ 0     </t>
  </si>
  <si>
    <t>Energy Efficiency Program</t>
  </si>
  <si>
    <t>Direct Incentive Expenditures</t>
  </si>
  <si>
    <t>Low-Income and Equity Programs</t>
  </si>
  <si>
    <t>Low-Income</t>
  </si>
  <si>
    <t>Named Communities Investment Fund</t>
  </si>
  <si>
    <t>Total Low-Income and Equity Incentives</t>
  </si>
  <si>
    <t xml:space="preserve">Residential Midstream </t>
  </si>
  <si>
    <t xml:space="preserve">Always-On </t>
  </si>
  <si>
    <t xml:space="preserve">On Bill Repayment </t>
  </si>
  <si>
    <t xml:space="preserve">Home Energy Audit </t>
  </si>
  <si>
    <t>Total Residential Incentives</t>
  </si>
  <si>
    <t>Exterior Prescriptive Lighting</t>
  </si>
  <si>
    <t>Appliance</t>
  </si>
  <si>
    <t>Total Commercial/Industrial Incentives</t>
  </si>
  <si>
    <t>$ $8,625,899</t>
  </si>
  <si>
    <t>Total of All Incentives</t>
  </si>
  <si>
    <t>$</t>
  </si>
  <si>
    <t>Income Programs</t>
  </si>
  <si>
    <t>Electric Budget</t>
  </si>
  <si>
    <t>Therm</t>
  </si>
  <si>
    <t>Gas Budget</t>
  </si>
  <si>
    <t>Table 10</t>
  </si>
  <si>
    <r>
      <t>Low-Income Admin</t>
    </r>
    <r>
      <rPr>
        <sz val="8"/>
        <rFont val="Calibri"/>
        <family val="2"/>
      </rPr>
      <t> </t>
    </r>
  </si>
  <si>
    <t>Table 4</t>
  </si>
  <si>
    <t>Table 13</t>
  </si>
  <si>
    <t xml:space="preserve">On-Bill Repayment </t>
  </si>
  <si>
    <t>Table 12</t>
  </si>
  <si>
    <t>MWh Savings</t>
  </si>
  <si>
    <t>On-Bill Repayment</t>
  </si>
  <si>
    <t>Appliance and HVAC Controls</t>
  </si>
  <si>
    <t>CPA &amp; EM&amp;V</t>
  </si>
  <si>
    <t xml:space="preserve"> -   </t>
  </si>
  <si>
    <t>Total Electric Budget</t>
  </si>
  <si>
    <t>Old Value</t>
  </si>
  <si>
    <t>Regional Efficiency Programs Total</t>
  </si>
  <si>
    <t>NEEA Electric (WA Portion)</t>
  </si>
  <si>
    <t>NEEA Gas (WA Portion)</t>
  </si>
  <si>
    <t>Portfolio Support Total</t>
  </si>
  <si>
    <t>NEEA Savings</t>
  </si>
  <si>
    <t>Table 1</t>
  </si>
  <si>
    <t>Total Low-Income Incentives</t>
  </si>
  <si>
    <t>Table 6</t>
  </si>
  <si>
    <t>-</t>
  </si>
  <si>
    <t>Totals Included in Cost Effectiveness</t>
  </si>
  <si>
    <t>Portfolio Totals</t>
  </si>
  <si>
    <t>Estimated EM&amp;V Percentages</t>
  </si>
  <si>
    <t>Total Potential</t>
  </si>
  <si>
    <t>5% Decoupling</t>
  </si>
  <si>
    <t>Total natural Gas Target</t>
  </si>
  <si>
    <t>Electric</t>
  </si>
  <si>
    <t>Gas</t>
  </si>
  <si>
    <t>Low-Income Programs </t>
  </si>
  <si>
    <t>Named Communities Investment  </t>
  </si>
  <si>
    <t>Residential Programs </t>
  </si>
  <si>
    <t>Commercial/Industrial Programs </t>
  </si>
  <si>
    <t>Energy-Efficiency Pilot Programs </t>
  </si>
  <si>
    <t>NEEA </t>
  </si>
  <si>
    <t>Total </t>
  </si>
  <si>
    <t>MWh </t>
  </si>
  <si>
    <t>Budget </t>
  </si>
  <si>
    <t>Low Income Program</t>
  </si>
  <si>
    <t>MultiFamily Program</t>
  </si>
  <si>
    <t>Savings</t>
  </si>
  <si>
    <t>Deferred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</si>
</sst>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* #,##0.000_);_(* \(#,##0.000\);_(* &quot;-&quot;??_);_(@_)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&quot;$&quot;#,##0.000_);[Red]\(&quot;$&quot;#,##0.000\)"/>
    <numFmt numFmtId="171" formatCode="_(&quot;$&quot;* #,##0.000_);_(&quot;$&quot;* \(#,##0.000\);_(&quot;$&quot;* &quot;-&quot;??_);_(@_)"/>
    <numFmt numFmtId="172" formatCode="&quot;$&quot;#,##0.000"/>
    <numFmt numFmtId="173" formatCode="#,##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0000"/>
      <name val="Arial"/>
      <family val="2"/>
    </font>
    <font>
      <sz val="8"/>
      <name val="Calibri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7C24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262425"/>
      </right>
      <top style="medium">
        <color rgb="FF262425"/>
      </top>
      <bottom style="medium">
        <color rgb="FFFFFFFF"/>
      </bottom>
      <diagonal/>
    </border>
    <border>
      <left style="medium">
        <color rgb="FF262425"/>
      </left>
      <right style="medium">
        <color rgb="FF262425"/>
      </right>
      <top/>
      <bottom style="medium">
        <color rgb="FF000000"/>
      </bottom>
      <diagonal/>
    </border>
    <border>
      <left style="medium">
        <color rgb="FF262425"/>
      </left>
      <right style="medium">
        <color rgb="FF262425"/>
      </right>
      <top/>
      <bottom style="medium">
        <color rgb="FF262425"/>
      </bottom>
      <diagonal/>
    </border>
    <border>
      <left style="medium">
        <color rgb="FF262425"/>
      </left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/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/>
      <right style="medium">
        <color rgb="FF262425"/>
      </right>
      <top style="medium">
        <color rgb="FFFFFFFF"/>
      </top>
      <bottom style="medium">
        <color rgb="FF000000"/>
      </bottom>
      <diagonal/>
    </border>
    <border>
      <left style="medium">
        <color rgb="FF262425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262425"/>
      </right>
      <top/>
      <bottom style="medium">
        <color rgb="FF000000"/>
      </bottom>
      <diagonal/>
    </border>
    <border>
      <left style="medium">
        <color rgb="FF262425"/>
      </left>
      <right style="medium">
        <color rgb="FF000000"/>
      </right>
      <top/>
      <bottom style="medium">
        <color rgb="FFFFFFFF"/>
      </bottom>
      <diagonal/>
    </border>
    <border>
      <left/>
      <right style="medium">
        <color rgb="FF000000"/>
      </right>
      <top/>
      <bottom style="medium">
        <color rgb="FFFFFFFF"/>
      </bottom>
      <diagonal/>
    </border>
    <border>
      <left/>
      <right style="medium">
        <color rgb="FF262425"/>
      </right>
      <top/>
      <bottom style="medium">
        <color rgb="FFFFFFFF"/>
      </bottom>
      <diagonal/>
    </border>
    <border>
      <left style="medium">
        <color rgb="FF262425"/>
      </left>
      <right style="medium">
        <color rgb="FFFFFFFF"/>
      </right>
      <top/>
      <bottom style="medium">
        <color rgb="FF262425"/>
      </bottom>
      <diagonal/>
    </border>
    <border>
      <left/>
      <right style="medium">
        <color rgb="FFFFFFFF"/>
      </right>
      <top/>
      <bottom style="medium">
        <color rgb="FF262425"/>
      </bottom>
      <diagonal/>
    </border>
    <border>
      <left/>
      <right style="medium">
        <color rgb="FF262425"/>
      </right>
      <top/>
      <bottom style="medium">
        <color rgb="FF262425"/>
      </bottom>
      <diagonal/>
    </border>
    <border>
      <left style="medium">
        <color rgb="FF000000"/>
      </left>
      <right style="medium">
        <color rgb="FF262425"/>
      </right>
      <top style="medium">
        <color rgb="FFFFFFFF"/>
      </top>
      <bottom style="medium">
        <color rgb="FF000000"/>
      </bottom>
      <diagonal/>
    </border>
    <border>
      <left style="medium">
        <color rgb="FF000000"/>
      </left>
      <right style="medium">
        <color rgb="FF262425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262425"/>
      </bottom>
      <diagonal/>
    </border>
    <border>
      <left style="medium">
        <color rgb="FF262425"/>
      </left>
      <right style="medium">
        <color rgb="FF262425"/>
      </right>
      <top style="medium">
        <color rgb="FFFFFFFF"/>
      </top>
      <bottom style="medium">
        <color rgb="FF000000"/>
      </bottom>
      <diagonal/>
    </border>
    <border>
      <left style="medium">
        <color rgb="FF262425"/>
      </left>
      <right style="medium">
        <color rgb="FFFFFFFF"/>
      </right>
      <top style="medium">
        <color rgb="FF262425"/>
      </top>
      <bottom style="medium">
        <color rgb="FF000000"/>
      </bottom>
      <diagonal/>
    </border>
    <border>
      <left/>
      <right style="medium">
        <color rgb="FFFFFFFF"/>
      </right>
      <top style="medium">
        <color rgb="FF262425"/>
      </top>
      <bottom style="medium">
        <color rgb="FF000000"/>
      </bottom>
      <diagonal/>
    </border>
    <border>
      <left/>
      <right style="medium">
        <color rgb="FF262425"/>
      </right>
      <top style="medium">
        <color rgb="FF262425"/>
      </top>
      <bottom style="medium">
        <color rgb="FF000000"/>
      </bottom>
      <diagonal/>
    </border>
    <border>
      <left style="medium">
        <color rgb="FF000000"/>
      </left>
      <right style="medium">
        <color rgb="FF262425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262425"/>
      </right>
      <top/>
      <bottom style="medium">
        <color rgb="FF262425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262425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262425"/>
      </right>
      <top style="medium">
        <color rgb="FF000000"/>
      </top>
      <bottom style="medium">
        <color rgb="FF000000"/>
      </bottom>
      <diagonal/>
    </border>
    <border>
      <left style="medium">
        <color rgb="FF262425"/>
      </left>
      <right style="medium">
        <color rgb="FFFFFFFF"/>
      </right>
      <top style="medium">
        <color rgb="FF262425"/>
      </top>
      <bottom style="medium">
        <color rgb="FFFFFFFF"/>
      </bottom>
      <diagonal/>
    </border>
    <border>
      <left/>
      <right style="medium">
        <color rgb="FFFFFFFF"/>
      </right>
      <top style="medium">
        <color rgb="FF262425"/>
      </top>
      <bottom style="medium">
        <color rgb="FFFFFFFF"/>
      </bottom>
      <diagonal/>
    </border>
    <border>
      <left/>
      <right style="medium">
        <color rgb="FF262425"/>
      </right>
      <top style="medium">
        <color rgb="FF262425"/>
      </top>
      <bottom style="medium">
        <color rgb="FFFFFFFF"/>
      </bottom>
      <diagonal/>
    </border>
    <border>
      <left style="medium">
        <color rgb="FF262425"/>
      </left>
      <right style="medium">
        <color rgb="FF262425"/>
      </right>
      <top/>
      <bottom style="medium">
        <color rgb="FFFFFFFF"/>
      </bottom>
      <diagonal/>
    </border>
    <border>
      <left style="medium">
        <color rgb="FF262425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262425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262425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262425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262425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262425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262425"/>
      </right>
      <top style="medium">
        <color rgb="FFFFFFFF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FFFFFF"/>
      </right>
      <top style="thin">
        <color rgb="FF000000"/>
      </top>
      <bottom style="medium">
        <color rgb="FF000000"/>
      </bottom>
      <diagonal/>
    </border>
    <border>
      <left style="medium">
        <color rgb="FFFFFFFF"/>
      </left>
      <right style="medium">
        <color rgb="FFFFFFFF"/>
      </right>
      <top style="thin">
        <color rgb="FF000000"/>
      </top>
      <bottom style="medium">
        <color rgb="FF000000"/>
      </bottom>
      <diagonal/>
    </border>
    <border>
      <left style="medium">
        <color rgb="FFFFFFFF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FFFFFF"/>
      </right>
      <top style="medium">
        <color rgb="FF000000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000000"/>
      </top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262425"/>
      </right>
      <top/>
      <bottom/>
      <diagonal/>
    </border>
    <border>
      <left style="medium">
        <color rgb="FF262425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262425"/>
      </left>
      <right style="medium">
        <color rgb="FF262425"/>
      </right>
      <top style="medium">
        <color rgb="FFFFFFFF"/>
      </top>
      <bottom/>
      <diagonal/>
    </border>
    <border>
      <left style="medium">
        <color rgb="FF262425"/>
      </left>
      <right style="medium">
        <color rgb="FF000000"/>
      </right>
      <top style="medium">
        <color rgb="FF262425"/>
      </top>
      <bottom style="medium">
        <color rgb="FFFFFFFF"/>
      </bottom>
      <diagonal/>
    </border>
    <border>
      <left style="medium">
        <color rgb="FF262425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57">
    <xf numFmtId="0" fontId="0" fillId="0" borderId="0" xfId="0"/>
    <xf numFmtId="0" fontId="1" fillId="0" borderId="0" xfId="0" applyFont="1"/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3" fontId="1" fillId="0" borderId="1" xfId="0" applyNumberFormat="1" applyFont="1" applyBorder="1"/>
    <xf numFmtId="164" fontId="1" fillId="0" borderId="1" xfId="0" applyNumberFormat="1" applyFont="1" applyBorder="1"/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3" fontId="0" fillId="0" borderId="0" xfId="0" applyNumberFormat="1"/>
    <xf numFmtId="2" fontId="0" fillId="0" borderId="0" xfId="0" applyNumberFormat="1"/>
    <xf numFmtId="43" fontId="1" fillId="0" borderId="0" xfId="0" applyNumberFormat="1" applyFont="1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3" fontId="0" fillId="0" borderId="0" xfId="0" applyNumberFormat="1"/>
    <xf numFmtId="164" fontId="0" fillId="0" borderId="0" xfId="0" applyNumberFormat="1"/>
    <xf numFmtId="6" fontId="0" fillId="0" borderId="0" xfId="0" applyNumberFormat="1"/>
    <xf numFmtId="8" fontId="0" fillId="0" borderId="0" xfId="0" applyNumberFormat="1"/>
    <xf numFmtId="165" fontId="0" fillId="0" borderId="0" xfId="0" applyNumberFormat="1"/>
    <xf numFmtId="43" fontId="0" fillId="0" borderId="0" xfId="1" applyFont="1"/>
    <xf numFmtId="6" fontId="0" fillId="5" borderId="0" xfId="0" applyNumberFormat="1" applyFill="1"/>
    <xf numFmtId="6" fontId="0" fillId="6" borderId="0" xfId="0" applyNumberFormat="1" applyFill="1"/>
    <xf numFmtId="6" fontId="3" fillId="0" borderId="2" xfId="0" applyNumberFormat="1" applyFont="1" applyBorder="1" applyAlignment="1">
      <alignment horizontal="right" vertical="center" wrapText="1"/>
    </xf>
    <xf numFmtId="6" fontId="3" fillId="0" borderId="3" xfId="0" applyNumberFormat="1" applyFont="1" applyBorder="1" applyAlignment="1">
      <alignment horizontal="right" vertical="center" wrapText="1"/>
    </xf>
    <xf numFmtId="6" fontId="3" fillId="0" borderId="4" xfId="0" applyNumberFormat="1" applyFont="1" applyBorder="1" applyAlignment="1">
      <alignment horizontal="right" vertical="center" wrapText="1"/>
    </xf>
    <xf numFmtId="10" fontId="0" fillId="0" borderId="0" xfId="2" applyNumberFormat="1" applyFont="1"/>
    <xf numFmtId="10" fontId="0" fillId="0" borderId="0" xfId="0" applyNumberFormat="1"/>
    <xf numFmtId="6" fontId="1" fillId="0" borderId="0" xfId="0" applyNumberFormat="1" applyFont="1"/>
    <xf numFmtId="164" fontId="0" fillId="5" borderId="1" xfId="0" applyNumberFormat="1" applyFill="1" applyBorder="1"/>
    <xf numFmtId="166" fontId="4" fillId="7" borderId="1" xfId="1" applyNumberFormat="1" applyFont="1" applyFill="1" applyBorder="1" applyAlignment="1">
      <alignment horizontal="center"/>
    </xf>
    <xf numFmtId="166" fontId="0" fillId="0" borderId="0" xfId="0" applyNumberFormat="1"/>
    <xf numFmtId="166" fontId="0" fillId="7" borderId="1" xfId="1" applyNumberFormat="1" applyFont="1" applyFill="1" applyBorder="1" applyAlignment="1"/>
    <xf numFmtId="0" fontId="0" fillId="8" borderId="0" xfId="0" applyFill="1"/>
    <xf numFmtId="166" fontId="4" fillId="8" borderId="1" xfId="1" applyNumberFormat="1" applyFont="1" applyFill="1" applyBorder="1" applyAlignment="1">
      <alignment horizontal="right"/>
    </xf>
    <xf numFmtId="166" fontId="0" fillId="7" borderId="1" xfId="1" applyNumberFormat="1" applyFont="1" applyFill="1" applyBorder="1"/>
    <xf numFmtId="0" fontId="4" fillId="7" borderId="1" xfId="0" applyFont="1" applyFill="1" applyBorder="1"/>
    <xf numFmtId="0" fontId="1" fillId="8" borderId="0" xfId="0" applyFont="1" applyFill="1"/>
    <xf numFmtId="0" fontId="1" fillId="0" borderId="0" xfId="0" applyFont="1" applyAlignment="1">
      <alignment horizontal="center"/>
    </xf>
    <xf numFmtId="0" fontId="1" fillId="3" borderId="1" xfId="0" applyFont="1" applyFill="1" applyBorder="1"/>
    <xf numFmtId="3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3" fontId="1" fillId="0" borderId="1" xfId="0" applyNumberFormat="1" applyFont="1" applyBorder="1"/>
    <xf numFmtId="0" fontId="1" fillId="2" borderId="1" xfId="0" applyFont="1" applyFill="1" applyBorder="1"/>
    <xf numFmtId="0" fontId="1" fillId="4" borderId="1" xfId="0" applyFont="1" applyFill="1" applyBorder="1"/>
    <xf numFmtId="166" fontId="0" fillId="0" borderId="0" xfId="1" applyNumberFormat="1" applyFont="1"/>
    <xf numFmtId="44" fontId="0" fillId="0" borderId="0" xfId="3" applyFont="1"/>
    <xf numFmtId="9" fontId="0" fillId="0" borderId="0" xfId="2" applyFont="1"/>
    <xf numFmtId="44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7" fillId="9" borderId="5" xfId="0" applyFont="1" applyFill="1" applyBorder="1" applyAlignment="1">
      <alignment horizontal="center" vertical="center" wrapText="1"/>
    </xf>
    <xf numFmtId="6" fontId="3" fillId="0" borderId="6" xfId="0" applyNumberFormat="1" applyFont="1" applyBorder="1" applyAlignment="1">
      <alignment horizontal="right" vertical="center" wrapText="1"/>
    </xf>
    <xf numFmtId="6" fontId="3" fillId="0" borderId="7" xfId="0" applyNumberFormat="1" applyFont="1" applyBorder="1" applyAlignment="1">
      <alignment horizontal="right" vertical="center" wrapText="1"/>
    </xf>
    <xf numFmtId="3" fontId="6" fillId="0" borderId="0" xfId="0" applyNumberFormat="1" applyFont="1"/>
    <xf numFmtId="0" fontId="8" fillId="0" borderId="0" xfId="0" applyFont="1" applyAlignment="1">
      <alignment vertical="center"/>
    </xf>
    <xf numFmtId="0" fontId="9" fillId="0" borderId="0" xfId="6" applyAlignment="1">
      <alignment vertical="center"/>
    </xf>
    <xf numFmtId="0" fontId="3" fillId="0" borderId="8" xfId="0" applyFont="1" applyBorder="1" applyAlignment="1">
      <alignment vertical="center" wrapText="1"/>
    </xf>
    <xf numFmtId="6" fontId="3" fillId="0" borderId="9" xfId="0" applyNumberFormat="1" applyFont="1" applyBorder="1" applyAlignment="1">
      <alignment horizontal="right" vertical="center" wrapText="1"/>
    </xf>
    <xf numFmtId="6" fontId="3" fillId="0" borderId="1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vertical="center" wrapText="1"/>
    </xf>
    <xf numFmtId="6" fontId="3" fillId="0" borderId="12" xfId="0" applyNumberFormat="1" applyFont="1" applyBorder="1" applyAlignment="1">
      <alignment horizontal="right" vertical="center" wrapText="1"/>
    </xf>
    <xf numFmtId="6" fontId="3" fillId="0" borderId="13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vertical="center" wrapText="1"/>
    </xf>
    <xf numFmtId="6" fontId="3" fillId="0" borderId="15" xfId="0" applyNumberFormat="1" applyFont="1" applyBorder="1" applyAlignment="1">
      <alignment horizontal="right" vertical="center" wrapText="1"/>
    </xf>
    <xf numFmtId="0" fontId="10" fillId="10" borderId="17" xfId="0" applyFont="1" applyFill="1" applyBorder="1" applyAlignment="1">
      <alignment vertical="center" wrapText="1"/>
    </xf>
    <xf numFmtId="6" fontId="10" fillId="10" borderId="18" xfId="0" applyNumberFormat="1" applyFont="1" applyFill="1" applyBorder="1" applyAlignment="1">
      <alignment horizontal="right" vertical="center" wrapText="1"/>
    </xf>
    <xf numFmtId="6" fontId="10" fillId="10" borderId="19" xfId="0" applyNumberFormat="1" applyFont="1" applyFill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6" fontId="3" fillId="0" borderId="20" xfId="0" applyNumberFormat="1" applyFont="1" applyBorder="1" applyAlignment="1">
      <alignment horizontal="right" vertical="center" wrapText="1"/>
    </xf>
    <xf numFmtId="6" fontId="3" fillId="0" borderId="21" xfId="0" applyNumberFormat="1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6" fontId="9" fillId="0" borderId="0" xfId="6" applyNumberFormat="1" applyAlignment="1">
      <alignment vertical="center"/>
    </xf>
    <xf numFmtId="6" fontId="3" fillId="0" borderId="22" xfId="0" applyNumberFormat="1" applyFont="1" applyBorder="1" applyAlignment="1">
      <alignment horizontal="right" vertical="center" wrapText="1"/>
    </xf>
    <xf numFmtId="6" fontId="10" fillId="10" borderId="23" xfId="0" applyNumberFormat="1" applyFont="1" applyFill="1" applyBorder="1" applyAlignment="1">
      <alignment horizontal="right" vertical="center" wrapText="1"/>
    </xf>
    <xf numFmtId="6" fontId="3" fillId="0" borderId="24" xfId="0" applyNumberFormat="1" applyFont="1" applyBorder="1" applyAlignment="1">
      <alignment horizontal="right" vertical="center" wrapText="1"/>
    </xf>
    <xf numFmtId="6" fontId="3" fillId="0" borderId="16" xfId="0" applyNumberFormat="1" applyFont="1" applyBorder="1" applyAlignment="1">
      <alignment horizontal="right" vertical="center" wrapText="1"/>
    </xf>
    <xf numFmtId="0" fontId="12" fillId="9" borderId="25" xfId="0" applyFont="1" applyFill="1" applyBorder="1" applyAlignment="1">
      <alignment vertical="center" wrapText="1"/>
    </xf>
    <xf numFmtId="0" fontId="7" fillId="9" borderId="26" xfId="0" applyFont="1" applyFill="1" applyBorder="1" applyAlignment="1">
      <alignment horizontal="center" vertical="center" wrapText="1"/>
    </xf>
    <xf numFmtId="0" fontId="7" fillId="9" borderId="27" xfId="0" applyFont="1" applyFill="1" applyBorder="1" applyAlignment="1">
      <alignment horizontal="center" vertical="center" wrapText="1"/>
    </xf>
    <xf numFmtId="44" fontId="10" fillId="10" borderId="18" xfId="3" applyFont="1" applyFill="1" applyBorder="1" applyAlignment="1">
      <alignment horizontal="right" vertical="center" wrapText="1"/>
    </xf>
    <xf numFmtId="44" fontId="3" fillId="0" borderId="15" xfId="3" applyFont="1" applyBorder="1" applyAlignment="1">
      <alignment horizontal="right" vertical="center" wrapText="1"/>
    </xf>
    <xf numFmtId="6" fontId="3" fillId="0" borderId="28" xfId="0" applyNumberFormat="1" applyFont="1" applyBorder="1" applyAlignment="1">
      <alignment horizontal="right" vertical="center" wrapText="1"/>
    </xf>
    <xf numFmtId="6" fontId="10" fillId="10" borderId="29" xfId="0" applyNumberFormat="1" applyFont="1" applyFill="1" applyBorder="1" applyAlignment="1">
      <alignment horizontal="right" vertical="center" wrapText="1"/>
    </xf>
    <xf numFmtId="6" fontId="3" fillId="0" borderId="30" xfId="0" applyNumberFormat="1" applyFont="1" applyBorder="1" applyAlignment="1">
      <alignment horizontal="right" vertical="center" wrapText="1"/>
    </xf>
    <xf numFmtId="6" fontId="3" fillId="0" borderId="31" xfId="0" applyNumberFormat="1" applyFont="1" applyBorder="1" applyAlignment="1">
      <alignment horizontal="right" vertical="center" wrapText="1"/>
    </xf>
    <xf numFmtId="169" fontId="3" fillId="0" borderId="15" xfId="3" applyNumberFormat="1" applyFont="1" applyBorder="1" applyAlignment="1">
      <alignment horizontal="right" vertical="center" wrapText="1"/>
    </xf>
    <xf numFmtId="170" fontId="0" fillId="0" borderId="0" xfId="0" applyNumberFormat="1"/>
    <xf numFmtId="0" fontId="14" fillId="0" borderId="32" xfId="0" applyFont="1" applyBorder="1" applyAlignment="1">
      <alignment horizontal="right" vertical="center" wrapText="1"/>
    </xf>
    <xf numFmtId="0" fontId="14" fillId="0" borderId="21" xfId="0" applyFont="1" applyBorder="1" applyAlignment="1">
      <alignment horizontal="right" vertical="center" wrapText="1"/>
    </xf>
    <xf numFmtId="6" fontId="14" fillId="0" borderId="21" xfId="0" applyNumberFormat="1" applyFont="1" applyBorder="1" applyAlignment="1">
      <alignment horizontal="right" vertical="center" wrapText="1"/>
    </xf>
    <xf numFmtId="6" fontId="3" fillId="10" borderId="29" xfId="0" applyNumberFormat="1" applyFont="1" applyFill="1" applyBorder="1" applyAlignment="1">
      <alignment horizontal="right" vertical="center" wrapText="1"/>
    </xf>
    <xf numFmtId="0" fontId="3" fillId="9" borderId="25" xfId="0" applyFont="1" applyFill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2" xfId="0" applyFont="1" applyBorder="1" applyAlignment="1">
      <alignment horizontal="right" vertical="center" wrapText="1"/>
    </xf>
    <xf numFmtId="3" fontId="14" fillId="0" borderId="12" xfId="0" applyNumberFormat="1" applyFont="1" applyBorder="1" applyAlignment="1">
      <alignment horizontal="right" vertical="center" wrapText="1"/>
    </xf>
    <xf numFmtId="6" fontId="14" fillId="0" borderId="13" xfId="0" applyNumberFormat="1" applyFont="1" applyBorder="1" applyAlignment="1">
      <alignment horizontal="right" vertical="center" wrapText="1"/>
    </xf>
    <xf numFmtId="0" fontId="3" fillId="10" borderId="17" xfId="0" applyFont="1" applyFill="1" applyBorder="1" applyAlignment="1">
      <alignment vertical="center" wrapText="1"/>
    </xf>
    <xf numFmtId="3" fontId="3" fillId="10" borderId="18" xfId="0" applyNumberFormat="1" applyFont="1" applyFill="1" applyBorder="1" applyAlignment="1">
      <alignment horizontal="right" vertical="center" wrapText="1"/>
    </xf>
    <xf numFmtId="6" fontId="3" fillId="10" borderId="19" xfId="0" applyNumberFormat="1" applyFont="1" applyFill="1" applyBorder="1" applyAlignment="1">
      <alignment horizontal="right" vertical="center" wrapText="1"/>
    </xf>
    <xf numFmtId="169" fontId="14" fillId="0" borderId="13" xfId="3" applyNumberFormat="1" applyFont="1" applyBorder="1" applyAlignment="1">
      <alignment horizontal="right" vertical="center" wrapText="1"/>
    </xf>
    <xf numFmtId="0" fontId="7" fillId="9" borderId="33" xfId="0" applyFont="1" applyFill="1" applyBorder="1" applyAlignment="1">
      <alignment horizontal="center" vertical="center" wrapText="1"/>
    </xf>
    <xf numFmtId="0" fontId="7" fillId="9" borderId="34" xfId="0" applyFont="1" applyFill="1" applyBorder="1" applyAlignment="1">
      <alignment horizontal="center" vertical="center" wrapText="1"/>
    </xf>
    <xf numFmtId="0" fontId="7" fillId="9" borderId="35" xfId="0" applyFont="1" applyFill="1" applyBorder="1" applyAlignment="1">
      <alignment horizontal="center" vertical="center" wrapText="1"/>
    </xf>
    <xf numFmtId="169" fontId="0" fillId="0" borderId="0" xfId="3" applyNumberFormat="1" applyFont="1"/>
    <xf numFmtId="0" fontId="3" fillId="0" borderId="6" xfId="0" applyFont="1" applyBorder="1" applyAlignment="1">
      <alignment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3" fontId="10" fillId="10" borderId="18" xfId="0" applyNumberFormat="1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6" fontId="3" fillId="0" borderId="38" xfId="0" applyNumberFormat="1" applyFont="1" applyBorder="1" applyAlignment="1">
      <alignment horizontal="right" vertical="center" wrapText="1"/>
    </xf>
    <xf numFmtId="0" fontId="3" fillId="0" borderId="32" xfId="0" applyFont="1" applyBorder="1" applyAlignment="1">
      <alignment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0" fontId="10" fillId="10" borderId="39" xfId="0" applyFont="1" applyFill="1" applyBorder="1" applyAlignment="1">
      <alignment vertical="center" wrapText="1"/>
    </xf>
    <xf numFmtId="3" fontId="10" fillId="10" borderId="40" xfId="0" applyNumberFormat="1" applyFont="1" applyFill="1" applyBorder="1" applyAlignment="1">
      <alignment horizontal="center" vertical="center" wrapText="1"/>
    </xf>
    <xf numFmtId="6" fontId="10" fillId="10" borderId="16" xfId="0" applyNumberFormat="1" applyFont="1" applyFill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vertical="center" wrapText="1"/>
    </xf>
    <xf numFmtId="3" fontId="3" fillId="0" borderId="42" xfId="0" applyNumberFormat="1" applyFont="1" applyBorder="1" applyAlignment="1">
      <alignment horizontal="center" vertical="center" wrapText="1"/>
    </xf>
    <xf numFmtId="6" fontId="3" fillId="0" borderId="43" xfId="0" applyNumberFormat="1" applyFont="1" applyBorder="1" applyAlignment="1">
      <alignment horizontal="right" vertical="center" wrapText="1"/>
    </xf>
    <xf numFmtId="0" fontId="3" fillId="0" borderId="44" xfId="0" applyFont="1" applyBorder="1" applyAlignment="1">
      <alignment vertical="center" wrapText="1"/>
    </xf>
    <xf numFmtId="3" fontId="3" fillId="0" borderId="45" xfId="0" applyNumberFormat="1" applyFont="1" applyBorder="1" applyAlignment="1">
      <alignment horizontal="center" vertical="center" wrapText="1"/>
    </xf>
    <xf numFmtId="6" fontId="3" fillId="0" borderId="45" xfId="0" applyNumberFormat="1" applyFont="1" applyBorder="1" applyAlignment="1">
      <alignment horizontal="right" vertical="center" wrapText="1"/>
    </xf>
    <xf numFmtId="0" fontId="3" fillId="0" borderId="45" xfId="0" applyFont="1" applyBorder="1" applyAlignment="1">
      <alignment horizontal="center" vertical="center" wrapText="1"/>
    </xf>
    <xf numFmtId="3" fontId="3" fillId="0" borderId="45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6" fontId="3" fillId="0" borderId="19" xfId="0" applyNumberFormat="1" applyFont="1" applyBorder="1" applyAlignment="1">
      <alignment horizontal="right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10" fillId="10" borderId="16" xfId="0" applyFont="1" applyFill="1" applyBorder="1" applyAlignment="1">
      <alignment horizontal="right" vertical="center" wrapText="1"/>
    </xf>
    <xf numFmtId="165" fontId="1" fillId="0" borderId="1" xfId="0" applyNumberFormat="1" applyFont="1" applyBorder="1"/>
    <xf numFmtId="3" fontId="14" fillId="0" borderId="2" xfId="0" applyNumberFormat="1" applyFont="1" applyBorder="1" applyAlignment="1">
      <alignment horizontal="right" vertical="center" wrapText="1"/>
    </xf>
    <xf numFmtId="3" fontId="14" fillId="0" borderId="3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 wrapText="1"/>
    </xf>
    <xf numFmtId="3" fontId="3" fillId="10" borderId="23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3" fontId="1" fillId="3" borderId="49" xfId="0" applyNumberFormat="1" applyFont="1" applyFill="1" applyBorder="1" applyAlignment="1">
      <alignment horizontal="center"/>
    </xf>
    <xf numFmtId="164" fontId="1" fillId="3" borderId="49" xfId="0" applyNumberFormat="1" applyFont="1" applyFill="1" applyBorder="1" applyAlignment="1">
      <alignment horizontal="center"/>
    </xf>
    <xf numFmtId="0" fontId="1" fillId="3" borderId="51" xfId="0" applyFont="1" applyFill="1" applyBorder="1"/>
    <xf numFmtId="0" fontId="1" fillId="4" borderId="51" xfId="0" applyFont="1" applyFill="1" applyBorder="1"/>
    <xf numFmtId="0" fontId="1" fillId="2" borderId="51" xfId="0" applyFont="1" applyFill="1" applyBorder="1"/>
    <xf numFmtId="3" fontId="1" fillId="4" borderId="49" xfId="0" applyNumberFormat="1" applyFont="1" applyFill="1" applyBorder="1" applyAlignment="1">
      <alignment horizontal="center"/>
    </xf>
    <xf numFmtId="164" fontId="1" fillId="4" borderId="49" xfId="0" applyNumberFormat="1" applyFont="1" applyFill="1" applyBorder="1" applyAlignment="1">
      <alignment horizontal="center"/>
    </xf>
    <xf numFmtId="164" fontId="1" fillId="4" borderId="50" xfId="0" applyNumberFormat="1" applyFont="1" applyFill="1" applyBorder="1" applyAlignment="1">
      <alignment horizontal="center"/>
    </xf>
    <xf numFmtId="3" fontId="1" fillId="12" borderId="49" xfId="0" applyNumberFormat="1" applyFont="1" applyFill="1" applyBorder="1" applyAlignment="1">
      <alignment horizontal="center"/>
    </xf>
    <xf numFmtId="164" fontId="1" fillId="12" borderId="49" xfId="0" applyNumberFormat="1" applyFont="1" applyFill="1" applyBorder="1" applyAlignment="1">
      <alignment horizontal="center"/>
    </xf>
    <xf numFmtId="164" fontId="1" fillId="12" borderId="50" xfId="0" applyNumberFormat="1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9" fontId="3" fillId="0" borderId="13" xfId="3" applyNumberFormat="1" applyFont="1" applyBorder="1" applyAlignment="1">
      <alignment horizontal="right" vertical="center" wrapText="1"/>
    </xf>
    <xf numFmtId="3" fontId="10" fillId="0" borderId="0" xfId="0" applyNumberFormat="1" applyFont="1"/>
    <xf numFmtId="169" fontId="10" fillId="10" borderId="16" xfId="3" applyNumberFormat="1" applyFont="1" applyFill="1" applyBorder="1" applyAlignment="1">
      <alignment horizontal="right" vertical="center" wrapText="1"/>
    </xf>
    <xf numFmtId="0" fontId="1" fillId="0" borderId="51" xfId="0" applyFont="1" applyBorder="1"/>
    <xf numFmtId="3" fontId="1" fillId="0" borderId="49" xfId="0" applyNumberFormat="1" applyFont="1" applyBorder="1" applyAlignment="1">
      <alignment horizontal="center"/>
    </xf>
    <xf numFmtId="164" fontId="1" fillId="0" borderId="49" xfId="0" applyNumberFormat="1" applyFont="1" applyBorder="1" applyAlignment="1">
      <alignment horizontal="center"/>
    </xf>
    <xf numFmtId="164" fontId="1" fillId="0" borderId="50" xfId="0" applyNumberFormat="1" applyFont="1" applyBorder="1" applyAlignment="1">
      <alignment horizontal="center"/>
    </xf>
    <xf numFmtId="0" fontId="1" fillId="13" borderId="51" xfId="0" applyFont="1" applyFill="1" applyBorder="1"/>
    <xf numFmtId="3" fontId="1" fillId="13" borderId="49" xfId="0" applyNumberFormat="1" applyFont="1" applyFill="1" applyBorder="1" applyAlignment="1">
      <alignment horizontal="center"/>
    </xf>
    <xf numFmtId="164" fontId="1" fillId="13" borderId="49" xfId="0" applyNumberFormat="1" applyFont="1" applyFill="1" applyBorder="1" applyAlignment="1">
      <alignment horizontal="center"/>
    </xf>
    <xf numFmtId="164" fontId="1" fillId="13" borderId="50" xfId="0" applyNumberFormat="1" applyFont="1" applyFill="1" applyBorder="1" applyAlignment="1">
      <alignment horizontal="center"/>
    </xf>
    <xf numFmtId="0" fontId="16" fillId="9" borderId="33" xfId="0" applyFont="1" applyFill="1" applyBorder="1" applyAlignment="1">
      <alignment vertical="center" wrapText="1"/>
    </xf>
    <xf numFmtId="6" fontId="3" fillId="0" borderId="42" xfId="0" applyNumberFormat="1" applyFont="1" applyBorder="1" applyAlignment="1">
      <alignment horizontal="right" vertical="center" wrapText="1"/>
    </xf>
    <xf numFmtId="0" fontId="0" fillId="5" borderId="0" xfId="0" applyFill="1"/>
    <xf numFmtId="0" fontId="1" fillId="14" borderId="51" xfId="0" applyFont="1" applyFill="1" applyBorder="1"/>
    <xf numFmtId="43" fontId="1" fillId="14" borderId="49" xfId="0" applyNumberFormat="1" applyFont="1" applyFill="1" applyBorder="1" applyAlignment="1">
      <alignment horizontal="center"/>
    </xf>
    <xf numFmtId="164" fontId="1" fillId="14" borderId="49" xfId="0" applyNumberFormat="1" applyFont="1" applyFill="1" applyBorder="1" applyAlignment="1">
      <alignment horizontal="center"/>
    </xf>
    <xf numFmtId="164" fontId="1" fillId="14" borderId="50" xfId="0" applyNumberFormat="1" applyFont="1" applyFill="1" applyBorder="1" applyAlignment="1">
      <alignment horizontal="center"/>
    </xf>
    <xf numFmtId="5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37" fontId="1" fillId="0" borderId="49" xfId="0" applyNumberFormat="1" applyFont="1" applyBorder="1" applyAlignment="1">
      <alignment horizontal="center"/>
    </xf>
    <xf numFmtId="5" fontId="1" fillId="0" borderId="49" xfId="0" applyNumberFormat="1" applyFont="1" applyBorder="1" applyAlignment="1">
      <alignment horizontal="center"/>
    </xf>
    <xf numFmtId="5" fontId="1" fillId="0" borderId="50" xfId="0" applyNumberFormat="1" applyFont="1" applyBorder="1" applyAlignment="1">
      <alignment horizontal="center"/>
    </xf>
    <xf numFmtId="0" fontId="0" fillId="0" borderId="54" xfId="0" applyBorder="1"/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164" fontId="0" fillId="0" borderId="58" xfId="0" applyNumberFormat="1" applyBorder="1" applyAlignment="1">
      <alignment horizontal="center"/>
    </xf>
    <xf numFmtId="0" fontId="0" fillId="0" borderId="57" xfId="0" applyBorder="1"/>
    <xf numFmtId="164" fontId="1" fillId="3" borderId="50" xfId="0" applyNumberFormat="1" applyFont="1" applyFill="1" applyBorder="1" applyAlignment="1">
      <alignment horizontal="center"/>
    </xf>
    <xf numFmtId="43" fontId="0" fillId="0" borderId="0" xfId="1" applyFont="1" applyBorder="1" applyAlignment="1">
      <alignment horizontal="center"/>
    </xf>
    <xf numFmtId="44" fontId="0" fillId="0" borderId="0" xfId="3" applyFont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/>
    <xf numFmtId="0" fontId="0" fillId="0" borderId="60" xfId="0" applyBorder="1" applyAlignment="1">
      <alignment horizontal="center"/>
    </xf>
    <xf numFmtId="10" fontId="0" fillId="0" borderId="60" xfId="2" applyNumberFormat="1" applyFont="1" applyBorder="1" applyAlignment="1">
      <alignment horizontal="center"/>
    </xf>
    <xf numFmtId="10" fontId="0" fillId="0" borderId="61" xfId="2" applyNumberFormat="1" applyFont="1" applyBorder="1" applyAlignment="1">
      <alignment horizontal="center"/>
    </xf>
    <xf numFmtId="0" fontId="0" fillId="0" borderId="62" xfId="0" applyBorder="1"/>
    <xf numFmtId="3" fontId="0" fillId="0" borderId="63" xfId="0" applyNumberFormat="1" applyBorder="1" applyAlignment="1">
      <alignment horizontal="center"/>
    </xf>
    <xf numFmtId="164" fontId="0" fillId="0" borderId="63" xfId="0" applyNumberFormat="1" applyBorder="1" applyAlignment="1">
      <alignment horizontal="center"/>
    </xf>
    <xf numFmtId="0" fontId="0" fillId="0" borderId="65" xfId="0" applyBorder="1"/>
    <xf numFmtId="3" fontId="0" fillId="0" borderId="66" xfId="0" applyNumberFormat="1" applyBorder="1" applyAlignment="1">
      <alignment horizontal="center"/>
    </xf>
    <xf numFmtId="164" fontId="0" fillId="0" borderId="66" xfId="0" applyNumberFormat="1" applyBorder="1" applyAlignment="1">
      <alignment horizontal="center"/>
    </xf>
    <xf numFmtId="0" fontId="0" fillId="0" borderId="68" xfId="0" applyBorder="1"/>
    <xf numFmtId="3" fontId="0" fillId="0" borderId="69" xfId="0" applyNumberFormat="1" applyBorder="1" applyAlignment="1">
      <alignment horizontal="center"/>
    </xf>
    <xf numFmtId="164" fontId="0" fillId="0" borderId="69" xfId="0" applyNumberFormat="1" applyBorder="1" applyAlignment="1">
      <alignment horizontal="center"/>
    </xf>
    <xf numFmtId="0" fontId="0" fillId="0" borderId="69" xfId="0" applyBorder="1" applyAlignment="1">
      <alignment horizontal="center"/>
    </xf>
    <xf numFmtId="164" fontId="0" fillId="0" borderId="64" xfId="0" applyNumberFormat="1" applyBorder="1" applyAlignment="1">
      <alignment horizontal="center"/>
    </xf>
    <xf numFmtId="164" fontId="0" fillId="0" borderId="70" xfId="0" applyNumberFormat="1" applyBorder="1" applyAlignment="1">
      <alignment horizontal="center"/>
    </xf>
    <xf numFmtId="43" fontId="0" fillId="0" borderId="63" xfId="0" applyNumberFormat="1" applyBorder="1" applyAlignment="1">
      <alignment horizontal="center"/>
    </xf>
    <xf numFmtId="43" fontId="0" fillId="0" borderId="66" xfId="0" applyNumberFormat="1" applyBorder="1" applyAlignment="1">
      <alignment horizontal="center"/>
    </xf>
    <xf numFmtId="43" fontId="0" fillId="0" borderId="69" xfId="0" applyNumberFormat="1" applyBorder="1" applyAlignment="1">
      <alignment horizontal="center"/>
    </xf>
    <xf numFmtId="7" fontId="0" fillId="0" borderId="0" xfId="0" applyNumberFormat="1" applyAlignment="1">
      <alignment horizontal="center"/>
    </xf>
    <xf numFmtId="164" fontId="1" fillId="0" borderId="64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64" fontId="1" fillId="0" borderId="70" xfId="0" applyNumberFormat="1" applyFont="1" applyBorder="1" applyAlignment="1">
      <alignment horizontal="center"/>
    </xf>
    <xf numFmtId="44" fontId="0" fillId="0" borderId="0" xfId="3" applyFont="1" applyFill="1"/>
    <xf numFmtId="166" fontId="0" fillId="0" borderId="0" xfId="1" applyNumberFormat="1" applyFont="1" applyAlignment="1">
      <alignment horizontal="center"/>
    </xf>
    <xf numFmtId="172" fontId="1" fillId="0" borderId="0" xfId="0" applyNumberFormat="1" applyFont="1" applyAlignment="1">
      <alignment horizontal="center"/>
    </xf>
    <xf numFmtId="171" fontId="0" fillId="0" borderId="0" xfId="3" applyNumberFormat="1" applyFont="1" applyFill="1"/>
    <xf numFmtId="3" fontId="14" fillId="0" borderId="76" xfId="0" applyNumberFormat="1" applyFont="1" applyBorder="1" applyAlignment="1">
      <alignment horizontal="right" vertical="center" wrapText="1"/>
    </xf>
    <xf numFmtId="0" fontId="14" fillId="0" borderId="71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 wrapText="1"/>
    </xf>
    <xf numFmtId="0" fontId="14" fillId="0" borderId="74" xfId="0" applyFont="1" applyBorder="1" applyAlignment="1">
      <alignment horizontal="left" vertical="center" wrapText="1"/>
    </xf>
    <xf numFmtId="164" fontId="14" fillId="0" borderId="2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75" xfId="0" applyFont="1" applyBorder="1" applyAlignment="1">
      <alignment horizontal="left" vertical="center" wrapText="1"/>
    </xf>
    <xf numFmtId="164" fontId="14" fillId="0" borderId="77" xfId="0" applyNumberFormat="1" applyFont="1" applyBorder="1" applyAlignment="1">
      <alignment horizontal="right" vertical="center" wrapText="1"/>
    </xf>
    <xf numFmtId="3" fontId="3" fillId="0" borderId="78" xfId="0" applyNumberFormat="1" applyFont="1" applyBorder="1" applyAlignment="1">
      <alignment horizontal="center" vertical="center" wrapText="1"/>
    </xf>
    <xf numFmtId="3" fontId="3" fillId="0" borderId="44" xfId="0" applyNumberFormat="1" applyFont="1" applyBorder="1" applyAlignment="1">
      <alignment horizontal="center" vertical="center" wrapText="1"/>
    </xf>
    <xf numFmtId="3" fontId="10" fillId="10" borderId="23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73" fontId="0" fillId="0" borderId="0" xfId="0" applyNumberFormat="1"/>
    <xf numFmtId="0" fontId="0" fillId="0" borderId="2" xfId="0" applyBorder="1"/>
    <xf numFmtId="164" fontId="0" fillId="0" borderId="2" xfId="0" applyNumberFormat="1" applyBorder="1"/>
    <xf numFmtId="3" fontId="3" fillId="0" borderId="38" xfId="0" applyNumberFormat="1" applyFont="1" applyBorder="1" applyAlignment="1">
      <alignment horizontal="center" vertical="center" wrapText="1"/>
    </xf>
    <xf numFmtId="6" fontId="3" fillId="0" borderId="79" xfId="0" applyNumberFormat="1" applyFont="1" applyBorder="1" applyAlignment="1">
      <alignment horizontal="right" vertical="center" wrapText="1"/>
    </xf>
    <xf numFmtId="0" fontId="10" fillId="10" borderId="0" xfId="0" applyFont="1" applyFill="1" applyAlignment="1">
      <alignment vertical="center" wrapText="1"/>
    </xf>
    <xf numFmtId="6" fontId="10" fillId="10" borderId="0" xfId="0" applyNumberFormat="1" applyFont="1" applyFill="1" applyAlignment="1">
      <alignment horizontal="right" vertical="center" wrapText="1"/>
    </xf>
    <xf numFmtId="0" fontId="3" fillId="0" borderId="83" xfId="0" applyFont="1" applyBorder="1" applyAlignment="1">
      <alignment vertical="center" wrapText="1"/>
    </xf>
    <xf numFmtId="6" fontId="3" fillId="0" borderId="35" xfId="0" applyNumberFormat="1" applyFont="1" applyBorder="1" applyAlignment="1">
      <alignment horizontal="right" vertical="center" wrapText="1"/>
    </xf>
    <xf numFmtId="0" fontId="17" fillId="15" borderId="82" xfId="0" applyFont="1" applyFill="1" applyBorder="1" applyAlignment="1">
      <alignment vertical="center" wrapText="1"/>
    </xf>
    <xf numFmtId="164" fontId="17" fillId="15" borderId="82" xfId="0" applyNumberFormat="1" applyFont="1" applyFill="1" applyBorder="1" applyAlignment="1">
      <alignment vertical="center" wrapText="1"/>
    </xf>
    <xf numFmtId="0" fontId="3" fillId="0" borderId="80" xfId="0" applyFont="1" applyBorder="1" applyAlignment="1">
      <alignment vertical="center" wrapText="1"/>
    </xf>
    <xf numFmtId="3" fontId="3" fillId="0" borderId="81" xfId="0" applyNumberFormat="1" applyFont="1" applyBorder="1" applyAlignment="1">
      <alignment horizontal="center" vertical="center" wrapText="1"/>
    </xf>
    <xf numFmtId="169" fontId="0" fillId="0" borderId="0" xfId="0" applyNumberFormat="1"/>
    <xf numFmtId="169" fontId="3" fillId="0" borderId="16" xfId="3" applyNumberFormat="1" applyFont="1" applyBorder="1" applyAlignment="1">
      <alignment horizontal="right" vertical="center" wrapText="1"/>
    </xf>
    <xf numFmtId="169" fontId="3" fillId="0" borderId="12" xfId="0" applyNumberFormat="1" applyFont="1" applyBorder="1" applyAlignment="1">
      <alignment horizontal="right" vertical="center" wrapText="1"/>
    </xf>
    <xf numFmtId="6" fontId="14" fillId="0" borderId="32" xfId="0" applyNumberFormat="1" applyFont="1" applyBorder="1" applyAlignment="1">
      <alignment horizontal="right" vertical="center" wrapText="1"/>
    </xf>
    <xf numFmtId="0" fontId="14" fillId="0" borderId="84" xfId="0" applyFont="1" applyBorder="1" applyAlignment="1">
      <alignment vertical="center" wrapText="1"/>
    </xf>
    <xf numFmtId="0" fontId="14" fillId="0" borderId="30" xfId="0" applyFont="1" applyBorder="1" applyAlignment="1">
      <alignment horizontal="right" vertical="center" wrapText="1"/>
    </xf>
    <xf numFmtId="6" fontId="14" fillId="0" borderId="31" xfId="0" applyNumberFormat="1" applyFont="1" applyBorder="1" applyAlignment="1">
      <alignment horizontal="right" vertical="center" wrapText="1"/>
    </xf>
    <xf numFmtId="5" fontId="0" fillId="0" borderId="0" xfId="0" applyNumberFormat="1"/>
    <xf numFmtId="0" fontId="7" fillId="11" borderId="46" xfId="0" applyFont="1" applyFill="1" applyBorder="1" applyAlignment="1">
      <alignment vertical="center" wrapText="1"/>
    </xf>
    <xf numFmtId="0" fontId="7" fillId="11" borderId="48" xfId="0" applyFont="1" applyFill="1" applyBorder="1" applyAlignment="1">
      <alignment vertical="center" wrapText="1"/>
    </xf>
    <xf numFmtId="0" fontId="7" fillId="11" borderId="47" xfId="0" applyFont="1" applyFill="1" applyBorder="1" applyAlignment="1">
      <alignment vertical="center" wrapText="1"/>
    </xf>
    <xf numFmtId="0" fontId="10" fillId="10" borderId="52" xfId="0" applyFont="1" applyFill="1" applyBorder="1" applyAlignment="1">
      <alignment vertical="center" wrapText="1"/>
    </xf>
    <xf numFmtId="0" fontId="10" fillId="10" borderId="17" xfId="0" applyFont="1" applyFill="1" applyBorder="1" applyAlignment="1">
      <alignment vertical="center" wrapText="1"/>
    </xf>
    <xf numFmtId="169" fontId="10" fillId="10" borderId="53" xfId="0" applyNumberFormat="1" applyFont="1" applyFill="1" applyBorder="1" applyAlignment="1">
      <alignment horizontal="right" vertical="center" wrapText="1"/>
    </xf>
    <xf numFmtId="6" fontId="10" fillId="10" borderId="29" xfId="0" applyNumberFormat="1" applyFont="1" applyFill="1" applyBorder="1" applyAlignment="1">
      <alignment horizontal="right" vertical="center" wrapText="1"/>
    </xf>
  </cellXfs>
  <cellStyles count="7">
    <cellStyle name="Comma" xfId="1" builtinId="3"/>
    <cellStyle name="Comma 2" xfId="5" xr:uid="{F19613BE-8D1F-444D-9B36-050CBCBF13EB}"/>
    <cellStyle name="Currency" xfId="3" builtinId="4"/>
    <cellStyle name="Hyperlink" xfId="6" builtinId="8"/>
    <cellStyle name="Normal" xfId="0" builtinId="0"/>
    <cellStyle name="Normal 10" xfId="4" xr:uid="{B696FB96-EF3E-4827-AA06-41AE8F144680}"/>
    <cellStyle name="Percent" xfId="2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'Electric True Up'!$K$37</c:f>
              <c:strCache>
                <c:ptCount val="1"/>
                <c:pt idx="0">
                  <c:v>Savings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'Electric True Up'!$J$38:$J$60</c:f>
              <c:strCache>
                <c:ptCount val="23"/>
                <c:pt idx="0">
                  <c:v>Grocer</c:v>
                </c:pt>
                <c:pt idx="1">
                  <c:v>Pay for Performance</c:v>
                </c:pt>
                <c:pt idx="2">
                  <c:v>Green Motors</c:v>
                </c:pt>
                <c:pt idx="3">
                  <c:v>Variable Frequency Drives</c:v>
                </c:pt>
                <c:pt idx="4">
                  <c:v>Compressed Air</c:v>
                </c:pt>
                <c:pt idx="5">
                  <c:v>Appliances</c:v>
                </c:pt>
                <c:pt idx="6">
                  <c:v>Prescriptive Shell</c:v>
                </c:pt>
                <c:pt idx="7">
                  <c:v>MultiFamily Program</c:v>
                </c:pt>
                <c:pt idx="8">
                  <c:v>On Bill Repayment</c:v>
                </c:pt>
                <c:pt idx="9">
                  <c:v>Residential Midstream</c:v>
                </c:pt>
                <c:pt idx="10">
                  <c:v>Clean Buildings Accelerator</c:v>
                </c:pt>
                <c:pt idx="11">
                  <c:v>Non-Residential Midstream</c:v>
                </c:pt>
                <c:pt idx="12">
                  <c:v>Named Communities Investent Fund</c:v>
                </c:pt>
                <c:pt idx="13">
                  <c:v>Home Energy Audit</c:v>
                </c:pt>
                <c:pt idx="14">
                  <c:v>Low-Income Program</c:v>
                </c:pt>
                <c:pt idx="15">
                  <c:v>Residential Prescriptive</c:v>
                </c:pt>
                <c:pt idx="16">
                  <c:v>Active Energy Management</c:v>
                </c:pt>
                <c:pt idx="17">
                  <c:v>Always On</c:v>
                </c:pt>
                <c:pt idx="18">
                  <c:v>Exterior Pres Lighting</c:v>
                </c:pt>
                <c:pt idx="19">
                  <c:v>Direct Install Lighting</c:v>
                </c:pt>
                <c:pt idx="20">
                  <c:v>Interior Prescriptive Lighting</c:v>
                </c:pt>
                <c:pt idx="21">
                  <c:v>Northwest Energy Efficiency Alliance</c:v>
                </c:pt>
                <c:pt idx="22">
                  <c:v>Site Specific</c:v>
                </c:pt>
              </c:strCache>
            </c:strRef>
          </c:cat>
          <c:val>
            <c:numRef>
              <c:f>'Electric True Up'!$K$38:$K$60</c:f>
              <c:numCache>
                <c:formatCode>#,##0.0</c:formatCode>
                <c:ptCount val="23"/>
                <c:pt idx="0">
                  <c:v>0.29085001822418693</c:v>
                </c:pt>
                <c:pt idx="1">
                  <c:v>5.306</c:v>
                </c:pt>
                <c:pt idx="2">
                  <c:v>8.3823285890951116</c:v>
                </c:pt>
                <c:pt idx="3">
                  <c:v>12</c:v>
                </c:pt>
                <c:pt idx="4">
                  <c:v>53.600245886461849</c:v>
                </c:pt>
                <c:pt idx="5">
                  <c:v>58.15881917947236</c:v>
                </c:pt>
                <c:pt idx="6">
                  <c:v>198.44460000000001</c:v>
                </c:pt>
                <c:pt idx="7">
                  <c:v>253.36936666666671</c:v>
                </c:pt>
                <c:pt idx="8">
                  <c:v>257.5</c:v>
                </c:pt>
                <c:pt idx="9">
                  <c:v>264.05833333333339</c:v>
                </c:pt>
                <c:pt idx="10">
                  <c:v>500</c:v>
                </c:pt>
                <c:pt idx="11">
                  <c:v>539.66466666666702</c:v>
                </c:pt>
                <c:pt idx="12">
                  <c:v>574.28834878351972</c:v>
                </c:pt>
                <c:pt idx="13">
                  <c:v>617.23199999999997</c:v>
                </c:pt>
                <c:pt idx="14">
                  <c:v>853.0071535911826</c:v>
                </c:pt>
                <c:pt idx="15">
                  <c:v>1160.5426541120623</c:v>
                </c:pt>
                <c:pt idx="16">
                  <c:v>1429.3398903056493</c:v>
                </c:pt>
                <c:pt idx="17">
                  <c:v>1876.0086060261644</c:v>
                </c:pt>
                <c:pt idx="18">
                  <c:v>2637.4965000000002</c:v>
                </c:pt>
                <c:pt idx="19">
                  <c:v>6228</c:v>
                </c:pt>
                <c:pt idx="20">
                  <c:v>6573.6774999999998</c:v>
                </c:pt>
                <c:pt idx="21">
                  <c:v>6945.9350000000004</c:v>
                </c:pt>
                <c:pt idx="22">
                  <c:v>7586.6310000000012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C-443A-9240-17DE0E321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7519"/>
        <c:axId val="691295"/>
      </c:barChart>
      <c:catAx>
        <c:axId val="7075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295"/>
        <c:crosses val="autoZero"/>
        <c:auto val="1"/>
        <c:lblAlgn val="ctr"/>
        <c:lblOffset val="100"/>
        <c:noMultiLvlLbl val="0"/>
      </c:catAx>
      <c:valAx>
        <c:axId val="691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'WA GAS'!$J$27</c:f>
              <c:strCache>
                <c:ptCount val="1"/>
                <c:pt idx="0">
                  <c:v>Total Portfolio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'WA GAS'!$K$26:$L$26</c:f>
              <c:strCache>
                <c:ptCount val="2"/>
                <c:pt idx="0">
                  <c:v>Total Resource Cost (TRC)</c:v>
                </c:pt>
                <c:pt idx="1">
                  <c:v>Utility Cost Test (UCT)</c:v>
                </c:pt>
              </c:strCache>
            </c:strRef>
          </c:cat>
          <c:val>
            <c:numRef>
              <c:f>'WA GAS'!$K$27:$L$27</c:f>
              <c:numCache>
                <c:formatCode>_(* #,##0.00_);_(* \(#,##0.00\);_(* "-"??_);_(@_)</c:formatCode>
                <c:ptCount val="2"/>
                <c:pt idx="0">
                  <c:v>1.4323425889615404</c:v>
                </c:pt>
                <c:pt idx="1">
                  <c:v>1.9782784263964945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0-4A65-81F4-51D7075355D4}"/>
            </c:ext>
          </c:extLst>
        </c:ser>
        <c:ser>
          <c:idx val="1"/>
          <c:order val="1"/>
          <c:tx>
            <c:strRef>
              <c:f>'WA GAS'!$J$28</c:f>
              <c:strCache>
                <c:ptCount val="1"/>
                <c:pt idx="0">
                  <c:v>Portfolio W/O Low Income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'WA GAS'!$K$26:$L$26</c:f>
              <c:strCache>
                <c:ptCount val="2"/>
                <c:pt idx="0">
                  <c:v>Total Resource Cost (TRC)</c:v>
                </c:pt>
                <c:pt idx="1">
                  <c:v>Utility Cost Test (UCT)</c:v>
                </c:pt>
              </c:strCache>
            </c:strRef>
          </c:cat>
          <c:val>
            <c:numRef>
              <c:f>'WA GAS'!$K$28:$L$28</c:f>
              <c:numCache>
                <c:formatCode>_(* #,##0.00_);_(* \(#,##0.00\);_(* "-"??_);_(@_)</c:formatCode>
                <c:ptCount val="2"/>
                <c:pt idx="0">
                  <c:v>1.4619408518577639</c:v>
                </c:pt>
                <c:pt idx="1">
                  <c:v>2.1304113303142045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10-4A65-81F4-51D707535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8119280"/>
        <c:axId val="2068108880"/>
      </c:barChart>
      <c:catAx>
        <c:axId val="206811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108880"/>
        <c:crosses val="autoZero"/>
        <c:auto val="1"/>
        <c:lblAlgn val="ctr"/>
        <c:lblOffset val="100"/>
        <c:noMultiLvlLbl val="0"/>
      </c:catAx>
      <c:valAx>
        <c:axId val="206810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11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'WA GAS'!$H$37</c:f>
              <c:strCache>
                <c:ptCount val="1"/>
                <c:pt idx="0">
                  <c:v>Therm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'WA GAS'!$G$38:$G$48</c:f>
              <c:strCache>
                <c:ptCount val="11"/>
                <c:pt idx="0">
                  <c:v>Low Income Program</c:v>
                </c:pt>
                <c:pt idx="1">
                  <c:v>On Bill Repayment</c:v>
                </c:pt>
                <c:pt idx="2">
                  <c:v>Clean Buildings Accelerator</c:v>
                </c:pt>
                <c:pt idx="3">
                  <c:v>MultiFamily Program</c:v>
                </c:pt>
                <c:pt idx="4">
                  <c:v>Home Energy Audit</c:v>
                </c:pt>
                <c:pt idx="5">
                  <c:v>Commercial Shell</c:v>
                </c:pt>
                <c:pt idx="6">
                  <c:v>Pay for Performance</c:v>
                </c:pt>
                <c:pt idx="7">
                  <c:v>Site Specific</c:v>
                </c:pt>
                <c:pt idx="8">
                  <c:v>Residential Prescriptive</c:v>
                </c:pt>
                <c:pt idx="9">
                  <c:v>Commercial Midstream</c:v>
                </c:pt>
                <c:pt idx="10">
                  <c:v>Residential Midstream</c:v>
                </c:pt>
              </c:strCache>
            </c:strRef>
          </c:cat>
          <c:val>
            <c:numRef>
              <c:f>'WA GAS'!$H$38:$H$48</c:f>
              <c:numCache>
                <c:formatCode>#,##0</c:formatCode>
                <c:ptCount val="11"/>
                <c:pt idx="0">
                  <c:v>6090.6108583066862</c:v>
                </c:pt>
                <c:pt idx="1">
                  <c:v>8787.5</c:v>
                </c:pt>
                <c:pt idx="2">
                  <c:v>14064.846416382254</c:v>
                </c:pt>
                <c:pt idx="3">
                  <c:v>16591</c:v>
                </c:pt>
                <c:pt idx="4">
                  <c:v>16736.107685927716</c:v>
                </c:pt>
                <c:pt idx="5">
                  <c:v>37810.148905687791</c:v>
                </c:pt>
                <c:pt idx="6">
                  <c:v>123634</c:v>
                </c:pt>
                <c:pt idx="7">
                  <c:v>129896</c:v>
                </c:pt>
                <c:pt idx="8">
                  <c:v>144975.09460353167</c:v>
                </c:pt>
                <c:pt idx="9">
                  <c:v>209078.25</c:v>
                </c:pt>
                <c:pt idx="10">
                  <c:v>245266.25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4-41FD-940A-F58DED36C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8846367"/>
        <c:axId val="608845951"/>
      </c:barChart>
      <c:catAx>
        <c:axId val="608846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845951"/>
        <c:crosses val="autoZero"/>
        <c:auto val="1"/>
        <c:lblAlgn val="ctr"/>
        <c:lblOffset val="100"/>
        <c:noMultiLvlLbl val="0"/>
      </c:catAx>
      <c:valAx>
        <c:axId val="608845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846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E4-4906-890D-0CC27FE584A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0E4-4906-890D-0CC27FE584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'BCP Charts'!$H$4:$H$6</c:f>
              <c:strCache>
                <c:ptCount val="3"/>
                <c:pt idx="0">
                  <c:v>Total Potential</c:v>
                </c:pt>
                <c:pt idx="1">
                  <c:v>5% Decoupling</c:v>
                </c:pt>
                <c:pt idx="2">
                  <c:v>Total natural Gas Target</c:v>
                </c:pt>
              </c:strCache>
            </c:strRef>
          </c:cat>
          <c:val>
            <c:numRef>
              <c:f>'BCP Charts'!$I$4:$I$6</c:f>
              <c:numCache>
                <c:formatCode>#,##0</c:formatCode>
                <c:ptCount val="3"/>
                <c:pt idx="0">
                  <c:v>1812463</c:v>
                </c:pt>
                <c:pt idx="1">
                  <c:v>90623.150000000009</c:v>
                </c:pt>
                <c:pt idx="2">
                  <c:v>1903086.15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4-4906-890D-0CC27FE58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24468640"/>
        <c:axId val="1824464064"/>
      </c:barChart>
      <c:catAx>
        <c:axId val="1824468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4464064"/>
        <c:crosses val="autoZero"/>
        <c:auto val="1"/>
        <c:lblAlgn val="ctr"/>
        <c:lblOffset val="100"/>
        <c:noMultiLvlLbl val="0"/>
      </c:catAx>
      <c:valAx>
        <c:axId val="1824464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446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209550</xdr:colOff>
      <xdr:row>40</xdr:row>
      <xdr:rowOff>166687</xdr:rowOff>
    </xdr:from>
    <xdr:to>
      <xdr:col>22</xdr:col>
      <xdr:colOff>1524000</xdr:colOff>
      <xdr:row>62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1966C9A-E4BC-35F6-B0ED-CA0DDDFAF1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24</xdr:row>
      <xdr:rowOff>42862</xdr:rowOff>
    </xdr:from>
    <xdr:to>
      <xdr:col>22</xdr:col>
      <xdr:colOff>428625</xdr:colOff>
      <xdr:row>38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79D42D-FC91-C2BD-C851-19D078F0AB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733425</xdr:colOff>
      <xdr:row>36</xdr:row>
      <xdr:rowOff>90487</xdr:rowOff>
    </xdr:from>
    <xdr:to>
      <xdr:col>14</xdr:col>
      <xdr:colOff>752475</xdr:colOff>
      <xdr:row>50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21C173-D2F4-0484-CE2B-6F16839716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790575</xdr:colOff>
      <xdr:row>1</xdr:row>
      <xdr:rowOff>119062</xdr:rowOff>
    </xdr:from>
    <xdr:to>
      <xdr:col>16</xdr:col>
      <xdr:colOff>314325</xdr:colOff>
      <xdr:row>17</xdr:row>
      <xdr:rowOff>4762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257C6AB1-0BBF-48B9-E0A6-B25DEFAD50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56</xdr:row>
      <xdr:rowOff>0</xdr:rowOff>
    </xdr:from>
    <xdr:to>
      <xdr:col>17</xdr:col>
      <xdr:colOff>348125</xdr:colOff>
      <xdr:row>74</xdr:row>
      <xdr:rowOff>104775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E27CED0-FB81-135E-DEAC-E01FE1D0A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3175" y="10477500"/>
          <a:ext cx="6005975" cy="360997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26</xdr:row>
      <xdr:rowOff>104775</xdr:rowOff>
    </xdr:from>
    <xdr:to>
      <xdr:col>26</xdr:col>
      <xdr:colOff>57150</xdr:colOff>
      <xdr:row>47</xdr:row>
      <xdr:rowOff>195814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5F344AA-12AF-18AF-3A40-5620FB2CF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82500" y="4867275"/>
          <a:ext cx="8982075" cy="54059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vistacorp.sharepoint.com/sites/2023ACP/Shared%20Documents/General/Archive/ACP%20Files/2024%20Washington%20Electric%20BP%20-%20Updated%20A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1.0 - NG AC"/>
      <sheetName val="2.0 - Source"/>
      <sheetName val="1.1 - Electric AC"/>
      <sheetName val="2.0 - NEBs"/>
      <sheetName val="3.2 - MF Direct Install"/>
      <sheetName val="3.1 - Res Pres"/>
      <sheetName val="3.3 - MF Wx"/>
      <sheetName val="3.3 - MF Program"/>
      <sheetName val="3.4 - Res Midstream"/>
      <sheetName val="3.4 - Open"/>
      <sheetName val="3.6 - Open"/>
      <sheetName val="3.5 - WA NCIF"/>
      <sheetName val="3.6 - Always On"/>
      <sheetName val="3.6.1 - On Bill Repayment"/>
      <sheetName val="3.7 - Int Ltg"/>
      <sheetName val="3.8 - Ext Ltg"/>
      <sheetName val="3.62 - Audit "/>
      <sheetName val="3.8 - Direct Install Lighting"/>
      <sheetName val="3.9 - SS"/>
      <sheetName val="3.10 - NRShell"/>
      <sheetName val="3.13 - GreenMotor"/>
      <sheetName val="3.15 - Air Compression"/>
      <sheetName val="3.14 - VFD"/>
      <sheetName val="3.19 - Grocer"/>
      <sheetName val="3.19 - Food"/>
      <sheetName val="3.20 - Appliance"/>
      <sheetName val="3.30 - Pay for Performance"/>
      <sheetName val="3.30 - AEM"/>
      <sheetName val="Non-Energy Impacts"/>
      <sheetName val="3.11 - Clean Buildings Acc"/>
      <sheetName val="3.61 - NR Midstream"/>
      <sheetName val="3.5 - WA LI"/>
      <sheetName val="4.0 - Elec Program Summary"/>
      <sheetName val="5.0 - NIUC Split"/>
      <sheetName val="6.0 - Graphs"/>
      <sheetName val="7.0 - Tables"/>
      <sheetName val="8.0 - Programs Summary"/>
      <sheetName val="EM&amp;V Plan Tables"/>
      <sheetName val="App C"/>
      <sheetName val="Executive Summary"/>
      <sheetName val="1 - Introduction"/>
      <sheetName val="2 - CETA"/>
      <sheetName val="3 - Energy Efficiency Portfolio"/>
      <sheetName val="App D"/>
      <sheetName val="Sheet1"/>
      <sheetName val="Sector Tables"/>
      <sheetName val="Program Tables"/>
      <sheetName val="Sheet3"/>
      <sheetName val="Low Income Tables"/>
      <sheetName val="NR Sector Table"/>
      <sheetName val="CEIP Table"/>
      <sheetName val="Sheet2"/>
      <sheetName val="Biennial Target"/>
      <sheetName val="NR NEI"/>
      <sheetName val="Pilots"/>
      <sheetName val="Midstream"/>
      <sheetName val="NEI S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B4">
            <v>853008.17952000001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G2">
            <v>1559080</v>
          </cell>
        </row>
        <row r="3">
          <cell r="G3">
            <v>9755290</v>
          </cell>
        </row>
        <row r="4">
          <cell r="G4">
            <v>5546444</v>
          </cell>
        </row>
        <row r="5">
          <cell r="G5">
            <v>812000</v>
          </cell>
        </row>
        <row r="6">
          <cell r="G6">
            <v>1036150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Austin.Oglesby@avistacorp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ustin.Oglesby@avistacorp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64B23-E5C0-417E-9E09-31B31510438B}">
  <dimension ref="A1:U58"/>
  <sheetViews>
    <sheetView tabSelected="1" workbookViewId="0">
      <selection activeCell="J20" sqref="J20"/>
    </sheetView>
  </sheetViews>
  <sheetFormatPr defaultRowHeight="15" x14ac:dyDescent="0.25"/>
  <cols>
    <col min="1" max="1" width="50.140625" bestFit="1" customWidth="1"/>
    <col min="2" max="2" width="22.28515625" customWidth="1"/>
    <col min="3" max="3" width="15.85546875" customWidth="1"/>
    <col min="4" max="4" width="19.5703125" bestFit="1" customWidth="1"/>
    <col min="5" max="5" width="17.5703125" customWidth="1"/>
    <col min="7" max="7" width="13.85546875" style="8" customWidth="1"/>
    <col min="8" max="8" width="16.140625" style="7" bestFit="1" customWidth="1"/>
    <col min="9" max="9" width="19.5703125" style="7" bestFit="1" customWidth="1"/>
    <col min="10" max="10" width="16.140625" style="7" customWidth="1"/>
    <col min="11" max="11" width="11.5703125" bestFit="1" customWidth="1"/>
    <col min="14" max="14" width="14.28515625" bestFit="1" customWidth="1"/>
    <col min="15" max="15" width="16.28515625" customWidth="1"/>
    <col min="16" max="16" width="11.140625" bestFit="1" customWidth="1"/>
    <col min="18" max="18" width="13.28515625" bestFit="1" customWidth="1"/>
    <col min="19" max="19" width="10.140625" bestFit="1" customWidth="1"/>
    <col min="20" max="20" width="13.140625" customWidth="1"/>
    <col min="21" max="21" width="10.140625" bestFit="1" customWidth="1"/>
  </cols>
  <sheetData>
    <row r="1" spans="1:21" x14ac:dyDescent="0.25">
      <c r="A1" s="1" t="s">
        <v>0</v>
      </c>
      <c r="B1" s="39" t="s">
        <v>1</v>
      </c>
      <c r="C1" s="9" t="s">
        <v>2</v>
      </c>
      <c r="D1" s="9" t="s">
        <v>3</v>
      </c>
      <c r="E1" s="9" t="s">
        <v>4</v>
      </c>
      <c r="G1" s="8" t="s">
        <v>5</v>
      </c>
      <c r="H1" s="15" t="s">
        <v>6</v>
      </c>
      <c r="I1" s="15" t="s">
        <v>7</v>
      </c>
      <c r="J1" s="15" t="s">
        <v>4</v>
      </c>
      <c r="L1" s="14" t="s">
        <v>8</v>
      </c>
      <c r="M1" s="14" t="s">
        <v>9</v>
      </c>
      <c r="N1" t="s">
        <v>142</v>
      </c>
      <c r="O1" t="s">
        <v>188</v>
      </c>
    </row>
    <row r="2" spans="1:21" x14ac:dyDescent="0.25">
      <c r="A2" s="34" t="s">
        <v>10</v>
      </c>
      <c r="B2" s="8">
        <v>853007.15359118255</v>
      </c>
      <c r="C2" s="7">
        <v>2534321.7698704107</v>
      </c>
      <c r="D2" s="7">
        <v>1086137.9013730332</v>
      </c>
      <c r="E2" s="9">
        <f>SUM(C2:D2)</f>
        <v>3620459.6712434441</v>
      </c>
      <c r="G2" s="8">
        <v>853008.17952000001</v>
      </c>
      <c r="H2" s="7">
        <v>2592398.1899999995</v>
      </c>
      <c r="I2" s="7">
        <v>1010245.7691730144</v>
      </c>
      <c r="J2" s="7">
        <v>3602643.9591730139</v>
      </c>
      <c r="L2" s="13">
        <v>3.2368726256091351</v>
      </c>
      <c r="M2" s="13">
        <v>0.2580947375633118</v>
      </c>
      <c r="N2" s="16">
        <f t="shared" ref="N2:N30" si="0">B2/500</f>
        <v>1706.0143071823652</v>
      </c>
      <c r="O2" s="20">
        <f>E2*2</f>
        <v>7240919.3424868882</v>
      </c>
    </row>
    <row r="3" spans="1:21" x14ac:dyDescent="0.25">
      <c r="A3" s="34" t="s">
        <v>11</v>
      </c>
      <c r="B3" s="8">
        <v>574288.3487835197</v>
      </c>
      <c r="C3" s="7">
        <f>2000000/1.3</f>
        <v>1538461.5384615385</v>
      </c>
      <c r="D3" s="7">
        <f>C3*0.3</f>
        <v>461538.46153846156</v>
      </c>
      <c r="E3" s="9">
        <f>SUM(C3:D3)</f>
        <v>2000000</v>
      </c>
      <c r="G3" s="8">
        <v>574288.49</v>
      </c>
      <c r="H3" s="7">
        <v>2552393.4900000002</v>
      </c>
      <c r="I3" s="7">
        <v>452282.80338537658</v>
      </c>
      <c r="J3" s="7">
        <v>3004676.2933853767</v>
      </c>
      <c r="L3" s="11">
        <v>0.96369229924524491</v>
      </c>
      <c r="M3" s="11">
        <v>9.0187633589715155E-2</v>
      </c>
      <c r="N3" s="16">
        <f t="shared" si="0"/>
        <v>1148.5766975670394</v>
      </c>
      <c r="O3" s="20">
        <f t="shared" ref="O3:O30" si="1">E3*2</f>
        <v>4000000</v>
      </c>
    </row>
    <row r="4" spans="1:21" x14ac:dyDescent="0.25">
      <c r="A4" s="44" t="s">
        <v>12</v>
      </c>
      <c r="B4" s="41">
        <v>1427295.5023747021</v>
      </c>
      <c r="C4" s="42">
        <f>SUM(C2:C3)</f>
        <v>4072783.3083319492</v>
      </c>
      <c r="D4" s="42">
        <f>SUM(D2:D3)</f>
        <v>1547676.3629114947</v>
      </c>
      <c r="E4" s="42">
        <f>SUM(E2:E3)</f>
        <v>5620459.6712434441</v>
      </c>
      <c r="F4" s="2"/>
      <c r="G4" s="41">
        <v>1427296.66952</v>
      </c>
      <c r="H4" s="42">
        <v>5144791.68</v>
      </c>
      <c r="I4" s="42">
        <v>1462528.5725583909</v>
      </c>
      <c r="J4" s="42">
        <v>6607320.2525583906</v>
      </c>
      <c r="K4" s="2"/>
      <c r="L4" s="43">
        <v>1.9830923185865577</v>
      </c>
      <c r="M4" s="43">
        <v>0.18173904788637937</v>
      </c>
      <c r="N4" s="5">
        <f t="shared" si="0"/>
        <v>2854.5910047494044</v>
      </c>
      <c r="O4" s="137">
        <f t="shared" si="1"/>
        <v>11240919.342486888</v>
      </c>
    </row>
    <row r="5" spans="1:21" x14ac:dyDescent="0.25">
      <c r="B5" s="8"/>
      <c r="C5" s="7"/>
      <c r="D5" s="7"/>
      <c r="E5" s="9"/>
      <c r="L5" s="13"/>
      <c r="M5" s="13"/>
      <c r="N5" s="16">
        <f t="shared" si="0"/>
        <v>0</v>
      </c>
      <c r="O5" s="20">
        <f t="shared" si="1"/>
        <v>0</v>
      </c>
      <c r="Q5">
        <v>16.671335178151651</v>
      </c>
      <c r="R5">
        <f>Q5*N$2</f>
        <v>28441.536333759381</v>
      </c>
    </row>
    <row r="6" spans="1:21" x14ac:dyDescent="0.25">
      <c r="A6" s="34" t="s">
        <v>13</v>
      </c>
      <c r="B6" s="8">
        <v>1160542.6541120624</v>
      </c>
      <c r="C6" s="7">
        <v>455588.05098401225</v>
      </c>
      <c r="D6" s="7">
        <v>195252.02185029053</v>
      </c>
      <c r="E6" s="9">
        <f>SUM(C6:D6)</f>
        <v>650840.07283430279</v>
      </c>
      <c r="G6" s="8">
        <v>1158961.6150253806</v>
      </c>
      <c r="H6" s="7">
        <v>281457.89956869639</v>
      </c>
      <c r="I6" s="7">
        <v>243935.62350018398</v>
      </c>
      <c r="J6" s="7">
        <v>525393.52306888043</v>
      </c>
      <c r="L6" s="13">
        <v>2.8397641749565099</v>
      </c>
      <c r="M6" s="13">
        <v>6.8116025462435479</v>
      </c>
      <c r="N6" s="16">
        <f t="shared" si="0"/>
        <v>2321.0853082241247</v>
      </c>
      <c r="O6" s="20">
        <f t="shared" si="1"/>
        <v>1301680.1456686056</v>
      </c>
      <c r="Q6">
        <v>25.648207966387154</v>
      </c>
      <c r="R6">
        <f t="shared" ref="R6:R23" si="2">Q6*N$2</f>
        <v>43756.2097442452</v>
      </c>
    </row>
    <row r="7" spans="1:21" x14ac:dyDescent="0.25">
      <c r="A7" s="34" t="s">
        <v>14</v>
      </c>
      <c r="B7" s="8">
        <v>253369.3666666667</v>
      </c>
      <c r="C7" s="7">
        <v>202695.49333333338</v>
      </c>
      <c r="D7" s="7">
        <v>86869.497142857203</v>
      </c>
      <c r="E7" s="9">
        <f t="shared" ref="E7:E11" si="3">SUM(C7:D7)</f>
        <v>289564.99047619058</v>
      </c>
      <c r="G7" s="8">
        <v>253369.49</v>
      </c>
      <c r="H7" s="7">
        <v>65876</v>
      </c>
      <c r="I7" s="7">
        <v>0</v>
      </c>
      <c r="J7" s="7">
        <v>65876</v>
      </c>
      <c r="L7" s="13">
        <v>1.0813724839045331</v>
      </c>
      <c r="M7" s="13">
        <v>1.7048157871089487</v>
      </c>
      <c r="N7" s="16">
        <f t="shared" si="0"/>
        <v>506.73873333333341</v>
      </c>
      <c r="O7" s="20">
        <f t="shared" si="1"/>
        <v>579129.98095238116</v>
      </c>
      <c r="Q7">
        <v>0</v>
      </c>
      <c r="R7">
        <f t="shared" si="2"/>
        <v>0</v>
      </c>
    </row>
    <row r="8" spans="1:21" x14ac:dyDescent="0.25">
      <c r="A8" s="34" t="s">
        <v>15</v>
      </c>
      <c r="B8" s="8">
        <v>264058.33333333337</v>
      </c>
      <c r="C8" s="7">
        <v>105623.33333333336</v>
      </c>
      <c r="D8" s="7">
        <v>45267.142857142855</v>
      </c>
      <c r="E8" s="9">
        <f t="shared" si="3"/>
        <v>150890.47619047621</v>
      </c>
      <c r="G8" s="8">
        <v>264859.71239669423</v>
      </c>
      <c r="H8" s="7">
        <v>98441.94</v>
      </c>
      <c r="I8" s="7">
        <v>64659.365651732413</v>
      </c>
      <c r="J8" s="7">
        <v>163101.30565173243</v>
      </c>
      <c r="L8" s="13">
        <v>1.0566094727346393</v>
      </c>
      <c r="M8" s="13">
        <v>0.96055406612239924</v>
      </c>
      <c r="N8" s="16">
        <f t="shared" si="0"/>
        <v>528.11666666666679</v>
      </c>
      <c r="O8" s="20">
        <f t="shared" si="1"/>
        <v>301780.95238095243</v>
      </c>
      <c r="Q8">
        <v>68378.827764107235</v>
      </c>
      <c r="R8">
        <f t="shared" si="2"/>
        <v>116655258.47392568</v>
      </c>
    </row>
    <row r="9" spans="1:21" x14ac:dyDescent="0.25">
      <c r="A9" s="34" t="s">
        <v>16</v>
      </c>
      <c r="B9" s="8">
        <v>257500</v>
      </c>
      <c r="C9" s="7">
        <v>206000</v>
      </c>
      <c r="D9" s="7">
        <v>88285.714285714319</v>
      </c>
      <c r="E9" s="9">
        <f t="shared" si="3"/>
        <v>294285.71428571432</v>
      </c>
      <c r="G9" s="8">
        <v>257500</v>
      </c>
      <c r="H9" s="7">
        <v>206000</v>
      </c>
      <c r="I9" s="7">
        <v>88286</v>
      </c>
      <c r="J9" s="7">
        <v>294286</v>
      </c>
      <c r="L9" s="13">
        <v>0.40421058550424971</v>
      </c>
      <c r="M9" s="13">
        <v>0.39306021608286545</v>
      </c>
      <c r="N9" s="16">
        <f t="shared" si="0"/>
        <v>515</v>
      </c>
      <c r="O9" s="20">
        <f t="shared" si="1"/>
        <v>588571.42857142864</v>
      </c>
      <c r="Q9">
        <v>0</v>
      </c>
      <c r="R9">
        <f t="shared" si="2"/>
        <v>0</v>
      </c>
    </row>
    <row r="10" spans="1:21" x14ac:dyDescent="0.25">
      <c r="A10" s="34" t="s">
        <v>17</v>
      </c>
      <c r="B10" s="8">
        <v>1876008.6060261645</v>
      </c>
      <c r="C10" s="7">
        <v>0</v>
      </c>
      <c r="D10" s="7">
        <v>0</v>
      </c>
      <c r="E10" s="9">
        <f t="shared" si="3"/>
        <v>0</v>
      </c>
      <c r="G10" s="8">
        <v>1876014</v>
      </c>
      <c r="H10" s="7">
        <v>0</v>
      </c>
      <c r="I10" s="7">
        <v>124282.80408076166</v>
      </c>
      <c r="J10" s="7">
        <v>124282.80408076166</v>
      </c>
      <c r="L10" s="13">
        <v>3.4459251431067881</v>
      </c>
      <c r="M10" s="13">
        <v>3.1358759972347228</v>
      </c>
      <c r="N10" s="16">
        <f t="shared" si="0"/>
        <v>3752.0172120523289</v>
      </c>
      <c r="O10" s="20">
        <f t="shared" si="1"/>
        <v>0</v>
      </c>
      <c r="Q10">
        <v>25278.87377167118</v>
      </c>
      <c r="R10">
        <f t="shared" si="2"/>
        <v>43126120.323928073</v>
      </c>
    </row>
    <row r="11" spans="1:21" x14ac:dyDescent="0.25">
      <c r="A11" s="34" t="s">
        <v>18</v>
      </c>
      <c r="B11" s="8">
        <v>617232</v>
      </c>
      <c r="C11" s="7">
        <v>493785.60000000003</v>
      </c>
      <c r="D11" s="7">
        <v>211622.39999999997</v>
      </c>
      <c r="E11" s="9">
        <f t="shared" si="3"/>
        <v>705408</v>
      </c>
      <c r="G11" s="8">
        <v>617232</v>
      </c>
      <c r="H11" s="7">
        <v>493786</v>
      </c>
      <c r="I11" s="7">
        <v>211622.49</v>
      </c>
      <c r="J11" s="7">
        <v>705408.49</v>
      </c>
      <c r="L11" s="13">
        <v>0.57406415914856224</v>
      </c>
      <c r="M11" s="13">
        <v>0.17340004685800775</v>
      </c>
      <c r="N11" s="16">
        <f t="shared" si="0"/>
        <v>1234.4639999999999</v>
      </c>
      <c r="O11" s="20">
        <f t="shared" si="1"/>
        <v>1410816</v>
      </c>
      <c r="Q11">
        <v>11008.210859173367</v>
      </c>
      <c r="R11">
        <f t="shared" si="2"/>
        <v>18780165.22223004</v>
      </c>
    </row>
    <row r="12" spans="1:21" x14ac:dyDescent="0.25">
      <c r="A12" s="40" t="s">
        <v>19</v>
      </c>
      <c r="B12" s="41">
        <f>SUM(B6:B11)</f>
        <v>4428710.9601382269</v>
      </c>
      <c r="C12" s="42">
        <f t="shared" ref="C12:D12" si="4">SUM(C6:C11)</f>
        <v>1463692.4776506789</v>
      </c>
      <c r="D12" s="42">
        <f t="shared" si="4"/>
        <v>627296.77613600483</v>
      </c>
      <c r="E12" s="42">
        <f>SUM(E6:E11)</f>
        <v>2090989.2537866838</v>
      </c>
      <c r="F12" s="2"/>
      <c r="G12" s="41">
        <v>4427936.8174220752</v>
      </c>
      <c r="H12" s="42">
        <v>1145561.8395686965</v>
      </c>
      <c r="I12" s="42">
        <v>732786.28323267808</v>
      </c>
      <c r="J12" s="42">
        <v>1878348.1228013746</v>
      </c>
      <c r="K12" s="2"/>
      <c r="L12" s="43">
        <v>2.394055168111707</v>
      </c>
      <c r="M12" s="43">
        <v>3.4987698154467242</v>
      </c>
      <c r="N12" s="5">
        <f t="shared" si="0"/>
        <v>8857.4219202764543</v>
      </c>
      <c r="O12" s="137">
        <f t="shared" si="1"/>
        <v>4181978.5075733676</v>
      </c>
      <c r="Q12">
        <v>27402.545391288037</v>
      </c>
      <c r="R12">
        <f t="shared" si="2"/>
        <v>46749134.490751572</v>
      </c>
    </row>
    <row r="13" spans="1:21" x14ac:dyDescent="0.25">
      <c r="B13" s="8">
        <f>B12/500</f>
        <v>8857.4219202764543</v>
      </c>
      <c r="C13" s="7"/>
      <c r="D13" s="7"/>
      <c r="E13" s="9"/>
      <c r="L13" s="13"/>
      <c r="M13" s="13"/>
      <c r="N13" s="16">
        <f t="shared" si="0"/>
        <v>17.714843840552909</v>
      </c>
      <c r="O13" s="20">
        <f t="shared" si="1"/>
        <v>0</v>
      </c>
      <c r="Q13">
        <v>8224.0978844220408</v>
      </c>
      <c r="R13">
        <f t="shared" si="2"/>
        <v>14030428.654492224</v>
      </c>
    </row>
    <row r="14" spans="1:21" x14ac:dyDescent="0.25">
      <c r="A14" s="34" t="s">
        <v>20</v>
      </c>
      <c r="B14" s="8">
        <v>6573677.5</v>
      </c>
      <c r="C14" s="7">
        <v>1650547.5</v>
      </c>
      <c r="D14" s="7">
        <f t="shared" ref="D14:D33" si="5">E14-C14</f>
        <v>711377.5</v>
      </c>
      <c r="E14" s="9">
        <v>2361925</v>
      </c>
      <c r="G14" s="8">
        <v>6573677.8741489481</v>
      </c>
      <c r="H14" s="7">
        <v>1650547.5</v>
      </c>
      <c r="I14" s="7">
        <v>604469.91497616866</v>
      </c>
      <c r="J14" s="7">
        <v>2255017.4149761684</v>
      </c>
      <c r="L14" s="13">
        <v>1.2974266326071247</v>
      </c>
      <c r="M14" s="13">
        <v>0.71435360096475131</v>
      </c>
      <c r="N14" s="16">
        <f t="shared" si="0"/>
        <v>13147.355</v>
      </c>
      <c r="O14" s="20">
        <f t="shared" si="1"/>
        <v>4723850</v>
      </c>
      <c r="Q14">
        <v>12.824103983193577</v>
      </c>
      <c r="R14">
        <f t="shared" si="2"/>
        <v>21878.1048721226</v>
      </c>
    </row>
    <row r="15" spans="1:21" x14ac:dyDescent="0.25">
      <c r="A15" s="34" t="s">
        <v>21</v>
      </c>
      <c r="B15" s="8">
        <v>2637496.5</v>
      </c>
      <c r="C15" s="7">
        <v>700210</v>
      </c>
      <c r="D15" s="7">
        <f t="shared" si="5"/>
        <v>300090</v>
      </c>
      <c r="E15" s="9">
        <v>1000300</v>
      </c>
      <c r="G15" s="8">
        <v>2637496.6084916419</v>
      </c>
      <c r="H15" s="7">
        <v>700210</v>
      </c>
      <c r="I15" s="7">
        <v>319813.65890701633</v>
      </c>
      <c r="J15" s="7">
        <v>1020023.6589070163</v>
      </c>
      <c r="K15">
        <v>328195.61195778311</v>
      </c>
      <c r="L15" s="13">
        <v>1.4323176236690889</v>
      </c>
      <c r="M15" s="13">
        <v>1.2572387383264674</v>
      </c>
      <c r="N15" s="16">
        <f t="shared" si="0"/>
        <v>5274.9930000000004</v>
      </c>
      <c r="O15" s="20">
        <f t="shared" si="1"/>
        <v>2000600</v>
      </c>
      <c r="Q15">
        <v>0</v>
      </c>
      <c r="R15">
        <f t="shared" si="2"/>
        <v>0</v>
      </c>
      <c r="S15" s="7"/>
      <c r="T15" s="7"/>
      <c r="U15" s="9"/>
    </row>
    <row r="16" spans="1:21" x14ac:dyDescent="0.25">
      <c r="A16" s="34" t="s">
        <v>22</v>
      </c>
      <c r="B16" s="8">
        <v>6228000</v>
      </c>
      <c r="C16" s="7">
        <v>3114000</v>
      </c>
      <c r="D16" s="7">
        <f t="shared" si="5"/>
        <v>1334571.4285714291</v>
      </c>
      <c r="E16" s="9">
        <v>4448571.4285714291</v>
      </c>
      <c r="G16" s="8">
        <v>6228000</v>
      </c>
      <c r="H16" s="7">
        <v>3114000</v>
      </c>
      <c r="I16" s="7">
        <v>1175068.5336343413</v>
      </c>
      <c r="J16" s="7">
        <v>4289068.5336343413</v>
      </c>
      <c r="K16" s="21">
        <v>574229.13064969808</v>
      </c>
      <c r="L16" s="13">
        <v>0.91725118796341154</v>
      </c>
      <c r="M16" s="13">
        <v>0.52479057967330545</v>
      </c>
      <c r="N16" s="16">
        <f t="shared" si="0"/>
        <v>12456</v>
      </c>
      <c r="O16" s="20">
        <f t="shared" si="1"/>
        <v>8897142.8571428582</v>
      </c>
      <c r="Q16">
        <v>0</v>
      </c>
      <c r="R16">
        <f t="shared" si="2"/>
        <v>0</v>
      </c>
      <c r="S16" s="17"/>
      <c r="T16" s="17"/>
      <c r="U16" s="17"/>
    </row>
    <row r="17" spans="1:18" x14ac:dyDescent="0.25">
      <c r="A17" s="34" t="s">
        <v>23</v>
      </c>
      <c r="B17" s="8">
        <v>5306</v>
      </c>
      <c r="C17" s="7">
        <v>4244.9442060085839</v>
      </c>
      <c r="D17" s="7">
        <f t="shared" si="5"/>
        <v>1819.2618025751071</v>
      </c>
      <c r="E17" s="9">
        <v>6064.2060085836911</v>
      </c>
      <c r="G17" s="8">
        <v>58588.77605660534</v>
      </c>
      <c r="H17" s="7">
        <v>15400</v>
      </c>
      <c r="I17" s="7">
        <v>0</v>
      </c>
      <c r="J17" s="7">
        <v>15400</v>
      </c>
      <c r="K17">
        <v>2708.9151773383128</v>
      </c>
      <c r="L17" s="13">
        <v>1.3966241193347</v>
      </c>
      <c r="M17" s="13">
        <v>1.2590082350456175</v>
      </c>
      <c r="N17" s="16">
        <f t="shared" si="0"/>
        <v>10.612</v>
      </c>
      <c r="O17" s="20">
        <f t="shared" si="1"/>
        <v>12128.412017167382</v>
      </c>
      <c r="Q17">
        <v>0</v>
      </c>
      <c r="R17">
        <f t="shared" si="2"/>
        <v>0</v>
      </c>
    </row>
    <row r="18" spans="1:18" x14ac:dyDescent="0.25">
      <c r="A18" s="34" t="s">
        <v>24</v>
      </c>
      <c r="B18" s="8">
        <v>7586631.0000000009</v>
      </c>
      <c r="C18" s="7">
        <v>2038400.0000000002</v>
      </c>
      <c r="D18" s="7">
        <f t="shared" si="5"/>
        <v>873600.00000000023</v>
      </c>
      <c r="E18" s="9">
        <v>2912000.0000000005</v>
      </c>
      <c r="G18" s="8">
        <v>0</v>
      </c>
      <c r="H18" s="7">
        <v>75866.31</v>
      </c>
      <c r="I18" s="7">
        <v>32514</v>
      </c>
      <c r="J18" s="7">
        <v>108380.31</v>
      </c>
      <c r="L18" s="13" t="e">
        <v>#DIV/0!</v>
      </c>
      <c r="M18" s="13">
        <v>0</v>
      </c>
      <c r="N18" s="16">
        <f t="shared" si="0"/>
        <v>15173.262000000002</v>
      </c>
      <c r="O18" s="20">
        <f t="shared" si="1"/>
        <v>5824000.0000000009</v>
      </c>
      <c r="Q18">
        <v>0</v>
      </c>
      <c r="R18">
        <f t="shared" si="2"/>
        <v>0</v>
      </c>
    </row>
    <row r="19" spans="1:18" x14ac:dyDescent="0.25">
      <c r="A19" t="s">
        <v>25</v>
      </c>
      <c r="B19" s="8">
        <v>0</v>
      </c>
      <c r="C19" s="7">
        <v>75866.310000000012</v>
      </c>
      <c r="D19" s="7">
        <f t="shared" si="5"/>
        <v>32514.13285714286</v>
      </c>
      <c r="E19" s="9">
        <v>108380.44285714287</v>
      </c>
      <c r="G19" s="8">
        <v>0</v>
      </c>
      <c r="H19" s="8">
        <v>75866.310000000012</v>
      </c>
      <c r="I19" s="8">
        <v>32514.13285714286</v>
      </c>
      <c r="J19" s="7">
        <v>108380.44285714287</v>
      </c>
      <c r="L19" s="13">
        <v>0</v>
      </c>
      <c r="M19" s="13">
        <v>0</v>
      </c>
      <c r="N19" s="16">
        <f t="shared" si="0"/>
        <v>0</v>
      </c>
      <c r="O19" s="20">
        <f t="shared" si="1"/>
        <v>216760.88571428575</v>
      </c>
      <c r="Q19">
        <v>1</v>
      </c>
      <c r="R19">
        <v>1</v>
      </c>
    </row>
    <row r="20" spans="1:18" x14ac:dyDescent="0.25">
      <c r="A20" s="34" t="s">
        <v>26</v>
      </c>
      <c r="B20" s="8">
        <v>500000</v>
      </c>
      <c r="C20" s="7">
        <v>400000</v>
      </c>
      <c r="D20" s="7">
        <f t="shared" si="5"/>
        <v>171428.57142857148</v>
      </c>
      <c r="E20" s="9">
        <v>571428.57142857148</v>
      </c>
      <c r="G20" s="8">
        <v>7586631</v>
      </c>
      <c r="H20" s="7">
        <v>2038400</v>
      </c>
      <c r="I20" s="7">
        <v>75866.31</v>
      </c>
      <c r="J20" s="7">
        <v>2114266.31</v>
      </c>
      <c r="K20">
        <v>33895.465169744464</v>
      </c>
      <c r="L20" s="13">
        <v>1.3839102005139585</v>
      </c>
      <c r="M20" s="13">
        <v>1.096665942470888</v>
      </c>
      <c r="N20" s="16">
        <f t="shared" si="0"/>
        <v>1000</v>
      </c>
      <c r="O20" s="20">
        <f t="shared" si="1"/>
        <v>1142857.142857143</v>
      </c>
      <c r="Q20">
        <v>17.953745576471007</v>
      </c>
      <c r="R20">
        <f t="shared" si="2"/>
        <v>30629.346820971641</v>
      </c>
    </row>
    <row r="21" spans="1:18" x14ac:dyDescent="0.25">
      <c r="A21" s="34" t="s">
        <v>27</v>
      </c>
      <c r="B21" s="8">
        <v>198444.6</v>
      </c>
      <c r="C21" s="7">
        <v>184106.6350493514</v>
      </c>
      <c r="D21" s="7">
        <f t="shared" si="5"/>
        <v>78902.843592579215</v>
      </c>
      <c r="E21" s="9">
        <v>263009.47864193062</v>
      </c>
      <c r="G21" s="8">
        <v>500000</v>
      </c>
      <c r="H21" s="7">
        <v>400000</v>
      </c>
      <c r="I21" s="7">
        <v>204458.79181112794</v>
      </c>
      <c r="J21" s="7">
        <v>604458.79181112791</v>
      </c>
      <c r="K21">
        <v>33895.465169744464</v>
      </c>
      <c r="L21" s="13">
        <v>0.66698843101079019</v>
      </c>
      <c r="M21" s="13">
        <v>0.20509954991436274</v>
      </c>
      <c r="N21" s="16">
        <f t="shared" si="0"/>
        <v>396.88920000000002</v>
      </c>
      <c r="O21" s="20">
        <f t="shared" si="1"/>
        <v>526018.95728386124</v>
      </c>
      <c r="Q21">
        <v>0</v>
      </c>
      <c r="R21">
        <f t="shared" si="2"/>
        <v>0</v>
      </c>
    </row>
    <row r="22" spans="1:18" x14ac:dyDescent="0.25">
      <c r="A22" s="34" t="s">
        <v>28</v>
      </c>
      <c r="B22" s="8">
        <v>8382.328589095112</v>
      </c>
      <c r="C22" s="7">
        <v>1531.4355967560527</v>
      </c>
      <c r="D22" s="7">
        <f t="shared" si="5"/>
        <v>656.32954146687962</v>
      </c>
      <c r="E22" s="9">
        <v>2187.7651382229324</v>
      </c>
      <c r="G22" s="8">
        <v>541733.36380010855</v>
      </c>
      <c r="H22" s="7">
        <v>92419.74</v>
      </c>
      <c r="I22" s="7">
        <v>54818.316591054041</v>
      </c>
      <c r="J22" s="7">
        <v>147238.05659105405</v>
      </c>
      <c r="K22">
        <v>4020.7443781014726</v>
      </c>
      <c r="L22" s="13">
        <v>1.1484299496791284</v>
      </c>
      <c r="M22" s="13">
        <v>0.97384519997980379</v>
      </c>
      <c r="N22" s="16">
        <f t="shared" si="0"/>
        <v>16.764657178190223</v>
      </c>
      <c r="O22" s="20">
        <f t="shared" si="1"/>
        <v>4375.5302764458647</v>
      </c>
      <c r="Q22">
        <v>2.5648207966387155</v>
      </c>
      <c r="R22">
        <f t="shared" si="2"/>
        <v>4375.6209744245207</v>
      </c>
    </row>
    <row r="23" spans="1:18" x14ac:dyDescent="0.25">
      <c r="A23" s="34" t="s">
        <v>29</v>
      </c>
      <c r="B23" s="8">
        <v>12000</v>
      </c>
      <c r="C23" s="7">
        <v>4320</v>
      </c>
      <c r="D23" s="7">
        <f t="shared" si="5"/>
        <v>1851.4285714285716</v>
      </c>
      <c r="E23" s="9">
        <v>6171.4285714285716</v>
      </c>
      <c r="G23" s="8">
        <v>21825.684493131179</v>
      </c>
      <c r="H23" s="7">
        <v>4000</v>
      </c>
      <c r="I23" s="7">
        <v>5009.3407867773722</v>
      </c>
      <c r="J23" s="7">
        <v>9009.3407867773712</v>
      </c>
      <c r="K23">
        <v>3749.1436607042078</v>
      </c>
      <c r="L23" s="13">
        <v>0.86129021958525565</v>
      </c>
      <c r="M23" s="13">
        <v>0.70813709377886314</v>
      </c>
      <c r="N23" s="16">
        <f t="shared" si="0"/>
        <v>24</v>
      </c>
      <c r="O23" s="20">
        <f t="shared" si="1"/>
        <v>12342.857142857143</v>
      </c>
      <c r="Q23">
        <v>0</v>
      </c>
      <c r="R23">
        <f t="shared" si="2"/>
        <v>0</v>
      </c>
    </row>
    <row r="24" spans="1:18" x14ac:dyDescent="0.25">
      <c r="A24" s="34" t="s">
        <v>30</v>
      </c>
      <c r="B24" s="8">
        <v>53600.245886461846</v>
      </c>
      <c r="C24" s="7">
        <v>12864.059012750842</v>
      </c>
      <c r="D24" s="7">
        <f>E24-C24</f>
        <v>5513.168148321789</v>
      </c>
      <c r="E24" s="9">
        <v>18377.227161072631</v>
      </c>
      <c r="G24" s="8">
        <v>12479</v>
      </c>
      <c r="H24" s="7">
        <v>1800</v>
      </c>
      <c r="I24" s="7">
        <v>0</v>
      </c>
      <c r="J24" s="7">
        <v>1800</v>
      </c>
      <c r="K24">
        <v>6917.5961051760987</v>
      </c>
      <c r="L24" s="13">
        <v>1.1484299496791284</v>
      </c>
      <c r="M24" s="13">
        <v>0.97384519997980379</v>
      </c>
      <c r="N24" s="16">
        <f t="shared" si="0"/>
        <v>107.2004917729237</v>
      </c>
      <c r="O24" s="20">
        <f t="shared" si="1"/>
        <v>36754.454322145262</v>
      </c>
    </row>
    <row r="25" spans="1:18" x14ac:dyDescent="0.25">
      <c r="A25" s="34" t="s">
        <v>31</v>
      </c>
      <c r="B25" s="8">
        <v>290.85001822418695</v>
      </c>
      <c r="C25" s="7">
        <v>2000</v>
      </c>
      <c r="D25" s="7">
        <f t="shared" si="5"/>
        <v>857.14285714285734</v>
      </c>
      <c r="E25" s="9">
        <v>2857.1428571428573</v>
      </c>
      <c r="G25" s="8">
        <v>54000</v>
      </c>
      <c r="H25" s="7">
        <v>12960</v>
      </c>
      <c r="I25" s="7">
        <v>12254.104133750681</v>
      </c>
      <c r="J25" s="7">
        <v>25214.104133750683</v>
      </c>
      <c r="K25">
        <v>2415.7172743021647</v>
      </c>
      <c r="L25" s="13">
        <v>2.5459164049700984</v>
      </c>
      <c r="M25" s="13">
        <v>0.70526328026930152</v>
      </c>
      <c r="N25" s="16">
        <f t="shared" si="0"/>
        <v>0.58170003644837387</v>
      </c>
      <c r="O25" s="20">
        <f t="shared" si="1"/>
        <v>5714.2857142857147</v>
      </c>
    </row>
    <row r="26" spans="1:18" x14ac:dyDescent="0.25">
      <c r="A26" s="34" t="s">
        <v>32</v>
      </c>
      <c r="B26" s="8">
        <v>58158.819179472361</v>
      </c>
      <c r="C26" s="7">
        <v>15314.355967560527</v>
      </c>
      <c r="D26" s="7">
        <f t="shared" si="5"/>
        <v>6563.2954146687971</v>
      </c>
      <c r="E26" s="9">
        <v>21877.651382229324</v>
      </c>
      <c r="G26" s="8">
        <v>227.90381953268707</v>
      </c>
      <c r="H26" s="7">
        <v>30</v>
      </c>
      <c r="I26" s="7">
        <v>2354.0210540012922</v>
      </c>
      <c r="J26" s="7">
        <v>2384.0210540012922</v>
      </c>
      <c r="K26">
        <v>10744.478504689459</v>
      </c>
      <c r="L26" s="13">
        <v>2.8634463251003665E-2</v>
      </c>
      <c r="M26" s="13">
        <v>2.6031663209528686E-2</v>
      </c>
      <c r="N26" s="16">
        <f t="shared" si="0"/>
        <v>116.31763835894472</v>
      </c>
      <c r="O26" s="20">
        <f t="shared" si="1"/>
        <v>43755.302764458647</v>
      </c>
    </row>
    <row r="27" spans="1:18" x14ac:dyDescent="0.25">
      <c r="A27" s="34" t="s">
        <v>33</v>
      </c>
      <c r="B27" s="8">
        <f>528116.666666667+11548</f>
        <v>539664.66666666698</v>
      </c>
      <c r="C27" s="7">
        <v>422493.33333333343</v>
      </c>
      <c r="D27" s="7">
        <f t="shared" si="5"/>
        <v>181068.57142857142</v>
      </c>
      <c r="E27" s="9">
        <v>603561.90476190485</v>
      </c>
      <c r="G27" s="8">
        <v>198444.65000000002</v>
      </c>
      <c r="H27" s="7">
        <v>87960.25</v>
      </c>
      <c r="I27" s="7">
        <v>33029.79181112795</v>
      </c>
      <c r="J27" s="7">
        <v>120990.04181112794</v>
      </c>
      <c r="L27" s="13">
        <v>1.56229904046351</v>
      </c>
      <c r="M27" s="13">
        <v>1.0246647103054345</v>
      </c>
      <c r="N27" s="16">
        <f t="shared" si="0"/>
        <v>1079.329333333334</v>
      </c>
      <c r="O27" s="20">
        <f t="shared" si="1"/>
        <v>1207123.8095238097</v>
      </c>
    </row>
    <row r="28" spans="1:18" x14ac:dyDescent="0.25">
      <c r="A28" s="34" t="s">
        <v>34</v>
      </c>
      <c r="B28" s="8">
        <v>1429339.8903056493</v>
      </c>
      <c r="C28" s="7">
        <v>0</v>
      </c>
      <c r="D28" s="7">
        <f t="shared" si="5"/>
        <v>25461</v>
      </c>
      <c r="E28" s="9">
        <v>25461</v>
      </c>
      <c r="G28" s="8">
        <v>5306</v>
      </c>
      <c r="H28" s="7">
        <v>4245</v>
      </c>
      <c r="I28" s="7">
        <v>1819.49</v>
      </c>
      <c r="J28" s="7">
        <v>6064.49</v>
      </c>
      <c r="L28" s="13">
        <v>3.6333376521977725E-2</v>
      </c>
      <c r="M28" s="13">
        <v>0.20053794428598337</v>
      </c>
      <c r="N28" s="16">
        <f t="shared" si="0"/>
        <v>2858.6797806112986</v>
      </c>
      <c r="O28" s="20">
        <f t="shared" si="1"/>
        <v>50922</v>
      </c>
      <c r="P28">
        <v>1.2052205954798501</v>
      </c>
    </row>
    <row r="29" spans="1:18" x14ac:dyDescent="0.25">
      <c r="A29" s="45" t="s">
        <v>35</v>
      </c>
      <c r="B29" s="41">
        <f>SUM(B14:B28)</f>
        <v>25830992.400645576</v>
      </c>
      <c r="C29" s="42">
        <f>SUM(C14:C28)</f>
        <v>8625898.5731657613</v>
      </c>
      <c r="D29" s="42">
        <f t="shared" ref="D29" si="6">SUM(D14:D28)</f>
        <v>3726274.6742138979</v>
      </c>
      <c r="E29" s="42">
        <f>SUM(E14:E28)</f>
        <v>12352173.247379661</v>
      </c>
      <c r="F29" s="2"/>
      <c r="G29" s="41">
        <v>24418410.860809967</v>
      </c>
      <c r="H29" s="42">
        <v>8273705.1099999994</v>
      </c>
      <c r="I29" s="42">
        <v>2553990.4065625099</v>
      </c>
      <c r="J29" s="42">
        <v>10827695.516562507</v>
      </c>
      <c r="K29" s="2"/>
      <c r="L29" s="43">
        <v>5.9293498542826253</v>
      </c>
      <c r="M29" s="43">
        <v>12.800125459775023</v>
      </c>
      <c r="N29" s="5">
        <f t="shared" si="0"/>
        <v>51661.984801291153</v>
      </c>
      <c r="O29" s="137">
        <f t="shared" si="1"/>
        <v>24704346.494759321</v>
      </c>
    </row>
    <row r="30" spans="1:18" x14ac:dyDescent="0.25">
      <c r="B30" s="8">
        <f>B29/500</f>
        <v>51661.984801291153</v>
      </c>
      <c r="C30" s="7"/>
      <c r="D30" s="7"/>
      <c r="E30" s="9">
        <f>12326713-E29</f>
        <v>-25460.247379660606</v>
      </c>
      <c r="L30" s="13"/>
      <c r="M30" s="13"/>
      <c r="N30" s="16">
        <f t="shared" si="0"/>
        <v>103.32396960258231</v>
      </c>
      <c r="O30" s="20">
        <f t="shared" si="1"/>
        <v>-50920.494759321213</v>
      </c>
    </row>
    <row r="31" spans="1:18" x14ac:dyDescent="0.25">
      <c r="A31" s="1" t="s">
        <v>36</v>
      </c>
      <c r="B31" s="10">
        <f>SUM(B29,B12)</f>
        <v>30259703.360783804</v>
      </c>
      <c r="C31" s="9">
        <f t="shared" ref="C31:D31" si="7">SUM(C29,C12)</f>
        <v>10089591.050816441</v>
      </c>
      <c r="D31" s="9">
        <f t="shared" si="7"/>
        <v>4353571.4503499027</v>
      </c>
      <c r="E31" s="9">
        <f>SUM(E29,E12)</f>
        <v>14443162.501166344</v>
      </c>
      <c r="F31" s="17"/>
      <c r="G31" s="10">
        <f>SUM(G29,G12)</f>
        <v>28846347.678232044</v>
      </c>
      <c r="H31" s="9">
        <f t="shared" ref="H31:J31" si="8">SUM(H29,H12)</f>
        <v>9419266.9495686963</v>
      </c>
      <c r="I31" s="9">
        <f t="shared" si="8"/>
        <v>3286776.6897951881</v>
      </c>
      <c r="J31" s="9">
        <f t="shared" si="8"/>
        <v>12706043.639363881</v>
      </c>
      <c r="L31" s="13">
        <f>'[1]4.0 - Elec Program Summary'!V$33</f>
        <v>0</v>
      </c>
      <c r="M31" s="13">
        <f>'[1]4.0 - Elec Program Summary'!W$33</f>
        <v>0</v>
      </c>
    </row>
    <row r="32" spans="1:18" x14ac:dyDescent="0.25">
      <c r="A32" s="1"/>
      <c r="B32" s="10"/>
      <c r="C32" s="9"/>
      <c r="D32" s="9"/>
      <c r="E32" s="9"/>
    </row>
    <row r="33" spans="1:20" x14ac:dyDescent="0.25">
      <c r="A33" s="1" t="s">
        <v>37</v>
      </c>
      <c r="B33" s="10">
        <v>0</v>
      </c>
      <c r="C33" s="9"/>
      <c r="D33" s="9">
        <f t="shared" si="5"/>
        <v>1000000</v>
      </c>
      <c r="E33" s="9">
        <v>1000000</v>
      </c>
      <c r="G33" s="10">
        <v>0</v>
      </c>
      <c r="H33" s="9">
        <v>0</v>
      </c>
      <c r="I33" s="9">
        <v>1000000</v>
      </c>
      <c r="J33" s="9">
        <v>1000000</v>
      </c>
    </row>
    <row r="34" spans="1:20" x14ac:dyDescent="0.25">
      <c r="A34" s="1"/>
      <c r="B34" s="10"/>
      <c r="C34" s="9"/>
      <c r="D34" s="9"/>
      <c r="E34" s="9"/>
      <c r="P34" s="17">
        <f>E35+250780+1358000</f>
        <v>22672402.172409788</v>
      </c>
    </row>
    <row r="35" spans="1:20" x14ac:dyDescent="0.25">
      <c r="A35" s="1" t="s">
        <v>38</v>
      </c>
      <c r="B35" s="10">
        <f>SUM(B31,B4,B33)</f>
        <v>31686998.863158505</v>
      </c>
      <c r="C35" s="9">
        <f>SUM(C31,C4,C33)</f>
        <v>14162374.359148391</v>
      </c>
      <c r="D35" s="9">
        <f t="shared" ref="D35" si="9">SUM(D31,D4,D33)</f>
        <v>6901247.8132613972</v>
      </c>
      <c r="E35" s="9">
        <f>SUM(E31,E4,E33)</f>
        <v>21063622.172409788</v>
      </c>
      <c r="G35" s="10">
        <f>SUM(G31,G4)</f>
        <v>30273644.347752042</v>
      </c>
      <c r="H35" s="9">
        <f>SUM(H31,H4)</f>
        <v>14564058.629568696</v>
      </c>
      <c r="I35" s="9">
        <f>SUM(I31,I4,I33)</f>
        <v>5749305.2623535786</v>
      </c>
      <c r="J35" s="9">
        <f>SUM(J31,J4,J33)</f>
        <v>20313363.891922273</v>
      </c>
      <c r="L35" s="13">
        <f>'[1]4.0 - Elec Program Summary'!V$35</f>
        <v>0</v>
      </c>
      <c r="M35" s="13">
        <f>'[1]4.0 - Elec Program Summary'!W$35</f>
        <v>0</v>
      </c>
    </row>
    <row r="36" spans="1:20" x14ac:dyDescent="0.25">
      <c r="B36" s="16">
        <f>B35+6945935</f>
        <v>38632933.863158509</v>
      </c>
      <c r="C36">
        <v>9059035</v>
      </c>
      <c r="E36" s="17">
        <f>E35+E37</f>
        <v>22783152.172409788</v>
      </c>
      <c r="I36" s="7">
        <f>I35-D35</f>
        <v>-1151942.5509078186</v>
      </c>
      <c r="P36">
        <f>B35/1000</f>
        <v>31686.998863158504</v>
      </c>
    </row>
    <row r="37" spans="1:20" x14ac:dyDescent="0.25">
      <c r="C37" t="s">
        <v>39</v>
      </c>
      <c r="D37" t="s">
        <v>40</v>
      </c>
      <c r="E37" s="17">
        <f>1468750+250780</f>
        <v>1719530</v>
      </c>
    </row>
    <row r="38" spans="1:20" ht="15.75" thickBot="1" x14ac:dyDescent="0.3">
      <c r="A38">
        <f>250780*2</f>
        <v>501560</v>
      </c>
      <c r="B38" s="16"/>
      <c r="G38" s="8" t="s">
        <v>41</v>
      </c>
      <c r="I38" s="7">
        <f>C2</f>
        <v>2534321.7698704107</v>
      </c>
      <c r="N38" s="21">
        <f>P38*1000</f>
        <v>47454998.863158502</v>
      </c>
      <c r="P38">
        <f>P36+15768</f>
        <v>47454.9988631585</v>
      </c>
    </row>
    <row r="39" spans="1:20" ht="15.75" thickBot="1" x14ac:dyDescent="0.3">
      <c r="D39" s="17">
        <f>E36-C35</f>
        <v>8620777.8132613972</v>
      </c>
      <c r="G39" s="8" t="s">
        <v>42</v>
      </c>
      <c r="I39" s="7">
        <f>C3</f>
        <v>1538461.5384615385</v>
      </c>
      <c r="J39" s="89" t="s">
        <v>140</v>
      </c>
    </row>
    <row r="40" spans="1:20" ht="15.75" thickBot="1" x14ac:dyDescent="0.3">
      <c r="G40" s="8" t="s">
        <v>43</v>
      </c>
      <c r="I40" s="20">
        <f>D2*(1-0.3592)</f>
        <v>695997.16719983972</v>
      </c>
      <c r="J40" s="90" t="s">
        <v>141</v>
      </c>
      <c r="L40" t="s">
        <v>44</v>
      </c>
      <c r="T40" s="17">
        <f>C35</f>
        <v>14162374.359148391</v>
      </c>
    </row>
    <row r="41" spans="1:20" ht="15.75" thickBot="1" x14ac:dyDescent="0.3">
      <c r="A41" t="s">
        <v>44</v>
      </c>
      <c r="B41" s="18">
        <v>21770656</v>
      </c>
      <c r="C41" s="18">
        <v>0</v>
      </c>
      <c r="D41" s="18">
        <v>21770656</v>
      </c>
      <c r="G41" s="8" t="s">
        <v>45</v>
      </c>
      <c r="I41" s="7">
        <f>C12-SUM(I42:I44)</f>
        <v>1260996.9843173455</v>
      </c>
      <c r="J41" s="91">
        <v>2116450</v>
      </c>
      <c r="L41" t="s">
        <v>46</v>
      </c>
      <c r="T41" s="17" t="s">
        <v>47</v>
      </c>
    </row>
    <row r="42" spans="1:20" ht="15.75" thickBot="1" x14ac:dyDescent="0.3">
      <c r="A42" t="s">
        <v>46</v>
      </c>
      <c r="B42" s="18">
        <v>1905687</v>
      </c>
      <c r="C42" s="18">
        <v>0</v>
      </c>
      <c r="D42" s="18">
        <v>1905687</v>
      </c>
      <c r="G42" s="8" t="s">
        <v>48</v>
      </c>
      <c r="I42" s="7">
        <f>C7</f>
        <v>202695.49333333338</v>
      </c>
      <c r="J42" s="91">
        <v>12352173</v>
      </c>
      <c r="L42" t="s">
        <v>49</v>
      </c>
      <c r="T42" s="21">
        <v>1000000</v>
      </c>
    </row>
    <row r="43" spans="1:20" ht="15.75" thickBot="1" x14ac:dyDescent="0.3">
      <c r="A43" t="s">
        <v>49</v>
      </c>
      <c r="B43" s="18">
        <v>1000000</v>
      </c>
      <c r="C43" s="18">
        <v>0</v>
      </c>
      <c r="D43" s="18">
        <v>1000000</v>
      </c>
      <c r="G43" s="8" t="s">
        <v>50</v>
      </c>
      <c r="I43" s="7">
        <v>0</v>
      </c>
      <c r="J43" s="91">
        <v>1000000</v>
      </c>
      <c r="L43" t="s">
        <v>51</v>
      </c>
      <c r="S43" s="16">
        <f>SUM(I51:I52)</f>
        <v>1472980.5</v>
      </c>
    </row>
    <row r="44" spans="1:20" x14ac:dyDescent="0.25">
      <c r="A44" t="s">
        <v>51</v>
      </c>
      <c r="B44" s="18">
        <v>4904991</v>
      </c>
      <c r="C44" s="18">
        <v>1636645</v>
      </c>
      <c r="D44" s="18">
        <v>3268346</v>
      </c>
      <c r="G44" s="8" t="s">
        <v>52</v>
      </c>
      <c r="I44" s="7">
        <f>C10</f>
        <v>0</v>
      </c>
      <c r="J44" s="56"/>
      <c r="L44" t="s">
        <v>53</v>
      </c>
    </row>
    <row r="45" spans="1:20" x14ac:dyDescent="0.25">
      <c r="A45" t="s">
        <v>53</v>
      </c>
      <c r="B45" s="18">
        <v>29581334</v>
      </c>
      <c r="C45" s="18">
        <v>1636645</v>
      </c>
      <c r="D45" s="18">
        <v>27944689</v>
      </c>
      <c r="G45" s="8" t="s">
        <v>15</v>
      </c>
      <c r="I45" s="7">
        <f>C8</f>
        <v>105623.33333333336</v>
      </c>
      <c r="J45" s="56"/>
    </row>
    <row r="46" spans="1:20" x14ac:dyDescent="0.25">
      <c r="G46" s="8" t="s">
        <v>54</v>
      </c>
      <c r="I46" s="7">
        <f>C29-I47</f>
        <v>8203405.2398324283</v>
      </c>
      <c r="J46" s="56"/>
    </row>
    <row r="47" spans="1:20" x14ac:dyDescent="0.25">
      <c r="G47" s="8" t="s">
        <v>55</v>
      </c>
      <c r="I47" s="7">
        <f>C27</f>
        <v>422493.33333333343</v>
      </c>
      <c r="J47" s="56"/>
    </row>
    <row r="48" spans="1:20" x14ac:dyDescent="0.25">
      <c r="G48" s="8" t="s">
        <v>56</v>
      </c>
      <c r="I48" s="7">
        <v>1000000</v>
      </c>
    </row>
    <row r="49" spans="2:9" x14ac:dyDescent="0.25">
      <c r="B49" s="18">
        <f>C44-1358000</f>
        <v>278645</v>
      </c>
      <c r="G49" s="8" t="s">
        <v>57</v>
      </c>
      <c r="I49" s="20">
        <f>0.3592*D35</f>
        <v>2478928.2145234938</v>
      </c>
    </row>
    <row r="50" spans="2:9" x14ac:dyDescent="0.25">
      <c r="G50" s="8" t="s">
        <v>58</v>
      </c>
      <c r="I50" s="20">
        <f>D35-I49-I40</f>
        <v>3726322.4315380631</v>
      </c>
    </row>
    <row r="51" spans="2:9" x14ac:dyDescent="0.25">
      <c r="G51" s="8" t="s">
        <v>59</v>
      </c>
      <c r="I51" s="8">
        <f>278645*0.9</f>
        <v>250780.5</v>
      </c>
    </row>
    <row r="52" spans="2:9" x14ac:dyDescent="0.25">
      <c r="G52" s="8" t="s">
        <v>60</v>
      </c>
      <c r="I52" s="8">
        <f>1358000*0.9</f>
        <v>1222200</v>
      </c>
    </row>
    <row r="53" spans="2:9" x14ac:dyDescent="0.25">
      <c r="G53" s="8" t="s">
        <v>53</v>
      </c>
      <c r="I53" s="7">
        <f>SUM(I38:I52)</f>
        <v>23642226.00574312</v>
      </c>
    </row>
    <row r="54" spans="2:9" ht="15.75" thickBot="1" x14ac:dyDescent="0.3">
      <c r="H54" s="7">
        <f>29581334-I53</f>
        <v>5939107.9942568801</v>
      </c>
    </row>
    <row r="55" spans="2:9" ht="15.75" thickBot="1" x14ac:dyDescent="0.3">
      <c r="C55" s="76">
        <v>-1041539</v>
      </c>
    </row>
    <row r="56" spans="2:9" ht="15.75" thickBot="1" x14ac:dyDescent="0.3">
      <c r="C56" s="53">
        <f>14388372+3212418</f>
        <v>17600790</v>
      </c>
    </row>
    <row r="57" spans="2:9" ht="15.75" thickBot="1" x14ac:dyDescent="0.3">
      <c r="C57" s="53">
        <v>23807245</v>
      </c>
    </row>
    <row r="58" spans="2:9" ht="15.75" thickBot="1" x14ac:dyDescent="0.3">
      <c r="C58" s="54">
        <f>C57-C56+C55</f>
        <v>5164916</v>
      </c>
    </row>
  </sheetData>
  <conditionalFormatting sqref="G2:J29">
    <cfRule type="cellIs" dxfId="10" priority="1" operator="lessThan">
      <formula>B2</formula>
    </cfRule>
  </conditionalFormatting>
  <conditionalFormatting sqref="G31:J31 G35:J35">
    <cfRule type="cellIs" dxfId="9" priority="8" operator="lessThan">
      <formula>B18</formula>
    </cfRule>
  </conditionalFormatting>
  <conditionalFormatting sqref="L2:M4 L6:M12 L14:M29 L31:M31">
    <cfRule type="cellIs" dxfId="8" priority="4" operator="greaterThan">
      <formula>1</formula>
    </cfRule>
    <cfRule type="cellIs" dxfId="7" priority="5" operator="lessThan">
      <formula>1</formula>
    </cfRule>
  </conditionalFormatting>
  <conditionalFormatting sqref="L35:M35">
    <cfRule type="cellIs" dxfId="6" priority="2" operator="greaterThan">
      <formula>1</formula>
    </cfRule>
    <cfRule type="cellIs" dxfId="5" priority="3" operator="lessThan">
      <formula>1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AAACA-97A0-4A53-9780-817E6544D798}">
  <dimension ref="A1:T42"/>
  <sheetViews>
    <sheetView workbookViewId="0">
      <selection activeCell="C3" sqref="C3"/>
    </sheetView>
  </sheetViews>
  <sheetFormatPr defaultRowHeight="15" x14ac:dyDescent="0.25"/>
  <cols>
    <col min="1" max="1" width="29.85546875" customWidth="1"/>
    <col min="3" max="3" width="11.85546875" bestFit="1" customWidth="1"/>
    <col min="4" max="4" width="13.28515625" bestFit="1" customWidth="1"/>
    <col min="5" max="5" width="14.28515625" bestFit="1" customWidth="1"/>
    <col min="6" max="6" width="20" customWidth="1"/>
    <col min="7" max="7" width="9.140625" customWidth="1"/>
    <col min="8" max="8" width="10" customWidth="1"/>
    <col min="9" max="9" width="14.7109375" customWidth="1"/>
    <col min="13" max="13" width="40.7109375" customWidth="1"/>
    <col min="17" max="17" width="34.140625" customWidth="1"/>
    <col min="18" max="18" width="10.85546875" bestFit="1" customWidth="1"/>
    <col min="19" max="19" width="10" bestFit="1" customWidth="1"/>
  </cols>
  <sheetData>
    <row r="1" spans="1:20" ht="15.75" thickBot="1" x14ac:dyDescent="0.3">
      <c r="A1" t="s">
        <v>211</v>
      </c>
      <c r="F1" s="170" t="s">
        <v>195</v>
      </c>
      <c r="M1" t="s">
        <v>213</v>
      </c>
    </row>
    <row r="2" spans="1:20" ht="45.75" thickBot="1" x14ac:dyDescent="0.3">
      <c r="A2" s="102" t="s">
        <v>148</v>
      </c>
      <c r="B2" s="103" t="s">
        <v>104</v>
      </c>
      <c r="C2" s="104" t="s">
        <v>143</v>
      </c>
      <c r="F2" s="168"/>
      <c r="G2" s="103" t="s">
        <v>152</v>
      </c>
      <c r="H2" s="103" t="s">
        <v>84</v>
      </c>
      <c r="I2" s="104" t="s">
        <v>85</v>
      </c>
      <c r="M2" s="102" t="s">
        <v>172</v>
      </c>
      <c r="N2" s="104" t="s">
        <v>173</v>
      </c>
      <c r="Q2" s="102" t="s">
        <v>82</v>
      </c>
      <c r="R2" s="103" t="s">
        <v>153</v>
      </c>
      <c r="S2" s="103" t="s">
        <v>84</v>
      </c>
      <c r="T2" s="104" t="s">
        <v>85</v>
      </c>
    </row>
    <row r="3" spans="1:20" ht="15.75" thickBot="1" x14ac:dyDescent="0.3">
      <c r="A3" s="106" t="s">
        <v>41</v>
      </c>
      <c r="B3" s="107">
        <v>6091</v>
      </c>
      <c r="C3" s="63">
        <f>629540+300000</f>
        <v>929540</v>
      </c>
      <c r="D3" s="21">
        <f>B3*2</f>
        <v>12182</v>
      </c>
      <c r="E3" s="47">
        <f>C3*2</f>
        <v>1859080</v>
      </c>
      <c r="F3" s="61" t="s">
        <v>113</v>
      </c>
      <c r="G3" s="62">
        <f>N21</f>
        <v>6094985</v>
      </c>
      <c r="H3" s="62">
        <v>0</v>
      </c>
      <c r="I3" s="123">
        <f t="shared" ref="I3:I5" si="0">G3-H3</f>
        <v>6094985</v>
      </c>
      <c r="M3" s="250" t="s">
        <v>41</v>
      </c>
      <c r="N3" s="251"/>
      <c r="Q3" s="61" t="s">
        <v>86</v>
      </c>
      <c r="R3" s="62">
        <f>2476770-352553+401</f>
        <v>2124618</v>
      </c>
      <c r="S3" s="62">
        <v>0</v>
      </c>
      <c r="T3" s="63">
        <f>R3-S3</f>
        <v>2124618</v>
      </c>
    </row>
    <row r="4" spans="1:20" ht="15.75" thickBot="1" x14ac:dyDescent="0.3">
      <c r="A4" s="106" t="s">
        <v>45</v>
      </c>
      <c r="B4" s="107">
        <v>432356.25</v>
      </c>
      <c r="C4" s="63">
        <v>4877645</v>
      </c>
      <c r="D4" s="21">
        <f t="shared" ref="D4:D5" si="1">B4*2</f>
        <v>864712.5</v>
      </c>
      <c r="E4" s="47">
        <f t="shared" ref="E4:E5" si="2">C4*2</f>
        <v>9755290</v>
      </c>
      <c r="F4" s="61" t="s">
        <v>114</v>
      </c>
      <c r="G4" s="62">
        <f>250705+699</f>
        <v>251404</v>
      </c>
      <c r="H4" s="62">
        <v>0</v>
      </c>
      <c r="I4" s="123">
        <f t="shared" si="0"/>
        <v>251404</v>
      </c>
      <c r="M4" s="238" t="s">
        <v>235</v>
      </c>
      <c r="N4" s="239">
        <v>300000</v>
      </c>
      <c r="Q4" s="61" t="s">
        <v>87</v>
      </c>
      <c r="R4" s="62">
        <v>246749</v>
      </c>
      <c r="S4" s="62">
        <v>0</v>
      </c>
      <c r="T4" s="63">
        <f t="shared" ref="T4:T15" si="3">R4-S4</f>
        <v>246749</v>
      </c>
    </row>
    <row r="5" spans="1:20" ht="23.25" thickBot="1" x14ac:dyDescent="0.3">
      <c r="A5" s="106" t="s">
        <v>54</v>
      </c>
      <c r="B5" s="107">
        <v>514483.25</v>
      </c>
      <c r="C5" s="63">
        <v>2796828</v>
      </c>
      <c r="D5" s="21">
        <f t="shared" si="1"/>
        <v>1028966.5</v>
      </c>
      <c r="E5" s="47">
        <f t="shared" si="2"/>
        <v>5593656</v>
      </c>
      <c r="F5" s="61" t="s">
        <v>115</v>
      </c>
      <c r="G5" s="62">
        <v>885348</v>
      </c>
      <c r="H5" s="62">
        <v>0</v>
      </c>
      <c r="I5" s="123">
        <f t="shared" si="0"/>
        <v>885348</v>
      </c>
      <c r="M5" s="236" t="s">
        <v>175</v>
      </c>
      <c r="N5" s="237">
        <v>440678</v>
      </c>
      <c r="Q5" s="61" t="s">
        <v>88</v>
      </c>
      <c r="R5" s="62">
        <f>184782+200000</f>
        <v>384782</v>
      </c>
      <c r="S5" s="62">
        <f>R5</f>
        <v>384782</v>
      </c>
      <c r="T5" s="63">
        <f t="shared" si="3"/>
        <v>0</v>
      </c>
    </row>
    <row r="6" spans="1:20" ht="23.25" thickBot="1" x14ac:dyDescent="0.3">
      <c r="A6" s="108" t="s">
        <v>210</v>
      </c>
      <c r="B6" s="109">
        <v>36432</v>
      </c>
      <c r="C6" s="77">
        <v>406000</v>
      </c>
      <c r="D6" s="21"/>
      <c r="E6" s="47"/>
      <c r="F6" s="121" t="s">
        <v>51</v>
      </c>
      <c r="G6" s="169">
        <v>1912132</v>
      </c>
      <c r="H6" s="169">
        <f>187302+352553</f>
        <v>539855</v>
      </c>
      <c r="I6" s="123">
        <f>G6-H6</f>
        <v>1372277</v>
      </c>
      <c r="M6" s="117" t="s">
        <v>212</v>
      </c>
      <c r="N6" s="119">
        <f>SUM(N4:N5)</f>
        <v>740678</v>
      </c>
      <c r="Q6" s="61" t="s">
        <v>89</v>
      </c>
      <c r="R6" s="62">
        <v>24572</v>
      </c>
      <c r="S6" s="62">
        <v>0</v>
      </c>
      <c r="T6" s="63">
        <f t="shared" si="3"/>
        <v>24572</v>
      </c>
    </row>
    <row r="7" spans="1:20" ht="23.25" thickBot="1" x14ac:dyDescent="0.3">
      <c r="A7" s="108" t="s">
        <v>150</v>
      </c>
      <c r="B7" s="110" t="s">
        <v>151</v>
      </c>
      <c r="C7" s="77">
        <v>539856</v>
      </c>
      <c r="E7" s="18"/>
      <c r="F7" s="124" t="s">
        <v>100</v>
      </c>
      <c r="G7" s="126">
        <v>406000</v>
      </c>
      <c r="H7" s="126">
        <v>406000</v>
      </c>
      <c r="I7" s="123">
        <f>G7-H7</f>
        <v>0</v>
      </c>
      <c r="M7" s="250" t="s">
        <v>45</v>
      </c>
      <c r="N7" s="251"/>
      <c r="Q7" s="61" t="s">
        <v>116</v>
      </c>
      <c r="R7" s="62">
        <v>12192</v>
      </c>
      <c r="S7" s="62">
        <v>0</v>
      </c>
      <c r="T7" s="63">
        <f t="shared" si="3"/>
        <v>12192</v>
      </c>
    </row>
    <row r="8" spans="1:20" ht="15.75" thickBot="1" x14ac:dyDescent="0.3">
      <c r="A8" s="66" t="s">
        <v>53</v>
      </c>
      <c r="B8" s="111">
        <v>989362.5</v>
      </c>
      <c r="C8" s="68">
        <f>SUM(C3:C7)</f>
        <v>9549869</v>
      </c>
      <c r="F8" s="66" t="s">
        <v>53</v>
      </c>
      <c r="G8" s="67">
        <f>SUM(G3:G7)</f>
        <v>9549869</v>
      </c>
      <c r="H8" s="67">
        <f t="shared" ref="H8:I8" si="4">SUM(H3:H7)</f>
        <v>945855</v>
      </c>
      <c r="I8" s="67">
        <f t="shared" si="4"/>
        <v>8604014</v>
      </c>
      <c r="M8" s="61" t="s">
        <v>13</v>
      </c>
      <c r="N8" s="63">
        <v>1664885</v>
      </c>
      <c r="Q8" s="61" t="s">
        <v>92</v>
      </c>
      <c r="R8" s="62">
        <v>610</v>
      </c>
      <c r="S8" s="62">
        <v>0</v>
      </c>
      <c r="T8" s="63">
        <f t="shared" si="3"/>
        <v>610</v>
      </c>
    </row>
    <row r="9" spans="1:20" ht="15.75" thickBot="1" x14ac:dyDescent="0.3">
      <c r="M9" s="61" t="s">
        <v>15</v>
      </c>
      <c r="N9" s="63">
        <v>1369991</v>
      </c>
      <c r="Q9" s="61" t="s">
        <v>91</v>
      </c>
      <c r="R9" s="62">
        <v>48368</v>
      </c>
      <c r="S9" s="62">
        <v>0</v>
      </c>
      <c r="T9" s="63">
        <f t="shared" si="3"/>
        <v>48368</v>
      </c>
    </row>
    <row r="10" spans="1:20" ht="15.75" thickBot="1" x14ac:dyDescent="0.3">
      <c r="C10" s="18"/>
      <c r="G10" s="18">
        <f>G8-C8</f>
        <v>0</v>
      </c>
      <c r="H10" s="18">
        <f>H8-C41</f>
        <v>0</v>
      </c>
      <c r="M10" s="124" t="s">
        <v>75</v>
      </c>
      <c r="N10" s="126">
        <v>66365</v>
      </c>
      <c r="Q10" s="61" t="s">
        <v>93</v>
      </c>
      <c r="R10" s="62">
        <v>610</v>
      </c>
      <c r="S10" s="62">
        <v>0</v>
      </c>
      <c r="T10" s="63">
        <f t="shared" si="3"/>
        <v>610</v>
      </c>
    </row>
    <row r="11" spans="1:20" ht="15.75" thickBot="1" x14ac:dyDescent="0.3">
      <c r="M11" s="124" t="s">
        <v>16</v>
      </c>
      <c r="N11" s="126">
        <v>206000</v>
      </c>
      <c r="Q11" s="61" t="s">
        <v>96</v>
      </c>
      <c r="R11" s="62">
        <v>7000</v>
      </c>
      <c r="S11" s="62">
        <v>0</v>
      </c>
      <c r="T11" s="63">
        <f t="shared" si="3"/>
        <v>7000</v>
      </c>
    </row>
    <row r="12" spans="1:20" ht="15.75" thickBot="1" x14ac:dyDescent="0.3">
      <c r="I12" s="46">
        <v>1912833</v>
      </c>
      <c r="M12" s="124" t="s">
        <v>18</v>
      </c>
      <c r="N12" s="126">
        <v>107111</v>
      </c>
      <c r="Q12" s="61" t="s">
        <v>117</v>
      </c>
      <c r="R12" s="62">
        <v>14021</v>
      </c>
      <c r="S12" s="62">
        <v>0</v>
      </c>
      <c r="T12" s="63">
        <f t="shared" si="3"/>
        <v>14021</v>
      </c>
    </row>
    <row r="13" spans="1:20" ht="15.75" thickBot="1" x14ac:dyDescent="0.3">
      <c r="G13" s="18">
        <f>G8-C8</f>
        <v>0</v>
      </c>
      <c r="M13" s="117" t="s">
        <v>182</v>
      </c>
      <c r="N13" s="119">
        <f>SUM(N8:N12)</f>
        <v>3414352</v>
      </c>
      <c r="Q13" s="61" t="s">
        <v>98</v>
      </c>
      <c r="R13" s="62">
        <f>2520+152553</f>
        <v>155073</v>
      </c>
      <c r="S13" s="62">
        <f>R13</f>
        <v>155073</v>
      </c>
      <c r="T13" s="63">
        <f t="shared" si="3"/>
        <v>0</v>
      </c>
    </row>
    <row r="14" spans="1:20" ht="15.75" thickBot="1" x14ac:dyDescent="0.3">
      <c r="M14" s="250" t="s">
        <v>54</v>
      </c>
      <c r="N14" s="251"/>
      <c r="Q14" s="61" t="s">
        <v>99</v>
      </c>
      <c r="R14" s="62">
        <v>30289</v>
      </c>
      <c r="S14" s="62">
        <v>0</v>
      </c>
      <c r="T14" s="63">
        <f t="shared" si="3"/>
        <v>30289</v>
      </c>
    </row>
    <row r="15" spans="1:20" ht="15.75" thickBot="1" x14ac:dyDescent="0.3">
      <c r="M15" s="61" t="s">
        <v>27</v>
      </c>
      <c r="N15" s="63">
        <v>116989</v>
      </c>
      <c r="Q15" s="64" t="s">
        <v>118</v>
      </c>
      <c r="R15" s="65">
        <v>406000</v>
      </c>
      <c r="S15" s="65">
        <v>406000</v>
      </c>
      <c r="T15" s="63">
        <f t="shared" si="3"/>
        <v>0</v>
      </c>
    </row>
    <row r="16" spans="1:20" ht="15.75" thickBot="1" x14ac:dyDescent="0.3">
      <c r="M16" s="61" t="s">
        <v>55</v>
      </c>
      <c r="N16" s="63">
        <v>1166325</v>
      </c>
      <c r="Q16" s="66" t="s">
        <v>53</v>
      </c>
      <c r="R16" s="67">
        <f>SUM(R3:R15)</f>
        <v>3454884</v>
      </c>
      <c r="S16" s="67">
        <f t="shared" ref="S16:T16" si="5">SUM(S3:S15)</f>
        <v>945855</v>
      </c>
      <c r="T16" s="67">
        <f t="shared" si="5"/>
        <v>2509029</v>
      </c>
    </row>
    <row r="17" spans="1:19" ht="15.75" thickBot="1" x14ac:dyDescent="0.3">
      <c r="M17" s="121" t="s">
        <v>161</v>
      </c>
      <c r="N17" s="123">
        <v>463464</v>
      </c>
    </row>
    <row r="18" spans="1:19" ht="15.75" thickBot="1" x14ac:dyDescent="0.3">
      <c r="M18" s="124" t="s">
        <v>23</v>
      </c>
      <c r="N18" s="126">
        <v>193179</v>
      </c>
      <c r="R18" s="18">
        <f>R16-R15</f>
        <v>3048884</v>
      </c>
    </row>
    <row r="19" spans="1:19" ht="15.75" thickBot="1" x14ac:dyDescent="0.3">
      <c r="M19" s="124" t="s">
        <v>26</v>
      </c>
      <c r="N19" s="126">
        <v>0</v>
      </c>
      <c r="R19" s="18">
        <f>R16+N21-R20</f>
        <v>0</v>
      </c>
      <c r="S19" s="18">
        <f>S16-H8</f>
        <v>0</v>
      </c>
    </row>
    <row r="20" spans="1:19" ht="23.25" thickBot="1" x14ac:dyDescent="0.3">
      <c r="A20" s="102" t="s">
        <v>0</v>
      </c>
      <c r="B20" s="103" t="s">
        <v>154</v>
      </c>
      <c r="C20" s="104" t="s">
        <v>155</v>
      </c>
      <c r="M20" s="117" t="s">
        <v>185</v>
      </c>
      <c r="N20" s="119">
        <f>SUM(N15:N19)-2</f>
        <v>1939955</v>
      </c>
      <c r="Q20" s="18">
        <f>SUM(G4:G7)-R16</f>
        <v>0</v>
      </c>
      <c r="R20" s="18">
        <f>C8</f>
        <v>9549869</v>
      </c>
    </row>
    <row r="21" spans="1:19" ht="15.75" thickBot="1" x14ac:dyDescent="0.3">
      <c r="A21" s="250" t="s">
        <v>41</v>
      </c>
      <c r="B21" s="252"/>
      <c r="C21" s="251"/>
      <c r="M21" s="66" t="s">
        <v>187</v>
      </c>
      <c r="N21" s="68">
        <f>SUM(N20,N13,N6)</f>
        <v>6094985</v>
      </c>
    </row>
    <row r="22" spans="1:19" ht="15.75" thickBot="1" x14ac:dyDescent="0.3">
      <c r="A22" s="64" t="s">
        <v>41</v>
      </c>
      <c r="B22" s="116">
        <v>6091</v>
      </c>
      <c r="C22" s="77">
        <v>629540</v>
      </c>
    </row>
    <row r="23" spans="1:19" ht="15.75" thickBot="1" x14ac:dyDescent="0.3">
      <c r="A23" s="240" t="s">
        <v>235</v>
      </c>
      <c r="B23" s="241">
        <v>0</v>
      </c>
      <c r="C23" s="77">
        <v>300000</v>
      </c>
    </row>
    <row r="24" spans="1:19" ht="15.75" thickBot="1" x14ac:dyDescent="0.3">
      <c r="A24" s="117" t="s">
        <v>156</v>
      </c>
      <c r="B24" s="118">
        <v>6091</v>
      </c>
      <c r="C24" s="119">
        <f>SUM(C22,C23)</f>
        <v>929540</v>
      </c>
    </row>
    <row r="25" spans="1:19" ht="15.75" thickBot="1" x14ac:dyDescent="0.3">
      <c r="A25" s="250" t="s">
        <v>45</v>
      </c>
      <c r="B25" s="252"/>
      <c r="C25" s="251"/>
    </row>
    <row r="26" spans="1:19" ht="15.75" thickBot="1" x14ac:dyDescent="0.3">
      <c r="A26" s="61" t="s">
        <v>157</v>
      </c>
      <c r="B26" s="120">
        <v>144975</v>
      </c>
      <c r="C26" s="63">
        <v>2378407</v>
      </c>
    </row>
    <row r="27" spans="1:19" ht="15.75" thickBot="1" x14ac:dyDescent="0.3">
      <c r="A27" s="61" t="s">
        <v>74</v>
      </c>
      <c r="B27" s="120">
        <v>245266.25</v>
      </c>
      <c r="C27" s="63">
        <v>1957130</v>
      </c>
    </row>
    <row r="28" spans="1:19" ht="15.75" thickBot="1" x14ac:dyDescent="0.3">
      <c r="A28" s="121" t="s">
        <v>158</v>
      </c>
      <c r="B28" s="122">
        <v>16591</v>
      </c>
      <c r="C28" s="123">
        <v>94807</v>
      </c>
    </row>
    <row r="29" spans="1:19" ht="15.75" thickBot="1" x14ac:dyDescent="0.3">
      <c r="A29" s="124" t="s">
        <v>16</v>
      </c>
      <c r="B29" s="125">
        <v>8788</v>
      </c>
      <c r="C29" s="126">
        <v>294286</v>
      </c>
    </row>
    <row r="30" spans="1:19" ht="15.75" thickBot="1" x14ac:dyDescent="0.3">
      <c r="A30" s="124" t="s">
        <v>18</v>
      </c>
      <c r="B30" s="125">
        <v>16736</v>
      </c>
      <c r="C30" s="126">
        <v>153016</v>
      </c>
    </row>
    <row r="31" spans="1:19" ht="15.75" thickBot="1" x14ac:dyDescent="0.3">
      <c r="A31" s="117" t="s">
        <v>159</v>
      </c>
      <c r="B31" s="118">
        <v>432356.25</v>
      </c>
      <c r="C31" s="119">
        <f>SUM(C26:C30)</f>
        <v>4877646</v>
      </c>
    </row>
    <row r="32" spans="1:19" ht="15.75" thickBot="1" x14ac:dyDescent="0.3">
      <c r="A32" s="250" t="s">
        <v>54</v>
      </c>
      <c r="B32" s="252"/>
      <c r="C32" s="251"/>
    </row>
    <row r="33" spans="1:3" ht="15.75" thickBot="1" x14ac:dyDescent="0.3">
      <c r="A33" s="61" t="s">
        <v>160</v>
      </c>
      <c r="B33" s="120">
        <v>37810</v>
      </c>
      <c r="C33" s="63">
        <v>167127</v>
      </c>
    </row>
    <row r="34" spans="1:3" ht="15.75" thickBot="1" x14ac:dyDescent="0.3">
      <c r="A34" s="61" t="s">
        <v>161</v>
      </c>
      <c r="B34" s="120">
        <v>129896</v>
      </c>
      <c r="C34" s="63">
        <v>662092</v>
      </c>
    </row>
    <row r="35" spans="1:3" ht="15.75" thickBot="1" x14ac:dyDescent="0.3">
      <c r="A35" s="121" t="s">
        <v>74</v>
      </c>
      <c r="B35" s="122">
        <v>209078.25</v>
      </c>
      <c r="C35" s="123">
        <v>1666178</v>
      </c>
    </row>
    <row r="36" spans="1:3" ht="15.75" thickBot="1" x14ac:dyDescent="0.3">
      <c r="A36" s="124" t="s">
        <v>23</v>
      </c>
      <c r="B36" s="125">
        <v>123634</v>
      </c>
      <c r="C36" s="126">
        <v>275970</v>
      </c>
    </row>
    <row r="37" spans="1:3" ht="15.75" thickBot="1" x14ac:dyDescent="0.3">
      <c r="A37" s="124" t="s">
        <v>26</v>
      </c>
      <c r="B37" s="125">
        <v>14065</v>
      </c>
      <c r="C37" s="126">
        <v>25461</v>
      </c>
    </row>
    <row r="38" spans="1:3" ht="23.25" thickBot="1" x14ac:dyDescent="0.3">
      <c r="A38" s="117" t="s">
        <v>162</v>
      </c>
      <c r="B38" s="118">
        <v>514483.25</v>
      </c>
      <c r="C38" s="119">
        <f>SUM(C33:C37)</f>
        <v>2796828</v>
      </c>
    </row>
    <row r="39" spans="1:3" ht="15.75" thickBot="1" x14ac:dyDescent="0.3">
      <c r="A39" s="250" t="s">
        <v>101</v>
      </c>
      <c r="B39" s="252"/>
      <c r="C39" s="251"/>
    </row>
    <row r="40" spans="1:3" ht="15.75" thickBot="1" x14ac:dyDescent="0.3">
      <c r="A40" s="64" t="s">
        <v>163</v>
      </c>
      <c r="B40" s="116">
        <v>36432</v>
      </c>
      <c r="C40" s="77">
        <v>945855</v>
      </c>
    </row>
    <row r="41" spans="1:3" ht="23.25" thickBot="1" x14ac:dyDescent="0.3">
      <c r="A41" s="117" t="s">
        <v>164</v>
      </c>
      <c r="B41" s="118">
        <v>36432</v>
      </c>
      <c r="C41" s="119">
        <f>C40</f>
        <v>945855</v>
      </c>
    </row>
    <row r="42" spans="1:3" ht="15.75" thickBot="1" x14ac:dyDescent="0.3">
      <c r="A42" s="66" t="s">
        <v>165</v>
      </c>
      <c r="B42" s="111">
        <v>989362.5</v>
      </c>
      <c r="C42" s="68">
        <f>SUM(C41,C38,C31,C24)</f>
        <v>9549869</v>
      </c>
    </row>
  </sheetData>
  <mergeCells count="7">
    <mergeCell ref="A39:C39"/>
    <mergeCell ref="M3:N3"/>
    <mergeCell ref="M7:N7"/>
    <mergeCell ref="M14:N14"/>
    <mergeCell ref="A21:C21"/>
    <mergeCell ref="A25:C25"/>
    <mergeCell ref="A32:C32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9EFBD-0263-4A0C-A536-AA7BEAF37C36}">
  <dimension ref="A1"/>
  <sheetViews>
    <sheetView workbookViewId="0"/>
  </sheetViews>
  <sheetFormatPr defaultRowHeight="15" x14ac:dyDescent="0.25"/>
  <sheetData>
    <row r="1" spans="1:1" x14ac:dyDescent="0.25">
      <c r="A1" s="142" t="s">
        <v>189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3367D-FA87-41E1-A45C-6D303765DFBC}">
  <dimension ref="A1:R33"/>
  <sheetViews>
    <sheetView workbookViewId="0"/>
  </sheetViews>
  <sheetFormatPr defaultRowHeight="15" x14ac:dyDescent="0.25"/>
  <cols>
    <col min="1" max="1" width="55.42578125" bestFit="1" customWidth="1"/>
    <col min="2" max="2" width="15.140625" bestFit="1" customWidth="1"/>
    <col min="3" max="3" width="12" bestFit="1" customWidth="1"/>
    <col min="4" max="4" width="15.7109375" bestFit="1" customWidth="1"/>
    <col min="5" max="6" width="12" bestFit="1" customWidth="1"/>
    <col min="12" max="15" width="15.5703125" customWidth="1"/>
    <col min="16" max="16" width="12.7109375" bestFit="1" customWidth="1"/>
    <col min="17" max="17" width="14.7109375" customWidth="1"/>
    <col min="18" max="18" width="15" customWidth="1"/>
  </cols>
  <sheetData>
    <row r="1" spans="1:18" x14ac:dyDescent="0.25">
      <c r="A1" t="s">
        <v>113</v>
      </c>
      <c r="B1" s="18">
        <v>8219858</v>
      </c>
      <c r="C1" s="17">
        <f>'WA GAS'!C21</f>
        <v>5794985.4865590716</v>
      </c>
    </row>
    <row r="2" spans="1:18" x14ac:dyDescent="0.25">
      <c r="A2" t="s">
        <v>114</v>
      </c>
      <c r="B2" s="18">
        <v>203599</v>
      </c>
      <c r="C2" s="17">
        <f>C19*(C$5-C$1)</f>
        <v>240820.88552389905</v>
      </c>
      <c r="E2">
        <f>(B1+B3)/B5</f>
        <v>0.80308022563814974</v>
      </c>
      <c r="F2">
        <f>(C1+C3)/C5</f>
        <v>0.70967579633835065</v>
      </c>
    </row>
    <row r="3" spans="1:18" x14ac:dyDescent="0.25">
      <c r="A3" t="s">
        <v>115</v>
      </c>
      <c r="B3" s="18">
        <v>68835</v>
      </c>
      <c r="C3" s="17">
        <f>C20*(C$5-C$1)</f>
        <v>81419.386416620851</v>
      </c>
    </row>
    <row r="4" spans="1:18" x14ac:dyDescent="0.25">
      <c r="A4" t="s">
        <v>51</v>
      </c>
      <c r="B4" s="18">
        <v>1828835</v>
      </c>
      <c r="C4" s="17">
        <f>C21*(C$5-C$1)</f>
        <v>2163181.8632562039</v>
      </c>
    </row>
    <row r="5" spans="1:18" x14ac:dyDescent="0.25">
      <c r="A5" t="s">
        <v>53</v>
      </c>
      <c r="B5" s="18">
        <v>10321127</v>
      </c>
      <c r="C5" s="17">
        <f>'WA GAS'!E21</f>
        <v>8280407.6217557956</v>
      </c>
    </row>
    <row r="6" spans="1:18" x14ac:dyDescent="0.25">
      <c r="L6" t="s">
        <v>86</v>
      </c>
      <c r="M6" s="18">
        <v>1070918</v>
      </c>
      <c r="N6" s="18">
        <v>0</v>
      </c>
      <c r="O6" s="18">
        <v>1070918</v>
      </c>
      <c r="P6" s="30">
        <f>(M6/M$20)*SUM(B$10:B$12)</f>
        <v>1266039.7144786925</v>
      </c>
      <c r="Q6" s="30">
        <v>0</v>
      </c>
      <c r="R6" s="30">
        <f>P6</f>
        <v>1266039.7144786925</v>
      </c>
    </row>
    <row r="7" spans="1:18" x14ac:dyDescent="0.25">
      <c r="L7" t="s">
        <v>87</v>
      </c>
      <c r="M7" s="18">
        <v>272434</v>
      </c>
      <c r="N7" s="18">
        <v>0</v>
      </c>
      <c r="O7" s="18">
        <v>272434</v>
      </c>
      <c r="P7" s="30">
        <f t="shared" ref="P7:P20" si="0">(M7/M$20)*SUM(B$10:B$12)</f>
        <v>322071.59051793703</v>
      </c>
      <c r="Q7" s="30">
        <v>0</v>
      </c>
      <c r="R7" s="30">
        <f t="shared" ref="R7:R18" si="1">P7</f>
        <v>322071.59051793703</v>
      </c>
    </row>
    <row r="8" spans="1:18" x14ac:dyDescent="0.25">
      <c r="L8" t="s">
        <v>88</v>
      </c>
      <c r="M8" s="18">
        <v>205314</v>
      </c>
      <c r="N8" s="18">
        <v>205314</v>
      </c>
      <c r="O8" s="18">
        <v>0</v>
      </c>
      <c r="P8" s="30">
        <f t="shared" si="0"/>
        <v>242722.29800832394</v>
      </c>
      <c r="Q8" s="30">
        <f>P8</f>
        <v>242722.29800832394</v>
      </c>
      <c r="R8" s="30">
        <v>0</v>
      </c>
    </row>
    <row r="9" spans="1:18" x14ac:dyDescent="0.25">
      <c r="A9" t="s">
        <v>113</v>
      </c>
      <c r="B9" s="17">
        <v>5796285.3352290569</v>
      </c>
      <c r="C9" s="17">
        <v>0</v>
      </c>
      <c r="D9" s="17">
        <f>B9</f>
        <v>5796285.3352290569</v>
      </c>
      <c r="L9" t="s">
        <v>89</v>
      </c>
      <c r="M9" s="18">
        <v>7000</v>
      </c>
      <c r="N9" s="18">
        <v>0</v>
      </c>
      <c r="O9" s="18">
        <v>7000</v>
      </c>
      <c r="P9" s="30">
        <f t="shared" si="0"/>
        <v>8275.4029732909967</v>
      </c>
      <c r="Q9" s="30">
        <v>0</v>
      </c>
      <c r="R9" s="30">
        <f t="shared" si="1"/>
        <v>8275.4029732909967</v>
      </c>
    </row>
    <row r="10" spans="1:18" x14ac:dyDescent="0.25">
      <c r="A10" t="s">
        <v>114</v>
      </c>
      <c r="B10" s="17">
        <v>240694.93882723129</v>
      </c>
      <c r="C10" s="17">
        <v>0</v>
      </c>
      <c r="D10" s="17">
        <f t="shared" ref="D10:D11" si="2">B10</f>
        <v>240694.93882723129</v>
      </c>
      <c r="L10" t="s">
        <v>116</v>
      </c>
      <c r="M10" s="18">
        <v>14000</v>
      </c>
      <c r="N10" s="18">
        <v>0</v>
      </c>
      <c r="O10" s="18">
        <v>14000</v>
      </c>
      <c r="P10" s="30">
        <f t="shared" si="0"/>
        <v>16550.805946581993</v>
      </c>
      <c r="Q10" s="30">
        <v>0</v>
      </c>
      <c r="R10" s="30">
        <f t="shared" si="1"/>
        <v>16550.805946581993</v>
      </c>
    </row>
    <row r="11" spans="1:18" x14ac:dyDescent="0.25">
      <c r="A11" t="s">
        <v>115</v>
      </c>
      <c r="B11" s="17">
        <v>81376.80496550801</v>
      </c>
      <c r="C11" s="17">
        <v>0</v>
      </c>
      <c r="D11" s="17">
        <f t="shared" si="2"/>
        <v>81376.80496550801</v>
      </c>
      <c r="G11">
        <v>1828835</v>
      </c>
      <c r="H11" s="18">
        <v>626528</v>
      </c>
      <c r="I11" s="18">
        <v>1202308</v>
      </c>
      <c r="L11" t="s">
        <v>92</v>
      </c>
      <c r="M11" s="18">
        <v>700</v>
      </c>
      <c r="N11" s="18">
        <v>0</v>
      </c>
      <c r="O11" s="18">
        <v>700</v>
      </c>
      <c r="P11" s="30">
        <f t="shared" si="0"/>
        <v>827.54029732909964</v>
      </c>
      <c r="Q11" s="30">
        <v>0</v>
      </c>
      <c r="R11" s="30">
        <f t="shared" si="1"/>
        <v>827.54029732909964</v>
      </c>
    </row>
    <row r="12" spans="1:18" x14ac:dyDescent="0.25">
      <c r="A12" t="s">
        <v>51</v>
      </c>
      <c r="B12" s="17">
        <v>2162050.5427339994</v>
      </c>
      <c r="C12" s="17">
        <f>0.3426*B12</f>
        <v>740718.51594066829</v>
      </c>
      <c r="D12" s="17">
        <f>0.6574*B12</f>
        <v>1421332.0267933311</v>
      </c>
      <c r="H12" s="27">
        <f>H11/G11</f>
        <v>0.34258311985498963</v>
      </c>
      <c r="I12" s="28">
        <f>1-H12</f>
        <v>0.65741688014501043</v>
      </c>
      <c r="L12" t="s">
        <v>91</v>
      </c>
      <c r="M12" s="18">
        <v>56000</v>
      </c>
      <c r="N12" s="18">
        <v>0</v>
      </c>
      <c r="O12" s="18">
        <v>56000</v>
      </c>
      <c r="P12" s="30">
        <f t="shared" si="0"/>
        <v>66203.223786327973</v>
      </c>
      <c r="Q12" s="30">
        <v>0</v>
      </c>
      <c r="R12" s="30">
        <f t="shared" si="1"/>
        <v>66203.223786327973</v>
      </c>
    </row>
    <row r="13" spans="1:18" x14ac:dyDescent="0.25">
      <c r="A13" t="s">
        <v>53</v>
      </c>
      <c r="B13" s="17">
        <v>8280407.6217557956</v>
      </c>
      <c r="C13" s="17">
        <f>SUM(C9:C12)</f>
        <v>740718.51594066829</v>
      </c>
      <c r="D13" s="17">
        <f>SUM(D9:D12)</f>
        <v>7539689.1058151275</v>
      </c>
      <c r="L13" t="s">
        <v>93</v>
      </c>
      <c r="M13" s="18">
        <v>350</v>
      </c>
      <c r="N13" s="18">
        <v>0</v>
      </c>
      <c r="O13" s="18">
        <v>350</v>
      </c>
      <c r="P13" s="30">
        <f t="shared" si="0"/>
        <v>413.77014866454982</v>
      </c>
      <c r="Q13" s="30">
        <v>0</v>
      </c>
      <c r="R13" s="30">
        <f t="shared" si="1"/>
        <v>413.77014866454982</v>
      </c>
    </row>
    <row r="14" spans="1:18" x14ac:dyDescent="0.25">
      <c r="L14" t="s">
        <v>96</v>
      </c>
      <c r="M14" s="18">
        <v>7000</v>
      </c>
      <c r="N14" s="18">
        <v>0</v>
      </c>
      <c r="O14" s="18">
        <v>7000</v>
      </c>
      <c r="P14" s="30">
        <f t="shared" si="0"/>
        <v>8275.4029732909967</v>
      </c>
      <c r="Q14" s="30">
        <v>0</v>
      </c>
      <c r="R14" s="30">
        <f t="shared" si="1"/>
        <v>8275.4029732909967</v>
      </c>
    </row>
    <row r="15" spans="1:18" x14ac:dyDescent="0.25">
      <c r="L15" t="s">
        <v>94</v>
      </c>
      <c r="M15" s="18">
        <v>9240</v>
      </c>
      <c r="N15" s="18">
        <v>0</v>
      </c>
      <c r="O15" s="18">
        <v>9240</v>
      </c>
      <c r="P15" s="30">
        <f t="shared" si="0"/>
        <v>10923.531924744115</v>
      </c>
      <c r="Q15" s="30">
        <v>0</v>
      </c>
      <c r="R15" s="30">
        <f t="shared" si="1"/>
        <v>10923.531924744115</v>
      </c>
    </row>
    <row r="16" spans="1:18" x14ac:dyDescent="0.25">
      <c r="L16" t="s">
        <v>117</v>
      </c>
      <c r="M16" s="18">
        <v>16100</v>
      </c>
      <c r="N16" s="18">
        <v>0</v>
      </c>
      <c r="O16" s="18">
        <v>16100</v>
      </c>
      <c r="P16" s="30">
        <f t="shared" si="0"/>
        <v>19033.426838569289</v>
      </c>
      <c r="Q16" s="30">
        <v>0</v>
      </c>
      <c r="R16" s="30">
        <f t="shared" si="1"/>
        <v>19033.426838569289</v>
      </c>
    </row>
    <row r="17" spans="1:18" x14ac:dyDescent="0.25">
      <c r="L17" t="s">
        <v>98</v>
      </c>
      <c r="M17" s="18">
        <v>15214</v>
      </c>
      <c r="N17" s="18">
        <v>15214</v>
      </c>
      <c r="O17" s="18">
        <v>0</v>
      </c>
      <c r="P17" s="30">
        <f>(M17/M$20)*SUM(B$10:B$12)</f>
        <v>17985.9972622356</v>
      </c>
      <c r="Q17" s="30">
        <f>P17</f>
        <v>17985.9972622356</v>
      </c>
      <c r="R17" s="30">
        <v>0</v>
      </c>
    </row>
    <row r="18" spans="1:18" x14ac:dyDescent="0.25">
      <c r="L18" t="s">
        <v>99</v>
      </c>
      <c r="M18" s="18">
        <v>21000</v>
      </c>
      <c r="N18" s="18">
        <v>0</v>
      </c>
      <c r="O18" s="18">
        <v>21000</v>
      </c>
      <c r="P18" s="30">
        <f t="shared" si="0"/>
        <v>24826.208919872985</v>
      </c>
      <c r="Q18" s="30">
        <v>0</v>
      </c>
      <c r="R18" s="30">
        <f t="shared" si="1"/>
        <v>24826.208919872985</v>
      </c>
    </row>
    <row r="19" spans="1:18" x14ac:dyDescent="0.25">
      <c r="B19" s="18">
        <v>203599</v>
      </c>
      <c r="C19">
        <f>B19/B$23</f>
        <v>9.6893353492579964E-2</v>
      </c>
      <c r="L19" t="s">
        <v>118</v>
      </c>
      <c r="M19" s="18">
        <v>406000</v>
      </c>
      <c r="N19" s="18">
        <v>406000</v>
      </c>
      <c r="O19" s="18">
        <v>0</v>
      </c>
      <c r="P19" s="30">
        <f t="shared" si="0"/>
        <v>479973.37245087774</v>
      </c>
      <c r="Q19" s="30">
        <f>P19</f>
        <v>479973.37245087774</v>
      </c>
      <c r="R19" s="30">
        <v>0</v>
      </c>
    </row>
    <row r="20" spans="1:18" x14ac:dyDescent="0.25">
      <c r="B20" s="18">
        <v>68835</v>
      </c>
      <c r="C20">
        <f>B20/B$23</f>
        <v>3.2758775768357118E-2</v>
      </c>
      <c r="L20" s="1" t="s">
        <v>53</v>
      </c>
      <c r="M20" s="29">
        <v>2101270</v>
      </c>
      <c r="N20" s="29">
        <v>626528</v>
      </c>
      <c r="O20" s="29">
        <v>1474742</v>
      </c>
      <c r="P20" s="30">
        <f t="shared" si="0"/>
        <v>2484122.2865267387</v>
      </c>
      <c r="Q20" s="30">
        <f>SUM(Q6:Q19)</f>
        <v>740681.66772143729</v>
      </c>
      <c r="R20" s="30">
        <f>SUM(R6:R19)</f>
        <v>1743440.6188053016</v>
      </c>
    </row>
    <row r="21" spans="1:18" x14ac:dyDescent="0.25">
      <c r="B21" s="18">
        <v>1828835</v>
      </c>
      <c r="C21">
        <f>B21/B$23</f>
        <v>0.87034787073906295</v>
      </c>
      <c r="Q21">
        <f>'WA GAS'!E21</f>
        <v>8280407.6217557956</v>
      </c>
    </row>
    <row r="22" spans="1:18" x14ac:dyDescent="0.25">
      <c r="Q22" s="17">
        <f>SUM(Q20:Q21)</f>
        <v>9021089.2894772328</v>
      </c>
    </row>
    <row r="23" spans="1:18" x14ac:dyDescent="0.25">
      <c r="B23" s="18">
        <f>SUM(B19:B21)</f>
        <v>2101269</v>
      </c>
    </row>
    <row r="24" spans="1:18" x14ac:dyDescent="0.25">
      <c r="L24" s="18">
        <v>509732</v>
      </c>
      <c r="M24" s="18">
        <v>509732</v>
      </c>
      <c r="N24" s="19">
        <v>356812.4</v>
      </c>
      <c r="O24" s="19">
        <v>152919.6</v>
      </c>
    </row>
    <row r="25" spans="1:18" x14ac:dyDescent="0.25">
      <c r="L25" s="18">
        <v>105000</v>
      </c>
      <c r="M25" s="18">
        <v>105000</v>
      </c>
      <c r="N25" s="18">
        <v>73500</v>
      </c>
      <c r="O25" s="18">
        <v>31500</v>
      </c>
    </row>
    <row r="26" spans="1:18" x14ac:dyDescent="0.25">
      <c r="A26" t="s">
        <v>119</v>
      </c>
      <c r="B26" t="s">
        <v>120</v>
      </c>
      <c r="C26" t="s">
        <v>121</v>
      </c>
      <c r="D26" t="s">
        <v>122</v>
      </c>
      <c r="E26" t="s">
        <v>123</v>
      </c>
      <c r="F26" t="s">
        <v>124</v>
      </c>
      <c r="L26" s="18">
        <v>614732</v>
      </c>
      <c r="M26" s="18">
        <v>614732</v>
      </c>
      <c r="N26" s="18">
        <v>430312</v>
      </c>
      <c r="O26" s="18">
        <v>184420</v>
      </c>
    </row>
    <row r="27" spans="1:18" x14ac:dyDescent="0.25">
      <c r="A27" t="s">
        <v>125</v>
      </c>
      <c r="B27" t="s">
        <v>126</v>
      </c>
      <c r="C27" t="s">
        <v>127</v>
      </c>
      <c r="D27" s="18">
        <v>899464</v>
      </c>
      <c r="E27" s="18">
        <v>629625</v>
      </c>
      <c r="F27" s="18">
        <v>269839</v>
      </c>
      <c r="L27" s="18">
        <v>53763640</v>
      </c>
      <c r="N27" s="18">
        <v>39902461</v>
      </c>
      <c r="O27" s="18">
        <v>13861179</v>
      </c>
    </row>
    <row r="28" spans="1:18" x14ac:dyDescent="0.25">
      <c r="A28" t="s">
        <v>128</v>
      </c>
      <c r="B28" t="s">
        <v>129</v>
      </c>
      <c r="C28" t="s">
        <v>127</v>
      </c>
      <c r="D28" s="18">
        <v>120000</v>
      </c>
      <c r="E28" s="18">
        <v>84000</v>
      </c>
      <c r="F28" s="18">
        <v>36000</v>
      </c>
    </row>
    <row r="29" spans="1:18" x14ac:dyDescent="0.25">
      <c r="A29" t="s">
        <v>130</v>
      </c>
      <c r="B29" t="s">
        <v>131</v>
      </c>
      <c r="C29" t="s">
        <v>131</v>
      </c>
      <c r="D29" s="18">
        <v>1019464</v>
      </c>
      <c r="E29" s="18">
        <v>713625</v>
      </c>
      <c r="F29" s="18">
        <v>305839</v>
      </c>
    </row>
    <row r="30" spans="1:18" x14ac:dyDescent="0.25">
      <c r="D30" s="19">
        <f>D27*0.95573</f>
        <v>859644.72872000001</v>
      </c>
      <c r="E30" s="19">
        <f t="shared" ref="E30:F30" si="3">E27*0.95573</f>
        <v>601751.50124999997</v>
      </c>
      <c r="F30" s="19">
        <f t="shared" si="3"/>
        <v>257893.22746999998</v>
      </c>
      <c r="L30" s="19">
        <f>L24*0.96</f>
        <v>489342.71999999997</v>
      </c>
      <c r="M30" s="19">
        <f t="shared" ref="M30:O30" si="4">M24*0.96</f>
        <v>489342.71999999997</v>
      </c>
      <c r="N30" s="19">
        <f t="shared" si="4"/>
        <v>342539.90400000004</v>
      </c>
      <c r="O30" s="19">
        <f t="shared" si="4"/>
        <v>146802.81599999999</v>
      </c>
    </row>
    <row r="31" spans="1:18" x14ac:dyDescent="0.25">
      <c r="D31" s="19">
        <f t="shared" ref="D31:F31" si="5">D28*0.95573</f>
        <v>114687.59999999999</v>
      </c>
      <c r="E31" s="19">
        <f t="shared" si="5"/>
        <v>80281.319999999992</v>
      </c>
      <c r="F31" s="19">
        <f t="shared" si="5"/>
        <v>34406.28</v>
      </c>
      <c r="L31" s="19">
        <f t="shared" ref="L31:O31" si="6">L25*0.96</f>
        <v>100800</v>
      </c>
      <c r="M31" s="19">
        <f t="shared" si="6"/>
        <v>100800</v>
      </c>
      <c r="N31" s="19">
        <f t="shared" si="6"/>
        <v>70560</v>
      </c>
      <c r="O31" s="19">
        <f t="shared" si="6"/>
        <v>30240</v>
      </c>
    </row>
    <row r="32" spans="1:18" x14ac:dyDescent="0.25">
      <c r="D32" s="19">
        <f t="shared" ref="D32:F32" si="7">D29*0.95573</f>
        <v>974332.32871999999</v>
      </c>
      <c r="E32" s="19">
        <f t="shared" si="7"/>
        <v>682032.82124999992</v>
      </c>
      <c r="F32" s="19">
        <f t="shared" si="7"/>
        <v>292299.50747000001</v>
      </c>
      <c r="L32" s="19">
        <f t="shared" ref="L32:O32" si="8">L26*0.96</f>
        <v>590142.71999999997</v>
      </c>
      <c r="M32" s="19">
        <f t="shared" si="8"/>
        <v>590142.71999999997</v>
      </c>
      <c r="N32" s="19">
        <f t="shared" si="8"/>
        <v>413099.51999999996</v>
      </c>
      <c r="O32" s="19">
        <f t="shared" si="8"/>
        <v>177043.19999999998</v>
      </c>
    </row>
    <row r="33" spans="12:15" x14ac:dyDescent="0.25">
      <c r="L33" s="19">
        <f t="shared" ref="L33:O33" si="9">L27*0.96</f>
        <v>51613094.399999999</v>
      </c>
      <c r="M33" s="19"/>
      <c r="N33" s="19">
        <f t="shared" si="9"/>
        <v>38306362.559999995</v>
      </c>
      <c r="O33" s="19">
        <f t="shared" si="9"/>
        <v>13306731.84</v>
      </c>
    </row>
  </sheetData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4D3AC-8725-4216-AC0F-F01A245F0017}">
  <dimension ref="A3:U70"/>
  <sheetViews>
    <sheetView workbookViewId="0"/>
  </sheetViews>
  <sheetFormatPr defaultRowHeight="15" x14ac:dyDescent="0.25"/>
  <cols>
    <col min="4" max="4" width="23.85546875" bestFit="1" customWidth="1"/>
    <col min="5" max="5" width="16.7109375" customWidth="1"/>
    <col min="6" max="6" width="19.85546875" customWidth="1"/>
    <col min="9" max="9" width="14.28515625" bestFit="1" customWidth="1"/>
    <col min="10" max="10" width="23" bestFit="1" customWidth="1"/>
    <col min="11" max="11" width="10" bestFit="1" customWidth="1"/>
    <col min="12" max="12" width="12.5703125" bestFit="1" customWidth="1"/>
    <col min="13" max="13" width="10.85546875" bestFit="1" customWidth="1"/>
    <col min="14" max="14" width="11.5703125" bestFit="1" customWidth="1"/>
    <col min="16" max="16" width="11.85546875" bestFit="1" customWidth="1"/>
    <col min="17" max="17" width="23" bestFit="1" customWidth="1"/>
    <col min="18" max="18" width="11.7109375" bestFit="1" customWidth="1"/>
    <col min="19" max="19" width="10" bestFit="1" customWidth="1"/>
  </cols>
  <sheetData>
    <row r="3" spans="1:19" x14ac:dyDescent="0.25">
      <c r="A3" s="36">
        <v>31065</v>
      </c>
      <c r="B3" s="32">
        <f>A3*0.66878</f>
        <v>20775.650700000002</v>
      </c>
      <c r="E3" s="36">
        <v>20775.650700000002</v>
      </c>
      <c r="F3">
        <f>E3*K$9</f>
        <v>61320.925241898192</v>
      </c>
      <c r="G3" s="37">
        <v>0.09</v>
      </c>
      <c r="I3" s="11">
        <f>G3*F3</f>
        <v>5518.8832717708374</v>
      </c>
    </row>
    <row r="4" spans="1:19" x14ac:dyDescent="0.25">
      <c r="A4" s="36">
        <v>62786</v>
      </c>
      <c r="B4" s="32">
        <f t="shared" ref="B4:B18" si="0">A4*0.66878</f>
        <v>41990.021080000006</v>
      </c>
      <c r="E4" s="36">
        <v>41990.021080000006</v>
      </c>
      <c r="F4">
        <f t="shared" ref="F4:F7" si="1">E4*K$9</f>
        <v>123936.76524184195</v>
      </c>
      <c r="G4" s="37">
        <v>0.13</v>
      </c>
      <c r="I4" s="11">
        <f t="shared" ref="I4:I7" si="2">G4*F4</f>
        <v>16111.779481439453</v>
      </c>
    </row>
    <row r="5" spans="1:19" x14ac:dyDescent="0.25">
      <c r="A5" s="36"/>
      <c r="B5" s="32">
        <f t="shared" si="0"/>
        <v>0</v>
      </c>
      <c r="E5" s="36">
        <v>0</v>
      </c>
      <c r="F5">
        <f t="shared" si="1"/>
        <v>0</v>
      </c>
      <c r="G5" s="37">
        <v>0.12</v>
      </c>
      <c r="I5" s="11">
        <f t="shared" si="2"/>
        <v>0</v>
      </c>
    </row>
    <row r="6" spans="1:19" x14ac:dyDescent="0.25">
      <c r="A6" s="36"/>
      <c r="B6" s="32">
        <f t="shared" si="0"/>
        <v>0</v>
      </c>
      <c r="E6" s="36">
        <v>0</v>
      </c>
      <c r="F6">
        <f t="shared" si="1"/>
        <v>0</v>
      </c>
      <c r="G6" s="37">
        <v>0.24</v>
      </c>
      <c r="I6" s="11">
        <f t="shared" si="2"/>
        <v>0</v>
      </c>
    </row>
    <row r="7" spans="1:19" x14ac:dyDescent="0.25">
      <c r="A7" s="36">
        <v>22768</v>
      </c>
      <c r="B7" s="32">
        <f t="shared" si="0"/>
        <v>15226.78304</v>
      </c>
      <c r="E7" s="36">
        <v>15226.78304</v>
      </c>
      <c r="F7">
        <f t="shared" si="1"/>
        <v>44943.017090215289</v>
      </c>
      <c r="G7" s="37">
        <v>0.36</v>
      </c>
      <c r="I7" s="11">
        <f t="shared" si="2"/>
        <v>16179.486152477504</v>
      </c>
    </row>
    <row r="8" spans="1:19" x14ac:dyDescent="0.25">
      <c r="A8" s="35"/>
      <c r="B8" s="32">
        <f t="shared" si="0"/>
        <v>0</v>
      </c>
    </row>
    <row r="9" spans="1:19" ht="15.75" thickBot="1" x14ac:dyDescent="0.3">
      <c r="A9" s="35"/>
      <c r="B9" s="32">
        <f t="shared" si="0"/>
        <v>0</v>
      </c>
      <c r="I9" s="11">
        <f>SUM(I3:I7)</f>
        <v>37810.148905687791</v>
      </c>
      <c r="K9" s="11">
        <v>2.9515766378329698</v>
      </c>
    </row>
    <row r="10" spans="1:19" ht="15.75" thickBot="1" x14ac:dyDescent="0.3">
      <c r="A10" s="35"/>
      <c r="B10" s="32">
        <f t="shared" si="0"/>
        <v>0</v>
      </c>
      <c r="K10" s="11">
        <f>'WA GAS'!B$12/Sheet5!I$9</f>
        <v>1</v>
      </c>
      <c r="N10" s="70">
        <v>2534322</v>
      </c>
    </row>
    <row r="11" spans="1:19" ht="15.75" thickBot="1" x14ac:dyDescent="0.3">
      <c r="A11" s="35"/>
      <c r="B11" s="32">
        <f t="shared" si="0"/>
        <v>0</v>
      </c>
      <c r="N11" s="71">
        <v>2552393</v>
      </c>
    </row>
    <row r="12" spans="1:19" ht="15.75" thickBot="1" x14ac:dyDescent="0.3">
      <c r="A12" s="35"/>
      <c r="B12" s="32">
        <f t="shared" si="0"/>
        <v>0</v>
      </c>
      <c r="N12" s="71">
        <v>2180020</v>
      </c>
      <c r="Q12" s="24">
        <v>15176305</v>
      </c>
      <c r="R12" s="85">
        <v>0</v>
      </c>
      <c r="S12" s="86">
        <f>Q12-R12</f>
        <v>15176305</v>
      </c>
    </row>
    <row r="13" spans="1:19" ht="15.75" thickBot="1" x14ac:dyDescent="0.3">
      <c r="A13" s="33"/>
      <c r="B13" s="32">
        <f t="shared" si="0"/>
        <v>0</v>
      </c>
      <c r="N13" s="71">
        <v>1155374</v>
      </c>
      <c r="Q13" s="25">
        <f>1659632+643616</f>
        <v>2303248</v>
      </c>
      <c r="R13" s="62">
        <v>0</v>
      </c>
      <c r="S13" s="86">
        <f t="shared" ref="S13:S15" si="3">Q13-R13</f>
        <v>2303248</v>
      </c>
    </row>
    <row r="14" spans="1:19" ht="15.75" thickBot="1" x14ac:dyDescent="0.3">
      <c r="A14" s="31"/>
      <c r="B14" s="32">
        <f t="shared" si="0"/>
        <v>0</v>
      </c>
      <c r="N14" s="71">
        <v>202695</v>
      </c>
      <c r="Q14" s="25">
        <v>1000000</v>
      </c>
      <c r="R14" s="62">
        <v>0</v>
      </c>
      <c r="S14" s="86">
        <f t="shared" si="3"/>
        <v>1000000</v>
      </c>
    </row>
    <row r="15" spans="1:19" ht="15.75" thickBot="1" x14ac:dyDescent="0.3">
      <c r="A15" s="31"/>
      <c r="B15" s="32">
        <f t="shared" si="0"/>
        <v>0</v>
      </c>
      <c r="N15" s="71">
        <v>0</v>
      </c>
      <c r="Q15" s="26">
        <v>6347133</v>
      </c>
      <c r="R15" s="87">
        <v>1608780</v>
      </c>
      <c r="S15" s="86">
        <f t="shared" si="3"/>
        <v>4738353</v>
      </c>
    </row>
    <row r="16" spans="1:19" ht="15.75" thickBot="1" x14ac:dyDescent="0.3">
      <c r="A16" s="31"/>
      <c r="B16" s="32">
        <f t="shared" si="0"/>
        <v>0</v>
      </c>
      <c r="N16" s="72" t="s">
        <v>95</v>
      </c>
      <c r="Q16" s="75">
        <f>SUM(Q12:Q15)</f>
        <v>24826686</v>
      </c>
      <c r="R16" s="75">
        <f t="shared" ref="R16:S16" si="4">SUM(R12:R15)</f>
        <v>1608780</v>
      </c>
      <c r="S16" s="75">
        <f t="shared" si="4"/>
        <v>23217906</v>
      </c>
    </row>
    <row r="17" spans="1:21" ht="15.75" thickBot="1" x14ac:dyDescent="0.3">
      <c r="A17" s="31"/>
      <c r="B17" s="32">
        <f t="shared" si="0"/>
        <v>0</v>
      </c>
      <c r="N17" s="71">
        <v>105623</v>
      </c>
      <c r="Q17" s="56"/>
    </row>
    <row r="18" spans="1:21" ht="15.75" thickBot="1" x14ac:dyDescent="0.3">
      <c r="A18" s="31"/>
      <c r="B18" s="32">
        <f t="shared" si="0"/>
        <v>0</v>
      </c>
      <c r="N18" s="71">
        <v>8203405</v>
      </c>
    </row>
    <row r="19" spans="1:21" ht="15.75" thickBot="1" x14ac:dyDescent="0.3">
      <c r="N19" s="71">
        <v>422493</v>
      </c>
    </row>
    <row r="20" spans="1:21" ht="15.75" thickBot="1" x14ac:dyDescent="0.3">
      <c r="N20" s="71">
        <v>1000000</v>
      </c>
      <c r="Q20" s="88">
        <f>SUM(Q12:Q13)/Q16</f>
        <v>0.70406307954271463</v>
      </c>
    </row>
    <row r="21" spans="1:21" ht="15.75" thickBot="1" x14ac:dyDescent="0.3">
      <c r="D21" s="93" t="s">
        <v>131</v>
      </c>
      <c r="E21" s="79" t="s">
        <v>142</v>
      </c>
      <c r="F21" s="80" t="s">
        <v>143</v>
      </c>
      <c r="N21" s="71">
        <v>1322140</v>
      </c>
    </row>
    <row r="22" spans="1:21" ht="15.75" thickBot="1" x14ac:dyDescent="0.3">
      <c r="D22" s="94" t="s">
        <v>41</v>
      </c>
      <c r="E22" s="95">
        <v>853</v>
      </c>
      <c r="F22" s="101">
        <v>3620460</v>
      </c>
      <c r="N22" s="71">
        <v>3539441</v>
      </c>
    </row>
    <row r="23" spans="1:21" ht="15.75" thickBot="1" x14ac:dyDescent="0.3">
      <c r="D23" s="94" t="s">
        <v>42</v>
      </c>
      <c r="E23" s="95">
        <v>574</v>
      </c>
      <c r="F23" s="101">
        <v>3646275</v>
      </c>
      <c r="N23" s="71">
        <v>250780</v>
      </c>
    </row>
    <row r="24" spans="1:21" ht="15.75" thickBot="1" x14ac:dyDescent="0.3">
      <c r="D24" s="94" t="s">
        <v>45</v>
      </c>
      <c r="E24" s="96">
        <v>4428</v>
      </c>
      <c r="F24" s="97">
        <v>2116450</v>
      </c>
      <c r="N24" s="83">
        <v>1358000</v>
      </c>
    </row>
    <row r="25" spans="1:21" ht="15.75" thickBot="1" x14ac:dyDescent="0.3">
      <c r="D25" s="94" t="s">
        <v>54</v>
      </c>
      <c r="E25" s="96">
        <v>25831</v>
      </c>
      <c r="F25" s="97">
        <v>12326712</v>
      </c>
      <c r="I25" s="76">
        <v>-1041539</v>
      </c>
      <c r="N25" s="84">
        <v>23807245</v>
      </c>
      <c r="P25" s="18">
        <f>SUM(N10:N24)</f>
        <v>24826686</v>
      </c>
      <c r="S25" s="89" t="s">
        <v>140</v>
      </c>
    </row>
    <row r="26" spans="1:21" ht="15.75" thickBot="1" x14ac:dyDescent="0.3">
      <c r="D26" s="94" t="s">
        <v>56</v>
      </c>
      <c r="E26" s="95" t="s">
        <v>144</v>
      </c>
      <c r="F26" s="97">
        <v>1000000</v>
      </c>
      <c r="I26" s="53">
        <v>17600790</v>
      </c>
      <c r="N26" s="56"/>
      <c r="S26" s="90" t="s">
        <v>141</v>
      </c>
    </row>
    <row r="27" spans="1:21" ht="15.75" thickBot="1" x14ac:dyDescent="0.3">
      <c r="D27" s="94" t="s">
        <v>145</v>
      </c>
      <c r="E27" s="95" t="s">
        <v>146</v>
      </c>
      <c r="F27" s="97">
        <v>250780</v>
      </c>
      <c r="I27" s="53">
        <v>24344138</v>
      </c>
      <c r="J27" s="18">
        <f>I27-I26+I25</f>
        <v>5701809</v>
      </c>
      <c r="N27" s="57"/>
      <c r="S27" s="91">
        <v>2116450</v>
      </c>
    </row>
    <row r="28" spans="1:21" ht="15.75" thickBot="1" x14ac:dyDescent="0.3">
      <c r="D28" s="94" t="s">
        <v>100</v>
      </c>
      <c r="E28" s="96">
        <v>15768</v>
      </c>
      <c r="F28" s="97">
        <v>1358000</v>
      </c>
      <c r="I28" s="54">
        <v>5164916</v>
      </c>
      <c r="N28" s="56"/>
      <c r="S28" s="91">
        <v>12326712</v>
      </c>
    </row>
    <row r="29" spans="1:21" ht="15.75" thickBot="1" x14ac:dyDescent="0.3">
      <c r="D29" s="98" t="s">
        <v>53</v>
      </c>
      <c r="E29" s="99">
        <f>SUM(E22:E28)</f>
        <v>47454</v>
      </c>
      <c r="F29" s="100">
        <f>SUM(F22:F28)</f>
        <v>24318677</v>
      </c>
      <c r="S29" s="91">
        <v>1000000</v>
      </c>
    </row>
    <row r="30" spans="1:21" ht="15.75" thickBot="1" x14ac:dyDescent="0.3">
      <c r="D30" s="56"/>
      <c r="S30" s="91">
        <v>250780</v>
      </c>
    </row>
    <row r="31" spans="1:21" ht="15.75" thickBot="1" x14ac:dyDescent="0.3">
      <c r="D31" s="56"/>
      <c r="S31" s="91">
        <v>1358000</v>
      </c>
    </row>
    <row r="32" spans="1:21" ht="15.75" thickBot="1" x14ac:dyDescent="0.3">
      <c r="D32" s="56"/>
      <c r="S32" s="92">
        <v>23807245</v>
      </c>
      <c r="U32">
        <f>SUM(S25:S31)</f>
        <v>17051942</v>
      </c>
    </row>
    <row r="33" spans="4:19" x14ac:dyDescent="0.25">
      <c r="D33" s="56"/>
      <c r="S33" s="56"/>
    </row>
    <row r="34" spans="4:19" x14ac:dyDescent="0.25">
      <c r="S34" s="56"/>
    </row>
    <row r="35" spans="4:19" x14ac:dyDescent="0.25">
      <c r="S35" s="56"/>
    </row>
    <row r="36" spans="4:19" x14ac:dyDescent="0.25">
      <c r="S36" s="56"/>
    </row>
    <row r="40" spans="4:19" ht="15.75" thickBot="1" x14ac:dyDescent="0.3"/>
    <row r="41" spans="4:19" ht="45.75" thickBot="1" x14ac:dyDescent="0.3">
      <c r="J41" s="78"/>
      <c r="K41" s="79" t="s">
        <v>136</v>
      </c>
      <c r="L41" s="79" t="s">
        <v>84</v>
      </c>
      <c r="M41" s="80" t="s">
        <v>85</v>
      </c>
    </row>
    <row r="42" spans="4:19" ht="23.25" thickBot="1" x14ac:dyDescent="0.3">
      <c r="D42">
        <v>24344138.402781341</v>
      </c>
      <c r="F42" s="70">
        <v>2534322</v>
      </c>
      <c r="J42" s="61" t="s">
        <v>44</v>
      </c>
      <c r="K42" s="62">
        <v>15176305</v>
      </c>
      <c r="L42" s="62">
        <v>0</v>
      </c>
      <c r="M42" s="63">
        <f>K42-L42</f>
        <v>15176305</v>
      </c>
    </row>
    <row r="43" spans="4:19" ht="15.75" thickBot="1" x14ac:dyDescent="0.3">
      <c r="F43" s="71">
        <v>2552393</v>
      </c>
      <c r="J43" s="61" t="s">
        <v>46</v>
      </c>
      <c r="K43" s="62">
        <v>2303248</v>
      </c>
      <c r="L43" s="62">
        <v>0</v>
      </c>
      <c r="M43" s="63">
        <f t="shared" ref="M43:M44" si="5">K43-L43</f>
        <v>2303248</v>
      </c>
    </row>
    <row r="44" spans="4:19" ht="15.75" thickBot="1" x14ac:dyDescent="0.3">
      <c r="F44" s="71">
        <v>2180020</v>
      </c>
      <c r="J44" s="61" t="s">
        <v>49</v>
      </c>
      <c r="K44" s="62">
        <v>1000000</v>
      </c>
      <c r="L44" s="62">
        <v>0</v>
      </c>
      <c r="M44" s="63">
        <f t="shared" si="5"/>
        <v>1000000</v>
      </c>
    </row>
    <row r="45" spans="4:19" ht="15.75" thickBot="1" x14ac:dyDescent="0.3">
      <c r="F45" s="71">
        <v>1155374</v>
      </c>
      <c r="J45" s="64" t="s">
        <v>51</v>
      </c>
      <c r="K45" s="65">
        <f>6347133+K48</f>
        <v>5864585.4027813412</v>
      </c>
      <c r="L45" s="87">
        <f>1608780+27248</f>
        <v>1636028</v>
      </c>
      <c r="M45" s="63">
        <f>K45-L45</f>
        <v>4228557.4027813412</v>
      </c>
    </row>
    <row r="46" spans="4:19" ht="15.75" thickBot="1" x14ac:dyDescent="0.3">
      <c r="F46" s="71">
        <v>202695</v>
      </c>
      <c r="J46" s="66" t="s">
        <v>53</v>
      </c>
      <c r="K46" s="67">
        <f>SUM(K42:K45)</f>
        <v>24344138.402781341</v>
      </c>
      <c r="L46" s="67">
        <f t="shared" ref="L46:M46" si="6">SUM(L42:L45)</f>
        <v>1636028</v>
      </c>
      <c r="M46" s="67">
        <f t="shared" si="6"/>
        <v>22708110.402781341</v>
      </c>
    </row>
    <row r="47" spans="4:19" ht="15.75" thickBot="1" x14ac:dyDescent="0.3">
      <c r="F47" s="71">
        <v>0</v>
      </c>
      <c r="J47" s="56"/>
    </row>
    <row r="48" spans="4:19" ht="15.75" thickBot="1" x14ac:dyDescent="0.3">
      <c r="F48" s="72" t="s">
        <v>95</v>
      </c>
      <c r="K48" s="18">
        <v>-482547.59721865878</v>
      </c>
    </row>
    <row r="49" spans="4:13" ht="15.75" thickBot="1" x14ac:dyDescent="0.3">
      <c r="E49" s="18">
        <v>-482547.59721865878</v>
      </c>
      <c r="F49" s="71">
        <v>105623</v>
      </c>
      <c r="M49">
        <f>(K42+K43)/K46</f>
        <v>0.71801896254430364</v>
      </c>
    </row>
    <row r="50" spans="4:13" ht="15.75" thickBot="1" x14ac:dyDescent="0.3">
      <c r="F50" s="71">
        <v>8203405</v>
      </c>
    </row>
    <row r="51" spans="4:13" ht="15.75" thickBot="1" x14ac:dyDescent="0.3">
      <c r="F51" s="71">
        <v>422493</v>
      </c>
    </row>
    <row r="52" spans="4:13" ht="15.75" thickBot="1" x14ac:dyDescent="0.3">
      <c r="D52" s="18">
        <f>F57-D42</f>
        <v>0</v>
      </c>
      <c r="F52" s="71">
        <v>1000000</v>
      </c>
    </row>
    <row r="53" spans="4:13" ht="34.5" thickBot="1" x14ac:dyDescent="0.3">
      <c r="F53" s="71">
        <v>1322140</v>
      </c>
      <c r="I53" s="105">
        <v>9167832.9208344016</v>
      </c>
      <c r="J53" s="102" t="s">
        <v>82</v>
      </c>
      <c r="K53" s="103" t="s">
        <v>83</v>
      </c>
      <c r="L53" s="103" t="s">
        <v>84</v>
      </c>
      <c r="M53" s="104" t="s">
        <v>85</v>
      </c>
    </row>
    <row r="54" spans="4:13" ht="23.25" thickBot="1" x14ac:dyDescent="0.3">
      <c r="F54" s="71">
        <f>3539441+E49</f>
        <v>3056893.4027813412</v>
      </c>
      <c r="J54" s="61" t="s">
        <v>86</v>
      </c>
      <c r="K54" s="62">
        <f>2272402+47033</f>
        <v>2319435</v>
      </c>
      <c r="L54" s="62">
        <v>0</v>
      </c>
      <c r="M54" s="63">
        <f>K54-L54</f>
        <v>2319435</v>
      </c>
    </row>
    <row r="55" spans="4:13" ht="15.75" thickBot="1" x14ac:dyDescent="0.3">
      <c r="F55" s="71">
        <v>250780</v>
      </c>
      <c r="J55" s="61" t="s">
        <v>87</v>
      </c>
      <c r="K55" s="62">
        <f>2757248+100000</f>
        <v>2857248</v>
      </c>
      <c r="L55" s="62">
        <v>0</v>
      </c>
      <c r="M55" s="63">
        <f t="shared" ref="M55:M67" si="7">K55-L55</f>
        <v>2857248</v>
      </c>
    </row>
    <row r="56" spans="4:13" ht="15.75" thickBot="1" x14ac:dyDescent="0.3">
      <c r="F56" s="83">
        <v>1358000</v>
      </c>
      <c r="J56" s="61" t="s">
        <v>88</v>
      </c>
      <c r="K56" s="62">
        <f>L56</f>
        <v>250780</v>
      </c>
      <c r="L56" s="62">
        <v>250780</v>
      </c>
      <c r="M56" s="63">
        <f t="shared" si="7"/>
        <v>0</v>
      </c>
    </row>
    <row r="57" spans="4:13" ht="15.75" thickBot="1" x14ac:dyDescent="0.3">
      <c r="F57" s="84">
        <f>SUM(F42:F56)</f>
        <v>24344138.402781341</v>
      </c>
      <c r="J57" s="61" t="s">
        <v>89</v>
      </c>
      <c r="K57" s="62">
        <f>51090+20000</f>
        <v>71090</v>
      </c>
      <c r="L57" s="62">
        <v>0</v>
      </c>
      <c r="M57" s="63">
        <f t="shared" si="7"/>
        <v>71090</v>
      </c>
    </row>
    <row r="58" spans="4:13" ht="15.75" thickBot="1" x14ac:dyDescent="0.3">
      <c r="F58" s="56"/>
      <c r="J58" s="61" t="s">
        <v>90</v>
      </c>
      <c r="K58" s="62">
        <f>136241+50000</f>
        <v>186241</v>
      </c>
      <c r="L58" s="62">
        <v>0</v>
      </c>
      <c r="M58" s="63">
        <f t="shared" si="7"/>
        <v>186241</v>
      </c>
    </row>
    <row r="59" spans="4:13" ht="15.75" thickBot="1" x14ac:dyDescent="0.3">
      <c r="F59" s="57"/>
      <c r="J59" s="61" t="s">
        <v>91</v>
      </c>
      <c r="K59" s="62">
        <f>585245</f>
        <v>585245</v>
      </c>
      <c r="L59" s="62">
        <v>0</v>
      </c>
      <c r="M59" s="63">
        <f t="shared" si="7"/>
        <v>585245</v>
      </c>
    </row>
    <row r="60" spans="4:13" ht="15.75" thickBot="1" x14ac:dyDescent="0.3">
      <c r="F60" s="56"/>
      <c r="J60" s="61" t="s">
        <v>92</v>
      </c>
      <c r="K60" s="62">
        <v>6812</v>
      </c>
      <c r="L60" s="62">
        <v>0</v>
      </c>
      <c r="M60" s="63">
        <f t="shared" si="7"/>
        <v>6812</v>
      </c>
    </row>
    <row r="61" spans="4:13" ht="15.75" thickBot="1" x14ac:dyDescent="0.3">
      <c r="J61" s="61" t="s">
        <v>93</v>
      </c>
      <c r="K61" s="62">
        <v>3406</v>
      </c>
      <c r="L61" s="62">
        <v>0</v>
      </c>
      <c r="M61" s="63">
        <f t="shared" si="7"/>
        <v>3406</v>
      </c>
    </row>
    <row r="62" spans="4:13" ht="15.75" thickBot="1" x14ac:dyDescent="0.3">
      <c r="J62" s="61" t="s">
        <v>96</v>
      </c>
      <c r="K62" s="62">
        <f>68121+32168</f>
        <v>100289</v>
      </c>
      <c r="L62" s="62">
        <v>0</v>
      </c>
      <c r="M62" s="63">
        <f t="shared" si="7"/>
        <v>100289</v>
      </c>
    </row>
    <row r="63" spans="4:13" ht="15.75" thickBot="1" x14ac:dyDescent="0.3">
      <c r="J63" s="61" t="s">
        <v>97</v>
      </c>
      <c r="K63" s="62">
        <v>156677</v>
      </c>
      <c r="L63" s="62">
        <v>0</v>
      </c>
      <c r="M63" s="63">
        <f t="shared" si="7"/>
        <v>156677</v>
      </c>
    </row>
    <row r="64" spans="4:13" ht="23.25" thickBot="1" x14ac:dyDescent="0.3">
      <c r="J64" s="61" t="s">
        <v>98</v>
      </c>
      <c r="K64" s="62">
        <v>27248</v>
      </c>
      <c r="L64" s="62">
        <v>27248</v>
      </c>
      <c r="M64" s="63">
        <f t="shared" si="7"/>
        <v>0</v>
      </c>
    </row>
    <row r="65" spans="10:14" ht="15.75" thickBot="1" x14ac:dyDescent="0.3">
      <c r="J65" s="61" t="s">
        <v>99</v>
      </c>
      <c r="K65" s="62">
        <v>245362</v>
      </c>
      <c r="L65" s="62">
        <v>0</v>
      </c>
      <c r="M65" s="63">
        <f t="shared" si="7"/>
        <v>245362</v>
      </c>
    </row>
    <row r="66" spans="10:14" ht="15.75" thickBot="1" x14ac:dyDescent="0.3">
      <c r="J66" s="61" t="s">
        <v>49</v>
      </c>
      <c r="K66" s="62">
        <v>1000000</v>
      </c>
      <c r="L66" s="62">
        <v>0</v>
      </c>
      <c r="M66" s="63">
        <f t="shared" si="7"/>
        <v>1000000</v>
      </c>
    </row>
    <row r="67" spans="10:14" ht="15.75" thickBot="1" x14ac:dyDescent="0.3">
      <c r="J67" s="64" t="s">
        <v>100</v>
      </c>
      <c r="K67" s="65">
        <v>1358000</v>
      </c>
      <c r="L67" s="87">
        <v>1358000</v>
      </c>
      <c r="M67" s="63">
        <f t="shared" si="7"/>
        <v>0</v>
      </c>
    </row>
    <row r="68" spans="10:14" ht="15.75" thickBot="1" x14ac:dyDescent="0.3">
      <c r="J68" s="66" t="s">
        <v>53</v>
      </c>
      <c r="K68" s="67">
        <f>SUM(K54:K67)</f>
        <v>9167833</v>
      </c>
      <c r="L68" s="67">
        <f>SUM(L54:L67)</f>
        <v>1636028</v>
      </c>
      <c r="M68" s="68">
        <f>SUM(M54:M67)</f>
        <v>7531805</v>
      </c>
    </row>
    <row r="69" spans="10:14" x14ac:dyDescent="0.25">
      <c r="J69" s="56" t="s">
        <v>147</v>
      </c>
    </row>
    <row r="70" spans="10:14" x14ac:dyDescent="0.25">
      <c r="L70" s="18">
        <f>L68-L46</f>
        <v>0</v>
      </c>
      <c r="M70" s="18">
        <f>SUM(M45,M43,M44)</f>
        <v>7531805.4027813412</v>
      </c>
      <c r="N70" s="18">
        <f>M70-M68</f>
        <v>0.40278134122490883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39B58-8177-4F1F-B43A-5B4EC22B10A8}">
  <sheetPr>
    <pageSetUpPr fitToPage="1"/>
  </sheetPr>
  <dimension ref="A1:N67"/>
  <sheetViews>
    <sheetView zoomScaleNormal="100" workbookViewId="0">
      <selection activeCell="E5" sqref="E5"/>
    </sheetView>
  </sheetViews>
  <sheetFormatPr defaultRowHeight="15" x14ac:dyDescent="0.25"/>
  <cols>
    <col min="1" max="1" width="34.28515625" bestFit="1" customWidth="1"/>
    <col min="2" max="2" width="15.42578125" style="14" customWidth="1"/>
    <col min="3" max="3" width="18.28515625" style="14" customWidth="1"/>
    <col min="4" max="4" width="13.42578125" style="14" customWidth="1"/>
    <col min="5" max="5" width="14.42578125" style="14" customWidth="1"/>
    <col min="6" max="6" width="14" style="14" customWidth="1"/>
    <col min="7" max="7" width="13.42578125" bestFit="1" customWidth="1"/>
    <col min="8" max="8" width="23.28515625" customWidth="1"/>
    <col min="9" max="9" width="11.85546875" bestFit="1" customWidth="1"/>
    <col min="10" max="10" width="15" bestFit="1" customWidth="1"/>
    <col min="14" max="14" width="15" bestFit="1" customWidth="1"/>
  </cols>
  <sheetData>
    <row r="1" spans="1:10" x14ac:dyDescent="0.25">
      <c r="A1" s="180"/>
      <c r="B1" s="181" t="s">
        <v>142</v>
      </c>
      <c r="C1" s="181" t="s">
        <v>190</v>
      </c>
      <c r="D1" s="181" t="s">
        <v>191</v>
      </c>
      <c r="E1" s="181" t="s">
        <v>192</v>
      </c>
      <c r="F1" s="182" t="s">
        <v>4</v>
      </c>
    </row>
    <row r="2" spans="1:10" x14ac:dyDescent="0.25">
      <c r="A2" s="193" t="s">
        <v>10</v>
      </c>
      <c r="B2" s="194">
        <v>1706.0143071823652</v>
      </c>
      <c r="C2" s="195">
        <v>5068643.5397408213</v>
      </c>
      <c r="D2" s="194">
        <v>12181.221716613372</v>
      </c>
      <c r="E2" s="195">
        <v>881356.46025917854</v>
      </c>
      <c r="F2" s="209">
        <f>C2+E2</f>
        <v>5950000</v>
      </c>
      <c r="J2" s="8"/>
    </row>
    <row r="3" spans="1:10" x14ac:dyDescent="0.25">
      <c r="A3" s="184" t="s">
        <v>235</v>
      </c>
      <c r="B3" s="8" t="s">
        <v>214</v>
      </c>
      <c r="C3" s="195">
        <v>700000</v>
      </c>
      <c r="D3" s="8" t="s">
        <v>214</v>
      </c>
      <c r="E3" s="7">
        <v>300000</v>
      </c>
      <c r="F3" s="209">
        <f>C3+E3</f>
        <v>1000000</v>
      </c>
      <c r="J3" s="8"/>
    </row>
    <row r="4" spans="1:10" x14ac:dyDescent="0.25">
      <c r="A4" s="199" t="s">
        <v>11</v>
      </c>
      <c r="B4" s="200">
        <v>1148.5766975670394</v>
      </c>
      <c r="C4" s="195">
        <v>4000000</v>
      </c>
      <c r="D4" s="200" t="s">
        <v>214</v>
      </c>
      <c r="E4" s="201">
        <v>0</v>
      </c>
      <c r="F4" s="211">
        <f t="shared" ref="F4:F30" si="0">C4+E4</f>
        <v>4000000</v>
      </c>
      <c r="G4" s="47">
        <f>2*'WA ELEC'!C3-'BCP Charts'!C4</f>
        <v>-923076.92307692301</v>
      </c>
      <c r="H4" s="14" t="s">
        <v>218</v>
      </c>
      <c r="I4" s="8">
        <v>1812463</v>
      </c>
      <c r="J4" s="8"/>
    </row>
    <row r="5" spans="1:10" x14ac:dyDescent="0.25">
      <c r="A5" s="147" t="s">
        <v>12</v>
      </c>
      <c r="B5" s="151">
        <f>SUM(B2:B4)</f>
        <v>2854.5910047494044</v>
      </c>
      <c r="C5" s="152">
        <f>SUM(C2:C4)</f>
        <v>9768643.5397408213</v>
      </c>
      <c r="D5" s="151">
        <f>SUM(D2:D4)+1</f>
        <v>12182.221716613372</v>
      </c>
      <c r="E5" s="152">
        <f>SUM(E2:E4)</f>
        <v>1181356.4602591787</v>
      </c>
      <c r="F5" s="153">
        <f>SUM(F2:F4)</f>
        <v>10950000</v>
      </c>
      <c r="H5" s="214" t="s">
        <v>219</v>
      </c>
      <c r="I5" s="8">
        <f>I4*0.05</f>
        <v>90623.150000000009</v>
      </c>
    </row>
    <row r="6" spans="1:10" x14ac:dyDescent="0.25">
      <c r="A6" s="184"/>
      <c r="B6" s="8"/>
      <c r="C6" s="7"/>
      <c r="D6" s="8"/>
      <c r="E6" s="7"/>
      <c r="F6" s="183"/>
      <c r="H6" s="14" t="s">
        <v>220</v>
      </c>
      <c r="I6" s="8">
        <f>SUM(I4:I5)</f>
        <v>1903086.15</v>
      </c>
    </row>
    <row r="7" spans="1:10" x14ac:dyDescent="0.25">
      <c r="A7" s="193" t="s">
        <v>13</v>
      </c>
      <c r="B7" s="194">
        <v>2321.0853082241247</v>
      </c>
      <c r="C7" s="195">
        <v>911176.10196802451</v>
      </c>
      <c r="D7" s="194">
        <v>289950.18920706335</v>
      </c>
      <c r="E7" s="195">
        <v>3329770.2380618183</v>
      </c>
      <c r="F7" s="209">
        <f t="shared" si="0"/>
        <v>4240946.3400298432</v>
      </c>
      <c r="J7" s="8"/>
    </row>
    <row r="8" spans="1:10" x14ac:dyDescent="0.25">
      <c r="A8" s="196" t="s">
        <v>14</v>
      </c>
      <c r="B8" s="197">
        <v>506.73873333333341</v>
      </c>
      <c r="C8" s="195">
        <v>405390.98666666675</v>
      </c>
      <c r="D8" s="197">
        <v>33182</v>
      </c>
      <c r="E8" s="195">
        <v>132729.11035267351</v>
      </c>
      <c r="F8" s="210">
        <f t="shared" si="0"/>
        <v>538120.09701934026</v>
      </c>
      <c r="J8" s="8"/>
    </row>
    <row r="9" spans="1:10" x14ac:dyDescent="0.25">
      <c r="A9" s="196" t="s">
        <v>15</v>
      </c>
      <c r="B9" s="197">
        <v>528.11666666666679</v>
      </c>
      <c r="C9" s="195">
        <v>211246.66666666672</v>
      </c>
      <c r="D9" s="197">
        <v>489282.49999999994</v>
      </c>
      <c r="E9" s="195">
        <v>2739981.9999999995</v>
      </c>
      <c r="F9" s="210">
        <f t="shared" si="0"/>
        <v>2951228.666666666</v>
      </c>
      <c r="I9" s="16"/>
      <c r="J9" s="8"/>
    </row>
    <row r="10" spans="1:10" x14ac:dyDescent="0.25">
      <c r="A10" s="196" t="s">
        <v>16</v>
      </c>
      <c r="B10" s="197">
        <v>515</v>
      </c>
      <c r="C10" s="195">
        <v>412000</v>
      </c>
      <c r="D10" s="197">
        <v>17575</v>
      </c>
      <c r="E10" s="195">
        <v>412000</v>
      </c>
      <c r="F10" s="210">
        <f t="shared" si="0"/>
        <v>824000</v>
      </c>
      <c r="I10" s="16"/>
      <c r="J10" s="8"/>
    </row>
    <row r="11" spans="1:10" x14ac:dyDescent="0.25">
      <c r="A11" s="196" t="s">
        <v>17</v>
      </c>
      <c r="B11" s="197">
        <v>3752.0172120523289</v>
      </c>
      <c r="C11" s="195">
        <v>0</v>
      </c>
      <c r="D11" s="197" t="s">
        <v>214</v>
      </c>
      <c r="E11" s="198">
        <v>0</v>
      </c>
      <c r="F11" s="210">
        <f t="shared" si="0"/>
        <v>0</v>
      </c>
      <c r="I11">
        <f>D13/I6</f>
        <v>0.45371771770758712</v>
      </c>
      <c r="J11" s="8"/>
    </row>
    <row r="12" spans="1:10" x14ac:dyDescent="0.25">
      <c r="A12" s="199" t="s">
        <v>18</v>
      </c>
      <c r="B12" s="200">
        <v>1234.4639999999999</v>
      </c>
      <c r="C12" s="195">
        <v>987571.20000000007</v>
      </c>
      <c r="D12" s="200">
        <v>33472.215371855433</v>
      </c>
      <c r="E12" s="201">
        <v>214222.17837987479</v>
      </c>
      <c r="F12" s="211">
        <f t="shared" si="0"/>
        <v>1201793.3783798749</v>
      </c>
      <c r="J12" s="8"/>
    </row>
    <row r="13" spans="1:10" x14ac:dyDescent="0.25">
      <c r="A13" s="145" t="s">
        <v>19</v>
      </c>
      <c r="B13" s="143">
        <f>SUM(B7:B12)</f>
        <v>8857.4219202764543</v>
      </c>
      <c r="C13" s="144">
        <f>SUM(C7:C12)</f>
        <v>2927384.9553013579</v>
      </c>
      <c r="D13" s="143">
        <f>SUM(D7:D12)+2</f>
        <v>863463.90457891871</v>
      </c>
      <c r="E13" s="144">
        <f>SUM(E7:E12)</f>
        <v>6828703.5267943665</v>
      </c>
      <c r="F13" s="185">
        <f>SUM(F7:F12)</f>
        <v>9756088.4820957221</v>
      </c>
      <c r="H13" s="214"/>
    </row>
    <row r="14" spans="1:10" x14ac:dyDescent="0.25">
      <c r="A14" s="184"/>
      <c r="B14" s="8"/>
      <c r="C14" s="7"/>
      <c r="D14" s="8"/>
      <c r="E14" s="7"/>
      <c r="F14" s="183"/>
    </row>
    <row r="15" spans="1:10" x14ac:dyDescent="0.25">
      <c r="A15" s="193" t="s">
        <v>20</v>
      </c>
      <c r="B15" s="194">
        <v>13147.355</v>
      </c>
      <c r="C15" s="195">
        <v>3301095</v>
      </c>
      <c r="D15" s="194" t="s">
        <v>214</v>
      </c>
      <c r="E15" s="195">
        <v>0</v>
      </c>
      <c r="F15" s="209">
        <f t="shared" si="0"/>
        <v>3301095</v>
      </c>
      <c r="J15" s="8"/>
    </row>
    <row r="16" spans="1:10" x14ac:dyDescent="0.25">
      <c r="A16" s="196" t="s">
        <v>21</v>
      </c>
      <c r="B16" s="197">
        <v>5274.9930000000004</v>
      </c>
      <c r="C16" s="195">
        <v>1400420</v>
      </c>
      <c r="D16" s="197" t="s">
        <v>214</v>
      </c>
      <c r="E16" s="198">
        <v>0</v>
      </c>
      <c r="F16" s="210">
        <f t="shared" si="0"/>
        <v>1400420</v>
      </c>
      <c r="J16" s="8"/>
    </row>
    <row r="17" spans="1:11" x14ac:dyDescent="0.25">
      <c r="A17" s="196" t="s">
        <v>22</v>
      </c>
      <c r="B17" s="197">
        <v>12456</v>
      </c>
      <c r="C17" s="195">
        <v>6228000</v>
      </c>
      <c r="D17" s="197" t="s">
        <v>214</v>
      </c>
      <c r="E17" s="198">
        <v>0</v>
      </c>
      <c r="F17" s="210">
        <f t="shared" si="0"/>
        <v>6228000</v>
      </c>
      <c r="J17" s="8"/>
    </row>
    <row r="18" spans="1:11" x14ac:dyDescent="0.25">
      <c r="A18" s="196" t="s">
        <v>23</v>
      </c>
      <c r="B18" s="197">
        <v>10.612</v>
      </c>
      <c r="C18" s="195">
        <v>8489.8884120171679</v>
      </c>
      <c r="D18" s="197">
        <v>247268</v>
      </c>
      <c r="E18" s="198">
        <v>386357.5</v>
      </c>
      <c r="F18" s="210">
        <f t="shared" si="0"/>
        <v>394847.38841201714</v>
      </c>
      <c r="J18" s="8"/>
    </row>
    <row r="19" spans="1:11" x14ac:dyDescent="0.25">
      <c r="A19" s="196" t="s">
        <v>24</v>
      </c>
      <c r="B19" s="197">
        <v>15173.262000000002</v>
      </c>
      <c r="C19" s="195">
        <v>4076800.0000000005</v>
      </c>
      <c r="D19" s="197">
        <v>259792</v>
      </c>
      <c r="E19" s="198">
        <v>926927</v>
      </c>
      <c r="F19" s="210">
        <f t="shared" si="0"/>
        <v>5003727</v>
      </c>
      <c r="J19" s="8"/>
    </row>
    <row r="20" spans="1:11" x14ac:dyDescent="0.25">
      <c r="A20" s="196" t="s">
        <v>25</v>
      </c>
      <c r="B20" s="197">
        <v>0</v>
      </c>
      <c r="C20" s="195">
        <v>151732.62000000002</v>
      </c>
      <c r="D20" s="197" t="s">
        <v>214</v>
      </c>
      <c r="E20" s="198">
        <v>0</v>
      </c>
      <c r="F20" s="210">
        <f t="shared" si="0"/>
        <v>151732.62000000002</v>
      </c>
      <c r="J20" s="8"/>
    </row>
    <row r="21" spans="1:11" x14ac:dyDescent="0.25">
      <c r="A21" s="196" t="s">
        <v>26</v>
      </c>
      <c r="B21" s="197">
        <v>1000</v>
      </c>
      <c r="C21" s="195">
        <v>800000</v>
      </c>
      <c r="D21" s="197">
        <v>28129.692832764507</v>
      </c>
      <c r="E21" s="198">
        <v>0</v>
      </c>
      <c r="F21" s="210">
        <f>C21+E21</f>
        <v>800000</v>
      </c>
      <c r="J21" s="8"/>
    </row>
    <row r="22" spans="1:11" x14ac:dyDescent="0.25">
      <c r="A22" s="196" t="s">
        <v>27</v>
      </c>
      <c r="B22" s="197">
        <v>396.88920000000002</v>
      </c>
      <c r="C22" s="195">
        <v>368213.27009870281</v>
      </c>
      <c r="D22" s="197">
        <v>75620.297811375582</v>
      </c>
      <c r="E22" s="198">
        <v>233977.28606459859</v>
      </c>
      <c r="F22" s="210">
        <f t="shared" si="0"/>
        <v>602190.55616330146</v>
      </c>
      <c r="J22" s="8"/>
    </row>
    <row r="23" spans="1:11" x14ac:dyDescent="0.25">
      <c r="A23" s="196" t="s">
        <v>28</v>
      </c>
      <c r="B23" s="197">
        <v>16.764657178190223</v>
      </c>
      <c r="C23" s="195">
        <v>3062.8711935121055</v>
      </c>
      <c r="D23" s="197" t="s">
        <v>214</v>
      </c>
      <c r="E23" s="198">
        <v>0</v>
      </c>
      <c r="F23" s="210">
        <f t="shared" si="0"/>
        <v>3062.8711935121055</v>
      </c>
      <c r="H23" s="249">
        <f>E51-SUM([2]Sheet1!$G$2:$G$6)</f>
        <v>90774.973118141294</v>
      </c>
      <c r="J23" s="8"/>
    </row>
    <row r="24" spans="1:11" x14ac:dyDescent="0.25">
      <c r="A24" s="196" t="s">
        <v>29</v>
      </c>
      <c r="B24" s="197">
        <v>24</v>
      </c>
      <c r="C24" s="195">
        <v>8640</v>
      </c>
      <c r="D24" s="197" t="s">
        <v>214</v>
      </c>
      <c r="E24" s="198">
        <v>0</v>
      </c>
      <c r="F24" s="210">
        <f t="shared" si="0"/>
        <v>8640</v>
      </c>
      <c r="J24" s="8"/>
    </row>
    <row r="25" spans="1:11" x14ac:dyDescent="0.25">
      <c r="A25" s="196" t="s">
        <v>30</v>
      </c>
      <c r="B25" s="197">
        <v>107.2004917729237</v>
      </c>
      <c r="C25" s="195">
        <v>25728.118025501684</v>
      </c>
      <c r="D25" s="197" t="s">
        <v>214</v>
      </c>
      <c r="E25" s="198">
        <v>0</v>
      </c>
      <c r="F25" s="210">
        <f t="shared" si="0"/>
        <v>25728.118025501684</v>
      </c>
      <c r="J25" s="8"/>
    </row>
    <row r="26" spans="1:11" x14ac:dyDescent="0.25">
      <c r="A26" s="196" t="s">
        <v>31</v>
      </c>
      <c r="B26" s="197">
        <v>0.58170003644837387</v>
      </c>
      <c r="C26" s="195">
        <v>4000</v>
      </c>
      <c r="D26" s="197" t="s">
        <v>214</v>
      </c>
      <c r="E26" s="198">
        <v>0</v>
      </c>
      <c r="F26" s="210">
        <f t="shared" si="0"/>
        <v>4000</v>
      </c>
      <c r="J26" s="8"/>
      <c r="K26" t="s">
        <v>221</v>
      </c>
    </row>
    <row r="27" spans="1:11" x14ac:dyDescent="0.25">
      <c r="A27" s="196" t="s">
        <v>32</v>
      </c>
      <c r="B27" s="197">
        <v>116.31763835894472</v>
      </c>
      <c r="C27" s="195">
        <v>30628.711935121053</v>
      </c>
      <c r="D27" s="197" t="s">
        <v>214</v>
      </c>
      <c r="E27" s="198">
        <v>0</v>
      </c>
      <c r="F27" s="210">
        <f t="shared" si="0"/>
        <v>30628.711935121053</v>
      </c>
      <c r="J27" s="8"/>
    </row>
    <row r="28" spans="1:11" x14ac:dyDescent="0.25">
      <c r="A28" s="196" t="s">
        <v>33</v>
      </c>
      <c r="B28" s="197">
        <v>1079.329333333334</v>
      </c>
      <c r="C28" s="195">
        <v>844986.66666666686</v>
      </c>
      <c r="D28" s="197">
        <v>416544.49999999994</v>
      </c>
      <c r="E28" s="198">
        <v>2332649.1999999997</v>
      </c>
      <c r="F28" s="210">
        <f t="shared" si="0"/>
        <v>3177635.8666666667</v>
      </c>
      <c r="J28" s="8"/>
    </row>
    <row r="29" spans="1:11" x14ac:dyDescent="0.25">
      <c r="A29" s="199" t="s">
        <v>34</v>
      </c>
      <c r="B29" s="200">
        <v>2858.6797806112986</v>
      </c>
      <c r="C29" s="195">
        <v>0</v>
      </c>
      <c r="D29" s="202" t="s">
        <v>214</v>
      </c>
      <c r="E29" s="201">
        <v>0</v>
      </c>
      <c r="F29" s="211">
        <f t="shared" si="0"/>
        <v>0</v>
      </c>
      <c r="J29" s="8"/>
    </row>
    <row r="30" spans="1:11" x14ac:dyDescent="0.25">
      <c r="A30" s="146" t="s">
        <v>35</v>
      </c>
      <c r="B30" s="148">
        <f>SUM(B15:B29)</f>
        <v>51661.984801291132</v>
      </c>
      <c r="C30" s="149">
        <f>SUM(C15:C29)</f>
        <v>17251797.146331523</v>
      </c>
      <c r="D30" s="148">
        <f>SUM(D15:D29)+2</f>
        <v>1027356.4906441399</v>
      </c>
      <c r="E30" s="149">
        <f>SUM(E15:E29)</f>
        <v>3879910.9860645984</v>
      </c>
      <c r="F30" s="150">
        <f t="shared" si="0"/>
        <v>21131708.132396121</v>
      </c>
      <c r="H30" s="215"/>
    </row>
    <row r="31" spans="1:11" x14ac:dyDescent="0.25">
      <c r="A31" s="184"/>
      <c r="B31" s="186"/>
      <c r="C31" s="186"/>
      <c r="D31" s="186"/>
      <c r="E31" s="187"/>
      <c r="F31" s="188"/>
    </row>
    <row r="32" spans="1:11" x14ac:dyDescent="0.25">
      <c r="A32" s="193" t="s">
        <v>207</v>
      </c>
      <c r="B32" s="194">
        <v>15739</v>
      </c>
      <c r="C32" s="195">
        <v>3306993</v>
      </c>
      <c r="D32" s="194">
        <v>0</v>
      </c>
      <c r="E32" s="195">
        <v>0</v>
      </c>
      <c r="F32" s="203">
        <f>E32+C32</f>
        <v>3306993</v>
      </c>
      <c r="J32" s="8"/>
    </row>
    <row r="33" spans="1:14" x14ac:dyDescent="0.25">
      <c r="A33" s="199" t="s">
        <v>208</v>
      </c>
      <c r="B33" s="200">
        <v>0</v>
      </c>
      <c r="C33" s="201">
        <v>0</v>
      </c>
      <c r="D33" s="200">
        <v>39970</v>
      </c>
      <c r="E33" s="201">
        <f>406000*2</f>
        <v>812000</v>
      </c>
      <c r="F33" s="204">
        <f>E33+C33</f>
        <v>812000</v>
      </c>
    </row>
    <row r="34" spans="1:14" ht="15.75" thickBot="1" x14ac:dyDescent="0.3">
      <c r="A34" s="164" t="s">
        <v>206</v>
      </c>
      <c r="B34" s="165">
        <f>SUM(B32:B33)</f>
        <v>15739</v>
      </c>
      <c r="C34" s="166">
        <f t="shared" ref="C34:F34" si="1">SUM(C32:C33)</f>
        <v>3306993</v>
      </c>
      <c r="D34" s="165">
        <f t="shared" si="1"/>
        <v>39970</v>
      </c>
      <c r="E34" s="166">
        <f t="shared" si="1"/>
        <v>812000</v>
      </c>
      <c r="F34" s="167">
        <f t="shared" si="1"/>
        <v>4118993</v>
      </c>
    </row>
    <row r="35" spans="1:14" ht="23.25" thickBot="1" x14ac:dyDescent="0.3">
      <c r="A35" s="184"/>
      <c r="F35" s="188"/>
      <c r="G35" s="102" t="s">
        <v>82</v>
      </c>
      <c r="H35" s="103" t="s">
        <v>83</v>
      </c>
    </row>
    <row r="36" spans="1:14" ht="34.5" thickBot="1" x14ac:dyDescent="0.3">
      <c r="A36" s="193" t="s">
        <v>86</v>
      </c>
      <c r="B36" s="205">
        <v>0</v>
      </c>
      <c r="C36" s="195">
        <v>3731990</v>
      </c>
      <c r="D36" s="205">
        <v>0</v>
      </c>
      <c r="E36" s="195">
        <v>4248434</v>
      </c>
      <c r="F36" s="209">
        <f>SUM(C36,E36)</f>
        <v>7980424</v>
      </c>
      <c r="G36" s="61" t="s">
        <v>86</v>
      </c>
      <c r="H36" s="62">
        <f>2272402-406407</f>
        <v>1865995</v>
      </c>
      <c r="I36" s="18">
        <f>H36*2</f>
        <v>3731990</v>
      </c>
      <c r="J36" s="17">
        <f>90775-E36</f>
        <v>-4157659</v>
      </c>
    </row>
    <row r="37" spans="1:14" ht="15.75" thickBot="1" x14ac:dyDescent="0.3">
      <c r="A37" s="196" t="s">
        <v>87</v>
      </c>
      <c r="B37" s="206">
        <v>0</v>
      </c>
      <c r="C37" s="198">
        <f>5514496+G4</f>
        <v>4591419.076923077</v>
      </c>
      <c r="D37" s="206">
        <v>0</v>
      </c>
      <c r="E37" s="198">
        <v>493498</v>
      </c>
      <c r="F37" s="210">
        <f t="shared" ref="F37:F48" si="2">SUM(C37,E37)</f>
        <v>5084917.076923077</v>
      </c>
      <c r="G37" s="61" t="s">
        <v>87</v>
      </c>
      <c r="H37" s="62">
        <v>2757248</v>
      </c>
      <c r="I37" s="18">
        <f>H37*2</f>
        <v>5514496</v>
      </c>
      <c r="J37" s="17">
        <f t="shared" ref="J37:J48" si="3">90775-E37</f>
        <v>-402723</v>
      </c>
    </row>
    <row r="38" spans="1:14" ht="15.75" thickBot="1" x14ac:dyDescent="0.3">
      <c r="A38" s="196" t="s">
        <v>88</v>
      </c>
      <c r="B38" s="206">
        <v>0</v>
      </c>
      <c r="C38" s="198">
        <v>548088</v>
      </c>
      <c r="D38" s="206">
        <v>0</v>
      </c>
      <c r="E38" s="198">
        <v>769564</v>
      </c>
      <c r="F38" s="210">
        <f t="shared" si="2"/>
        <v>1317652</v>
      </c>
      <c r="G38" s="61" t="s">
        <v>88</v>
      </c>
      <c r="H38" s="62">
        <v>274044</v>
      </c>
      <c r="I38" s="18">
        <f t="shared" ref="I38:I48" si="4">H38*2</f>
        <v>548088</v>
      </c>
      <c r="J38" s="17">
        <f t="shared" si="3"/>
        <v>-678789</v>
      </c>
    </row>
    <row r="39" spans="1:14" ht="15.75" thickBot="1" x14ac:dyDescent="0.3">
      <c r="A39" s="196" t="s">
        <v>89</v>
      </c>
      <c r="B39" s="206">
        <v>0</v>
      </c>
      <c r="C39" s="198">
        <v>102180</v>
      </c>
      <c r="D39" s="206">
        <v>0</v>
      </c>
      <c r="E39" s="198">
        <v>49144</v>
      </c>
      <c r="F39" s="210">
        <f t="shared" si="2"/>
        <v>151324</v>
      </c>
      <c r="G39" s="61" t="s">
        <v>89</v>
      </c>
      <c r="H39" s="62">
        <v>51090</v>
      </c>
      <c r="I39" s="18">
        <f t="shared" si="4"/>
        <v>102180</v>
      </c>
      <c r="J39" s="17">
        <f t="shared" si="3"/>
        <v>41631</v>
      </c>
    </row>
    <row r="40" spans="1:14" ht="15.75" thickBot="1" x14ac:dyDescent="0.3">
      <c r="A40" s="196" t="s">
        <v>90</v>
      </c>
      <c r="B40" s="206">
        <v>0</v>
      </c>
      <c r="C40" s="198">
        <v>272482</v>
      </c>
      <c r="D40" s="206">
        <v>0</v>
      </c>
      <c r="E40" s="198">
        <v>24384</v>
      </c>
      <c r="F40" s="210">
        <f t="shared" si="2"/>
        <v>296866</v>
      </c>
      <c r="G40" s="61" t="s">
        <v>90</v>
      </c>
      <c r="H40" s="62">
        <v>136241</v>
      </c>
      <c r="I40" s="18">
        <f t="shared" si="4"/>
        <v>272482</v>
      </c>
      <c r="J40" s="17">
        <f t="shared" si="3"/>
        <v>66391</v>
      </c>
    </row>
    <row r="41" spans="1:14" ht="15.75" thickBot="1" x14ac:dyDescent="0.3">
      <c r="A41" s="196" t="s">
        <v>91</v>
      </c>
      <c r="B41" s="206">
        <v>0</v>
      </c>
      <c r="C41" s="198">
        <v>1170490</v>
      </c>
      <c r="D41" s="206">
        <v>0</v>
      </c>
      <c r="E41" s="198">
        <v>97538</v>
      </c>
      <c r="F41" s="210">
        <f t="shared" si="2"/>
        <v>1268028</v>
      </c>
      <c r="G41" s="61" t="s">
        <v>91</v>
      </c>
      <c r="H41" s="62">
        <v>585245</v>
      </c>
      <c r="I41" s="18">
        <f t="shared" si="4"/>
        <v>1170490</v>
      </c>
      <c r="J41" s="17">
        <f t="shared" si="3"/>
        <v>-6763</v>
      </c>
    </row>
    <row r="42" spans="1:14" ht="15.75" thickBot="1" x14ac:dyDescent="0.3">
      <c r="A42" s="196" t="s">
        <v>92</v>
      </c>
      <c r="B42" s="206">
        <v>0</v>
      </c>
      <c r="C42" s="198">
        <v>13624</v>
      </c>
      <c r="D42" s="206">
        <v>0</v>
      </c>
      <c r="E42" s="198">
        <v>1220</v>
      </c>
      <c r="F42" s="210">
        <f t="shared" si="2"/>
        <v>14844</v>
      </c>
      <c r="G42" s="61" t="s">
        <v>92</v>
      </c>
      <c r="H42" s="62">
        <v>6812</v>
      </c>
      <c r="I42" s="18">
        <f t="shared" si="4"/>
        <v>13624</v>
      </c>
      <c r="J42" s="17">
        <f t="shared" si="3"/>
        <v>89555</v>
      </c>
    </row>
    <row r="43" spans="1:14" ht="15.75" thickBot="1" x14ac:dyDescent="0.3">
      <c r="A43" s="196" t="s">
        <v>93</v>
      </c>
      <c r="B43" s="206">
        <v>0</v>
      </c>
      <c r="C43" s="198">
        <v>6812</v>
      </c>
      <c r="D43" s="206">
        <v>0</v>
      </c>
      <c r="E43" s="198">
        <v>1220</v>
      </c>
      <c r="F43" s="210">
        <f t="shared" si="2"/>
        <v>8032</v>
      </c>
      <c r="G43" s="61" t="s">
        <v>93</v>
      </c>
      <c r="H43" s="62">
        <v>3406</v>
      </c>
      <c r="I43" s="18">
        <f t="shared" si="4"/>
        <v>6812</v>
      </c>
      <c r="J43" s="17">
        <f t="shared" si="3"/>
        <v>89555</v>
      </c>
    </row>
    <row r="44" spans="1:14" ht="23.25" thickBot="1" x14ac:dyDescent="0.3">
      <c r="A44" s="196" t="s">
        <v>96</v>
      </c>
      <c r="B44" s="206">
        <v>0</v>
      </c>
      <c r="C44" s="198">
        <v>136242</v>
      </c>
      <c r="D44" s="206">
        <v>0</v>
      </c>
      <c r="E44" s="198">
        <v>14000</v>
      </c>
      <c r="F44" s="210">
        <f t="shared" si="2"/>
        <v>150242</v>
      </c>
      <c r="G44" s="61" t="s">
        <v>96</v>
      </c>
      <c r="H44" s="62">
        <v>68121</v>
      </c>
      <c r="I44" s="18">
        <f t="shared" si="4"/>
        <v>136242</v>
      </c>
      <c r="J44" s="17">
        <f t="shared" si="3"/>
        <v>76775</v>
      </c>
    </row>
    <row r="45" spans="1:14" ht="15.75" thickBot="1" x14ac:dyDescent="0.3">
      <c r="A45" s="196" t="s">
        <v>97</v>
      </c>
      <c r="B45" s="206">
        <v>0</v>
      </c>
      <c r="C45" s="198">
        <v>313354</v>
      </c>
      <c r="D45" s="206">
        <v>0</v>
      </c>
      <c r="E45" s="198">
        <v>28042</v>
      </c>
      <c r="F45" s="210">
        <f t="shared" si="2"/>
        <v>341396</v>
      </c>
      <c r="G45" s="61" t="s">
        <v>97</v>
      </c>
      <c r="H45" s="62">
        <v>156677</v>
      </c>
      <c r="I45" s="18">
        <f t="shared" si="4"/>
        <v>313354</v>
      </c>
      <c r="J45" s="17">
        <f t="shared" si="3"/>
        <v>62733</v>
      </c>
      <c r="K45" s="17"/>
    </row>
    <row r="46" spans="1:14" ht="34.5" thickBot="1" x14ac:dyDescent="0.3">
      <c r="A46" s="196" t="s">
        <v>98</v>
      </c>
      <c r="B46" s="206">
        <v>0</v>
      </c>
      <c r="C46" s="198">
        <v>54496</v>
      </c>
      <c r="D46" s="206">
        <v>0</v>
      </c>
      <c r="E46" s="198">
        <v>310146</v>
      </c>
      <c r="F46" s="210">
        <f t="shared" si="2"/>
        <v>364642</v>
      </c>
      <c r="G46" s="61" t="s">
        <v>98</v>
      </c>
      <c r="H46" s="62">
        <v>27248</v>
      </c>
      <c r="I46" s="18">
        <f t="shared" si="4"/>
        <v>54496</v>
      </c>
      <c r="J46" s="17">
        <f t="shared" si="3"/>
        <v>-219371</v>
      </c>
      <c r="N46" s="212"/>
    </row>
    <row r="47" spans="1:14" ht="23.25" thickBot="1" x14ac:dyDescent="0.3">
      <c r="A47" s="196" t="s">
        <v>99</v>
      </c>
      <c r="B47" s="206">
        <v>0</v>
      </c>
      <c r="C47" s="198">
        <v>490724</v>
      </c>
      <c r="D47" s="206">
        <v>0</v>
      </c>
      <c r="E47" s="198">
        <v>60578</v>
      </c>
      <c r="F47" s="210">
        <f t="shared" si="2"/>
        <v>551302</v>
      </c>
      <c r="G47" s="61" t="s">
        <v>99</v>
      </c>
      <c r="H47" s="62">
        <v>245362</v>
      </c>
      <c r="I47" s="18">
        <f t="shared" si="4"/>
        <v>490724</v>
      </c>
      <c r="J47" s="17">
        <f t="shared" si="3"/>
        <v>30197</v>
      </c>
    </row>
    <row r="48" spans="1:14" ht="15.75" thickBot="1" x14ac:dyDescent="0.3">
      <c r="A48" s="199" t="s">
        <v>49</v>
      </c>
      <c r="B48" s="207">
        <v>0</v>
      </c>
      <c r="C48" s="201">
        <v>2000000</v>
      </c>
      <c r="D48" s="207">
        <v>0</v>
      </c>
      <c r="E48" s="201">
        <v>0</v>
      </c>
      <c r="F48" s="211">
        <f t="shared" si="2"/>
        <v>2000000</v>
      </c>
      <c r="G48" s="61" t="s">
        <v>49</v>
      </c>
      <c r="H48" s="62">
        <v>1000000</v>
      </c>
      <c r="I48" s="18">
        <f t="shared" si="4"/>
        <v>2000000</v>
      </c>
      <c r="J48" s="17">
        <f t="shared" si="3"/>
        <v>90775</v>
      </c>
      <c r="N48" s="49"/>
    </row>
    <row r="49" spans="1:14" ht="15.75" thickBot="1" x14ac:dyDescent="0.3">
      <c r="A49" s="171" t="s">
        <v>209</v>
      </c>
      <c r="B49" s="172">
        <f>SUM(B36:B48)</f>
        <v>0</v>
      </c>
      <c r="C49" s="173">
        <f>SUM(C36:C48)</f>
        <v>13431901.076923076</v>
      </c>
      <c r="D49" s="172">
        <f t="shared" ref="D49:F49" si="5">SUM(D36:D48)</f>
        <v>0</v>
      </c>
      <c r="E49" s="173">
        <f>SUM(E36:E48)</f>
        <v>6097768</v>
      </c>
      <c r="F49" s="174">
        <f t="shared" si="5"/>
        <v>19529669.076923076</v>
      </c>
      <c r="G49" s="64" t="s">
        <v>100</v>
      </c>
      <c r="H49" s="65">
        <v>1468750</v>
      </c>
      <c r="N49" s="49"/>
    </row>
    <row r="50" spans="1:14" ht="15.75" thickBot="1" x14ac:dyDescent="0.3">
      <c r="A50" s="160" t="s">
        <v>215</v>
      </c>
      <c r="B50" s="161">
        <f>SUM(B30,B13,B5)</f>
        <v>63373.997726316993</v>
      </c>
      <c r="C50" s="178">
        <v>38481214.3114371</v>
      </c>
      <c r="D50" s="161">
        <f>SUM(D30,D13,D5)</f>
        <v>1903002.616939672</v>
      </c>
      <c r="E50" s="162">
        <f>SUM(E49,E34,E30,E13,E5)-SUM(E34,E38,E46)</f>
        <v>16908028.973118141</v>
      </c>
      <c r="F50" s="163">
        <f>SUM(E50,C50)</f>
        <v>55389243.284555241</v>
      </c>
      <c r="G50" s="66" t="s">
        <v>53</v>
      </c>
      <c r="H50" s="67">
        <f>SUM(H36:H49)</f>
        <v>8646239</v>
      </c>
      <c r="I50" s="18">
        <f>(H50-H49)*2</f>
        <v>14354978</v>
      </c>
    </row>
    <row r="51" spans="1:14" x14ac:dyDescent="0.25">
      <c r="A51" s="160" t="s">
        <v>216</v>
      </c>
      <c r="B51" s="177">
        <f>SUM(B50,B34)</f>
        <v>79112.997726317</v>
      </c>
      <c r="C51" s="178">
        <f>SUM(C49,C34,C30,C13,C5)</f>
        <v>46686719.718296781</v>
      </c>
      <c r="D51" s="177">
        <f>SUM(D49,D34,D30,D13,D5)</f>
        <v>1942972.616939672</v>
      </c>
      <c r="E51" s="178">
        <f>SUM(E49,E34,E30,E13,E5)</f>
        <v>18799738.973118141</v>
      </c>
      <c r="F51" s="179">
        <f t="shared" ref="F51" si="6">SUM(F49,F34,F30,F13,F5)</f>
        <v>65486458.691414922</v>
      </c>
    </row>
    <row r="52" spans="1:14" x14ac:dyDescent="0.25">
      <c r="A52" s="189" t="s">
        <v>217</v>
      </c>
      <c r="B52" s="190"/>
      <c r="C52" s="191">
        <f>C38/C50</f>
        <v>1.4243001677758941E-2</v>
      </c>
      <c r="D52" s="190"/>
      <c r="E52" s="191">
        <f>E38/E50</f>
        <v>4.5514707907321421E-2</v>
      </c>
      <c r="F52" s="192"/>
    </row>
    <row r="53" spans="1:14" x14ac:dyDescent="0.25">
      <c r="B53" s="176"/>
      <c r="C53" s="175"/>
      <c r="D53" s="213"/>
      <c r="J53" s="14">
        <f>D50/2</f>
        <v>951501.30846983602</v>
      </c>
    </row>
    <row r="54" spans="1:14" x14ac:dyDescent="0.25">
      <c r="C54" s="208"/>
    </row>
    <row r="55" spans="1:14" x14ac:dyDescent="0.25">
      <c r="B55" s="154"/>
      <c r="C55" s="208"/>
    </row>
    <row r="56" spans="1:14" x14ac:dyDescent="0.25">
      <c r="E56" s="208"/>
      <c r="F56" s="208"/>
      <c r="J56" t="s">
        <v>222</v>
      </c>
    </row>
    <row r="57" spans="1:14" ht="15.75" thickBot="1" x14ac:dyDescent="0.3">
      <c r="A57" s="217"/>
      <c r="B57" s="218" t="s">
        <v>230</v>
      </c>
      <c r="C57" s="219" t="s">
        <v>231</v>
      </c>
      <c r="D57" s="154"/>
    </row>
    <row r="58" spans="1:14" ht="15.75" thickBot="1" x14ac:dyDescent="0.3">
      <c r="A58" s="220" t="s">
        <v>223</v>
      </c>
      <c r="B58" s="138">
        <f>B2</f>
        <v>1706.0143071823652</v>
      </c>
      <c r="C58" s="221">
        <f>7240919.34248689+700000</f>
        <v>7940919.34248689</v>
      </c>
    </row>
    <row r="59" spans="1:14" ht="15.75" thickBot="1" x14ac:dyDescent="0.3">
      <c r="A59" s="220" t="s">
        <v>224</v>
      </c>
      <c r="B59" s="138">
        <f>B4</f>
        <v>1148.5766975670394</v>
      </c>
      <c r="C59" s="221">
        <v>4000000</v>
      </c>
    </row>
    <row r="60" spans="1:14" ht="15.75" thickBot="1" x14ac:dyDescent="0.3">
      <c r="A60" s="220" t="s">
        <v>225</v>
      </c>
      <c r="B60" s="138">
        <f>B13</f>
        <v>8857.4219202764543</v>
      </c>
      <c r="C60" s="221">
        <v>4232900.507573368</v>
      </c>
    </row>
    <row r="61" spans="1:14" ht="15.75" thickBot="1" x14ac:dyDescent="0.3">
      <c r="A61" s="220" t="s">
        <v>226</v>
      </c>
      <c r="B61" s="138">
        <f>B30</f>
        <v>51661.984801291132</v>
      </c>
      <c r="C61" s="221">
        <v>24603323.494759299</v>
      </c>
    </row>
    <row r="62" spans="1:14" ht="15.75" thickBot="1" x14ac:dyDescent="0.3">
      <c r="A62" s="220" t="s">
        <v>227</v>
      </c>
      <c r="B62" s="222">
        <v>0</v>
      </c>
      <c r="C62" s="221">
        <v>2000000</v>
      </c>
    </row>
    <row r="63" spans="1:14" ht="15.75" thickBot="1" x14ac:dyDescent="0.3">
      <c r="A63" s="220" t="s">
        <v>145</v>
      </c>
      <c r="B63" s="222">
        <v>0</v>
      </c>
      <c r="C63" s="221">
        <v>602584</v>
      </c>
      <c r="E63" s="7"/>
    </row>
    <row r="64" spans="1:14" ht="15.75" thickBot="1" x14ac:dyDescent="0.3">
      <c r="A64" s="220" t="s">
        <v>228</v>
      </c>
      <c r="B64" s="222">
        <v>0</v>
      </c>
      <c r="C64" s="221">
        <v>3306993</v>
      </c>
      <c r="E64" s="7"/>
    </row>
    <row r="65" spans="1:5" x14ac:dyDescent="0.25">
      <c r="A65" s="223" t="s">
        <v>229</v>
      </c>
      <c r="B65" s="216">
        <f>SUM(B58:B64)</f>
        <v>63373.997726316986</v>
      </c>
      <c r="C65" s="224">
        <f>SUM(C58:C64)</f>
        <v>46686720.344819561</v>
      </c>
    </row>
    <row r="67" spans="1:5" x14ac:dyDescent="0.25">
      <c r="C67" s="7">
        <f>C51</f>
        <v>46686719.718296781</v>
      </c>
      <c r="D67" s="7"/>
      <c r="E67" s="7"/>
    </row>
  </sheetData>
  <pageMargins left="0.7" right="0.7" top="0.75" bottom="0.75" header="0.3" footer="0.3"/>
  <pageSetup scale="8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55DB5-0FBB-445C-98F7-CD6914932645}">
  <dimension ref="A1:M72"/>
  <sheetViews>
    <sheetView topLeftCell="A32" workbookViewId="0">
      <selection activeCell="F20" sqref="F20"/>
    </sheetView>
  </sheetViews>
  <sheetFormatPr defaultRowHeight="15" x14ac:dyDescent="0.25"/>
  <cols>
    <col min="1" max="1" width="32.140625" bestFit="1" customWidth="1"/>
    <col min="2" max="2" width="23.42578125" bestFit="1" customWidth="1"/>
    <col min="3" max="3" width="11.5703125" bestFit="1" customWidth="1"/>
    <col min="4" max="4" width="14" customWidth="1"/>
    <col min="10" max="13" width="18.85546875" customWidth="1"/>
  </cols>
  <sheetData>
    <row r="1" spans="1:3" ht="23.25" thickBot="1" x14ac:dyDescent="0.3">
      <c r="A1" s="102" t="s">
        <v>166</v>
      </c>
      <c r="B1" s="104" t="s">
        <v>77</v>
      </c>
    </row>
    <row r="2" spans="1:3" ht="15.75" thickBot="1" x14ac:dyDescent="0.3">
      <c r="A2" s="106" t="s">
        <v>167</v>
      </c>
      <c r="B2" s="63">
        <v>-1041539</v>
      </c>
    </row>
    <row r="3" spans="1:3" ht="15.75" thickBot="1" x14ac:dyDescent="0.3">
      <c r="A3" s="106" t="s">
        <v>168</v>
      </c>
      <c r="B3" s="63">
        <v>17600790</v>
      </c>
    </row>
    <row r="4" spans="1:3" ht="15.75" thickBot="1" x14ac:dyDescent="0.3">
      <c r="A4" s="106" t="s">
        <v>169</v>
      </c>
      <c r="B4" s="63">
        <v>22697863</v>
      </c>
    </row>
    <row r="5" spans="1:3" ht="15.75" thickBot="1" x14ac:dyDescent="0.3">
      <c r="A5" s="129" t="s">
        <v>170</v>
      </c>
      <c r="B5" s="130">
        <f>B4-B3+B2</f>
        <v>4055534</v>
      </c>
    </row>
    <row r="8" spans="1:3" ht="15.75" thickBot="1" x14ac:dyDescent="0.3"/>
    <row r="9" spans="1:3" ht="15.75" thickBot="1" x14ac:dyDescent="0.3">
      <c r="A9" s="131" t="s">
        <v>131</v>
      </c>
      <c r="B9" s="132">
        <v>2023</v>
      </c>
      <c r="C9" s="133">
        <v>2024</v>
      </c>
    </row>
    <row r="10" spans="1:3" ht="15.75" thickBot="1" x14ac:dyDescent="0.3">
      <c r="A10" s="61" t="s">
        <v>41</v>
      </c>
      <c r="B10" s="62">
        <v>2191766</v>
      </c>
      <c r="C10" s="63">
        <v>2534322</v>
      </c>
    </row>
    <row r="11" spans="1:3" ht="15.75" thickBot="1" x14ac:dyDescent="0.3">
      <c r="A11" s="61" t="s">
        <v>42</v>
      </c>
      <c r="B11" s="62">
        <v>2000000</v>
      </c>
      <c r="C11" s="63">
        <v>1538461.5384615385</v>
      </c>
    </row>
    <row r="12" spans="1:3" ht="15.75" thickBot="1" x14ac:dyDescent="0.3">
      <c r="A12" s="61" t="s">
        <v>43</v>
      </c>
      <c r="B12" s="62">
        <v>957530</v>
      </c>
      <c r="C12" s="63">
        <v>1547676.3629114947</v>
      </c>
    </row>
    <row r="13" spans="1:3" ht="15.75" thickBot="1" x14ac:dyDescent="0.3">
      <c r="A13" s="61" t="s">
        <v>45</v>
      </c>
      <c r="B13" s="62">
        <v>1618250</v>
      </c>
      <c r="C13" s="63">
        <v>1155374</v>
      </c>
    </row>
    <row r="14" spans="1:3" ht="15.75" thickBot="1" x14ac:dyDescent="0.3">
      <c r="A14" s="61" t="s">
        <v>48</v>
      </c>
      <c r="B14" s="62">
        <v>309339</v>
      </c>
      <c r="C14" s="63">
        <v>202695</v>
      </c>
    </row>
    <row r="15" spans="1:3" ht="15.75" thickBot="1" x14ac:dyDescent="0.3">
      <c r="A15" s="61" t="s">
        <v>50</v>
      </c>
      <c r="B15" s="62">
        <v>633595</v>
      </c>
      <c r="C15" s="63">
        <v>0</v>
      </c>
    </row>
    <row r="16" spans="1:3" ht="15.75" thickBot="1" x14ac:dyDescent="0.3">
      <c r="A16" s="61" t="s">
        <v>52</v>
      </c>
      <c r="B16" s="62">
        <v>1687500</v>
      </c>
      <c r="C16" s="134" t="s">
        <v>171</v>
      </c>
    </row>
    <row r="17" spans="1:13" ht="15.75" thickBot="1" x14ac:dyDescent="0.3">
      <c r="A17" s="61" t="s">
        <v>15</v>
      </c>
      <c r="B17" s="62">
        <v>157812</v>
      </c>
      <c r="C17" s="63">
        <v>105623</v>
      </c>
    </row>
    <row r="18" spans="1:13" ht="15.75" thickBot="1" x14ac:dyDescent="0.3">
      <c r="A18" s="61" t="s">
        <v>54</v>
      </c>
      <c r="B18" s="62">
        <v>12417714</v>
      </c>
      <c r="C18" s="63">
        <v>8203405</v>
      </c>
    </row>
    <row r="19" spans="1:13" ht="15.75" thickBot="1" x14ac:dyDescent="0.3">
      <c r="A19" s="61" t="s">
        <v>55</v>
      </c>
      <c r="B19" s="62">
        <v>110381</v>
      </c>
      <c r="C19" s="63">
        <v>422493</v>
      </c>
    </row>
    <row r="20" spans="1:13" ht="15.75" thickBot="1" x14ac:dyDescent="0.3">
      <c r="A20" s="61" t="s">
        <v>56</v>
      </c>
      <c r="B20" s="62">
        <v>1000000</v>
      </c>
      <c r="C20" s="63">
        <v>1000000</v>
      </c>
    </row>
    <row r="21" spans="1:13" ht="15.75" thickBot="1" x14ac:dyDescent="0.3">
      <c r="A21" s="61" t="s">
        <v>57</v>
      </c>
      <c r="B21" s="62">
        <v>1144056</v>
      </c>
      <c r="C21" s="63">
        <f>1322140</f>
        <v>1322140</v>
      </c>
    </row>
    <row r="22" spans="1:13" ht="15.75" thickBot="1" x14ac:dyDescent="0.3">
      <c r="A22" s="61" t="s">
        <v>58</v>
      </c>
      <c r="B22" s="62">
        <v>3716746</v>
      </c>
      <c r="C22" s="63">
        <v>3056893</v>
      </c>
    </row>
    <row r="23" spans="1:13" ht="15.75" thickBot="1" x14ac:dyDescent="0.3">
      <c r="A23" s="61" t="s">
        <v>59</v>
      </c>
      <c r="B23" s="62">
        <v>278645</v>
      </c>
      <c r="C23" s="63">
        <v>250780</v>
      </c>
    </row>
    <row r="24" spans="1:13" ht="15.75" thickBot="1" x14ac:dyDescent="0.3">
      <c r="A24" s="64" t="s">
        <v>79</v>
      </c>
      <c r="B24" s="65">
        <v>1358000</v>
      </c>
      <c r="C24" s="77">
        <v>1358000</v>
      </c>
    </row>
    <row r="25" spans="1:13" ht="15.75" thickBot="1" x14ac:dyDescent="0.3">
      <c r="A25" s="66" t="s">
        <v>53</v>
      </c>
      <c r="B25" s="67">
        <v>29581334</v>
      </c>
      <c r="C25" s="68">
        <f>SUM(C10:C24)</f>
        <v>22697862.901373032</v>
      </c>
    </row>
    <row r="26" spans="1:13" x14ac:dyDescent="0.25">
      <c r="A26" s="56"/>
      <c r="D26" s="18">
        <f>C25-B4</f>
        <v>-9.8626967519521713E-2</v>
      </c>
    </row>
    <row r="27" spans="1:13" x14ac:dyDescent="0.25">
      <c r="A27" s="57"/>
    </row>
    <row r="28" spans="1:13" ht="15.75" thickBot="1" x14ac:dyDescent="0.3">
      <c r="A28" s="56"/>
    </row>
    <row r="29" spans="1:13" ht="34.5" thickBot="1" x14ac:dyDescent="0.3">
      <c r="A29" s="78"/>
      <c r="B29" s="79" t="s">
        <v>136</v>
      </c>
      <c r="C29" s="79" t="s">
        <v>84</v>
      </c>
      <c r="D29" s="80" t="s">
        <v>85</v>
      </c>
      <c r="J29" s="102" t="s">
        <v>82</v>
      </c>
      <c r="K29" s="103" t="s">
        <v>83</v>
      </c>
      <c r="L29" s="103" t="s">
        <v>84</v>
      </c>
      <c r="M29" s="104" t="s">
        <v>85</v>
      </c>
    </row>
    <row r="30" spans="1:13" ht="23.25" thickBot="1" x14ac:dyDescent="0.3">
      <c r="A30" s="61" t="s">
        <v>44</v>
      </c>
      <c r="B30" s="62">
        <v>14162374.359148391</v>
      </c>
      <c r="C30" s="62">
        <v>0</v>
      </c>
      <c r="D30" s="63">
        <f>B30</f>
        <v>14162374.359148391</v>
      </c>
      <c r="J30" s="61" t="s">
        <v>86</v>
      </c>
      <c r="K30" s="62">
        <f>2319435-47033</f>
        <v>2272402</v>
      </c>
      <c r="L30" s="62">
        <v>0</v>
      </c>
      <c r="M30" s="63">
        <f>K30-L30</f>
        <v>2272402</v>
      </c>
    </row>
    <row r="31" spans="1:13" ht="15.75" thickBot="1" x14ac:dyDescent="0.3">
      <c r="A31" s="61" t="s">
        <v>46</v>
      </c>
      <c r="B31" s="62">
        <f>2303248+(B37/2)</f>
        <v>1987075.7711123209</v>
      </c>
      <c r="C31" s="62">
        <v>0</v>
      </c>
      <c r="D31" s="63">
        <f>B31</f>
        <v>1987075.7711123209</v>
      </c>
      <c r="J31" s="61" t="s">
        <v>87</v>
      </c>
      <c r="K31" s="62">
        <f>2857248-69139-316172</f>
        <v>2471937</v>
      </c>
      <c r="L31" s="62">
        <v>0</v>
      </c>
      <c r="M31" s="63">
        <f t="shared" ref="M31:M43" si="0">K31-L31</f>
        <v>2471937</v>
      </c>
    </row>
    <row r="32" spans="1:13" ht="15.75" thickBot="1" x14ac:dyDescent="0.3">
      <c r="A32" s="61" t="s">
        <v>49</v>
      </c>
      <c r="B32" s="62">
        <v>1000000</v>
      </c>
      <c r="C32" s="62">
        <v>0</v>
      </c>
      <c r="D32" s="63">
        <v>1000000</v>
      </c>
      <c r="J32" s="61" t="s">
        <v>88</v>
      </c>
      <c r="K32" s="62">
        <v>250780</v>
      </c>
      <c r="L32" s="62">
        <v>250780</v>
      </c>
      <c r="M32" s="63">
        <f t="shared" si="0"/>
        <v>0</v>
      </c>
    </row>
    <row r="33" spans="1:13" ht="15.75" thickBot="1" x14ac:dyDescent="0.3">
      <c r="A33" s="64" t="s">
        <v>51</v>
      </c>
      <c r="B33" s="65">
        <f>5864585+(B37/2)</f>
        <v>5548412.7711123209</v>
      </c>
      <c r="C33" s="135">
        <v>1636028</v>
      </c>
      <c r="D33" s="77">
        <f>B33-C33</f>
        <v>3912384.7711123209</v>
      </c>
      <c r="J33" s="61" t="s">
        <v>89</v>
      </c>
      <c r="K33" s="62">
        <v>71090</v>
      </c>
      <c r="L33" s="62">
        <v>0</v>
      </c>
      <c r="M33" s="63">
        <f t="shared" si="0"/>
        <v>71090</v>
      </c>
    </row>
    <row r="34" spans="1:13" ht="15.75" thickBot="1" x14ac:dyDescent="0.3">
      <c r="A34" s="66" t="s">
        <v>53</v>
      </c>
      <c r="B34" s="67">
        <f>SUM(B30:B33)</f>
        <v>22697862.901373036</v>
      </c>
      <c r="C34" s="67">
        <f t="shared" ref="C34:D34" si="1">SUM(C30:C33)</f>
        <v>1636028</v>
      </c>
      <c r="D34" s="67">
        <f t="shared" si="1"/>
        <v>21061834.901373036</v>
      </c>
      <c r="F34">
        <f>SUM(B30:B31)/B34</f>
        <v>0.71149650521872709</v>
      </c>
      <c r="J34" s="61" t="s">
        <v>90</v>
      </c>
      <c r="K34" s="62">
        <f>186241-100000</f>
        <v>86241</v>
      </c>
      <c r="L34" s="62">
        <v>0</v>
      </c>
      <c r="M34" s="63">
        <f t="shared" si="0"/>
        <v>86241</v>
      </c>
    </row>
    <row r="35" spans="1:13" ht="15.75" thickBot="1" x14ac:dyDescent="0.3">
      <c r="A35" s="56"/>
      <c r="B35" s="18">
        <f>C25</f>
        <v>22697862.901373032</v>
      </c>
      <c r="J35" s="61" t="s">
        <v>91</v>
      </c>
      <c r="K35" s="62">
        <v>585245</v>
      </c>
      <c r="L35" s="62">
        <v>0</v>
      </c>
      <c r="M35" s="63">
        <f t="shared" si="0"/>
        <v>585245</v>
      </c>
    </row>
    <row r="36" spans="1:13" ht="15.75" thickBot="1" x14ac:dyDescent="0.3">
      <c r="C36" s="18">
        <f>B35-B34</f>
        <v>0</v>
      </c>
      <c r="J36" s="61" t="s">
        <v>92</v>
      </c>
      <c r="K36" s="62">
        <v>6812</v>
      </c>
      <c r="L36" s="62">
        <v>0</v>
      </c>
      <c r="M36" s="63">
        <f t="shared" si="0"/>
        <v>6812</v>
      </c>
    </row>
    <row r="37" spans="1:13" ht="15.75" thickBot="1" x14ac:dyDescent="0.3">
      <c r="B37" s="18">
        <v>-632344.45777535811</v>
      </c>
      <c r="J37" s="61" t="s">
        <v>93</v>
      </c>
      <c r="K37" s="62">
        <v>3406</v>
      </c>
      <c r="L37" s="62">
        <v>0</v>
      </c>
      <c r="M37" s="63">
        <f t="shared" si="0"/>
        <v>3406</v>
      </c>
    </row>
    <row r="38" spans="1:13" ht="15.75" thickBot="1" x14ac:dyDescent="0.3">
      <c r="J38" s="61" t="s">
        <v>96</v>
      </c>
      <c r="K38" s="62">
        <v>100289</v>
      </c>
      <c r="L38" s="62">
        <v>0</v>
      </c>
      <c r="M38" s="63">
        <f t="shared" si="0"/>
        <v>100289</v>
      </c>
    </row>
    <row r="39" spans="1:13" ht="15.75" thickBot="1" x14ac:dyDescent="0.3">
      <c r="J39" s="61" t="s">
        <v>97</v>
      </c>
      <c r="K39" s="62">
        <v>156677</v>
      </c>
      <c r="L39" s="62">
        <v>0</v>
      </c>
      <c r="M39" s="63">
        <f t="shared" si="0"/>
        <v>156677</v>
      </c>
    </row>
    <row r="40" spans="1:13" ht="23.25" thickBot="1" x14ac:dyDescent="0.3">
      <c r="J40" s="61" t="s">
        <v>98</v>
      </c>
      <c r="K40" s="62">
        <v>27248</v>
      </c>
      <c r="L40" s="62">
        <v>27248</v>
      </c>
      <c r="M40" s="63">
        <f t="shared" si="0"/>
        <v>0</v>
      </c>
    </row>
    <row r="41" spans="1:13" ht="15.75" thickBot="1" x14ac:dyDescent="0.3">
      <c r="J41" s="61" t="s">
        <v>99</v>
      </c>
      <c r="K41" s="62">
        <f>245362-100000</f>
        <v>145362</v>
      </c>
      <c r="L41" s="62">
        <v>0</v>
      </c>
      <c r="M41" s="63">
        <f t="shared" si="0"/>
        <v>145362</v>
      </c>
    </row>
    <row r="42" spans="1:13" ht="23.25" thickBot="1" x14ac:dyDescent="0.3">
      <c r="A42" s="102" t="s">
        <v>172</v>
      </c>
      <c r="B42" s="104" t="s">
        <v>173</v>
      </c>
      <c r="J42" s="61" t="s">
        <v>49</v>
      </c>
      <c r="K42" s="62">
        <v>1000000</v>
      </c>
      <c r="L42" s="62">
        <v>0</v>
      </c>
      <c r="M42" s="63">
        <f t="shared" si="0"/>
        <v>1000000</v>
      </c>
    </row>
    <row r="43" spans="1:13" ht="15.75" thickBot="1" x14ac:dyDescent="0.3">
      <c r="A43" s="250" t="s">
        <v>174</v>
      </c>
      <c r="B43" s="251"/>
      <c r="J43" s="64" t="s">
        <v>100</v>
      </c>
      <c r="K43" s="65">
        <v>1358000</v>
      </c>
      <c r="L43" s="65">
        <v>1358000</v>
      </c>
      <c r="M43" s="63">
        <f t="shared" si="0"/>
        <v>0</v>
      </c>
    </row>
    <row r="44" spans="1:13" ht="15.75" thickBot="1" x14ac:dyDescent="0.3">
      <c r="A44" s="61" t="s">
        <v>175</v>
      </c>
      <c r="B44" s="63">
        <v>2534322</v>
      </c>
      <c r="J44" s="66" t="s">
        <v>53</v>
      </c>
      <c r="K44" s="67">
        <f>SUM(K30:K43)</f>
        <v>8535489</v>
      </c>
      <c r="L44" s="67">
        <f t="shared" ref="L44" si="2">SUM(L30:L43)</f>
        <v>1636028</v>
      </c>
      <c r="M44" s="67">
        <f>SUM(M30:M43)</f>
        <v>6899461</v>
      </c>
    </row>
    <row r="45" spans="1:13" ht="15.75" thickBot="1" x14ac:dyDescent="0.3">
      <c r="A45" s="64" t="s">
        <v>176</v>
      </c>
      <c r="B45" s="77">
        <f>'WA ELEC'!C3</f>
        <v>1538461.5384615385</v>
      </c>
    </row>
    <row r="46" spans="1:13" ht="23.25" thickBot="1" x14ac:dyDescent="0.3">
      <c r="A46" s="117" t="s">
        <v>177</v>
      </c>
      <c r="B46" s="119">
        <f>SUM(B44:B45)</f>
        <v>4072783.5384615385</v>
      </c>
      <c r="M46" s="18">
        <f>SUM(D31:D33)-M44</f>
        <v>-0.45777535811066628</v>
      </c>
    </row>
    <row r="47" spans="1:13" ht="15.75" thickBot="1" x14ac:dyDescent="0.3">
      <c r="A47" s="250" t="s">
        <v>45</v>
      </c>
      <c r="B47" s="251"/>
    </row>
    <row r="48" spans="1:13" ht="15.75" thickBot="1" x14ac:dyDescent="0.3">
      <c r="A48" s="61" t="s">
        <v>13</v>
      </c>
      <c r="B48" s="63">
        <v>455588</v>
      </c>
    </row>
    <row r="49" spans="1:2" ht="15.75" thickBot="1" x14ac:dyDescent="0.3">
      <c r="A49" s="61" t="s">
        <v>178</v>
      </c>
      <c r="B49" s="63">
        <v>105623</v>
      </c>
    </row>
    <row r="50" spans="1:2" ht="15.75" thickBot="1" x14ac:dyDescent="0.3">
      <c r="A50" s="61" t="s">
        <v>179</v>
      </c>
      <c r="B50" s="63">
        <v>0</v>
      </c>
    </row>
    <row r="51" spans="1:2" ht="15.75" thickBot="1" x14ac:dyDescent="0.3">
      <c r="A51" s="61" t="s">
        <v>75</v>
      </c>
      <c r="B51" s="63">
        <v>202695</v>
      </c>
    </row>
    <row r="52" spans="1:2" ht="15.75" thickBot="1" x14ac:dyDescent="0.3">
      <c r="A52" s="121" t="s">
        <v>180</v>
      </c>
      <c r="B52" s="123">
        <v>206000</v>
      </c>
    </row>
    <row r="53" spans="1:2" ht="15.75" thickBot="1" x14ac:dyDescent="0.3">
      <c r="A53" s="124" t="s">
        <v>181</v>
      </c>
      <c r="B53" s="126">
        <v>493786</v>
      </c>
    </row>
    <row r="54" spans="1:2" ht="15.75" thickBot="1" x14ac:dyDescent="0.3">
      <c r="A54" s="117" t="s">
        <v>182</v>
      </c>
      <c r="B54" s="119">
        <v>1463692</v>
      </c>
    </row>
    <row r="55" spans="1:2" ht="15.75" thickBot="1" x14ac:dyDescent="0.3">
      <c r="A55" s="250" t="s">
        <v>54</v>
      </c>
      <c r="B55" s="251"/>
    </row>
    <row r="56" spans="1:2" ht="15.75" thickBot="1" x14ac:dyDescent="0.3">
      <c r="A56" s="61" t="s">
        <v>20</v>
      </c>
      <c r="B56" s="63">
        <v>1653348</v>
      </c>
    </row>
    <row r="57" spans="1:2" ht="15.75" thickBot="1" x14ac:dyDescent="0.3">
      <c r="A57" s="61" t="s">
        <v>183</v>
      </c>
      <c r="B57" s="63">
        <v>700210</v>
      </c>
    </row>
    <row r="58" spans="1:2" ht="15.75" thickBot="1" x14ac:dyDescent="0.3">
      <c r="A58" s="61" t="s">
        <v>22</v>
      </c>
      <c r="B58" s="63">
        <v>3114000</v>
      </c>
    </row>
    <row r="59" spans="1:2" ht="15.75" thickBot="1" x14ac:dyDescent="0.3">
      <c r="A59" s="61" t="s">
        <v>161</v>
      </c>
      <c r="B59" s="63">
        <v>2038400</v>
      </c>
    </row>
    <row r="60" spans="1:2" ht="15.75" thickBot="1" x14ac:dyDescent="0.3">
      <c r="A60" s="61" t="s">
        <v>27</v>
      </c>
      <c r="B60" s="63">
        <v>184107</v>
      </c>
    </row>
    <row r="61" spans="1:2" ht="15.75" thickBot="1" x14ac:dyDescent="0.3">
      <c r="A61" s="61" t="s">
        <v>55</v>
      </c>
      <c r="B61" s="63">
        <v>422493</v>
      </c>
    </row>
    <row r="62" spans="1:2" ht="15.75" thickBot="1" x14ac:dyDescent="0.3">
      <c r="A62" s="61" t="s">
        <v>28</v>
      </c>
      <c r="B62" s="63">
        <v>1531</v>
      </c>
    </row>
    <row r="63" spans="1:2" ht="15.75" thickBot="1" x14ac:dyDescent="0.3">
      <c r="A63" s="61" t="s">
        <v>29</v>
      </c>
      <c r="B63" s="63">
        <v>4320</v>
      </c>
    </row>
    <row r="64" spans="1:2" ht="15.75" thickBot="1" x14ac:dyDescent="0.3">
      <c r="A64" s="61" t="s">
        <v>30</v>
      </c>
      <c r="B64" s="63">
        <v>12864</v>
      </c>
    </row>
    <row r="65" spans="1:2" ht="15.75" thickBot="1" x14ac:dyDescent="0.3">
      <c r="A65" s="61" t="s">
        <v>31</v>
      </c>
      <c r="B65" s="63">
        <v>2000</v>
      </c>
    </row>
    <row r="66" spans="1:2" ht="15.75" thickBot="1" x14ac:dyDescent="0.3">
      <c r="A66" s="61" t="s">
        <v>184</v>
      </c>
      <c r="B66" s="63">
        <v>15314</v>
      </c>
    </row>
    <row r="67" spans="1:2" ht="15.75" thickBot="1" x14ac:dyDescent="0.3">
      <c r="A67" s="121" t="s">
        <v>34</v>
      </c>
      <c r="B67" s="123">
        <v>0</v>
      </c>
    </row>
    <row r="68" spans="1:2" ht="15.75" thickBot="1" x14ac:dyDescent="0.3">
      <c r="A68" s="124" t="s">
        <v>23</v>
      </c>
      <c r="B68" s="126">
        <v>4245</v>
      </c>
    </row>
    <row r="69" spans="1:2" ht="15.75" thickBot="1" x14ac:dyDescent="0.3">
      <c r="A69" s="124" t="s">
        <v>25</v>
      </c>
      <c r="B69" s="126">
        <v>75866</v>
      </c>
    </row>
    <row r="70" spans="1:2" ht="15.75" thickBot="1" x14ac:dyDescent="0.3">
      <c r="A70" s="124" t="s">
        <v>26</v>
      </c>
      <c r="B70" s="126">
        <v>400000</v>
      </c>
    </row>
    <row r="71" spans="1:2" ht="15.75" thickBot="1" x14ac:dyDescent="0.3">
      <c r="A71" s="117" t="s">
        <v>185</v>
      </c>
      <c r="B71" s="136" t="s">
        <v>186</v>
      </c>
    </row>
    <row r="72" spans="1:2" ht="15.75" thickBot="1" x14ac:dyDescent="0.3">
      <c r="A72" s="66" t="s">
        <v>187</v>
      </c>
      <c r="B72" s="68">
        <v>15176305</v>
      </c>
    </row>
  </sheetData>
  <mergeCells count="3">
    <mergeCell ref="A43:B43"/>
    <mergeCell ref="A47:B47"/>
    <mergeCell ref="A55:B55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60F00-7C66-4F66-9AB6-05A3F04EA7C0}">
  <dimension ref="A1:X67"/>
  <sheetViews>
    <sheetView topLeftCell="A24" workbookViewId="0">
      <selection activeCell="D17" sqref="D17"/>
    </sheetView>
  </sheetViews>
  <sheetFormatPr defaultRowHeight="15" x14ac:dyDescent="0.25"/>
  <cols>
    <col min="1" max="1" width="28.140625" customWidth="1"/>
    <col min="2" max="2" width="20.28515625" customWidth="1"/>
    <col min="3" max="3" width="14.42578125" customWidth="1"/>
    <col min="4" max="4" width="18.140625" customWidth="1"/>
    <col min="6" max="6" width="15.42578125" customWidth="1"/>
    <col min="10" max="10" width="32.140625" bestFit="1" customWidth="1"/>
    <col min="11" max="11" width="11.5703125" bestFit="1" customWidth="1"/>
    <col min="12" max="12" width="12.5703125" customWidth="1"/>
    <col min="17" max="17" width="14" customWidth="1"/>
    <col min="18" max="18" width="11.85546875" bestFit="1" customWidth="1"/>
    <col min="20" max="20" width="11.5703125" bestFit="1" customWidth="1"/>
    <col min="23" max="24" width="35.140625" customWidth="1"/>
  </cols>
  <sheetData>
    <row r="1" spans="1:24" ht="15.75" thickBot="1" x14ac:dyDescent="0.3">
      <c r="B1" t="s">
        <v>193</v>
      </c>
      <c r="F1" t="s">
        <v>205</v>
      </c>
      <c r="J1" t="s">
        <v>195</v>
      </c>
      <c r="Q1" t="s">
        <v>196</v>
      </c>
      <c r="W1" t="s">
        <v>198</v>
      </c>
    </row>
    <row r="2" spans="1:24" ht="34.5" thickBot="1" x14ac:dyDescent="0.3">
      <c r="A2" s="78"/>
      <c r="B2" s="79" t="s">
        <v>136</v>
      </c>
      <c r="C2" s="79" t="s">
        <v>84</v>
      </c>
      <c r="D2" s="80" t="s">
        <v>85</v>
      </c>
      <c r="F2" s="158">
        <v>22783152</v>
      </c>
      <c r="J2" s="102" t="s">
        <v>131</v>
      </c>
      <c r="K2" s="103">
        <v>2023</v>
      </c>
      <c r="L2" s="104">
        <v>2024</v>
      </c>
      <c r="Q2" s="102" t="s">
        <v>82</v>
      </c>
      <c r="R2" s="103" t="s">
        <v>83</v>
      </c>
      <c r="S2" s="103" t="s">
        <v>84</v>
      </c>
      <c r="T2" s="104" t="s">
        <v>85</v>
      </c>
      <c r="W2" s="102" t="s">
        <v>172</v>
      </c>
      <c r="X2" s="104" t="s">
        <v>173</v>
      </c>
    </row>
    <row r="3" spans="1:24" ht="34.5" thickBot="1" x14ac:dyDescent="0.3">
      <c r="A3" s="61" t="s">
        <v>44</v>
      </c>
      <c r="B3" s="244">
        <f>X34</f>
        <v>14862373.5</v>
      </c>
      <c r="C3" s="62">
        <v>0</v>
      </c>
      <c r="D3" s="62">
        <f>B3-C3</f>
        <v>14862373.5</v>
      </c>
      <c r="J3" s="61" t="s">
        <v>41</v>
      </c>
      <c r="K3" s="62">
        <v>2191766</v>
      </c>
      <c r="L3" s="63">
        <v>2534322</v>
      </c>
      <c r="Q3" s="61" t="s">
        <v>86</v>
      </c>
      <c r="R3" s="62">
        <f>2272402-406407</f>
        <v>1865995</v>
      </c>
      <c r="S3" s="62">
        <v>0</v>
      </c>
      <c r="T3" s="63">
        <f>R3-S3</f>
        <v>1865995</v>
      </c>
      <c r="W3" s="250" t="s">
        <v>174</v>
      </c>
      <c r="X3" s="251"/>
    </row>
    <row r="4" spans="1:24" ht="15.75" thickBot="1" x14ac:dyDescent="0.3">
      <c r="A4" s="61" t="s">
        <v>46</v>
      </c>
      <c r="B4" s="62">
        <f>1987076+23264</f>
        <v>2010340</v>
      </c>
      <c r="C4" s="62">
        <v>0</v>
      </c>
      <c r="D4" s="62">
        <f t="shared" ref="D4:D6" si="0">B4-C4</f>
        <v>2010340</v>
      </c>
      <c r="J4" s="61" t="s">
        <v>42</v>
      </c>
      <c r="K4" s="62">
        <v>2000000</v>
      </c>
      <c r="L4" s="63">
        <v>2000000</v>
      </c>
      <c r="Q4" s="61" t="s">
        <v>87</v>
      </c>
      <c r="R4" s="62">
        <v>2757248</v>
      </c>
      <c r="S4" s="62">
        <v>0</v>
      </c>
      <c r="T4" s="63">
        <f t="shared" ref="T4:T16" si="1">R4-S4</f>
        <v>2757248</v>
      </c>
      <c r="W4" s="61" t="s">
        <v>175</v>
      </c>
      <c r="X4" s="63">
        <v>2534322</v>
      </c>
    </row>
    <row r="5" spans="1:24" ht="15.75" thickBot="1" x14ac:dyDescent="0.3">
      <c r="A5" s="61" t="s">
        <v>49</v>
      </c>
      <c r="B5" s="62">
        <v>1000000</v>
      </c>
      <c r="C5" s="62">
        <v>0</v>
      </c>
      <c r="D5" s="62">
        <f t="shared" si="0"/>
        <v>1000000</v>
      </c>
      <c r="F5" s="17">
        <v>22808613.172409788</v>
      </c>
      <c r="J5" s="230" t="s">
        <v>235</v>
      </c>
      <c r="K5" s="230">
        <v>0</v>
      </c>
      <c r="L5" s="231">
        <v>700000</v>
      </c>
      <c r="Q5" s="61" t="s">
        <v>88</v>
      </c>
      <c r="R5" s="62">
        <v>274044</v>
      </c>
      <c r="S5" s="62">
        <v>274044</v>
      </c>
      <c r="T5" s="63">
        <f t="shared" si="1"/>
        <v>0</v>
      </c>
      <c r="W5" s="113" t="s">
        <v>235</v>
      </c>
      <c r="X5" s="233">
        <v>700000</v>
      </c>
    </row>
    <row r="6" spans="1:24" ht="15.75" thickBot="1" x14ac:dyDescent="0.3">
      <c r="A6" s="64" t="s">
        <v>51</v>
      </c>
      <c r="B6" s="65">
        <f>5631915+3984</f>
        <v>5635899</v>
      </c>
      <c r="C6" s="65">
        <v>1770042</v>
      </c>
      <c r="D6" s="62">
        <f t="shared" si="0"/>
        <v>3865857</v>
      </c>
      <c r="J6" s="61" t="s">
        <v>194</v>
      </c>
      <c r="K6" s="62">
        <v>957530</v>
      </c>
      <c r="L6" s="63">
        <v>1547676</v>
      </c>
      <c r="Q6" s="61" t="s">
        <v>89</v>
      </c>
      <c r="R6" s="62">
        <v>51090</v>
      </c>
      <c r="S6" s="62">
        <v>0</v>
      </c>
      <c r="T6" s="63">
        <f t="shared" si="1"/>
        <v>51090</v>
      </c>
      <c r="W6" s="64" t="s">
        <v>176</v>
      </c>
      <c r="X6" s="243">
        <v>1538462</v>
      </c>
    </row>
    <row r="7" spans="1:24" ht="15.75" thickBot="1" x14ac:dyDescent="0.3">
      <c r="A7" s="66" t="s">
        <v>53</v>
      </c>
      <c r="B7" s="67">
        <f>SUM(B3:B6)</f>
        <v>23508612.5</v>
      </c>
      <c r="C7" s="67">
        <f>C6</f>
        <v>1770042</v>
      </c>
      <c r="D7" s="68">
        <f>SUM(D3:D6)</f>
        <v>21738570.5</v>
      </c>
      <c r="J7" s="61" t="s">
        <v>45</v>
      </c>
      <c r="K7" s="62">
        <v>1618250</v>
      </c>
      <c r="L7" s="63">
        <v>1155374</v>
      </c>
      <c r="Q7" s="61" t="s">
        <v>90</v>
      </c>
      <c r="R7" s="62">
        <v>136241</v>
      </c>
      <c r="S7" s="62">
        <v>0</v>
      </c>
      <c r="T7" s="63">
        <f t="shared" si="1"/>
        <v>136241</v>
      </c>
      <c r="W7" s="117" t="s">
        <v>177</v>
      </c>
      <c r="X7" s="119">
        <f>SUM(X4:X6)</f>
        <v>4772784</v>
      </c>
    </row>
    <row r="8" spans="1:24" ht="15.75" thickBot="1" x14ac:dyDescent="0.3">
      <c r="D8" s="18">
        <f>D7-D9</f>
        <v>699999.32759021223</v>
      </c>
      <c r="J8" s="61" t="s">
        <v>48</v>
      </c>
      <c r="K8" s="62">
        <v>309339</v>
      </c>
      <c r="L8" s="63">
        <v>202695</v>
      </c>
      <c r="Q8" s="61" t="s">
        <v>91</v>
      </c>
      <c r="R8" s="62">
        <v>585245</v>
      </c>
      <c r="S8" s="62">
        <v>0</v>
      </c>
      <c r="T8" s="63">
        <f t="shared" si="1"/>
        <v>585245</v>
      </c>
      <c r="W8" s="250" t="s">
        <v>45</v>
      </c>
      <c r="X8" s="251"/>
    </row>
    <row r="9" spans="1:24" ht="15.75" thickBot="1" x14ac:dyDescent="0.3">
      <c r="D9" s="17">
        <f>F5-C7</f>
        <v>21038571.172409788</v>
      </c>
      <c r="J9" s="61" t="s">
        <v>50</v>
      </c>
      <c r="K9" s="62">
        <v>633595</v>
      </c>
      <c r="L9" s="63">
        <v>0</v>
      </c>
      <c r="Q9" s="61" t="s">
        <v>92</v>
      </c>
      <c r="R9" s="62">
        <v>6812</v>
      </c>
      <c r="S9" s="62">
        <v>0</v>
      </c>
      <c r="T9" s="63">
        <f t="shared" si="1"/>
        <v>6812</v>
      </c>
      <c r="W9" s="61" t="s">
        <v>13</v>
      </c>
      <c r="X9" s="63">
        <v>455588</v>
      </c>
    </row>
    <row r="10" spans="1:24" ht="15.75" thickBot="1" x14ac:dyDescent="0.3">
      <c r="J10" s="61" t="s">
        <v>52</v>
      </c>
      <c r="K10" s="62">
        <v>1687500</v>
      </c>
      <c r="L10" s="63">
        <v>0</v>
      </c>
      <c r="Q10" s="61" t="s">
        <v>93</v>
      </c>
      <c r="R10" s="62">
        <v>3406</v>
      </c>
      <c r="S10" s="62">
        <v>0</v>
      </c>
      <c r="T10" s="63">
        <f t="shared" si="1"/>
        <v>3406</v>
      </c>
      <c r="W10" s="61" t="s">
        <v>178</v>
      </c>
      <c r="X10" s="63">
        <v>105623</v>
      </c>
    </row>
    <row r="11" spans="1:24" ht="23.25" thickBot="1" x14ac:dyDescent="0.3">
      <c r="J11" s="61" t="s">
        <v>15</v>
      </c>
      <c r="K11" s="62">
        <v>157812</v>
      </c>
      <c r="L11" s="63">
        <v>105623</v>
      </c>
      <c r="Q11" s="61" t="s">
        <v>96</v>
      </c>
      <c r="R11" s="62">
        <v>68121</v>
      </c>
      <c r="S11" s="62">
        <v>0</v>
      </c>
      <c r="T11" s="63">
        <f t="shared" si="1"/>
        <v>68121</v>
      </c>
      <c r="W11" s="61" t="s">
        <v>179</v>
      </c>
      <c r="X11" s="63">
        <v>0</v>
      </c>
    </row>
    <row r="12" spans="1:24" ht="15.75" thickBot="1" x14ac:dyDescent="0.3">
      <c r="J12" s="61" t="s">
        <v>54</v>
      </c>
      <c r="K12" s="62">
        <v>12417714</v>
      </c>
      <c r="L12" s="63">
        <v>8203405</v>
      </c>
      <c r="Q12" s="61" t="s">
        <v>97</v>
      </c>
      <c r="R12" s="62">
        <v>156677</v>
      </c>
      <c r="S12" s="62">
        <v>0</v>
      </c>
      <c r="T12" s="63">
        <f t="shared" si="1"/>
        <v>156677</v>
      </c>
      <c r="W12" s="61" t="s">
        <v>75</v>
      </c>
      <c r="X12" s="63">
        <v>202695</v>
      </c>
    </row>
    <row r="13" spans="1:24" ht="34.5" thickBot="1" x14ac:dyDescent="0.3">
      <c r="J13" s="61" t="s">
        <v>55</v>
      </c>
      <c r="K13" s="62">
        <v>110381</v>
      </c>
      <c r="L13" s="63">
        <v>422493</v>
      </c>
      <c r="Q13" s="61" t="s">
        <v>98</v>
      </c>
      <c r="R13" s="62">
        <v>27248</v>
      </c>
      <c r="S13" s="62">
        <v>27248</v>
      </c>
      <c r="T13" s="63">
        <f t="shared" si="1"/>
        <v>0</v>
      </c>
      <c r="W13" s="121" t="s">
        <v>197</v>
      </c>
      <c r="X13" s="123">
        <v>206000</v>
      </c>
    </row>
    <row r="14" spans="1:24" ht="23.25" thickBot="1" x14ac:dyDescent="0.3">
      <c r="F14" s="245">
        <v>4320460</v>
      </c>
      <c r="J14" s="61" t="s">
        <v>56</v>
      </c>
      <c r="K14" s="62">
        <v>1000000</v>
      </c>
      <c r="L14" s="63">
        <v>1000000</v>
      </c>
      <c r="Q14" s="61" t="s">
        <v>99</v>
      </c>
      <c r="R14" s="62">
        <v>245362</v>
      </c>
      <c r="S14" s="62">
        <v>0</v>
      </c>
      <c r="T14" s="63">
        <f t="shared" si="1"/>
        <v>245362</v>
      </c>
      <c r="W14" s="124" t="s">
        <v>181</v>
      </c>
      <c r="X14" s="126">
        <v>493786</v>
      </c>
    </row>
    <row r="15" spans="1:24" ht="15.75" thickBot="1" x14ac:dyDescent="0.3">
      <c r="F15" s="91">
        <v>2000000</v>
      </c>
      <c r="J15" s="61" t="s">
        <v>57</v>
      </c>
      <c r="K15" s="62">
        <v>1144056</v>
      </c>
      <c r="L15" s="63">
        <v>860602</v>
      </c>
      <c r="Q15" s="61" t="s">
        <v>49</v>
      </c>
      <c r="R15" s="62">
        <v>1000000</v>
      </c>
      <c r="S15" s="62">
        <v>0</v>
      </c>
      <c r="T15" s="63">
        <f t="shared" si="1"/>
        <v>1000000</v>
      </c>
      <c r="W15" s="117" t="s">
        <v>182</v>
      </c>
      <c r="X15" s="119">
        <f>SUM(X9:X14)</f>
        <v>1463692</v>
      </c>
    </row>
    <row r="16" spans="1:24" ht="15.75" thickBot="1" x14ac:dyDescent="0.3">
      <c r="F16" s="91">
        <v>2116450</v>
      </c>
      <c r="J16" s="61" t="s">
        <v>58</v>
      </c>
      <c r="K16" s="62">
        <v>3716746</v>
      </c>
      <c r="L16" s="63">
        <f>3056893</f>
        <v>3056893</v>
      </c>
      <c r="Q16" s="64" t="s">
        <v>100</v>
      </c>
      <c r="R16" s="65">
        <v>1468750</v>
      </c>
      <c r="S16" s="65">
        <v>1468750</v>
      </c>
      <c r="T16" s="63">
        <f t="shared" si="1"/>
        <v>0</v>
      </c>
      <c r="W16" s="250" t="s">
        <v>54</v>
      </c>
      <c r="X16" s="251"/>
    </row>
    <row r="17" spans="1:24" ht="23.25" thickBot="1" x14ac:dyDescent="0.3">
      <c r="A17" s="102" t="s">
        <v>0</v>
      </c>
      <c r="B17" s="103" t="s">
        <v>199</v>
      </c>
      <c r="C17" s="104" t="s">
        <v>155</v>
      </c>
      <c r="F17" s="91">
        <v>12326712</v>
      </c>
      <c r="J17" s="61" t="s">
        <v>59</v>
      </c>
      <c r="K17" s="62">
        <v>278645</v>
      </c>
      <c r="L17" s="63">
        <v>250780</v>
      </c>
      <c r="Q17" s="66" t="s">
        <v>53</v>
      </c>
      <c r="R17" s="67">
        <f>SUM(R3:R16)</f>
        <v>8646239</v>
      </c>
      <c r="S17" s="67">
        <f>SUM(S3:S16)</f>
        <v>1770042</v>
      </c>
      <c r="T17" s="67">
        <f>SUM(T3:T16)</f>
        <v>6876197</v>
      </c>
      <c r="W17" s="61" t="s">
        <v>20</v>
      </c>
      <c r="X17" s="63">
        <v>1650547.5</v>
      </c>
    </row>
    <row r="18" spans="1:24" ht="15.75" thickBot="1" x14ac:dyDescent="0.3">
      <c r="A18" s="250" t="s">
        <v>156</v>
      </c>
      <c r="B18" s="252"/>
      <c r="C18" s="251"/>
      <c r="F18" s="91">
        <v>1000000</v>
      </c>
      <c r="J18" s="64" t="s">
        <v>79</v>
      </c>
      <c r="K18" s="65">
        <v>1358000</v>
      </c>
      <c r="L18" s="77">
        <v>1468750</v>
      </c>
      <c r="S18" s="18">
        <f>S17-C7</f>
        <v>0</v>
      </c>
      <c r="T18" s="18"/>
      <c r="W18" s="61" t="s">
        <v>183</v>
      </c>
      <c r="X18" s="63">
        <v>700210</v>
      </c>
    </row>
    <row r="19" spans="1:24" ht="15.75" thickBot="1" x14ac:dyDescent="0.3">
      <c r="A19" s="113" t="s">
        <v>41</v>
      </c>
      <c r="B19" s="232">
        <v>853007</v>
      </c>
      <c r="C19" s="233">
        <v>3620460</v>
      </c>
      <c r="F19" s="91">
        <v>250780</v>
      </c>
      <c r="J19" s="66" t="s">
        <v>53</v>
      </c>
      <c r="K19" s="67">
        <f>SUM(K3:K18)</f>
        <v>29581334</v>
      </c>
      <c r="L19" s="68">
        <f>SUM(L3:L18)</f>
        <v>23508613</v>
      </c>
      <c r="Q19" s="18">
        <f>R17-R16</f>
        <v>7177489</v>
      </c>
      <c r="R19" s="18">
        <f>SUM(B4:B6)</f>
        <v>8646239</v>
      </c>
      <c r="T19" s="18">
        <f>R19-S17</f>
        <v>6876197</v>
      </c>
      <c r="W19" s="61" t="s">
        <v>22</v>
      </c>
      <c r="X19" s="63">
        <v>3114000</v>
      </c>
    </row>
    <row r="20" spans="1:24" ht="15.75" thickBot="1" x14ac:dyDescent="0.3">
      <c r="A20" s="113" t="s">
        <v>235</v>
      </c>
      <c r="B20" s="232" t="s">
        <v>214</v>
      </c>
      <c r="C20" s="233">
        <v>700000</v>
      </c>
      <c r="F20" s="91">
        <v>1468750</v>
      </c>
      <c r="J20" s="234"/>
      <c r="K20" s="235"/>
      <c r="L20" s="235"/>
      <c r="Q20" s="18"/>
      <c r="R20" s="18"/>
      <c r="T20" s="18"/>
      <c r="W20" s="61" t="s">
        <v>161</v>
      </c>
      <c r="X20" s="63">
        <v>2038400</v>
      </c>
    </row>
    <row r="21" spans="1:24" ht="15.75" thickBot="1" x14ac:dyDescent="0.3">
      <c r="A21" s="64" t="s">
        <v>42</v>
      </c>
      <c r="B21" s="116">
        <v>574288</v>
      </c>
      <c r="C21" s="77">
        <v>2000000</v>
      </c>
      <c r="J21" s="56"/>
      <c r="Q21" s="18">
        <f>Q19*2</f>
        <v>14354978</v>
      </c>
      <c r="T21" s="17"/>
      <c r="W21" s="61"/>
      <c r="X21" s="63"/>
    </row>
    <row r="22" spans="1:24" ht="15.75" thickBot="1" x14ac:dyDescent="0.3">
      <c r="A22" s="117" t="s">
        <v>156</v>
      </c>
      <c r="B22" s="118">
        <f>SUM(B19:B21)</f>
        <v>1427295</v>
      </c>
      <c r="C22" s="119">
        <f>SUM(C19:C21)</f>
        <v>6320460</v>
      </c>
      <c r="F22" s="18">
        <f>SUM(F14:F20)</f>
        <v>23483152</v>
      </c>
      <c r="L22" s="18"/>
      <c r="R22" s="18">
        <f>R19+X37</f>
        <v>23508612.5</v>
      </c>
      <c r="T22" s="18">
        <f>T17-T19</f>
        <v>0</v>
      </c>
      <c r="W22" s="61" t="s">
        <v>27</v>
      </c>
      <c r="X22" s="63">
        <v>184107</v>
      </c>
    </row>
    <row r="23" spans="1:24" ht="15.75" thickBot="1" x14ac:dyDescent="0.3">
      <c r="A23" s="250" t="s">
        <v>45</v>
      </c>
      <c r="B23" s="252"/>
      <c r="C23" s="251"/>
      <c r="W23" s="61" t="s">
        <v>55</v>
      </c>
      <c r="X23" s="63">
        <v>422493</v>
      </c>
    </row>
    <row r="24" spans="1:24" ht="15.75" thickBot="1" x14ac:dyDescent="0.3">
      <c r="A24" s="61" t="s">
        <v>157</v>
      </c>
      <c r="B24" s="120">
        <v>1160543</v>
      </c>
      <c r="C24" s="63">
        <v>650840</v>
      </c>
      <c r="W24" s="61" t="s">
        <v>28</v>
      </c>
      <c r="X24" s="63">
        <v>1531</v>
      </c>
    </row>
    <row r="25" spans="1:24" ht="15.75" thickBot="1" x14ac:dyDescent="0.3">
      <c r="A25" s="61" t="s">
        <v>158</v>
      </c>
      <c r="B25" s="120">
        <v>253369</v>
      </c>
      <c r="C25" s="63">
        <v>289565</v>
      </c>
      <c r="W25" s="61" t="s">
        <v>29</v>
      </c>
      <c r="X25" s="63">
        <v>4320</v>
      </c>
    </row>
    <row r="26" spans="1:24" ht="15.75" thickBot="1" x14ac:dyDescent="0.3">
      <c r="A26" s="61" t="s">
        <v>200</v>
      </c>
      <c r="B26" s="120">
        <v>257500</v>
      </c>
      <c r="C26" s="63">
        <v>294286</v>
      </c>
      <c r="W26" s="61" t="s">
        <v>30</v>
      </c>
      <c r="X26" s="63">
        <v>12864</v>
      </c>
    </row>
    <row r="27" spans="1:24" ht="15.75" thickBot="1" x14ac:dyDescent="0.3">
      <c r="A27" s="61" t="s">
        <v>74</v>
      </c>
      <c r="B27" s="120">
        <v>264058</v>
      </c>
      <c r="C27" s="63">
        <v>150890</v>
      </c>
      <c r="W27" s="61" t="s">
        <v>31</v>
      </c>
      <c r="X27" s="63">
        <v>2000</v>
      </c>
    </row>
    <row r="28" spans="1:24" ht="15.75" thickBot="1" x14ac:dyDescent="0.3">
      <c r="A28" s="121" t="s">
        <v>52</v>
      </c>
      <c r="B28" s="122">
        <v>1876009</v>
      </c>
      <c r="C28" s="123">
        <v>25461</v>
      </c>
      <c r="W28" s="61" t="s">
        <v>184</v>
      </c>
      <c r="X28" s="63">
        <v>15314</v>
      </c>
    </row>
    <row r="29" spans="1:24" ht="15.75" thickBot="1" x14ac:dyDescent="0.3">
      <c r="A29" s="124" t="s">
        <v>18</v>
      </c>
      <c r="B29" s="125">
        <v>617232</v>
      </c>
      <c r="C29" s="126">
        <v>705408</v>
      </c>
      <c r="J29" s="76">
        <v>1041539</v>
      </c>
      <c r="W29" s="121" t="s">
        <v>34</v>
      </c>
      <c r="X29" s="123">
        <v>0</v>
      </c>
    </row>
    <row r="30" spans="1:24" ht="15.75" thickBot="1" x14ac:dyDescent="0.3">
      <c r="A30" s="117" t="s">
        <v>159</v>
      </c>
      <c r="B30" s="118">
        <f>SUM(B24:B29)</f>
        <v>4428711</v>
      </c>
      <c r="C30" s="119">
        <f>SUM(C24:C29)</f>
        <v>2116450</v>
      </c>
      <c r="J30" s="53">
        <v>17600790</v>
      </c>
      <c r="W30" s="124" t="s">
        <v>23</v>
      </c>
      <c r="X30" s="126">
        <v>4245</v>
      </c>
    </row>
    <row r="31" spans="1:24" ht="15.75" thickBot="1" x14ac:dyDescent="0.3">
      <c r="A31" s="250" t="s">
        <v>54</v>
      </c>
      <c r="B31" s="252"/>
      <c r="C31" s="251"/>
      <c r="J31" s="53">
        <v>22808613</v>
      </c>
      <c r="W31" s="124" t="s">
        <v>25</v>
      </c>
      <c r="X31" s="126">
        <v>75866</v>
      </c>
    </row>
    <row r="32" spans="1:24" ht="15.75" thickBot="1" x14ac:dyDescent="0.3">
      <c r="A32" s="61" t="s">
        <v>20</v>
      </c>
      <c r="B32" s="120">
        <v>6585225</v>
      </c>
      <c r="C32" s="63">
        <v>2361925</v>
      </c>
      <c r="J32" s="54">
        <v>-4140823</v>
      </c>
      <c r="K32" s="18">
        <f>J30+J29-J31</f>
        <v>-4166284</v>
      </c>
      <c r="W32" s="124" t="s">
        <v>26</v>
      </c>
      <c r="X32" s="126">
        <v>400000</v>
      </c>
    </row>
    <row r="33" spans="1:24" ht="15.75" thickBot="1" x14ac:dyDescent="0.3">
      <c r="A33" s="61" t="s">
        <v>183</v>
      </c>
      <c r="B33" s="120">
        <v>2637497</v>
      </c>
      <c r="C33" s="63">
        <v>1000300</v>
      </c>
      <c r="W33" s="117" t="s">
        <v>185</v>
      </c>
      <c r="X33" s="159">
        <f>SUM(X17:X32)</f>
        <v>8625897.5</v>
      </c>
    </row>
    <row r="34" spans="1:24" ht="15.75" thickBot="1" x14ac:dyDescent="0.3">
      <c r="A34" s="61" t="s">
        <v>22</v>
      </c>
      <c r="B34" s="120">
        <v>6228000</v>
      </c>
      <c r="C34" s="63">
        <v>4448571</v>
      </c>
      <c r="W34" s="253" t="s">
        <v>187</v>
      </c>
      <c r="X34" s="255">
        <f>SUM(X33,X15,X7)</f>
        <v>14862373.5</v>
      </c>
    </row>
    <row r="35" spans="1:24" ht="15.75" thickBot="1" x14ac:dyDescent="0.3">
      <c r="A35" s="61" t="s">
        <v>161</v>
      </c>
      <c r="B35" s="120">
        <v>7586631</v>
      </c>
      <c r="C35" s="63">
        <v>2912000</v>
      </c>
      <c r="W35" s="254"/>
      <c r="X35" s="256"/>
    </row>
    <row r="36" spans="1:24" ht="15.75" thickBot="1" x14ac:dyDescent="0.3">
      <c r="A36" s="61" t="s">
        <v>27</v>
      </c>
      <c r="B36" s="120">
        <v>198445</v>
      </c>
      <c r="C36" s="63">
        <v>263009</v>
      </c>
      <c r="W36" s="56"/>
      <c r="X36" s="242">
        <f>X34-B3</f>
        <v>0</v>
      </c>
    </row>
    <row r="37" spans="1:24" ht="15.75" thickBot="1" x14ac:dyDescent="0.3">
      <c r="A37" s="61" t="s">
        <v>74</v>
      </c>
      <c r="B37" s="120">
        <v>528117</v>
      </c>
      <c r="C37" s="63">
        <v>603562</v>
      </c>
      <c r="J37" t="s">
        <v>0</v>
      </c>
      <c r="K37" t="s">
        <v>234</v>
      </c>
      <c r="X37" s="18">
        <f>SUM(X33,X15,X7)</f>
        <v>14862373.5</v>
      </c>
    </row>
    <row r="38" spans="1:24" ht="15.75" thickBot="1" x14ac:dyDescent="0.3">
      <c r="A38" s="61" t="s">
        <v>28</v>
      </c>
      <c r="B38" s="120">
        <v>8382</v>
      </c>
      <c r="C38" s="63">
        <v>2188</v>
      </c>
      <c r="J38" t="s">
        <v>31</v>
      </c>
      <c r="K38" s="229">
        <v>0.29085001822418693</v>
      </c>
    </row>
    <row r="39" spans="1:24" ht="15.75" thickBot="1" x14ac:dyDescent="0.3">
      <c r="A39" s="61" t="s">
        <v>29</v>
      </c>
      <c r="B39" s="120">
        <v>12000</v>
      </c>
      <c r="C39" s="63">
        <v>6171</v>
      </c>
      <c r="J39" t="s">
        <v>23</v>
      </c>
      <c r="K39" s="229">
        <v>5.306</v>
      </c>
    </row>
    <row r="40" spans="1:24" ht="15.75" thickBot="1" x14ac:dyDescent="0.3">
      <c r="A40" s="61" t="s">
        <v>30</v>
      </c>
      <c r="B40" s="120">
        <v>53600</v>
      </c>
      <c r="C40" s="63">
        <v>18377</v>
      </c>
      <c r="J40" t="s">
        <v>28</v>
      </c>
      <c r="K40" s="229">
        <v>8.3823285890951116</v>
      </c>
    </row>
    <row r="41" spans="1:24" ht="15.75" thickBot="1" x14ac:dyDescent="0.3">
      <c r="A41" s="61" t="s">
        <v>31</v>
      </c>
      <c r="B41" s="155">
        <v>291</v>
      </c>
      <c r="C41" s="63">
        <v>2857</v>
      </c>
      <c r="J41" t="s">
        <v>29</v>
      </c>
      <c r="K41" s="229">
        <v>12</v>
      </c>
    </row>
    <row r="42" spans="1:24" ht="15.75" thickBot="1" x14ac:dyDescent="0.3">
      <c r="A42" s="61" t="s">
        <v>201</v>
      </c>
      <c r="B42" s="120">
        <v>58159</v>
      </c>
      <c r="C42" s="63">
        <v>21878</v>
      </c>
      <c r="J42" t="s">
        <v>30</v>
      </c>
      <c r="K42" s="229">
        <v>53.600245886461849</v>
      </c>
    </row>
    <row r="43" spans="1:24" ht="15.75" thickBot="1" x14ac:dyDescent="0.3">
      <c r="A43" s="121" t="s">
        <v>34</v>
      </c>
      <c r="B43" s="122">
        <v>1429340</v>
      </c>
      <c r="C43" s="123">
        <v>25461</v>
      </c>
      <c r="J43" t="s">
        <v>32</v>
      </c>
      <c r="K43" s="229">
        <v>58.15881917947236</v>
      </c>
    </row>
    <row r="44" spans="1:24" ht="15.75" thickBot="1" x14ac:dyDescent="0.3">
      <c r="A44" s="124" t="s">
        <v>23</v>
      </c>
      <c r="B44" s="125">
        <v>5306</v>
      </c>
      <c r="C44" s="126">
        <v>6064</v>
      </c>
      <c r="J44" t="s">
        <v>27</v>
      </c>
      <c r="K44" s="229">
        <v>198.44460000000001</v>
      </c>
    </row>
    <row r="45" spans="1:24" ht="15.75" thickBot="1" x14ac:dyDescent="0.3">
      <c r="A45" s="124" t="s">
        <v>25</v>
      </c>
      <c r="B45" s="127">
        <v>0</v>
      </c>
      <c r="C45" s="126">
        <v>108380</v>
      </c>
      <c r="J45" t="s">
        <v>233</v>
      </c>
      <c r="K45" s="229">
        <v>253.36936666666671</v>
      </c>
    </row>
    <row r="46" spans="1:24" ht="15.75" thickBot="1" x14ac:dyDescent="0.3">
      <c r="A46" s="124" t="s">
        <v>26</v>
      </c>
      <c r="B46" s="125">
        <v>500000</v>
      </c>
      <c r="C46" s="126">
        <v>571429</v>
      </c>
      <c r="J46" t="s">
        <v>16</v>
      </c>
      <c r="K46" s="229">
        <v>257.5</v>
      </c>
    </row>
    <row r="47" spans="1:24" ht="23.25" thickBot="1" x14ac:dyDescent="0.3">
      <c r="A47" s="117" t="s">
        <v>162</v>
      </c>
      <c r="B47" s="118">
        <v>25830993</v>
      </c>
      <c r="C47" s="119">
        <f>SUM(C32:C46)+1</f>
        <v>12352173</v>
      </c>
      <c r="J47" t="s">
        <v>15</v>
      </c>
      <c r="K47" s="229">
        <v>264.05833333333339</v>
      </c>
    </row>
    <row r="48" spans="1:24" ht="15.75" thickBot="1" x14ac:dyDescent="0.3">
      <c r="A48" s="250" t="s">
        <v>101</v>
      </c>
      <c r="B48" s="252"/>
      <c r="C48" s="251"/>
      <c r="J48" t="s">
        <v>26</v>
      </c>
      <c r="K48" s="229">
        <v>500</v>
      </c>
    </row>
    <row r="49" spans="1:11" ht="15.75" thickBot="1" x14ac:dyDescent="0.3">
      <c r="A49" s="61" t="s">
        <v>202</v>
      </c>
      <c r="B49" s="155" t="s">
        <v>203</v>
      </c>
      <c r="C49" s="63">
        <v>250780</v>
      </c>
      <c r="J49" t="s">
        <v>33</v>
      </c>
      <c r="K49" s="229">
        <v>539.66466666666702</v>
      </c>
    </row>
    <row r="50" spans="1:11" ht="15.75" thickBot="1" x14ac:dyDescent="0.3">
      <c r="A50" s="61" t="s">
        <v>100</v>
      </c>
      <c r="B50" s="120">
        <v>6945935</v>
      </c>
      <c r="C50" s="157">
        <v>1468750</v>
      </c>
      <c r="J50" t="s">
        <v>11</v>
      </c>
      <c r="K50" s="229">
        <v>574.28834878351972</v>
      </c>
    </row>
    <row r="51" spans="1:11" ht="15.75" thickBot="1" x14ac:dyDescent="0.3">
      <c r="A51" s="64" t="s">
        <v>49</v>
      </c>
      <c r="B51" s="156" t="s">
        <v>203</v>
      </c>
      <c r="C51" s="77">
        <v>1000000</v>
      </c>
      <c r="J51" t="s">
        <v>18</v>
      </c>
      <c r="K51" s="229">
        <v>617.23199999999997</v>
      </c>
    </row>
    <row r="52" spans="1:11" ht="23.25" thickBot="1" x14ac:dyDescent="0.3">
      <c r="A52" s="117" t="s">
        <v>164</v>
      </c>
      <c r="B52" s="118">
        <f>B50</f>
        <v>6945935</v>
      </c>
      <c r="C52" s="119">
        <f>SUM(C49:C51)</f>
        <v>2719530</v>
      </c>
      <c r="J52" t="s">
        <v>10</v>
      </c>
      <c r="K52" s="229">
        <v>853.0071535911826</v>
      </c>
    </row>
    <row r="53" spans="1:11" ht="15.75" thickBot="1" x14ac:dyDescent="0.3">
      <c r="A53" s="66" t="s">
        <v>204</v>
      </c>
      <c r="B53" s="111">
        <f>SUM(B52,B47,B30,B22)</f>
        <v>38632934</v>
      </c>
      <c r="C53" s="68">
        <f>SUM(C52,C47,C30,C22)</f>
        <v>23508613</v>
      </c>
      <c r="J53" t="s">
        <v>13</v>
      </c>
      <c r="K53" s="229">
        <v>1160.5426541120623</v>
      </c>
    </row>
    <row r="54" spans="1:11" x14ac:dyDescent="0.25">
      <c r="A54" s="56"/>
      <c r="J54" t="s">
        <v>34</v>
      </c>
      <c r="K54" s="229">
        <v>1429.3398903056493</v>
      </c>
    </row>
    <row r="55" spans="1:11" x14ac:dyDescent="0.25">
      <c r="C55" s="18">
        <f>C53*2</f>
        <v>47017226</v>
      </c>
      <c r="J55" t="s">
        <v>17</v>
      </c>
      <c r="K55" s="229">
        <v>1876.0086060261644</v>
      </c>
    </row>
    <row r="56" spans="1:11" x14ac:dyDescent="0.25">
      <c r="J56" t="s">
        <v>21</v>
      </c>
      <c r="K56" s="229">
        <v>2637.4965000000002</v>
      </c>
    </row>
    <row r="57" spans="1:11" x14ac:dyDescent="0.25">
      <c r="J57" t="s">
        <v>22</v>
      </c>
      <c r="K57" s="229">
        <v>6228</v>
      </c>
    </row>
    <row r="58" spans="1:11" x14ac:dyDescent="0.25">
      <c r="J58" t="s">
        <v>20</v>
      </c>
      <c r="K58" s="229">
        <v>6573.6774999999998</v>
      </c>
    </row>
    <row r="59" spans="1:11" ht="15.75" thickBot="1" x14ac:dyDescent="0.3">
      <c r="A59" t="s">
        <v>211</v>
      </c>
      <c r="J59" t="s">
        <v>79</v>
      </c>
      <c r="K59" s="229">
        <v>6945.9350000000004</v>
      </c>
    </row>
    <row r="60" spans="1:11" ht="15.75" thickBot="1" x14ac:dyDescent="0.3">
      <c r="A60" s="246" t="s">
        <v>41</v>
      </c>
      <c r="B60" s="247">
        <v>853</v>
      </c>
      <c r="C60" s="248">
        <f>'WA ELEC'!E4-'WA ELEC'!E3+700000</f>
        <v>4320459.6712434441</v>
      </c>
      <c r="D60" s="18"/>
      <c r="E60" s="19"/>
      <c r="J60" t="s">
        <v>24</v>
      </c>
      <c r="K60" s="229">
        <v>7586.6310000000012</v>
      </c>
    </row>
    <row r="61" spans="1:11" ht="15.75" thickBot="1" x14ac:dyDescent="0.3">
      <c r="A61" s="94" t="s">
        <v>42</v>
      </c>
      <c r="B61" s="95">
        <v>574</v>
      </c>
      <c r="C61" s="97">
        <v>2000000</v>
      </c>
    </row>
    <row r="62" spans="1:11" ht="15.75" thickBot="1" x14ac:dyDescent="0.3">
      <c r="A62" s="94" t="s">
        <v>45</v>
      </c>
      <c r="B62" s="96">
        <v>4459</v>
      </c>
      <c r="C62" s="97">
        <f>'WA ELEC'!E12</f>
        <v>2090989.2537866838</v>
      </c>
    </row>
    <row r="63" spans="1:11" ht="15.75" thickBot="1" x14ac:dyDescent="0.3">
      <c r="A63" s="94" t="s">
        <v>54</v>
      </c>
      <c r="B63" s="96">
        <v>25831</v>
      </c>
      <c r="C63" s="97">
        <f>'WA ELEC'!E29</f>
        <v>12352173.247379661</v>
      </c>
    </row>
    <row r="64" spans="1:11" ht="15.75" thickBot="1" x14ac:dyDescent="0.3">
      <c r="A64" s="94" t="s">
        <v>56</v>
      </c>
      <c r="B64" s="95" t="s">
        <v>144</v>
      </c>
      <c r="C64" s="97">
        <v>1000000</v>
      </c>
    </row>
    <row r="65" spans="1:3" ht="15.75" thickBot="1" x14ac:dyDescent="0.3">
      <c r="A65" s="94" t="s">
        <v>145</v>
      </c>
      <c r="B65" s="95" t="s">
        <v>146</v>
      </c>
      <c r="C65" s="97">
        <v>250780</v>
      </c>
    </row>
    <row r="66" spans="1:3" ht="15.75" thickBot="1" x14ac:dyDescent="0.3">
      <c r="A66" s="94" t="s">
        <v>100</v>
      </c>
      <c r="B66" s="96">
        <v>6946</v>
      </c>
      <c r="C66" s="97">
        <v>1468750</v>
      </c>
    </row>
    <row r="67" spans="1:3" ht="15.75" thickBot="1" x14ac:dyDescent="0.3">
      <c r="A67" s="98" t="s">
        <v>53</v>
      </c>
      <c r="B67" s="99">
        <v>38663</v>
      </c>
      <c r="C67" s="100">
        <f>SUM(C60:C66)</f>
        <v>23483152.172409788</v>
      </c>
    </row>
  </sheetData>
  <autoFilter ref="K37:K60" xr:uid="{39F60F00-7C66-4F66-9AB6-05A3F04EA7C0}">
    <sortState xmlns:xlrd2="http://schemas.microsoft.com/office/spreadsheetml/2017/richdata2" ref="J38:K60">
      <sortCondition ref="K37:K60"/>
    </sortState>
  </autoFilter>
  <mergeCells count="9">
    <mergeCell ref="A48:C48"/>
    <mergeCell ref="W3:X3"/>
    <mergeCell ref="W8:X8"/>
    <mergeCell ref="W16:X16"/>
    <mergeCell ref="W34:W35"/>
    <mergeCell ref="X34:X35"/>
    <mergeCell ref="A18:C18"/>
    <mergeCell ref="A23:C23"/>
    <mergeCell ref="A31:C31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398FB-9120-4BD4-80DA-DFC0737CE216}">
  <dimension ref="A2:K20"/>
  <sheetViews>
    <sheetView workbookViewId="0"/>
  </sheetViews>
  <sheetFormatPr defaultRowHeight="15" x14ac:dyDescent="0.25"/>
  <cols>
    <col min="1" max="1" width="13.42578125" bestFit="1" customWidth="1"/>
    <col min="2" max="2" width="14.28515625" bestFit="1" customWidth="1"/>
    <col min="6" max="6" width="47.5703125" bestFit="1" customWidth="1"/>
    <col min="7" max="7" width="12.85546875" customWidth="1"/>
    <col min="8" max="8" width="19.5703125" customWidth="1"/>
    <col min="11" max="11" width="14.28515625" bestFit="1" customWidth="1"/>
  </cols>
  <sheetData>
    <row r="2" spans="1:11" x14ac:dyDescent="0.25">
      <c r="A2" t="s">
        <v>61</v>
      </c>
      <c r="B2" s="46">
        <v>3716746.0837607523</v>
      </c>
    </row>
    <row r="3" spans="1:11" x14ac:dyDescent="0.25">
      <c r="A3" t="s">
        <v>1</v>
      </c>
      <c r="B3" s="46">
        <v>57753773.076004863</v>
      </c>
    </row>
    <row r="4" spans="1:11" x14ac:dyDescent="0.25">
      <c r="F4" t="s">
        <v>62</v>
      </c>
    </row>
    <row r="5" spans="1:11" x14ac:dyDescent="0.25">
      <c r="A5" t="s">
        <v>63</v>
      </c>
      <c r="B5">
        <f>B2/B3</f>
        <v>6.4355034931994085E-2</v>
      </c>
      <c r="F5" s="47">
        <v>5899596.9583504004</v>
      </c>
    </row>
    <row r="8" spans="1:11" x14ac:dyDescent="0.25">
      <c r="A8" t="s">
        <v>64</v>
      </c>
      <c r="B8" s="16">
        <f>'WA ELEC'!B35</f>
        <v>31686998.863158505</v>
      </c>
      <c r="F8" s="11">
        <f>B8/B3</f>
        <v>0.54865677470903806</v>
      </c>
      <c r="G8" s="51">
        <v>0.42673304699591802</v>
      </c>
    </row>
    <row r="9" spans="1:11" x14ac:dyDescent="0.25">
      <c r="F9" s="11">
        <f>F8/0.7</f>
        <v>0.783795392441483</v>
      </c>
      <c r="G9" s="11">
        <f>F8/0.9</f>
        <v>0.60961863856559784</v>
      </c>
    </row>
    <row r="10" spans="1:11" x14ac:dyDescent="0.25">
      <c r="A10" t="s">
        <v>65</v>
      </c>
      <c r="B10" s="47">
        <f>B8*B5</f>
        <v>2039217.9187286224</v>
      </c>
      <c r="F10" s="11">
        <f>F9/0.9</f>
        <v>0.87088376937942558</v>
      </c>
      <c r="G10" s="50">
        <v>0.87088376937942602</v>
      </c>
    </row>
    <row r="11" spans="1:11" x14ac:dyDescent="0.25">
      <c r="F11" t="s">
        <v>66</v>
      </c>
    </row>
    <row r="13" spans="1:11" x14ac:dyDescent="0.25">
      <c r="F13" t="s">
        <v>67</v>
      </c>
      <c r="G13" t="s">
        <v>68</v>
      </c>
      <c r="H13">
        <v>5899596.9583504004</v>
      </c>
    </row>
    <row r="14" spans="1:11" x14ac:dyDescent="0.25">
      <c r="F14" t="s">
        <v>69</v>
      </c>
      <c r="G14" s="48">
        <v>0.7</v>
      </c>
      <c r="H14">
        <v>4129717.8708452801</v>
      </c>
    </row>
    <row r="15" spans="1:11" x14ac:dyDescent="0.25">
      <c r="F15" t="s">
        <v>70</v>
      </c>
      <c r="G15" s="48">
        <v>0.9</v>
      </c>
      <c r="H15">
        <v>3716746.0837607523</v>
      </c>
      <c r="K15" s="49">
        <f>B10/0.9/0.7</f>
        <v>3236853.8392517818</v>
      </c>
    </row>
    <row r="16" spans="1:11" x14ac:dyDescent="0.25">
      <c r="F16" t="s">
        <v>71</v>
      </c>
      <c r="G16" s="48">
        <v>0.1</v>
      </c>
      <c r="H16">
        <v>412971.78708452801</v>
      </c>
    </row>
    <row r="17" spans="6:8" x14ac:dyDescent="0.25">
      <c r="F17" t="s">
        <v>72</v>
      </c>
      <c r="G17" s="48">
        <v>0.3</v>
      </c>
      <c r="H17">
        <v>1769879.0875051201</v>
      </c>
    </row>
    <row r="18" spans="6:8" x14ac:dyDescent="0.25">
      <c r="F18" t="s">
        <v>70</v>
      </c>
      <c r="G18" s="48">
        <v>0.9</v>
      </c>
      <c r="H18">
        <v>1592891.1787546081</v>
      </c>
    </row>
    <row r="19" spans="6:8" x14ac:dyDescent="0.25">
      <c r="F19" t="s">
        <v>71</v>
      </c>
      <c r="G19" s="48">
        <v>0.1</v>
      </c>
      <c r="H19">
        <v>176987.90875051203</v>
      </c>
    </row>
    <row r="20" spans="6:8" x14ac:dyDescent="0.25">
      <c r="F20" t="s">
        <v>53</v>
      </c>
      <c r="H20">
        <f>H14+H17</f>
        <v>5899596.9583504004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316A8-7ADD-41B2-96D0-A6521E5F27A2}">
  <dimension ref="A1:O129"/>
  <sheetViews>
    <sheetView workbookViewId="0">
      <selection activeCell="G16" sqref="G16"/>
    </sheetView>
  </sheetViews>
  <sheetFormatPr defaultRowHeight="15" x14ac:dyDescent="0.25"/>
  <cols>
    <col min="1" max="1" width="40.7109375" bestFit="1" customWidth="1"/>
    <col min="2" max="3" width="11.85546875" bestFit="1" customWidth="1"/>
    <col min="4" max="4" width="10" bestFit="1" customWidth="1"/>
    <col min="7" max="7" width="49.42578125" customWidth="1"/>
    <col min="8" max="8" width="11.85546875" bestFit="1" customWidth="1"/>
    <col min="9" max="9" width="10.85546875" bestFit="1" customWidth="1"/>
    <col min="10" max="10" width="11.85546875" bestFit="1" customWidth="1"/>
    <col min="11" max="11" width="14.28515625" bestFit="1" customWidth="1"/>
    <col min="13" max="13" width="15.42578125" customWidth="1"/>
    <col min="14" max="14" width="10.85546875" bestFit="1" customWidth="1"/>
    <col min="15" max="15" width="14.5703125" bestFit="1" customWidth="1"/>
  </cols>
  <sheetData>
    <row r="1" spans="1:15" x14ac:dyDescent="0.25">
      <c r="A1" t="s">
        <v>41</v>
      </c>
      <c r="B1" s="18">
        <v>2191766</v>
      </c>
    </row>
    <row r="2" spans="1:15" x14ac:dyDescent="0.25">
      <c r="A2" t="s">
        <v>42</v>
      </c>
      <c r="B2" s="18">
        <v>2000000</v>
      </c>
      <c r="G2" t="s">
        <v>44</v>
      </c>
      <c r="H2" s="18">
        <v>21770656</v>
      </c>
      <c r="I2" s="18">
        <v>0</v>
      </c>
      <c r="J2" s="18">
        <v>21770656</v>
      </c>
      <c r="L2">
        <f>H2/H$6</f>
        <v>0.73595923699722265</v>
      </c>
      <c r="M2" s="19">
        <f>M6-SUM(M3:M5)</f>
        <v>18342201.842758276</v>
      </c>
      <c r="N2">
        <v>0</v>
      </c>
      <c r="O2" s="19">
        <f t="shared" ref="O2:O3" si="0">M2</f>
        <v>18342201.842758276</v>
      </c>
    </row>
    <row r="3" spans="1:15" x14ac:dyDescent="0.25">
      <c r="A3" t="s">
        <v>43</v>
      </c>
      <c r="B3" s="18">
        <v>957530</v>
      </c>
      <c r="G3" t="s">
        <v>46</v>
      </c>
      <c r="H3" s="18">
        <v>1905687</v>
      </c>
      <c r="I3" s="18">
        <v>0</v>
      </c>
      <c r="J3" s="18">
        <v>1905687</v>
      </c>
      <c r="L3">
        <f t="shared" ref="L3:L6" si="1">H3/H$6</f>
        <v>6.4421942566890322E-2</v>
      </c>
      <c r="M3" s="19">
        <f t="shared" ref="M3" si="2">L3*M$6</f>
        <v>1618758.0455793845</v>
      </c>
      <c r="N3">
        <v>0</v>
      </c>
      <c r="O3" s="19">
        <f t="shared" si="0"/>
        <v>1618758.0455793845</v>
      </c>
    </row>
    <row r="4" spans="1:15" x14ac:dyDescent="0.25">
      <c r="A4" t="s">
        <v>45</v>
      </c>
      <c r="B4" s="18">
        <v>1618250</v>
      </c>
      <c r="G4" t="s">
        <v>49</v>
      </c>
      <c r="H4" s="18">
        <v>1000000</v>
      </c>
      <c r="I4" s="18">
        <v>0</v>
      </c>
      <c r="J4" s="23">
        <v>1000000</v>
      </c>
      <c r="L4">
        <f t="shared" si="1"/>
        <v>3.3805101554919732E-2</v>
      </c>
      <c r="M4" s="19">
        <v>1000000</v>
      </c>
      <c r="N4">
        <v>0</v>
      </c>
      <c r="O4" s="19">
        <f>M4</f>
        <v>1000000</v>
      </c>
    </row>
    <row r="5" spans="1:15" x14ac:dyDescent="0.25">
      <c r="A5" t="s">
        <v>48</v>
      </c>
      <c r="B5" s="18">
        <v>309339</v>
      </c>
      <c r="G5" t="s">
        <v>51</v>
      </c>
      <c r="H5" s="18">
        <v>4904991</v>
      </c>
      <c r="I5" s="22">
        <v>1636645</v>
      </c>
      <c r="J5" s="18">
        <v>3268346</v>
      </c>
      <c r="L5">
        <f t="shared" si="1"/>
        <v>0.1658137188809673</v>
      </c>
      <c r="M5" s="19">
        <f>L5*M$6</f>
        <v>4166473.1116623408</v>
      </c>
      <c r="N5" s="18">
        <f>SUM(B14:B15)</f>
        <v>1636645</v>
      </c>
      <c r="O5" s="19">
        <f>M5-N5</f>
        <v>2529828.1116623408</v>
      </c>
    </row>
    <row r="6" spans="1:15" x14ac:dyDescent="0.25">
      <c r="A6" t="s">
        <v>50</v>
      </c>
      <c r="B6" s="18">
        <v>633595</v>
      </c>
      <c r="G6" t="s">
        <v>53</v>
      </c>
      <c r="H6" s="18">
        <v>29581334</v>
      </c>
      <c r="I6" s="18">
        <v>1636645</v>
      </c>
      <c r="J6" s="18">
        <v>27944689</v>
      </c>
      <c r="L6">
        <f t="shared" si="1"/>
        <v>1</v>
      </c>
      <c r="M6" s="18">
        <v>25127433</v>
      </c>
      <c r="N6" s="17">
        <f>SUM(N2:N5)</f>
        <v>1636645</v>
      </c>
      <c r="O6" s="17">
        <f>SUM(O2:O5)</f>
        <v>23490788</v>
      </c>
    </row>
    <row r="7" spans="1:15" x14ac:dyDescent="0.25">
      <c r="A7" t="s">
        <v>52</v>
      </c>
      <c r="B7" s="18">
        <v>1687500</v>
      </c>
    </row>
    <row r="8" spans="1:15" x14ac:dyDescent="0.25">
      <c r="A8" t="s">
        <v>15</v>
      </c>
      <c r="B8" s="18">
        <v>157812</v>
      </c>
      <c r="O8">
        <f>O2/O6</f>
        <v>0.78082531087327833</v>
      </c>
    </row>
    <row r="9" spans="1:15" x14ac:dyDescent="0.25">
      <c r="A9" t="s">
        <v>54</v>
      </c>
      <c r="B9" s="18">
        <v>12417714</v>
      </c>
      <c r="J9">
        <f>J2/J6</f>
        <v>0.77906238283775497</v>
      </c>
    </row>
    <row r="10" spans="1:15" x14ac:dyDescent="0.25">
      <c r="A10" t="s">
        <v>55</v>
      </c>
      <c r="B10" s="18">
        <v>110381</v>
      </c>
      <c r="C10" s="18">
        <f>SUM(B4:B10,B1:B2)</f>
        <v>21126357</v>
      </c>
      <c r="D10" s="18">
        <f>J2-C10</f>
        <v>644299</v>
      </c>
    </row>
    <row r="11" spans="1:15" x14ac:dyDescent="0.25">
      <c r="A11" t="s">
        <v>56</v>
      </c>
      <c r="B11" s="23">
        <v>1000000</v>
      </c>
      <c r="G11">
        <v>463.76859504132233</v>
      </c>
      <c r="H11">
        <f>G11*1.60336591980893</f>
        <v>743.59075996692502</v>
      </c>
    </row>
    <row r="12" spans="1:15" x14ac:dyDescent="0.25">
      <c r="A12" t="s">
        <v>57</v>
      </c>
      <c r="B12" s="18">
        <v>1144056</v>
      </c>
      <c r="G12">
        <v>564.97777777777776</v>
      </c>
      <c r="H12">
        <f t="shared" ref="H12:H13" si="3">G12*1.60336591980893</f>
        <v>905.86611433827193</v>
      </c>
    </row>
    <row r="13" spans="1:15" x14ac:dyDescent="0.25">
      <c r="A13" t="s">
        <v>58</v>
      </c>
      <c r="B13" s="18">
        <v>3716746</v>
      </c>
      <c r="D13" s="18">
        <f>B13-J5</f>
        <v>448400</v>
      </c>
      <c r="G13">
        <v>375</v>
      </c>
      <c r="H13">
        <f t="shared" si="3"/>
        <v>601.26221992834883</v>
      </c>
    </row>
    <row r="14" spans="1:15" x14ac:dyDescent="0.25">
      <c r="A14" t="s">
        <v>59</v>
      </c>
      <c r="B14" s="22">
        <v>278645</v>
      </c>
    </row>
    <row r="15" spans="1:15" x14ac:dyDescent="0.25">
      <c r="A15" t="s">
        <v>60</v>
      </c>
      <c r="B15" s="22">
        <v>1358000</v>
      </c>
    </row>
    <row r="16" spans="1:15" x14ac:dyDescent="0.25">
      <c r="A16" t="s">
        <v>53</v>
      </c>
      <c r="B16" s="18">
        <v>29581334</v>
      </c>
    </row>
    <row r="22" spans="2:14" x14ac:dyDescent="0.25">
      <c r="C22">
        <v>344</v>
      </c>
      <c r="D22">
        <v>50</v>
      </c>
      <c r="F22">
        <f>B22*C22</f>
        <v>0</v>
      </c>
      <c r="H22">
        <f>B22*D22</f>
        <v>0</v>
      </c>
    </row>
    <row r="23" spans="2:14" x14ac:dyDescent="0.25">
      <c r="C23">
        <v>397.6</v>
      </c>
      <c r="D23">
        <v>50</v>
      </c>
      <c r="F23">
        <f t="shared" ref="F23:F86" si="4">B23*C23</f>
        <v>0</v>
      </c>
      <c r="H23">
        <f t="shared" ref="H23:H86" si="5">B23*D23</f>
        <v>0</v>
      </c>
      <c r="J23">
        <v>2</v>
      </c>
      <c r="K23">
        <v>800</v>
      </c>
      <c r="M23" s="21">
        <f>J23*K23</f>
        <v>1600</v>
      </c>
      <c r="N23">
        <f>1.20522059547985*J23</f>
        <v>2.4104411909597001</v>
      </c>
    </row>
    <row r="24" spans="2:14" x14ac:dyDescent="0.25">
      <c r="C24">
        <v>414</v>
      </c>
      <c r="D24">
        <v>50</v>
      </c>
      <c r="F24">
        <f t="shared" si="4"/>
        <v>0</v>
      </c>
      <c r="H24">
        <f t="shared" si="5"/>
        <v>0</v>
      </c>
      <c r="J24">
        <v>2</v>
      </c>
      <c r="K24">
        <v>71.3</v>
      </c>
      <c r="M24" s="21">
        <f t="shared" ref="M24:M33" si="6">J24*K24</f>
        <v>142.6</v>
      </c>
      <c r="N24">
        <f t="shared" ref="N24:N33" si="7">1.20522059547985*J24</f>
        <v>2.4104411909597001</v>
      </c>
    </row>
    <row r="25" spans="2:14" x14ac:dyDescent="0.25">
      <c r="C25">
        <v>497</v>
      </c>
      <c r="D25">
        <v>50</v>
      </c>
      <c r="F25">
        <f t="shared" si="4"/>
        <v>0</v>
      </c>
      <c r="H25">
        <f t="shared" si="5"/>
        <v>0</v>
      </c>
      <c r="K25">
        <v>1300</v>
      </c>
      <c r="M25" s="21">
        <f t="shared" si="6"/>
        <v>0</v>
      </c>
      <c r="N25">
        <f t="shared" si="7"/>
        <v>0</v>
      </c>
    </row>
    <row r="26" spans="2:14" x14ac:dyDescent="0.25">
      <c r="C26">
        <v>607.6</v>
      </c>
      <c r="D26">
        <v>50</v>
      </c>
      <c r="F26">
        <f t="shared" si="4"/>
        <v>0</v>
      </c>
      <c r="H26">
        <f t="shared" si="5"/>
        <v>0</v>
      </c>
      <c r="J26">
        <v>3</v>
      </c>
      <c r="K26">
        <v>650</v>
      </c>
      <c r="M26" s="21">
        <f t="shared" si="6"/>
        <v>1950</v>
      </c>
      <c r="N26">
        <f t="shared" si="7"/>
        <v>3.6156617864395502</v>
      </c>
    </row>
    <row r="27" spans="2:14" x14ac:dyDescent="0.25">
      <c r="C27">
        <v>666</v>
      </c>
      <c r="D27">
        <v>50</v>
      </c>
      <c r="F27">
        <f t="shared" si="4"/>
        <v>0</v>
      </c>
      <c r="H27">
        <f t="shared" si="5"/>
        <v>0</v>
      </c>
      <c r="J27">
        <v>3</v>
      </c>
      <c r="K27">
        <v>650</v>
      </c>
      <c r="M27" s="21">
        <f t="shared" si="6"/>
        <v>1950</v>
      </c>
      <c r="N27">
        <f t="shared" si="7"/>
        <v>3.6156617864395502</v>
      </c>
    </row>
    <row r="28" spans="2:14" x14ac:dyDescent="0.25">
      <c r="B28">
        <v>2</v>
      </c>
      <c r="C28">
        <v>745</v>
      </c>
      <c r="D28">
        <v>50</v>
      </c>
      <c r="F28">
        <f t="shared" si="4"/>
        <v>1490</v>
      </c>
      <c r="H28">
        <f t="shared" si="5"/>
        <v>100</v>
      </c>
      <c r="K28">
        <v>3663.18</v>
      </c>
      <c r="M28" s="21">
        <f t="shared" si="6"/>
        <v>0</v>
      </c>
      <c r="N28">
        <f t="shared" si="7"/>
        <v>0</v>
      </c>
    </row>
    <row r="29" spans="2:14" x14ac:dyDescent="0.25">
      <c r="C29">
        <v>1016.3</v>
      </c>
      <c r="D29">
        <v>50</v>
      </c>
      <c r="F29">
        <f t="shared" si="4"/>
        <v>0</v>
      </c>
      <c r="H29">
        <f t="shared" si="5"/>
        <v>0</v>
      </c>
      <c r="K29">
        <v>1318</v>
      </c>
      <c r="M29" s="21">
        <f t="shared" si="6"/>
        <v>0</v>
      </c>
      <c r="N29">
        <f t="shared" si="7"/>
        <v>0</v>
      </c>
    </row>
    <row r="30" spans="2:14" x14ac:dyDescent="0.25">
      <c r="C30">
        <v>1177</v>
      </c>
      <c r="D30">
        <v>50</v>
      </c>
      <c r="F30">
        <f t="shared" si="4"/>
        <v>0</v>
      </c>
      <c r="H30">
        <f t="shared" si="5"/>
        <v>0</v>
      </c>
      <c r="J30">
        <v>19262</v>
      </c>
      <c r="K30">
        <v>1.02</v>
      </c>
      <c r="M30" s="21">
        <f t="shared" si="6"/>
        <v>19647.240000000002</v>
      </c>
      <c r="N30">
        <f t="shared" si="7"/>
        <v>23214.959110132873</v>
      </c>
    </row>
    <row r="31" spans="2:14" x14ac:dyDescent="0.25">
      <c r="B31">
        <v>3</v>
      </c>
      <c r="C31">
        <v>1319</v>
      </c>
      <c r="D31">
        <v>50</v>
      </c>
      <c r="F31">
        <f>B49*C31</f>
        <v>1319</v>
      </c>
      <c r="H31">
        <f t="shared" si="5"/>
        <v>150</v>
      </c>
      <c r="J31">
        <v>0</v>
      </c>
      <c r="K31">
        <v>1.3023855</v>
      </c>
      <c r="M31" s="21">
        <f t="shared" si="6"/>
        <v>0</v>
      </c>
      <c r="N31">
        <f t="shared" si="7"/>
        <v>0</v>
      </c>
    </row>
    <row r="32" spans="2:14" x14ac:dyDescent="0.25">
      <c r="C32">
        <v>1344</v>
      </c>
      <c r="D32">
        <v>50</v>
      </c>
      <c r="F32">
        <f t="shared" si="4"/>
        <v>0</v>
      </c>
      <c r="G32">
        <f>SUM(F22:F3128)/B129</f>
        <v>1368.4914285714283</v>
      </c>
      <c r="H32">
        <f t="shared" si="5"/>
        <v>0</v>
      </c>
      <c r="J32">
        <v>1110</v>
      </c>
      <c r="K32">
        <v>1.7387288999999999</v>
      </c>
      <c r="M32" s="21">
        <f t="shared" si="6"/>
        <v>1929.9890789999999</v>
      </c>
      <c r="N32">
        <f t="shared" si="7"/>
        <v>1337.7948609826335</v>
      </c>
    </row>
    <row r="33" spans="2:14" x14ac:dyDescent="0.25">
      <c r="C33">
        <v>1560</v>
      </c>
      <c r="D33">
        <v>25</v>
      </c>
      <c r="F33">
        <f t="shared" si="4"/>
        <v>0</v>
      </c>
      <c r="H33">
        <f t="shared" si="5"/>
        <v>0</v>
      </c>
      <c r="J33">
        <v>7488</v>
      </c>
      <c r="K33">
        <v>24.44</v>
      </c>
      <c r="M33" s="21">
        <f t="shared" si="6"/>
        <v>183006.72</v>
      </c>
      <c r="N33">
        <f t="shared" si="7"/>
        <v>9024.691818953117</v>
      </c>
    </row>
    <row r="34" spans="2:14" x14ac:dyDescent="0.25">
      <c r="C34">
        <v>1812</v>
      </c>
      <c r="D34">
        <v>50</v>
      </c>
      <c r="F34">
        <f t="shared" si="4"/>
        <v>0</v>
      </c>
      <c r="H34">
        <f t="shared" si="5"/>
        <v>0</v>
      </c>
    </row>
    <row r="35" spans="2:14" x14ac:dyDescent="0.25">
      <c r="C35">
        <v>1851</v>
      </c>
      <c r="D35">
        <v>100</v>
      </c>
      <c r="F35">
        <f t="shared" si="4"/>
        <v>0</v>
      </c>
      <c r="H35">
        <f t="shared" si="5"/>
        <v>0</v>
      </c>
      <c r="M35" s="21">
        <f>SUM(M23:M33)</f>
        <v>210226.54907900002</v>
      </c>
    </row>
    <row r="36" spans="2:14" x14ac:dyDescent="0.25">
      <c r="C36">
        <v>2123</v>
      </c>
      <c r="D36">
        <v>50</v>
      </c>
      <c r="F36">
        <f t="shared" si="4"/>
        <v>0</v>
      </c>
      <c r="H36">
        <f t="shared" si="5"/>
        <v>0</v>
      </c>
    </row>
    <row r="37" spans="2:14" x14ac:dyDescent="0.25">
      <c r="C37">
        <v>2134</v>
      </c>
      <c r="D37">
        <v>100</v>
      </c>
      <c r="F37">
        <f t="shared" si="4"/>
        <v>0</v>
      </c>
      <c r="H37">
        <f t="shared" si="5"/>
        <v>0</v>
      </c>
    </row>
    <row r="38" spans="2:14" x14ac:dyDescent="0.25">
      <c r="C38">
        <v>2502</v>
      </c>
      <c r="D38">
        <v>50</v>
      </c>
      <c r="F38">
        <f t="shared" si="4"/>
        <v>0</v>
      </c>
      <c r="H38">
        <f t="shared" si="5"/>
        <v>0</v>
      </c>
    </row>
    <row r="39" spans="2:14" x14ac:dyDescent="0.25">
      <c r="C39">
        <v>2502</v>
      </c>
      <c r="D39">
        <v>50</v>
      </c>
      <c r="F39">
        <f t="shared" si="4"/>
        <v>0</v>
      </c>
      <c r="H39">
        <f t="shared" si="5"/>
        <v>0</v>
      </c>
    </row>
    <row r="40" spans="2:14" x14ac:dyDescent="0.25">
      <c r="C40">
        <v>2595</v>
      </c>
      <c r="D40">
        <v>50</v>
      </c>
      <c r="F40">
        <f t="shared" si="4"/>
        <v>0</v>
      </c>
      <c r="H40">
        <f t="shared" si="5"/>
        <v>0</v>
      </c>
    </row>
    <row r="41" spans="2:14" x14ac:dyDescent="0.25">
      <c r="C41">
        <v>2651.16</v>
      </c>
      <c r="D41">
        <v>50</v>
      </c>
      <c r="F41">
        <f t="shared" si="4"/>
        <v>0</v>
      </c>
      <c r="H41">
        <f t="shared" si="5"/>
        <v>0</v>
      </c>
    </row>
    <row r="42" spans="2:14" x14ac:dyDescent="0.25">
      <c r="B42">
        <v>1</v>
      </c>
      <c r="C42">
        <v>2898.48</v>
      </c>
      <c r="D42">
        <v>50</v>
      </c>
      <c r="F42">
        <f t="shared" si="4"/>
        <v>2898.48</v>
      </c>
      <c r="H42">
        <f t="shared" si="5"/>
        <v>50</v>
      </c>
    </row>
    <row r="43" spans="2:14" x14ac:dyDescent="0.25">
      <c r="C43">
        <v>2898.48</v>
      </c>
      <c r="D43">
        <v>50</v>
      </c>
      <c r="F43">
        <f t="shared" si="4"/>
        <v>0</v>
      </c>
      <c r="H43">
        <f t="shared" si="5"/>
        <v>0</v>
      </c>
    </row>
    <row r="44" spans="2:14" x14ac:dyDescent="0.25">
      <c r="C44">
        <v>3127</v>
      </c>
      <c r="D44">
        <v>50</v>
      </c>
      <c r="F44">
        <f t="shared" si="4"/>
        <v>0</v>
      </c>
      <c r="H44">
        <f t="shared" si="5"/>
        <v>0</v>
      </c>
    </row>
    <row r="45" spans="2:14" x14ac:dyDescent="0.25">
      <c r="C45">
        <v>3558.5</v>
      </c>
      <c r="D45">
        <v>50</v>
      </c>
      <c r="F45">
        <f t="shared" si="4"/>
        <v>0</v>
      </c>
      <c r="H45">
        <f t="shared" si="5"/>
        <v>0</v>
      </c>
      <c r="M45" s="18">
        <f>SUM(M47:M55)</f>
        <v>15914390</v>
      </c>
    </row>
    <row r="46" spans="2:14" ht="15.75" thickBot="1" x14ac:dyDescent="0.3">
      <c r="C46">
        <v>3753</v>
      </c>
      <c r="D46">
        <v>50</v>
      </c>
      <c r="F46">
        <f t="shared" si="4"/>
        <v>0</v>
      </c>
      <c r="H46">
        <f t="shared" si="5"/>
        <v>0</v>
      </c>
      <c r="K46" s="21">
        <v>15176305.48194694</v>
      </c>
    </row>
    <row r="47" spans="2:14" ht="15.75" thickBot="1" x14ac:dyDescent="0.3">
      <c r="C47">
        <v>3753</v>
      </c>
      <c r="D47">
        <v>50</v>
      </c>
      <c r="F47">
        <f t="shared" si="4"/>
        <v>0</v>
      </c>
      <c r="H47">
        <f t="shared" si="5"/>
        <v>0</v>
      </c>
      <c r="M47" s="70">
        <v>2534322</v>
      </c>
    </row>
    <row r="48" spans="2:14" ht="15.75" thickBot="1" x14ac:dyDescent="0.3">
      <c r="C48">
        <v>3772</v>
      </c>
      <c r="D48">
        <v>100</v>
      </c>
      <c r="F48">
        <f t="shared" si="4"/>
        <v>0</v>
      </c>
      <c r="H48">
        <f t="shared" si="5"/>
        <v>0</v>
      </c>
      <c r="M48" s="71">
        <v>2552393</v>
      </c>
    </row>
    <row r="49" spans="2:13" ht="15.75" thickBot="1" x14ac:dyDescent="0.3">
      <c r="B49">
        <v>1</v>
      </c>
      <c r="C49">
        <v>3871.96</v>
      </c>
      <c r="D49">
        <v>50</v>
      </c>
      <c r="F49">
        <f t="shared" si="4"/>
        <v>3871.96</v>
      </c>
      <c r="H49">
        <f t="shared" si="5"/>
        <v>50</v>
      </c>
      <c r="M49" s="71">
        <v>1160578</v>
      </c>
    </row>
    <row r="50" spans="2:13" ht="15.75" thickBot="1" x14ac:dyDescent="0.3">
      <c r="C50">
        <v>3942</v>
      </c>
      <c r="D50">
        <v>50</v>
      </c>
      <c r="F50">
        <f t="shared" si="4"/>
        <v>0</v>
      </c>
      <c r="H50">
        <f t="shared" si="5"/>
        <v>0</v>
      </c>
      <c r="M50" s="71">
        <v>1155374</v>
      </c>
    </row>
    <row r="51" spans="2:13" ht="15.75" thickBot="1" x14ac:dyDescent="0.3">
      <c r="C51">
        <v>3942</v>
      </c>
      <c r="D51">
        <v>50</v>
      </c>
      <c r="F51">
        <f t="shared" si="4"/>
        <v>0</v>
      </c>
      <c r="H51">
        <f t="shared" si="5"/>
        <v>0</v>
      </c>
      <c r="M51" s="71">
        <v>202695</v>
      </c>
    </row>
    <row r="52" spans="2:13" ht="15.75" thickBot="1" x14ac:dyDescent="0.3">
      <c r="C52">
        <v>3976.74</v>
      </c>
      <c r="D52">
        <v>50</v>
      </c>
      <c r="F52">
        <f t="shared" si="4"/>
        <v>0</v>
      </c>
      <c r="H52">
        <f t="shared" si="5"/>
        <v>0</v>
      </c>
      <c r="M52" s="71">
        <v>0</v>
      </c>
    </row>
    <row r="53" spans="2:13" ht="15.75" thickBot="1" x14ac:dyDescent="0.3">
      <c r="C53">
        <v>4342</v>
      </c>
      <c r="D53">
        <v>100</v>
      </c>
      <c r="F53">
        <f t="shared" si="4"/>
        <v>0</v>
      </c>
      <c r="H53">
        <f t="shared" si="5"/>
        <v>0</v>
      </c>
      <c r="M53" s="72" t="s">
        <v>95</v>
      </c>
    </row>
    <row r="54" spans="2:13" ht="15.75" thickBot="1" x14ac:dyDescent="0.3">
      <c r="C54">
        <v>5004</v>
      </c>
      <c r="D54">
        <v>50</v>
      </c>
      <c r="F54">
        <f t="shared" si="4"/>
        <v>0</v>
      </c>
      <c r="H54">
        <f t="shared" si="5"/>
        <v>0</v>
      </c>
      <c r="M54" s="71">
        <v>105623</v>
      </c>
    </row>
    <row r="55" spans="2:13" ht="15.75" thickBot="1" x14ac:dyDescent="0.3">
      <c r="C55">
        <v>5004</v>
      </c>
      <c r="D55">
        <v>50</v>
      </c>
      <c r="F55">
        <f t="shared" si="4"/>
        <v>0</v>
      </c>
      <c r="H55">
        <f t="shared" si="5"/>
        <v>0</v>
      </c>
      <c r="M55" s="71">
        <v>8203405</v>
      </c>
    </row>
    <row r="56" spans="2:13" x14ac:dyDescent="0.25">
      <c r="C56">
        <v>5013.3500000000004</v>
      </c>
      <c r="D56">
        <v>50</v>
      </c>
      <c r="F56">
        <f t="shared" si="4"/>
        <v>0</v>
      </c>
      <c r="H56">
        <f t="shared" si="5"/>
        <v>0</v>
      </c>
      <c r="M56" s="56" t="s">
        <v>138</v>
      </c>
    </row>
    <row r="57" spans="2:13" x14ac:dyDescent="0.25">
      <c r="C57">
        <v>5013.3500000000004</v>
      </c>
      <c r="D57">
        <v>50</v>
      </c>
      <c r="F57">
        <f t="shared" si="4"/>
        <v>0</v>
      </c>
      <c r="H57">
        <f t="shared" si="5"/>
        <v>0</v>
      </c>
      <c r="M57" s="57" t="s">
        <v>81</v>
      </c>
    </row>
    <row r="58" spans="2:13" x14ac:dyDescent="0.25">
      <c r="C58">
        <v>5190</v>
      </c>
      <c r="D58">
        <v>50</v>
      </c>
      <c r="F58">
        <f t="shared" si="4"/>
        <v>0</v>
      </c>
      <c r="H58">
        <f t="shared" si="5"/>
        <v>0</v>
      </c>
      <c r="M58" s="56" t="s">
        <v>139</v>
      </c>
    </row>
    <row r="59" spans="2:13" x14ac:dyDescent="0.25">
      <c r="C59">
        <v>5302.32</v>
      </c>
      <c r="D59">
        <v>50</v>
      </c>
      <c r="F59">
        <f t="shared" si="4"/>
        <v>0</v>
      </c>
      <c r="H59">
        <f t="shared" si="5"/>
        <v>0</v>
      </c>
    </row>
    <row r="60" spans="2:13" x14ac:dyDescent="0.25">
      <c r="C60">
        <v>6029.73</v>
      </c>
      <c r="D60">
        <v>50</v>
      </c>
      <c r="F60">
        <f t="shared" si="4"/>
        <v>0</v>
      </c>
      <c r="H60">
        <f t="shared" si="5"/>
        <v>0</v>
      </c>
    </row>
    <row r="61" spans="2:13" x14ac:dyDescent="0.25">
      <c r="C61">
        <v>6029.73</v>
      </c>
      <c r="D61">
        <v>50</v>
      </c>
      <c r="F61">
        <f t="shared" si="4"/>
        <v>0</v>
      </c>
      <c r="H61">
        <f t="shared" si="5"/>
        <v>0</v>
      </c>
    </row>
    <row r="62" spans="2:13" x14ac:dyDescent="0.25">
      <c r="C62">
        <v>6255</v>
      </c>
      <c r="D62">
        <v>50</v>
      </c>
      <c r="F62">
        <f t="shared" si="4"/>
        <v>0</v>
      </c>
      <c r="H62">
        <f t="shared" si="5"/>
        <v>0</v>
      </c>
    </row>
    <row r="63" spans="2:13" x14ac:dyDescent="0.25">
      <c r="C63">
        <v>6255</v>
      </c>
      <c r="D63">
        <v>50</v>
      </c>
      <c r="F63">
        <f t="shared" si="4"/>
        <v>0</v>
      </c>
      <c r="H63">
        <f t="shared" si="5"/>
        <v>0</v>
      </c>
    </row>
    <row r="64" spans="2:13" x14ac:dyDescent="0.25">
      <c r="C64">
        <v>6627.9</v>
      </c>
      <c r="D64">
        <v>50</v>
      </c>
      <c r="F64">
        <f t="shared" si="4"/>
        <v>0</v>
      </c>
      <c r="H64">
        <f t="shared" si="5"/>
        <v>0</v>
      </c>
    </row>
    <row r="65" spans="3:8" x14ac:dyDescent="0.25">
      <c r="C65">
        <v>7506</v>
      </c>
      <c r="D65">
        <v>50</v>
      </c>
      <c r="F65">
        <f t="shared" si="4"/>
        <v>0</v>
      </c>
      <c r="H65">
        <f t="shared" si="5"/>
        <v>0</v>
      </c>
    </row>
    <row r="66" spans="3:8" x14ac:dyDescent="0.25">
      <c r="C66">
        <v>7506</v>
      </c>
      <c r="D66">
        <v>50</v>
      </c>
      <c r="F66">
        <f t="shared" si="4"/>
        <v>0</v>
      </c>
      <c r="H66">
        <f t="shared" si="5"/>
        <v>0</v>
      </c>
    </row>
    <row r="67" spans="3:8" x14ac:dyDescent="0.25">
      <c r="C67">
        <v>7633</v>
      </c>
      <c r="D67">
        <v>50</v>
      </c>
      <c r="F67">
        <f t="shared" si="4"/>
        <v>0</v>
      </c>
      <c r="H67">
        <f t="shared" si="5"/>
        <v>0</v>
      </c>
    </row>
    <row r="68" spans="3:8" x14ac:dyDescent="0.25">
      <c r="C68">
        <v>7953.48</v>
      </c>
      <c r="D68">
        <v>50</v>
      </c>
      <c r="F68">
        <f t="shared" si="4"/>
        <v>0</v>
      </c>
      <c r="H68">
        <f t="shared" si="5"/>
        <v>0</v>
      </c>
    </row>
    <row r="69" spans="3:8" x14ac:dyDescent="0.25">
      <c r="C69">
        <v>8757</v>
      </c>
      <c r="D69">
        <v>50</v>
      </c>
      <c r="F69">
        <f t="shared" si="4"/>
        <v>0</v>
      </c>
      <c r="H69">
        <f t="shared" si="5"/>
        <v>0</v>
      </c>
    </row>
    <row r="70" spans="3:8" x14ac:dyDescent="0.25">
      <c r="C70">
        <v>8757</v>
      </c>
      <c r="D70">
        <v>50</v>
      </c>
      <c r="F70">
        <f t="shared" si="4"/>
        <v>0</v>
      </c>
      <c r="H70">
        <f t="shared" si="5"/>
        <v>0</v>
      </c>
    </row>
    <row r="71" spans="3:8" x14ac:dyDescent="0.25">
      <c r="C71">
        <v>9867.2099999999991</v>
      </c>
      <c r="D71">
        <v>50</v>
      </c>
      <c r="F71">
        <f t="shared" si="4"/>
        <v>0</v>
      </c>
      <c r="H71">
        <f t="shared" si="5"/>
        <v>0</v>
      </c>
    </row>
    <row r="72" spans="3:8" x14ac:dyDescent="0.25">
      <c r="C72">
        <v>10008</v>
      </c>
      <c r="D72">
        <v>50</v>
      </c>
      <c r="F72">
        <f t="shared" si="4"/>
        <v>0</v>
      </c>
      <c r="H72">
        <f t="shared" si="5"/>
        <v>0</v>
      </c>
    </row>
    <row r="73" spans="3:8" x14ac:dyDescent="0.25">
      <c r="C73">
        <v>10008</v>
      </c>
      <c r="D73">
        <v>50</v>
      </c>
      <c r="F73">
        <f t="shared" si="4"/>
        <v>0</v>
      </c>
      <c r="H73">
        <f t="shared" si="5"/>
        <v>0</v>
      </c>
    </row>
    <row r="74" spans="3:8" x14ac:dyDescent="0.25">
      <c r="C74">
        <v>11259</v>
      </c>
      <c r="D74">
        <v>50</v>
      </c>
      <c r="F74">
        <f t="shared" si="4"/>
        <v>0</v>
      </c>
      <c r="H74">
        <f t="shared" si="5"/>
        <v>0</v>
      </c>
    </row>
    <row r="75" spans="3:8" x14ac:dyDescent="0.25">
      <c r="C75">
        <v>11259</v>
      </c>
      <c r="D75">
        <v>50</v>
      </c>
      <c r="F75">
        <f t="shared" si="4"/>
        <v>0</v>
      </c>
      <c r="H75">
        <f t="shared" si="5"/>
        <v>0</v>
      </c>
    </row>
    <row r="76" spans="3:8" x14ac:dyDescent="0.25">
      <c r="C76">
        <v>11333.92</v>
      </c>
      <c r="D76">
        <v>50</v>
      </c>
      <c r="F76">
        <f t="shared" si="4"/>
        <v>0</v>
      </c>
      <c r="H76">
        <f t="shared" si="5"/>
        <v>0</v>
      </c>
    </row>
    <row r="77" spans="3:8" x14ac:dyDescent="0.25">
      <c r="C77">
        <v>12209.37</v>
      </c>
      <c r="D77">
        <v>50</v>
      </c>
      <c r="F77">
        <f t="shared" si="4"/>
        <v>0</v>
      </c>
      <c r="H77">
        <f t="shared" si="5"/>
        <v>0</v>
      </c>
    </row>
    <row r="78" spans="3:8" x14ac:dyDescent="0.25">
      <c r="C78">
        <v>12209.37</v>
      </c>
      <c r="D78">
        <v>50</v>
      </c>
      <c r="F78">
        <f t="shared" si="4"/>
        <v>0</v>
      </c>
      <c r="H78">
        <f t="shared" si="5"/>
        <v>0</v>
      </c>
    </row>
    <row r="79" spans="3:8" x14ac:dyDescent="0.25">
      <c r="C79">
        <v>12510</v>
      </c>
      <c r="D79">
        <v>50</v>
      </c>
      <c r="F79">
        <f t="shared" si="4"/>
        <v>0</v>
      </c>
      <c r="H79">
        <f t="shared" si="5"/>
        <v>0</v>
      </c>
    </row>
    <row r="80" spans="3:8" x14ac:dyDescent="0.25">
      <c r="C80">
        <v>12510</v>
      </c>
      <c r="D80">
        <v>50</v>
      </c>
      <c r="F80">
        <f t="shared" si="4"/>
        <v>0</v>
      </c>
      <c r="H80">
        <f t="shared" si="5"/>
        <v>0</v>
      </c>
    </row>
    <row r="81" spans="3:8" x14ac:dyDescent="0.25">
      <c r="C81">
        <v>13761</v>
      </c>
      <c r="D81">
        <v>50</v>
      </c>
      <c r="F81">
        <f t="shared" si="4"/>
        <v>0</v>
      </c>
      <c r="H81">
        <f t="shared" si="5"/>
        <v>0</v>
      </c>
    </row>
    <row r="82" spans="3:8" x14ac:dyDescent="0.25">
      <c r="C82">
        <v>13761</v>
      </c>
      <c r="D82">
        <v>50</v>
      </c>
      <c r="F82">
        <f t="shared" si="4"/>
        <v>0</v>
      </c>
      <c r="H82">
        <f t="shared" si="5"/>
        <v>0</v>
      </c>
    </row>
    <row r="83" spans="3:8" x14ac:dyDescent="0.25">
      <c r="C83">
        <v>15012</v>
      </c>
      <c r="D83">
        <v>50</v>
      </c>
      <c r="F83">
        <f t="shared" si="4"/>
        <v>0</v>
      </c>
      <c r="H83">
        <f t="shared" si="5"/>
        <v>0</v>
      </c>
    </row>
    <row r="84" spans="3:8" x14ac:dyDescent="0.25">
      <c r="C84">
        <v>15012</v>
      </c>
      <c r="D84">
        <v>50</v>
      </c>
      <c r="F84">
        <f t="shared" si="4"/>
        <v>0</v>
      </c>
      <c r="H84">
        <f t="shared" si="5"/>
        <v>0</v>
      </c>
    </row>
    <row r="85" spans="3:8" x14ac:dyDescent="0.25">
      <c r="C85">
        <v>15115</v>
      </c>
      <c r="D85">
        <v>100</v>
      </c>
      <c r="F85">
        <f t="shared" si="4"/>
        <v>0</v>
      </c>
      <c r="H85">
        <f t="shared" si="5"/>
        <v>0</v>
      </c>
    </row>
    <row r="86" spans="3:8" x14ac:dyDescent="0.25">
      <c r="C86">
        <v>15621.35</v>
      </c>
      <c r="D86">
        <v>50</v>
      </c>
      <c r="F86">
        <f t="shared" si="4"/>
        <v>0</v>
      </c>
      <c r="H86">
        <f t="shared" si="5"/>
        <v>0</v>
      </c>
    </row>
    <row r="87" spans="3:8" x14ac:dyDescent="0.25">
      <c r="C87">
        <v>15680.19</v>
      </c>
      <c r="D87">
        <v>50</v>
      </c>
      <c r="F87">
        <f t="shared" ref="F87:F128" si="8">B87*C87</f>
        <v>0</v>
      </c>
      <c r="H87">
        <f t="shared" ref="H87:H128" si="9">B87*D87</f>
        <v>0</v>
      </c>
    </row>
    <row r="88" spans="3:8" x14ac:dyDescent="0.25">
      <c r="C88">
        <v>16263</v>
      </c>
      <c r="D88">
        <v>50</v>
      </c>
      <c r="F88">
        <f t="shared" si="8"/>
        <v>0</v>
      </c>
      <c r="H88">
        <f t="shared" si="9"/>
        <v>0</v>
      </c>
    </row>
    <row r="89" spans="3:8" x14ac:dyDescent="0.25">
      <c r="C89">
        <v>16263</v>
      </c>
      <c r="D89">
        <v>50</v>
      </c>
      <c r="F89">
        <f t="shared" si="8"/>
        <v>0</v>
      </c>
      <c r="H89">
        <f t="shared" si="9"/>
        <v>0</v>
      </c>
    </row>
    <row r="90" spans="3:8" x14ac:dyDescent="0.25">
      <c r="C90">
        <v>17514</v>
      </c>
      <c r="D90">
        <v>50</v>
      </c>
      <c r="F90">
        <f t="shared" si="8"/>
        <v>0</v>
      </c>
      <c r="H90">
        <f t="shared" si="9"/>
        <v>0</v>
      </c>
    </row>
    <row r="91" spans="3:8" x14ac:dyDescent="0.25">
      <c r="C91">
        <v>17514</v>
      </c>
      <c r="D91">
        <v>50</v>
      </c>
      <c r="F91">
        <f t="shared" si="8"/>
        <v>0</v>
      </c>
      <c r="H91">
        <f t="shared" si="9"/>
        <v>0</v>
      </c>
    </row>
    <row r="92" spans="3:8" x14ac:dyDescent="0.25">
      <c r="C92">
        <v>18765</v>
      </c>
      <c r="D92">
        <v>50</v>
      </c>
      <c r="F92">
        <f t="shared" si="8"/>
        <v>0</v>
      </c>
      <c r="H92">
        <f t="shared" si="9"/>
        <v>0</v>
      </c>
    </row>
    <row r="93" spans="3:8" x14ac:dyDescent="0.25">
      <c r="C93">
        <v>18765</v>
      </c>
      <c r="D93">
        <v>50</v>
      </c>
      <c r="F93">
        <f t="shared" si="8"/>
        <v>0</v>
      </c>
      <c r="H93">
        <f t="shared" si="9"/>
        <v>0</v>
      </c>
    </row>
    <row r="94" spans="3:8" x14ac:dyDescent="0.25">
      <c r="C94">
        <v>19763</v>
      </c>
      <c r="D94">
        <v>100</v>
      </c>
      <c r="F94">
        <f t="shared" si="8"/>
        <v>0</v>
      </c>
      <c r="H94">
        <f t="shared" si="9"/>
        <v>0</v>
      </c>
    </row>
    <row r="95" spans="3:8" x14ac:dyDescent="0.25">
      <c r="C95">
        <v>20016</v>
      </c>
      <c r="D95">
        <v>50</v>
      </c>
      <c r="F95">
        <f t="shared" si="8"/>
        <v>0</v>
      </c>
      <c r="H95">
        <f t="shared" si="9"/>
        <v>0</v>
      </c>
    </row>
    <row r="96" spans="3:8" x14ac:dyDescent="0.25">
      <c r="C96">
        <v>20016</v>
      </c>
      <c r="D96">
        <v>50</v>
      </c>
      <c r="F96">
        <f t="shared" si="8"/>
        <v>0</v>
      </c>
      <c r="H96">
        <f t="shared" si="9"/>
        <v>0</v>
      </c>
    </row>
    <row r="97" spans="3:8" x14ac:dyDescent="0.25">
      <c r="C97">
        <v>21267</v>
      </c>
      <c r="D97">
        <v>50</v>
      </c>
      <c r="F97">
        <f t="shared" si="8"/>
        <v>0</v>
      </c>
      <c r="H97">
        <f t="shared" si="9"/>
        <v>0</v>
      </c>
    </row>
    <row r="98" spans="3:8" x14ac:dyDescent="0.25">
      <c r="C98">
        <v>21267</v>
      </c>
      <c r="D98">
        <v>50</v>
      </c>
      <c r="F98">
        <f t="shared" si="8"/>
        <v>0</v>
      </c>
      <c r="H98">
        <f t="shared" si="9"/>
        <v>0</v>
      </c>
    </row>
    <row r="99" spans="3:8" x14ac:dyDescent="0.25">
      <c r="C99">
        <v>21857.58</v>
      </c>
      <c r="D99">
        <v>50</v>
      </c>
      <c r="F99">
        <f t="shared" si="8"/>
        <v>0</v>
      </c>
      <c r="H99">
        <f t="shared" si="9"/>
        <v>0</v>
      </c>
    </row>
    <row r="100" spans="3:8" x14ac:dyDescent="0.25">
      <c r="C100">
        <v>22518</v>
      </c>
      <c r="D100">
        <v>50</v>
      </c>
      <c r="F100">
        <f t="shared" si="8"/>
        <v>0</v>
      </c>
      <c r="H100">
        <f t="shared" si="9"/>
        <v>0</v>
      </c>
    </row>
    <row r="101" spans="3:8" x14ac:dyDescent="0.25">
      <c r="C101">
        <v>22518</v>
      </c>
      <c r="D101">
        <v>50</v>
      </c>
      <c r="F101">
        <f t="shared" si="8"/>
        <v>0</v>
      </c>
      <c r="H101">
        <f t="shared" si="9"/>
        <v>0</v>
      </c>
    </row>
    <row r="102" spans="3:8" x14ac:dyDescent="0.25">
      <c r="C102">
        <v>23769</v>
      </c>
      <c r="D102">
        <v>50</v>
      </c>
      <c r="F102">
        <f t="shared" si="8"/>
        <v>0</v>
      </c>
      <c r="H102">
        <f t="shared" si="9"/>
        <v>0</v>
      </c>
    </row>
    <row r="103" spans="3:8" x14ac:dyDescent="0.25">
      <c r="C103">
        <v>23769</v>
      </c>
      <c r="D103">
        <v>50</v>
      </c>
      <c r="F103">
        <f t="shared" si="8"/>
        <v>0</v>
      </c>
      <c r="H103">
        <f t="shared" si="9"/>
        <v>0</v>
      </c>
    </row>
    <row r="104" spans="3:8" x14ac:dyDescent="0.25">
      <c r="C104">
        <v>25020</v>
      </c>
      <c r="D104">
        <v>50</v>
      </c>
      <c r="F104">
        <f t="shared" si="8"/>
        <v>0</v>
      </c>
      <c r="H104">
        <f t="shared" si="9"/>
        <v>0</v>
      </c>
    </row>
    <row r="105" spans="3:8" x14ac:dyDescent="0.25">
      <c r="C105">
        <v>25020</v>
      </c>
      <c r="D105">
        <v>50</v>
      </c>
      <c r="F105">
        <f t="shared" si="8"/>
        <v>0</v>
      </c>
      <c r="H105">
        <f t="shared" si="9"/>
        <v>0</v>
      </c>
    </row>
    <row r="106" spans="3:8" x14ac:dyDescent="0.25">
      <c r="C106">
        <v>26271</v>
      </c>
      <c r="D106">
        <v>50</v>
      </c>
      <c r="F106">
        <f t="shared" si="8"/>
        <v>0</v>
      </c>
      <c r="H106">
        <f t="shared" si="9"/>
        <v>0</v>
      </c>
    </row>
    <row r="107" spans="3:8" x14ac:dyDescent="0.25">
      <c r="C107">
        <v>26271</v>
      </c>
      <c r="D107">
        <v>50</v>
      </c>
      <c r="F107">
        <f t="shared" si="8"/>
        <v>0</v>
      </c>
      <c r="H107">
        <f t="shared" si="9"/>
        <v>0</v>
      </c>
    </row>
    <row r="108" spans="3:8" x14ac:dyDescent="0.25">
      <c r="C108">
        <v>26769.24</v>
      </c>
      <c r="D108">
        <v>50</v>
      </c>
      <c r="F108">
        <f t="shared" si="8"/>
        <v>0</v>
      </c>
      <c r="H108">
        <f t="shared" si="9"/>
        <v>0</v>
      </c>
    </row>
    <row r="109" spans="3:8" x14ac:dyDescent="0.25">
      <c r="C109">
        <v>27522</v>
      </c>
      <c r="D109">
        <v>50</v>
      </c>
      <c r="F109">
        <f t="shared" si="8"/>
        <v>0</v>
      </c>
      <c r="H109">
        <f t="shared" si="9"/>
        <v>0</v>
      </c>
    </row>
    <row r="110" spans="3:8" x14ac:dyDescent="0.25">
      <c r="C110">
        <v>27522</v>
      </c>
      <c r="D110">
        <v>50</v>
      </c>
      <c r="F110">
        <f t="shared" si="8"/>
        <v>0</v>
      </c>
      <c r="H110">
        <f t="shared" si="9"/>
        <v>0</v>
      </c>
    </row>
    <row r="111" spans="3:8" x14ac:dyDescent="0.25">
      <c r="C111">
        <v>28217</v>
      </c>
      <c r="D111">
        <v>100</v>
      </c>
      <c r="F111">
        <f t="shared" si="8"/>
        <v>0</v>
      </c>
      <c r="H111">
        <f t="shared" si="9"/>
        <v>0</v>
      </c>
    </row>
    <row r="112" spans="3:8" x14ac:dyDescent="0.25">
      <c r="C112">
        <v>28773</v>
      </c>
      <c r="D112">
        <v>50</v>
      </c>
      <c r="F112">
        <f t="shared" si="8"/>
        <v>0</v>
      </c>
      <c r="H112">
        <f t="shared" si="9"/>
        <v>0</v>
      </c>
    </row>
    <row r="113" spans="3:8" x14ac:dyDescent="0.25">
      <c r="C113">
        <v>28773</v>
      </c>
      <c r="D113">
        <v>50</v>
      </c>
      <c r="F113">
        <f t="shared" si="8"/>
        <v>0</v>
      </c>
      <c r="H113">
        <f t="shared" si="9"/>
        <v>0</v>
      </c>
    </row>
    <row r="114" spans="3:8" x14ac:dyDescent="0.25">
      <c r="C114">
        <v>30024</v>
      </c>
      <c r="D114">
        <v>50</v>
      </c>
      <c r="F114">
        <f t="shared" si="8"/>
        <v>0</v>
      </c>
      <c r="H114">
        <f t="shared" si="9"/>
        <v>0</v>
      </c>
    </row>
    <row r="115" spans="3:8" x14ac:dyDescent="0.25">
      <c r="C115">
        <v>30024</v>
      </c>
      <c r="D115">
        <v>50</v>
      </c>
      <c r="F115">
        <f t="shared" si="8"/>
        <v>0</v>
      </c>
      <c r="H115">
        <f t="shared" si="9"/>
        <v>0</v>
      </c>
    </row>
    <row r="116" spans="3:8" x14ac:dyDescent="0.25">
      <c r="C116">
        <v>31275</v>
      </c>
      <c r="D116">
        <v>50</v>
      </c>
      <c r="F116">
        <f t="shared" si="8"/>
        <v>0</v>
      </c>
      <c r="H116">
        <f t="shared" si="9"/>
        <v>0</v>
      </c>
    </row>
    <row r="117" spans="3:8" x14ac:dyDescent="0.25">
      <c r="C117">
        <v>31275</v>
      </c>
      <c r="D117">
        <v>50</v>
      </c>
      <c r="F117">
        <f t="shared" si="8"/>
        <v>0</v>
      </c>
      <c r="H117">
        <f t="shared" si="9"/>
        <v>0</v>
      </c>
    </row>
    <row r="118" spans="3:8" x14ac:dyDescent="0.25">
      <c r="C118">
        <v>32526</v>
      </c>
      <c r="D118">
        <v>50</v>
      </c>
      <c r="F118">
        <f t="shared" si="8"/>
        <v>0</v>
      </c>
      <c r="H118">
        <f t="shared" si="9"/>
        <v>0</v>
      </c>
    </row>
    <row r="119" spans="3:8" x14ac:dyDescent="0.25">
      <c r="C119">
        <v>32526</v>
      </c>
      <c r="D119">
        <v>50</v>
      </c>
      <c r="F119">
        <f t="shared" si="8"/>
        <v>0</v>
      </c>
      <c r="H119">
        <f t="shared" si="9"/>
        <v>0</v>
      </c>
    </row>
    <row r="120" spans="3:8" x14ac:dyDescent="0.25">
      <c r="C120">
        <v>33777</v>
      </c>
      <c r="D120">
        <v>50</v>
      </c>
      <c r="F120">
        <f t="shared" si="8"/>
        <v>0</v>
      </c>
      <c r="H120">
        <f t="shared" si="9"/>
        <v>0</v>
      </c>
    </row>
    <row r="121" spans="3:8" x14ac:dyDescent="0.25">
      <c r="C121">
        <v>33777</v>
      </c>
      <c r="D121">
        <v>50</v>
      </c>
      <c r="F121">
        <f t="shared" si="8"/>
        <v>0</v>
      </c>
      <c r="H121">
        <f t="shared" si="9"/>
        <v>0</v>
      </c>
    </row>
    <row r="122" spans="3:8" x14ac:dyDescent="0.25">
      <c r="C122">
        <v>35028</v>
      </c>
      <c r="D122">
        <v>50</v>
      </c>
      <c r="F122">
        <f t="shared" si="8"/>
        <v>0</v>
      </c>
      <c r="H122">
        <f t="shared" si="9"/>
        <v>0</v>
      </c>
    </row>
    <row r="123" spans="3:8" x14ac:dyDescent="0.25">
      <c r="C123">
        <v>35028</v>
      </c>
      <c r="D123">
        <v>50</v>
      </c>
      <c r="F123">
        <f t="shared" si="8"/>
        <v>0</v>
      </c>
      <c r="H123">
        <f t="shared" si="9"/>
        <v>0</v>
      </c>
    </row>
    <row r="124" spans="3:8" x14ac:dyDescent="0.25">
      <c r="C124">
        <v>36279</v>
      </c>
      <c r="D124">
        <v>50</v>
      </c>
      <c r="F124">
        <f t="shared" si="8"/>
        <v>0</v>
      </c>
      <c r="H124">
        <f t="shared" si="9"/>
        <v>0</v>
      </c>
    </row>
    <row r="125" spans="3:8" x14ac:dyDescent="0.25">
      <c r="C125">
        <v>36279</v>
      </c>
      <c r="D125">
        <v>50</v>
      </c>
      <c r="F125">
        <f t="shared" si="8"/>
        <v>0</v>
      </c>
      <c r="H125">
        <f t="shared" si="9"/>
        <v>0</v>
      </c>
    </row>
    <row r="126" spans="3:8" x14ac:dyDescent="0.25">
      <c r="C126">
        <v>36468</v>
      </c>
      <c r="D126">
        <v>300</v>
      </c>
      <c r="F126">
        <f t="shared" si="8"/>
        <v>0</v>
      </c>
      <c r="H126">
        <f t="shared" si="9"/>
        <v>0</v>
      </c>
    </row>
    <row r="127" spans="3:8" x14ac:dyDescent="0.25">
      <c r="C127">
        <v>37530</v>
      </c>
      <c r="D127">
        <v>50</v>
      </c>
      <c r="F127">
        <f t="shared" si="8"/>
        <v>0</v>
      </c>
      <c r="H127">
        <f t="shared" si="9"/>
        <v>0</v>
      </c>
    </row>
    <row r="128" spans="3:8" x14ac:dyDescent="0.25">
      <c r="C128">
        <v>37530</v>
      </c>
      <c r="D128">
        <v>50</v>
      </c>
      <c r="F128">
        <f t="shared" si="8"/>
        <v>0</v>
      </c>
      <c r="H128">
        <f t="shared" si="9"/>
        <v>0</v>
      </c>
    </row>
    <row r="129" spans="2:2" x14ac:dyDescent="0.25">
      <c r="B129">
        <f>SUM(B22:B128)</f>
        <v>7</v>
      </c>
    </row>
  </sheetData>
  <hyperlinks>
    <hyperlink ref="M57" r:id="rId1" display="mailto:Austin.Oglesby@avistacorp.com" xr:uid="{07B3CFF5-D61D-4E4E-98DB-01BB831BCAF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0B280-BAB1-47F5-ACF2-91DC0E522DA1}">
  <dimension ref="A1:O43"/>
  <sheetViews>
    <sheetView workbookViewId="0"/>
  </sheetViews>
  <sheetFormatPr defaultRowHeight="15" x14ac:dyDescent="0.25"/>
  <cols>
    <col min="1" max="1" width="31.7109375" customWidth="1"/>
    <col min="2" max="2" width="11.7109375" customWidth="1"/>
    <col min="3" max="3" width="23.85546875" customWidth="1"/>
    <col min="4" max="4" width="22.140625" bestFit="1" customWidth="1"/>
    <col min="6" max="6" width="10" bestFit="1" customWidth="1"/>
    <col min="12" max="12" width="11.42578125" bestFit="1" customWidth="1"/>
    <col min="15" max="15" width="11.42578125" bestFit="1" customWidth="1"/>
  </cols>
  <sheetData>
    <row r="1" spans="1:15" x14ac:dyDescent="0.25">
      <c r="A1" t="s">
        <v>73</v>
      </c>
      <c r="B1" s="16">
        <v>450</v>
      </c>
      <c r="C1" s="18">
        <f>(3000/119833)*'WA ELEC'!E6</f>
        <v>16293.677188277923</v>
      </c>
    </row>
    <row r="2" spans="1:15" x14ac:dyDescent="0.25">
      <c r="A2" t="s">
        <v>52</v>
      </c>
      <c r="B2" s="16">
        <v>1876009</v>
      </c>
      <c r="C2" s="18">
        <v>25461</v>
      </c>
    </row>
    <row r="3" spans="1:15" x14ac:dyDescent="0.25">
      <c r="A3" t="s">
        <v>74</v>
      </c>
      <c r="B3" s="16">
        <v>264058</v>
      </c>
      <c r="C3" s="18">
        <v>150890</v>
      </c>
      <c r="H3">
        <v>151106</v>
      </c>
    </row>
    <row r="4" spans="1:15" x14ac:dyDescent="0.25">
      <c r="A4" t="s">
        <v>13</v>
      </c>
      <c r="B4" s="16">
        <f>1160543-450</f>
        <v>1160093</v>
      </c>
      <c r="C4" s="18">
        <f>'WA ELEC'!E6-Sheet3!C1</f>
        <v>634546.39564602484</v>
      </c>
      <c r="H4">
        <v>1160543</v>
      </c>
      <c r="J4">
        <f>H3/SUM(H3:H4)</f>
        <v>0.11520307643279566</v>
      </c>
    </row>
    <row r="5" spans="1:15" x14ac:dyDescent="0.25">
      <c r="A5" t="s">
        <v>75</v>
      </c>
      <c r="B5" s="16">
        <v>253369</v>
      </c>
      <c r="C5" s="18">
        <v>289565</v>
      </c>
    </row>
    <row r="6" spans="1:15" x14ac:dyDescent="0.25">
      <c r="A6" t="s">
        <v>16</v>
      </c>
      <c r="B6" s="16">
        <v>257500</v>
      </c>
      <c r="C6" s="18">
        <v>294286</v>
      </c>
    </row>
    <row r="7" spans="1:15" x14ac:dyDescent="0.25">
      <c r="A7" t="s">
        <v>18</v>
      </c>
      <c r="B7" s="16">
        <v>617232</v>
      </c>
      <c r="C7" s="18">
        <v>705408</v>
      </c>
    </row>
    <row r="8" spans="1:15" x14ac:dyDescent="0.25">
      <c r="A8" t="s">
        <v>76</v>
      </c>
      <c r="B8" s="16">
        <v>4428711</v>
      </c>
      <c r="C8" s="9">
        <f>'WA ELEC'!E12</f>
        <v>2090989.2537866838</v>
      </c>
    </row>
    <row r="9" spans="1:15" x14ac:dyDescent="0.25">
      <c r="H9">
        <f>302941*1.26</f>
        <v>381705.66</v>
      </c>
    </row>
    <row r="10" spans="1:15" x14ac:dyDescent="0.25">
      <c r="B10" s="16">
        <f>B8-SUM(B1:B7)</f>
        <v>0</v>
      </c>
      <c r="C10" s="16">
        <f>C8-SUM(C1:C7)</f>
        <v>-25460.81904761889</v>
      </c>
    </row>
    <row r="11" spans="1:15" ht="15.75" thickBot="1" x14ac:dyDescent="0.3"/>
    <row r="12" spans="1:15" ht="15.75" thickBot="1" x14ac:dyDescent="0.3">
      <c r="C12" s="52" t="s">
        <v>77</v>
      </c>
    </row>
    <row r="13" spans="1:15" ht="15.75" thickBot="1" x14ac:dyDescent="0.3">
      <c r="C13" s="53">
        <v>-1041539</v>
      </c>
      <c r="D13" s="18">
        <f>C13</f>
        <v>-1041539</v>
      </c>
      <c r="O13" s="18">
        <v>2191766</v>
      </c>
    </row>
    <row r="14" spans="1:15" ht="15.75" thickBot="1" x14ac:dyDescent="0.3">
      <c r="C14" s="53">
        <v>14388372</v>
      </c>
      <c r="D14" s="18">
        <f>D13-C14</f>
        <v>-15429911</v>
      </c>
      <c r="L14" s="18">
        <v>2534322</v>
      </c>
      <c r="O14" s="18">
        <v>2000000</v>
      </c>
    </row>
    <row r="15" spans="1:15" ht="16.5" thickBot="1" x14ac:dyDescent="0.3">
      <c r="C15" s="53">
        <v>19282133</v>
      </c>
      <c r="D15" s="55">
        <v>25127433</v>
      </c>
      <c r="L15" s="18">
        <v>2552393</v>
      </c>
      <c r="O15" s="18">
        <v>957530</v>
      </c>
    </row>
    <row r="16" spans="1:15" ht="15.75" thickBot="1" x14ac:dyDescent="0.3">
      <c r="C16" s="54">
        <v>3852222</v>
      </c>
      <c r="D16" s="18">
        <f>SUM(D14:D15)</f>
        <v>9697522</v>
      </c>
      <c r="L16" s="18">
        <v>695997</v>
      </c>
      <c r="O16" s="18">
        <v>1618250</v>
      </c>
    </row>
    <row r="17" spans="1:15" x14ac:dyDescent="0.25">
      <c r="L17" s="18">
        <v>1260997</v>
      </c>
      <c r="O17" s="18">
        <v>309339</v>
      </c>
    </row>
    <row r="18" spans="1:15" x14ac:dyDescent="0.25">
      <c r="L18" s="18">
        <v>202695</v>
      </c>
      <c r="O18" s="18">
        <v>633595</v>
      </c>
    </row>
    <row r="19" spans="1:15" x14ac:dyDescent="0.25">
      <c r="L19" s="18">
        <v>0</v>
      </c>
      <c r="O19" s="18">
        <v>1687500</v>
      </c>
    </row>
    <row r="20" spans="1:15" x14ac:dyDescent="0.25">
      <c r="L20" t="s">
        <v>78</v>
      </c>
      <c r="O20" s="18">
        <v>157812</v>
      </c>
    </row>
    <row r="21" spans="1:15" x14ac:dyDescent="0.25">
      <c r="L21" s="18">
        <v>105623</v>
      </c>
      <c r="O21" s="18">
        <v>12417714</v>
      </c>
    </row>
    <row r="22" spans="1:15" x14ac:dyDescent="0.25">
      <c r="L22" s="18">
        <v>8203405</v>
      </c>
      <c r="O22" s="18">
        <v>110381</v>
      </c>
    </row>
    <row r="23" spans="1:15" x14ac:dyDescent="0.25">
      <c r="L23" s="18">
        <v>422493</v>
      </c>
      <c r="O23" s="18">
        <v>1000000</v>
      </c>
    </row>
    <row r="24" spans="1:15" x14ac:dyDescent="0.25">
      <c r="L24" s="18">
        <v>1000000</v>
      </c>
      <c r="O24" s="18">
        <v>1144056</v>
      </c>
    </row>
    <row r="25" spans="1:15" ht="15.75" thickBot="1" x14ac:dyDescent="0.3">
      <c r="L25" s="18">
        <v>2648211</v>
      </c>
    </row>
    <row r="26" spans="1:15" ht="15.75" thickBot="1" x14ac:dyDescent="0.3">
      <c r="A26" s="58" t="s">
        <v>41</v>
      </c>
      <c r="B26" s="59">
        <v>2191766</v>
      </c>
      <c r="C26" s="60">
        <v>2534321.7698704107</v>
      </c>
      <c r="L26" s="18">
        <v>4028316</v>
      </c>
      <c r="O26" s="18">
        <f>SUM(O13:O24)</f>
        <v>24227943</v>
      </c>
    </row>
    <row r="27" spans="1:15" ht="15.75" thickBot="1" x14ac:dyDescent="0.3">
      <c r="A27" s="61" t="s">
        <v>42</v>
      </c>
      <c r="B27" s="62">
        <v>2000000</v>
      </c>
      <c r="C27" s="63">
        <v>2552392.661260088</v>
      </c>
      <c r="L27" s="18">
        <v>250781</v>
      </c>
    </row>
    <row r="28" spans="1:15" ht="15.75" thickBot="1" x14ac:dyDescent="0.3">
      <c r="A28" s="61" t="s">
        <v>43</v>
      </c>
      <c r="B28" s="62">
        <v>957530</v>
      </c>
      <c r="C28" s="63">
        <v>1160578.4804999998</v>
      </c>
      <c r="L28" s="18">
        <v>1222200</v>
      </c>
    </row>
    <row r="29" spans="1:15" ht="15.75" thickBot="1" x14ac:dyDescent="0.3">
      <c r="A29" s="61" t="s">
        <v>45</v>
      </c>
      <c r="B29" s="62">
        <v>1618250</v>
      </c>
      <c r="C29" s="63">
        <v>1155373.6509840123</v>
      </c>
    </row>
    <row r="30" spans="1:15" ht="15.75" thickBot="1" x14ac:dyDescent="0.3">
      <c r="A30" s="61" t="s">
        <v>48</v>
      </c>
      <c r="B30" s="62">
        <v>309339</v>
      </c>
      <c r="C30" s="63">
        <v>202695.49333333338</v>
      </c>
      <c r="L30" s="18">
        <f>SUM(L14:L28)</f>
        <v>25127433</v>
      </c>
    </row>
    <row r="31" spans="1:15" ht="15.75" thickBot="1" x14ac:dyDescent="0.3">
      <c r="A31" s="61" t="s">
        <v>50</v>
      </c>
      <c r="B31" s="62">
        <v>633595</v>
      </c>
      <c r="C31" s="63">
        <v>0</v>
      </c>
    </row>
    <row r="32" spans="1:15" ht="15.75" thickBot="1" x14ac:dyDescent="0.3">
      <c r="A32" s="61" t="s">
        <v>52</v>
      </c>
      <c r="B32" s="62">
        <v>1687500</v>
      </c>
      <c r="C32" s="69">
        <v>0</v>
      </c>
    </row>
    <row r="33" spans="1:6" ht="15.75" thickBot="1" x14ac:dyDescent="0.3">
      <c r="A33" s="61" t="s">
        <v>15</v>
      </c>
      <c r="B33" s="62">
        <v>157812</v>
      </c>
      <c r="C33" s="63">
        <v>105623.33333333336</v>
      </c>
    </row>
    <row r="34" spans="1:6" ht="15.75" thickBot="1" x14ac:dyDescent="0.3">
      <c r="A34" s="61" t="s">
        <v>54</v>
      </c>
      <c r="B34" s="62">
        <v>12417714</v>
      </c>
      <c r="C34" s="63">
        <v>8203405.2398324283</v>
      </c>
    </row>
    <row r="35" spans="1:6" ht="15.75" thickBot="1" x14ac:dyDescent="0.3">
      <c r="A35" s="61" t="s">
        <v>55</v>
      </c>
      <c r="B35" s="62">
        <v>110381</v>
      </c>
      <c r="C35" s="63">
        <v>422493.33333333343</v>
      </c>
    </row>
    <row r="36" spans="1:6" ht="15.75" thickBot="1" x14ac:dyDescent="0.3">
      <c r="A36" s="61" t="s">
        <v>56</v>
      </c>
      <c r="B36" s="62">
        <v>1000000</v>
      </c>
      <c r="C36" s="63">
        <v>1000000</v>
      </c>
    </row>
    <row r="37" spans="1:6" ht="15.75" thickBot="1" x14ac:dyDescent="0.3">
      <c r="A37" s="61" t="s">
        <v>57</v>
      </c>
      <c r="B37" s="62">
        <v>1144056</v>
      </c>
      <c r="C37" s="63">
        <v>1322140</v>
      </c>
      <c r="F37" s="18">
        <f>F38-C41</f>
        <v>0</v>
      </c>
    </row>
    <row r="38" spans="1:6" ht="23.25" thickBot="1" x14ac:dyDescent="0.3">
      <c r="A38" s="61" t="s">
        <v>58</v>
      </c>
      <c r="B38" s="62">
        <v>3716746</v>
      </c>
      <c r="C38" s="63">
        <f>3256132+E38</f>
        <v>3539441.0375530608</v>
      </c>
      <c r="E38" s="18">
        <v>283309.0375530608</v>
      </c>
      <c r="F38" s="53">
        <v>23807245</v>
      </c>
    </row>
    <row r="39" spans="1:6" ht="15.75" thickBot="1" x14ac:dyDescent="0.3">
      <c r="A39" s="61" t="s">
        <v>59</v>
      </c>
      <c r="B39" s="62">
        <v>278645</v>
      </c>
      <c r="C39" s="63">
        <v>250780</v>
      </c>
    </row>
    <row r="40" spans="1:6" ht="15.75" thickBot="1" x14ac:dyDescent="0.3">
      <c r="A40" s="64" t="s">
        <v>79</v>
      </c>
      <c r="B40" s="65">
        <v>1358000</v>
      </c>
      <c r="C40" s="77">
        <v>1358000</v>
      </c>
      <c r="D40" t="s">
        <v>80</v>
      </c>
    </row>
    <row r="41" spans="1:6" ht="15.75" thickBot="1" x14ac:dyDescent="0.3">
      <c r="A41" s="66" t="s">
        <v>53</v>
      </c>
      <c r="B41" s="67">
        <v>29581334</v>
      </c>
      <c r="C41" s="68">
        <f>SUM(C26:C40)</f>
        <v>23807245</v>
      </c>
    </row>
    <row r="42" spans="1:6" x14ac:dyDescent="0.25">
      <c r="A42" s="56"/>
    </row>
    <row r="43" spans="1:6" x14ac:dyDescent="0.25">
      <c r="A43" s="57" t="s">
        <v>81</v>
      </c>
    </row>
  </sheetData>
  <hyperlinks>
    <hyperlink ref="A43" r:id="rId1" display="mailto:Austin.Oglesby@avistacorp.com" xr:uid="{3BE75AA4-600F-4960-92E6-A67A78D8D374}"/>
  </hyperlinks>
  <pageMargins left="0.7" right="0.7" top="0.75" bottom="0.75" header="0.3" footer="0.3"/>
  <pageSetup orientation="portrait" horizontalDpi="1200" verticalDpi="12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27486-3553-4B59-96E7-30322FF2A828}">
  <dimension ref="A1:O45"/>
  <sheetViews>
    <sheetView topLeftCell="A13" workbookViewId="0"/>
  </sheetViews>
  <sheetFormatPr defaultRowHeight="15" x14ac:dyDescent="0.25"/>
  <cols>
    <col min="1" max="1" width="34" bestFit="1" customWidth="1"/>
    <col min="2" max="2" width="27.28515625" bestFit="1" customWidth="1"/>
    <col min="3" max="3" width="20.42578125" bestFit="1" customWidth="1"/>
    <col min="4" max="4" width="25" bestFit="1" customWidth="1"/>
    <col min="5" max="5" width="15.7109375" customWidth="1"/>
    <col min="6" max="6" width="10.140625" bestFit="1" customWidth="1"/>
    <col min="7" max="7" width="17" customWidth="1"/>
    <col min="9" max="9" width="10.140625" bestFit="1" customWidth="1"/>
    <col min="13" max="13" width="11.85546875" bestFit="1" customWidth="1"/>
    <col min="15" max="15" width="38.42578125" bestFit="1" customWidth="1"/>
  </cols>
  <sheetData>
    <row r="1" spans="1:15" x14ac:dyDescent="0.25">
      <c r="A1" t="s">
        <v>82</v>
      </c>
      <c r="B1" t="s">
        <v>83</v>
      </c>
      <c r="C1" t="s">
        <v>84</v>
      </c>
      <c r="D1" t="s">
        <v>85</v>
      </c>
      <c r="F1">
        <v>7372524</v>
      </c>
    </row>
    <row r="2" spans="1:15" x14ac:dyDescent="0.25">
      <c r="A2" t="s">
        <v>86</v>
      </c>
      <c r="B2" s="18">
        <v>2101586</v>
      </c>
      <c r="C2" s="18">
        <v>0</v>
      </c>
      <c r="D2" s="18">
        <v>2101586</v>
      </c>
      <c r="E2">
        <f>D2/D$17</f>
        <v>0.30822582414584682</v>
      </c>
      <c r="F2" s="17">
        <f>E2*F$1</f>
        <v>2272402.285935035</v>
      </c>
    </row>
    <row r="3" spans="1:15" ht="15.75" thickBot="1" x14ac:dyDescent="0.3">
      <c r="A3" t="s">
        <v>87</v>
      </c>
      <c r="B3" s="18">
        <v>2549986</v>
      </c>
      <c r="C3" s="18">
        <v>0</v>
      </c>
      <c r="D3" s="18">
        <v>2549986</v>
      </c>
      <c r="E3">
        <f t="shared" ref="E3:E16" si="0">D3/D$17</f>
        <v>0.37398970892001154</v>
      </c>
      <c r="F3" s="17">
        <f t="shared" ref="F3:F16" si="1">E3*F$1</f>
        <v>2757248.1047657994</v>
      </c>
    </row>
    <row r="4" spans="1:15" ht="15.75" thickBot="1" x14ac:dyDescent="0.3">
      <c r="A4" t="s">
        <v>88</v>
      </c>
      <c r="B4" s="18">
        <v>253445</v>
      </c>
      <c r="C4" s="18">
        <v>253445</v>
      </c>
      <c r="D4" s="18">
        <v>0</v>
      </c>
      <c r="E4">
        <f t="shared" si="0"/>
        <v>0</v>
      </c>
      <c r="F4" s="17">
        <f t="shared" si="1"/>
        <v>0</v>
      </c>
      <c r="G4" s="19">
        <f>(C4/C$17)*C$18</f>
        <v>274044.93432997976</v>
      </c>
      <c r="M4" s="70">
        <v>2534322</v>
      </c>
      <c r="O4" s="18">
        <v>3620460</v>
      </c>
    </row>
    <row r="5" spans="1:15" ht="15.75" thickBot="1" x14ac:dyDescent="0.3">
      <c r="A5" t="s">
        <v>89</v>
      </c>
      <c r="B5" s="18">
        <v>47250</v>
      </c>
      <c r="C5" s="18">
        <v>0</v>
      </c>
      <c r="D5" s="18">
        <v>47250</v>
      </c>
      <c r="E5">
        <f t="shared" si="0"/>
        <v>6.9298473585621819E-3</v>
      </c>
      <c r="F5" s="17">
        <f t="shared" si="1"/>
        <v>51090.465967336291</v>
      </c>
      <c r="G5" s="19">
        <f t="shared" ref="G5:G16" si="2">(C5/C$17)*C$18</f>
        <v>0</v>
      </c>
      <c r="M5" s="71">
        <v>2552393</v>
      </c>
      <c r="O5" s="18">
        <v>3646275</v>
      </c>
    </row>
    <row r="6" spans="1:15" ht="15.75" thickBot="1" x14ac:dyDescent="0.3">
      <c r="A6" t="s">
        <v>90</v>
      </c>
      <c r="B6" s="18">
        <v>126000</v>
      </c>
      <c r="C6" s="18">
        <v>0</v>
      </c>
      <c r="D6" s="18">
        <v>126000</v>
      </c>
      <c r="E6">
        <f t="shared" si="0"/>
        <v>1.847959295616582E-2</v>
      </c>
      <c r="F6" s="17">
        <f t="shared" si="1"/>
        <v>136241.24257956346</v>
      </c>
      <c r="G6" s="19">
        <f t="shared" si="2"/>
        <v>0</v>
      </c>
      <c r="M6" s="71">
        <v>1160578</v>
      </c>
      <c r="O6" s="29">
        <v>7266735</v>
      </c>
    </row>
    <row r="7" spans="1:15" ht="15.75" customHeight="1" thickBot="1" x14ac:dyDescent="0.3">
      <c r="A7" t="s">
        <v>91</v>
      </c>
      <c r="B7" s="18">
        <v>504000</v>
      </c>
      <c r="C7" s="18">
        <v>0</v>
      </c>
      <c r="D7" s="18">
        <v>504000</v>
      </c>
      <c r="E7">
        <f t="shared" si="0"/>
        <v>7.3918371824663279E-2</v>
      </c>
      <c r="F7" s="17">
        <f>E7*F$1+40280</f>
        <v>585244.97031825385</v>
      </c>
      <c r="G7" s="19">
        <f t="shared" si="2"/>
        <v>0</v>
      </c>
      <c r="M7" s="71">
        <v>1155374</v>
      </c>
      <c r="O7" t="s">
        <v>45</v>
      </c>
    </row>
    <row r="8" spans="1:15" ht="15.75" thickBot="1" x14ac:dyDescent="0.3">
      <c r="A8" t="s">
        <v>92</v>
      </c>
      <c r="B8" s="18">
        <v>6300</v>
      </c>
      <c r="C8" s="18">
        <v>0</v>
      </c>
      <c r="D8" s="18">
        <v>6300</v>
      </c>
      <c r="E8">
        <f t="shared" si="0"/>
        <v>9.2397964780829096E-4</v>
      </c>
      <c r="F8" s="17">
        <f t="shared" si="1"/>
        <v>6812.062128978173</v>
      </c>
      <c r="G8" s="19">
        <f t="shared" si="2"/>
        <v>0</v>
      </c>
      <c r="M8" s="71">
        <v>202695</v>
      </c>
      <c r="O8" s="18">
        <v>650840</v>
      </c>
    </row>
    <row r="9" spans="1:15" ht="15.75" thickBot="1" x14ac:dyDescent="0.3">
      <c r="A9" t="s">
        <v>93</v>
      </c>
      <c r="B9" s="18">
        <v>3150</v>
      </c>
      <c r="C9" s="18">
        <v>0</v>
      </c>
      <c r="D9" s="18">
        <v>3150</v>
      </c>
      <c r="E9">
        <f t="shared" si="0"/>
        <v>4.6198982390414548E-4</v>
      </c>
      <c r="F9" s="17">
        <f t="shared" si="1"/>
        <v>3406.0310644890865</v>
      </c>
      <c r="G9" s="19">
        <f t="shared" si="2"/>
        <v>0</v>
      </c>
      <c r="M9" s="71">
        <v>0</v>
      </c>
      <c r="O9" s="18">
        <v>289565</v>
      </c>
    </row>
    <row r="10" spans="1:15" ht="15.75" thickBot="1" x14ac:dyDescent="0.3">
      <c r="A10" t="s">
        <v>94</v>
      </c>
      <c r="B10" s="18">
        <v>83160</v>
      </c>
      <c r="C10" s="18">
        <v>0</v>
      </c>
      <c r="D10" s="18">
        <v>83160</v>
      </c>
      <c r="E10">
        <f t="shared" si="0"/>
        <v>1.2196531351069441E-2</v>
      </c>
      <c r="F10" s="17">
        <f t="shared" si="1"/>
        <v>89919.220102511885</v>
      </c>
      <c r="G10" s="19">
        <f t="shared" si="2"/>
        <v>0</v>
      </c>
      <c r="M10" s="72" t="s">
        <v>95</v>
      </c>
      <c r="O10" s="18">
        <v>294286</v>
      </c>
    </row>
    <row r="11" spans="1:15" ht="15.75" thickBot="1" x14ac:dyDescent="0.3">
      <c r="A11" t="s">
        <v>96</v>
      </c>
      <c r="B11" s="18">
        <v>63000</v>
      </c>
      <c r="C11" s="18">
        <v>0</v>
      </c>
      <c r="D11" s="18">
        <v>63000</v>
      </c>
      <c r="E11">
        <f t="shared" si="0"/>
        <v>9.2397964780829098E-3</v>
      </c>
      <c r="F11" s="17">
        <f t="shared" si="1"/>
        <v>68120.621289781731</v>
      </c>
      <c r="G11" s="19">
        <f t="shared" si="2"/>
        <v>0</v>
      </c>
      <c r="M11" s="71">
        <v>105623</v>
      </c>
      <c r="O11" s="18">
        <v>150890</v>
      </c>
    </row>
    <row r="12" spans="1:15" ht="15.75" thickBot="1" x14ac:dyDescent="0.3">
      <c r="A12" t="s">
        <v>97</v>
      </c>
      <c r="B12" s="18">
        <v>144900</v>
      </c>
      <c r="C12" s="18">
        <v>0</v>
      </c>
      <c r="D12" s="18">
        <v>144900</v>
      </c>
      <c r="E12">
        <f t="shared" si="0"/>
        <v>2.1251531899590691E-2</v>
      </c>
      <c r="F12" s="17">
        <f t="shared" si="1"/>
        <v>156677.42896649794</v>
      </c>
      <c r="G12" s="19">
        <f t="shared" si="2"/>
        <v>0</v>
      </c>
      <c r="M12" s="71">
        <v>8203405</v>
      </c>
      <c r="O12" s="18">
        <v>25461</v>
      </c>
    </row>
    <row r="13" spans="1:15" ht="15.75" thickBot="1" x14ac:dyDescent="0.3">
      <c r="A13" t="s">
        <v>98</v>
      </c>
      <c r="B13" s="18">
        <v>25200</v>
      </c>
      <c r="C13" s="18">
        <v>25200</v>
      </c>
      <c r="D13" s="18">
        <v>0</v>
      </c>
      <c r="E13">
        <f t="shared" si="0"/>
        <v>0</v>
      </c>
      <c r="F13" s="17">
        <f t="shared" si="1"/>
        <v>0</v>
      </c>
      <c r="G13" s="19">
        <f t="shared" si="2"/>
        <v>27248.248515912688</v>
      </c>
      <c r="M13" s="71">
        <v>422493</v>
      </c>
      <c r="O13" s="18">
        <v>705408</v>
      </c>
    </row>
    <row r="14" spans="1:15" ht="15.75" thickBot="1" x14ac:dyDescent="0.3">
      <c r="A14" t="s">
        <v>99</v>
      </c>
      <c r="B14" s="18">
        <v>189000</v>
      </c>
      <c r="C14" s="18">
        <v>0</v>
      </c>
      <c r="D14" s="18">
        <v>189000</v>
      </c>
      <c r="E14">
        <f t="shared" si="0"/>
        <v>2.7719389434248728E-2</v>
      </c>
      <c r="F14" s="17">
        <f>E14*F$1+41000</f>
        <v>245361.86386934516</v>
      </c>
      <c r="G14" s="19">
        <f t="shared" si="2"/>
        <v>0</v>
      </c>
      <c r="M14" s="71">
        <v>1000000</v>
      </c>
      <c r="O14" s="29">
        <v>2116450</v>
      </c>
    </row>
    <row r="15" spans="1:15" ht="15.75" customHeight="1" thickBot="1" x14ac:dyDescent="0.3">
      <c r="A15" t="s">
        <v>49</v>
      </c>
      <c r="B15" s="18">
        <v>1000000</v>
      </c>
      <c r="C15" s="18">
        <v>0</v>
      </c>
      <c r="D15" s="18">
        <v>1000000</v>
      </c>
      <c r="E15">
        <f t="shared" si="0"/>
        <v>0.14666343616004618</v>
      </c>
      <c r="F15" s="17">
        <v>1000000</v>
      </c>
      <c r="G15" s="19">
        <f t="shared" si="2"/>
        <v>0</v>
      </c>
      <c r="M15" s="71">
        <v>1322140</v>
      </c>
      <c r="O15" t="s">
        <v>54</v>
      </c>
    </row>
    <row r="16" spans="1:15" ht="15.75" thickBot="1" x14ac:dyDescent="0.3">
      <c r="A16" t="s">
        <v>100</v>
      </c>
      <c r="B16" s="18">
        <v>1358000</v>
      </c>
      <c r="C16" s="18">
        <v>1358000</v>
      </c>
      <c r="D16" s="18">
        <v>0</v>
      </c>
      <c r="E16">
        <f t="shared" si="0"/>
        <v>0</v>
      </c>
      <c r="F16" s="17">
        <f t="shared" si="1"/>
        <v>0</v>
      </c>
      <c r="G16" s="19">
        <f t="shared" si="2"/>
        <v>1468377.8366908506</v>
      </c>
      <c r="I16" s="17">
        <f>SUM(F2:G16)</f>
        <v>9142195.3165243343</v>
      </c>
      <c r="M16" s="71">
        <v>3256132</v>
      </c>
      <c r="O16" s="18">
        <v>2361925</v>
      </c>
    </row>
    <row r="17" spans="1:15" ht="15.75" thickBot="1" x14ac:dyDescent="0.3">
      <c r="A17" t="s">
        <v>53</v>
      </c>
      <c r="B17" s="18">
        <v>8454977</v>
      </c>
      <c r="C17" s="18">
        <v>1636645</v>
      </c>
      <c r="D17" s="18">
        <v>6818332</v>
      </c>
      <c r="G17" s="19"/>
      <c r="M17" s="71">
        <v>250780</v>
      </c>
      <c r="O17" s="18">
        <v>1000300</v>
      </c>
    </row>
    <row r="18" spans="1:15" x14ac:dyDescent="0.25">
      <c r="C18">
        <f>D18*F1</f>
        <v>1769671.0195367429</v>
      </c>
      <c r="D18">
        <f>C17/D17</f>
        <v>0.24003597947415878</v>
      </c>
      <c r="M18" s="56"/>
      <c r="O18" s="18">
        <v>4448571</v>
      </c>
    </row>
    <row r="19" spans="1:15" x14ac:dyDescent="0.25">
      <c r="M19" s="73">
        <f>SUM(M4:M17)</f>
        <v>22165935</v>
      </c>
      <c r="O19" s="18">
        <v>2912000</v>
      </c>
    </row>
    <row r="20" spans="1:15" x14ac:dyDescent="0.25">
      <c r="M20" s="56"/>
      <c r="O20" s="18">
        <v>263009</v>
      </c>
    </row>
    <row r="21" spans="1:15" x14ac:dyDescent="0.25">
      <c r="O21" s="18">
        <v>603562</v>
      </c>
    </row>
    <row r="22" spans="1:15" x14ac:dyDescent="0.25">
      <c r="O22" s="18">
        <v>2188</v>
      </c>
    </row>
    <row r="23" spans="1:15" x14ac:dyDescent="0.25">
      <c r="O23" s="18">
        <v>6171</v>
      </c>
    </row>
    <row r="24" spans="1:15" x14ac:dyDescent="0.25">
      <c r="O24" s="18">
        <v>18377</v>
      </c>
    </row>
    <row r="25" spans="1:15" x14ac:dyDescent="0.25">
      <c r="O25" s="18">
        <v>2857</v>
      </c>
    </row>
    <row r="26" spans="1:15" ht="15.75" thickBot="1" x14ac:dyDescent="0.3">
      <c r="O26" s="18">
        <v>21878</v>
      </c>
    </row>
    <row r="27" spans="1:15" ht="23.25" thickBot="1" x14ac:dyDescent="0.3">
      <c r="B27" s="78"/>
      <c r="C27" s="79" t="s">
        <v>136</v>
      </c>
      <c r="D27" s="79" t="s">
        <v>84</v>
      </c>
      <c r="E27" s="80" t="s">
        <v>85</v>
      </c>
      <c r="O27" s="18">
        <v>25461</v>
      </c>
    </row>
    <row r="28" spans="1:15" ht="23.25" thickBot="1" x14ac:dyDescent="0.3">
      <c r="B28" s="61" t="s">
        <v>44</v>
      </c>
      <c r="C28" s="62">
        <v>14800480</v>
      </c>
      <c r="D28" s="62">
        <v>0</v>
      </c>
      <c r="E28" s="63">
        <v>14800480</v>
      </c>
      <c r="O28" s="18">
        <v>6064</v>
      </c>
    </row>
    <row r="29" spans="1:15" ht="15.75" thickBot="1" x14ac:dyDescent="0.3">
      <c r="B29" s="61" t="s">
        <v>46</v>
      </c>
      <c r="C29" s="62">
        <v>1659632</v>
      </c>
      <c r="D29" s="62">
        <v>0</v>
      </c>
      <c r="E29" s="63">
        <v>1659632</v>
      </c>
      <c r="O29" s="18">
        <v>108380</v>
      </c>
    </row>
    <row r="30" spans="1:15" ht="15.75" thickBot="1" x14ac:dyDescent="0.3">
      <c r="B30" s="61" t="s">
        <v>49</v>
      </c>
      <c r="C30" s="62">
        <v>1000000</v>
      </c>
      <c r="D30" s="62">
        <v>0</v>
      </c>
      <c r="E30" s="63">
        <v>1000000</v>
      </c>
      <c r="O30" s="18">
        <v>571429</v>
      </c>
    </row>
    <row r="31" spans="1:15" ht="15.75" thickBot="1" x14ac:dyDescent="0.3">
      <c r="B31" s="64" t="s">
        <v>51</v>
      </c>
      <c r="C31" s="65">
        <f>5126890+1220243</f>
        <v>6347133</v>
      </c>
      <c r="D31" s="82">
        <v>1608780</v>
      </c>
      <c r="E31" s="77">
        <f>C31-D31</f>
        <v>4738353</v>
      </c>
      <c r="O31" s="29">
        <v>12326712</v>
      </c>
    </row>
    <row r="32" spans="1:15" ht="15.75" thickBot="1" x14ac:dyDescent="0.3">
      <c r="B32" s="66" t="s">
        <v>53</v>
      </c>
      <c r="C32" s="67">
        <f>SUM(C28:C31)</f>
        <v>23807245</v>
      </c>
      <c r="D32" s="81">
        <v>1608780</v>
      </c>
      <c r="E32" s="68">
        <f>SUM(E28:E31)</f>
        <v>22198465</v>
      </c>
      <c r="O32" t="s">
        <v>101</v>
      </c>
    </row>
    <row r="33" spans="2:15" x14ac:dyDescent="0.25">
      <c r="B33" s="56" t="s">
        <v>137</v>
      </c>
      <c r="O33" s="18">
        <f>M17</f>
        <v>250780</v>
      </c>
    </row>
    <row r="34" spans="2:15" x14ac:dyDescent="0.25">
      <c r="C34">
        <f>'WA ELEC'!E36</f>
        <v>22783152.172409788</v>
      </c>
      <c r="D34" s="18">
        <f>C34-C32</f>
        <v>-1024092.8275902122</v>
      </c>
      <c r="O34" t="s">
        <v>102</v>
      </c>
    </row>
    <row r="35" spans="2:15" x14ac:dyDescent="0.25">
      <c r="O35" s="18">
        <v>1000000</v>
      </c>
    </row>
    <row r="36" spans="2:15" x14ac:dyDescent="0.25">
      <c r="O36" s="29">
        <v>2636645</v>
      </c>
    </row>
    <row r="37" spans="2:15" x14ac:dyDescent="0.25">
      <c r="D37">
        <f>SUM(C29,C28)/C32</f>
        <v>0.69139087702083968</v>
      </c>
      <c r="O37" s="29">
        <v>25127433</v>
      </c>
    </row>
    <row r="38" spans="2:15" x14ac:dyDescent="0.25">
      <c r="O38" t="s">
        <v>103</v>
      </c>
    </row>
    <row r="43" spans="2:15" x14ac:dyDescent="0.25">
      <c r="O43" s="18">
        <f>SUM(O33,O31,O14,O6,O35)</f>
        <v>22960677</v>
      </c>
    </row>
    <row r="45" spans="2:15" x14ac:dyDescent="0.25">
      <c r="O45" s="18">
        <f>O43-'WA ELEC'!E35</f>
        <v>1897054.8275902122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EB08A-8640-4EC6-B2DE-B907DD7E6114}">
  <dimension ref="A1:O48"/>
  <sheetViews>
    <sheetView workbookViewId="0">
      <selection activeCell="F8" sqref="F8"/>
    </sheetView>
  </sheetViews>
  <sheetFormatPr defaultRowHeight="15" x14ac:dyDescent="0.25"/>
  <cols>
    <col min="1" max="1" width="27.42578125" bestFit="1" customWidth="1"/>
    <col min="2" max="2" width="22.28515625" customWidth="1"/>
    <col min="3" max="3" width="15.85546875" customWidth="1"/>
    <col min="4" max="4" width="19.5703125" bestFit="1" customWidth="1"/>
    <col min="5" max="5" width="17.5703125" customWidth="1"/>
    <col min="6" max="6" width="11.140625" bestFit="1" customWidth="1"/>
    <col min="7" max="7" width="26.85546875" bestFit="1" customWidth="1"/>
    <col min="8" max="8" width="16.140625" bestFit="1" customWidth="1"/>
    <col min="9" max="9" width="19.5703125" bestFit="1" customWidth="1"/>
    <col min="10" max="10" width="12.140625" bestFit="1" customWidth="1"/>
    <col min="15" max="15" width="15.7109375" customWidth="1"/>
  </cols>
  <sheetData>
    <row r="1" spans="1:15" x14ac:dyDescent="0.25">
      <c r="A1" t="s">
        <v>0</v>
      </c>
      <c r="B1" s="2" t="s">
        <v>104</v>
      </c>
      <c r="C1" s="2" t="s">
        <v>6</v>
      </c>
      <c r="D1" s="2" t="s">
        <v>7</v>
      </c>
      <c r="E1" s="2" t="s">
        <v>4</v>
      </c>
      <c r="G1" t="s">
        <v>105</v>
      </c>
      <c r="H1" s="2" t="s">
        <v>6</v>
      </c>
      <c r="I1" s="2" t="s">
        <v>7</v>
      </c>
      <c r="J1" s="2" t="s">
        <v>4</v>
      </c>
      <c r="L1" s="14" t="s">
        <v>8</v>
      </c>
      <c r="M1" s="14" t="s">
        <v>9</v>
      </c>
      <c r="N1" t="s">
        <v>104</v>
      </c>
      <c r="O1" t="s">
        <v>188</v>
      </c>
    </row>
    <row r="2" spans="1:15" x14ac:dyDescent="0.25">
      <c r="A2" s="34" t="s">
        <v>106</v>
      </c>
      <c r="B2" s="3">
        <v>6090.6108583066862</v>
      </c>
      <c r="C2" s="4">
        <v>440678.23012958927</v>
      </c>
      <c r="D2" s="4">
        <v>188862.09862696685</v>
      </c>
      <c r="E2" s="4">
        <f>SUM(C2:D2)</f>
        <v>629540.32875655615</v>
      </c>
      <c r="G2" s="8">
        <v>9107.0499999999993</v>
      </c>
      <c r="H2" s="7">
        <v>535709.34636999993</v>
      </c>
      <c r="I2" s="7">
        <v>172062.68518545866</v>
      </c>
      <c r="J2" s="9">
        <v>707772.03155545855</v>
      </c>
      <c r="L2" s="11">
        <v>0.90291235140512094</v>
      </c>
      <c r="M2" s="11">
        <v>0.27105365193323272</v>
      </c>
      <c r="N2" s="16">
        <f>B2*2</f>
        <v>12181.221716613372</v>
      </c>
      <c r="O2" s="20">
        <f>E2*2</f>
        <v>1259080.6575131123</v>
      </c>
    </row>
    <row r="3" spans="1:15" x14ac:dyDescent="0.25">
      <c r="A3" s="38" t="s">
        <v>107</v>
      </c>
      <c r="B3" s="5">
        <f>B2</f>
        <v>6090.6108583066862</v>
      </c>
      <c r="C3" s="6">
        <f>C2</f>
        <v>440678.23012958927</v>
      </c>
      <c r="D3" s="6">
        <f t="shared" ref="D3:E3" si="0">D2</f>
        <v>188862.09862696685</v>
      </c>
      <c r="E3" s="6">
        <f t="shared" si="0"/>
        <v>629540.32875655615</v>
      </c>
      <c r="G3" s="8">
        <v>9107.0499999999993</v>
      </c>
      <c r="H3" s="7">
        <v>535709.34636999993</v>
      </c>
      <c r="I3" s="7">
        <v>172062.68518545866</v>
      </c>
      <c r="J3" s="9">
        <v>707772.03155545855</v>
      </c>
      <c r="L3" s="13">
        <v>0.90291235140512094</v>
      </c>
      <c r="M3" s="13">
        <v>0.27105365193323272</v>
      </c>
      <c r="N3" s="5">
        <f t="shared" ref="N3:N21" si="1">B3*2</f>
        <v>12181.221716613372</v>
      </c>
      <c r="O3" s="137">
        <f t="shared" ref="O3:O21" si="2">E3*2</f>
        <v>1259080.6575131123</v>
      </c>
    </row>
    <row r="4" spans="1:15" x14ac:dyDescent="0.25">
      <c r="B4" s="3"/>
      <c r="C4" s="4"/>
      <c r="D4" s="4"/>
      <c r="E4" s="4"/>
      <c r="G4" s="8"/>
      <c r="H4" s="7"/>
      <c r="I4" s="7"/>
      <c r="J4" s="9"/>
      <c r="N4" s="16"/>
      <c r="O4" s="20"/>
    </row>
    <row r="5" spans="1:15" x14ac:dyDescent="0.25">
      <c r="A5" s="34" t="s">
        <v>13</v>
      </c>
      <c r="B5" s="3">
        <v>144975.09460353167</v>
      </c>
      <c r="C5" s="4">
        <v>1664885.1190309091</v>
      </c>
      <c r="D5" s="4">
        <v>713522.19387038844</v>
      </c>
      <c r="E5" s="4">
        <f>SUM(C5:D5)</f>
        <v>2378407.3129012976</v>
      </c>
      <c r="G5" s="8">
        <v>208385.62950185794</v>
      </c>
      <c r="H5" s="7">
        <v>2489437</v>
      </c>
      <c r="I5" s="7">
        <v>237129.47943587677</v>
      </c>
      <c r="J5" s="9">
        <v>2726566.4794358769</v>
      </c>
      <c r="K5">
        <v>76003.614307339158</v>
      </c>
      <c r="L5" s="12">
        <v>0.53936360028955732</v>
      </c>
      <c r="M5" s="12">
        <v>1.5319187452505889</v>
      </c>
      <c r="N5" s="16">
        <f t="shared" si="1"/>
        <v>289950.18920706335</v>
      </c>
      <c r="O5" s="20">
        <f t="shared" si="2"/>
        <v>4756814.6258025952</v>
      </c>
    </row>
    <row r="6" spans="1:15" x14ac:dyDescent="0.25">
      <c r="A6" s="34" t="s">
        <v>14</v>
      </c>
      <c r="B6" s="3">
        <v>16591</v>
      </c>
      <c r="C6" s="4">
        <v>66364.555176336755</v>
      </c>
      <c r="D6" s="4">
        <v>28441.95221843004</v>
      </c>
      <c r="E6" s="4">
        <f t="shared" ref="E6:E9" si="3">SUM(C6:D6)</f>
        <v>94806.507394766799</v>
      </c>
      <c r="G6" s="8">
        <v>16591</v>
      </c>
      <c r="H6" s="7">
        <v>66365</v>
      </c>
      <c r="I6" s="7">
        <v>28442</v>
      </c>
      <c r="J6" s="9">
        <v>94807</v>
      </c>
      <c r="L6" s="11">
        <v>1.268872454530011</v>
      </c>
      <c r="M6" s="11">
        <v>2.0496848643062808</v>
      </c>
      <c r="N6" s="16">
        <f t="shared" si="1"/>
        <v>33182</v>
      </c>
      <c r="O6" s="20">
        <f t="shared" si="2"/>
        <v>189613.0147895336</v>
      </c>
    </row>
    <row r="7" spans="1:15" x14ac:dyDescent="0.25">
      <c r="A7" s="34" t="s">
        <v>15</v>
      </c>
      <c r="B7" s="3">
        <f>244641.25+625</f>
        <v>245266.25</v>
      </c>
      <c r="C7" s="4">
        <v>1369990.9999999998</v>
      </c>
      <c r="D7" s="4">
        <v>587139</v>
      </c>
      <c r="E7" s="4">
        <f t="shared" si="3"/>
        <v>1957129.9999999998</v>
      </c>
      <c r="G7" s="8">
        <v>244643.11</v>
      </c>
      <c r="H7" s="7">
        <v>69475</v>
      </c>
      <c r="I7" s="7">
        <v>667691.02462363977</v>
      </c>
      <c r="J7" s="9">
        <v>737166.02462363977</v>
      </c>
      <c r="L7" s="11">
        <v>4.6846459877212796</v>
      </c>
      <c r="M7" s="11">
        <v>5.1481824150872395</v>
      </c>
      <c r="N7" s="16">
        <f t="shared" si="1"/>
        <v>490532.5</v>
      </c>
      <c r="O7" s="20">
        <f t="shared" si="2"/>
        <v>3914259.9999999995</v>
      </c>
    </row>
    <row r="8" spans="1:15" x14ac:dyDescent="0.25">
      <c r="A8" s="34" t="s">
        <v>16</v>
      </c>
      <c r="B8" s="3">
        <v>8787.5</v>
      </c>
      <c r="C8" s="4">
        <v>206000</v>
      </c>
      <c r="D8" s="4">
        <v>88285.71428571429</v>
      </c>
      <c r="E8" s="4">
        <f t="shared" si="3"/>
        <v>294285.71428571432</v>
      </c>
      <c r="G8" s="8">
        <v>8788</v>
      </c>
      <c r="H8" s="7">
        <v>206000</v>
      </c>
      <c r="I8" s="7">
        <v>88286</v>
      </c>
      <c r="J8" s="9">
        <v>294286</v>
      </c>
      <c r="L8" s="11">
        <v>0</v>
      </c>
      <c r="M8" s="11">
        <v>0</v>
      </c>
      <c r="N8" s="16">
        <f t="shared" si="1"/>
        <v>17575</v>
      </c>
      <c r="O8" s="20">
        <f t="shared" si="2"/>
        <v>588571.42857142864</v>
      </c>
    </row>
    <row r="9" spans="1:15" x14ac:dyDescent="0.25">
      <c r="A9" s="34" t="s">
        <v>18</v>
      </c>
      <c r="B9" s="3">
        <v>16736.107685927716</v>
      </c>
      <c r="C9" s="4">
        <v>107111.0891899374</v>
      </c>
      <c r="D9" s="4">
        <v>45904.752509973172</v>
      </c>
      <c r="E9" s="4">
        <f t="shared" si="3"/>
        <v>153015.84169991058</v>
      </c>
      <c r="G9" s="8">
        <v>16736.490000000002</v>
      </c>
      <c r="H9" s="7">
        <v>107111.1</v>
      </c>
      <c r="I9" s="7">
        <v>45905.49</v>
      </c>
      <c r="J9" s="9">
        <v>153016.59</v>
      </c>
      <c r="L9" s="11">
        <v>1.1076761805027626</v>
      </c>
      <c r="M9" s="11">
        <v>1.1076761805027626</v>
      </c>
      <c r="N9" s="16">
        <f t="shared" si="1"/>
        <v>33472.215371855433</v>
      </c>
      <c r="O9" s="20">
        <f t="shared" si="2"/>
        <v>306031.68339982117</v>
      </c>
    </row>
    <row r="10" spans="1:15" x14ac:dyDescent="0.25">
      <c r="A10" s="38" t="s">
        <v>19</v>
      </c>
      <c r="B10" s="5">
        <f>SUM(B5:B9)</f>
        <v>432355.95228945935</v>
      </c>
      <c r="C10" s="6">
        <f>SUM(C5:C9)</f>
        <v>3414351.7633971833</v>
      </c>
      <c r="D10" s="6">
        <f t="shared" ref="D10:E10" si="4">SUM(D5:D9)</f>
        <v>1463293.6128845061</v>
      </c>
      <c r="E10" s="6">
        <f t="shared" si="4"/>
        <v>4877645.3762816889</v>
      </c>
      <c r="G10" s="8">
        <v>286758.59999999998</v>
      </c>
      <c r="H10" s="8">
        <v>448951.1</v>
      </c>
      <c r="I10" s="8">
        <v>830324.51462363976</v>
      </c>
      <c r="J10" s="9">
        <v>1279275.6146236397</v>
      </c>
      <c r="L10" s="13">
        <v>0.98529795977029722</v>
      </c>
      <c r="M10" s="13">
        <v>1.9318350427335982</v>
      </c>
      <c r="N10" s="5">
        <f t="shared" si="1"/>
        <v>864711.90457891871</v>
      </c>
      <c r="O10" s="137">
        <f t="shared" si="2"/>
        <v>9755290.7525633778</v>
      </c>
    </row>
    <row r="11" spans="1:15" x14ac:dyDescent="0.25">
      <c r="B11" s="3"/>
      <c r="C11" s="4"/>
      <c r="D11" s="4"/>
      <c r="E11" s="4"/>
      <c r="G11" s="8"/>
      <c r="H11" s="7"/>
      <c r="I11" s="7"/>
      <c r="J11" s="9"/>
      <c r="N11" s="16">
        <f t="shared" si="1"/>
        <v>0</v>
      </c>
      <c r="O11" s="20"/>
    </row>
    <row r="12" spans="1:15" x14ac:dyDescent="0.25">
      <c r="A12" s="34" t="s">
        <v>108</v>
      </c>
      <c r="B12" s="3">
        <v>37810.148905687791</v>
      </c>
      <c r="C12" s="4">
        <v>116988.6430322993</v>
      </c>
      <c r="D12" s="4">
        <v>50137.989870985417</v>
      </c>
      <c r="E12" s="4">
        <f>SUM(C12:D12)</f>
        <v>167126.63290328471</v>
      </c>
      <c r="G12" s="8">
        <v>37810.148905687791</v>
      </c>
      <c r="H12" s="7">
        <v>174928.5</v>
      </c>
      <c r="I12" s="7">
        <v>17397.967581329289</v>
      </c>
      <c r="J12" s="9">
        <v>192326.46758132929</v>
      </c>
      <c r="L12" s="11">
        <v>7.4497453535874802</v>
      </c>
      <c r="M12" s="11">
        <v>1.4240857183458733</v>
      </c>
      <c r="N12" s="16">
        <f t="shared" si="1"/>
        <v>75620.297811375582</v>
      </c>
      <c r="O12" s="20">
        <f t="shared" si="2"/>
        <v>334253.26580656943</v>
      </c>
    </row>
    <row r="13" spans="1:15" x14ac:dyDescent="0.25">
      <c r="A13" s="34" t="s">
        <v>23</v>
      </c>
      <c r="B13" s="3">
        <v>123634</v>
      </c>
      <c r="C13" s="4">
        <v>193178.75</v>
      </c>
      <c r="D13" s="4">
        <v>82790.89285714287</v>
      </c>
      <c r="E13" s="4">
        <f t="shared" ref="E13:E16" si="5">SUM(C13:D13)</f>
        <v>275969.64285714284</v>
      </c>
      <c r="G13" s="8">
        <v>123634</v>
      </c>
      <c r="H13" s="7">
        <v>193179</v>
      </c>
      <c r="I13" s="7">
        <v>82791</v>
      </c>
      <c r="J13" s="9">
        <v>275970</v>
      </c>
      <c r="L13" s="11">
        <v>8.0468918186909129</v>
      </c>
      <c r="M13" s="11">
        <v>2.9371549890935387</v>
      </c>
      <c r="N13" s="16">
        <f t="shared" si="1"/>
        <v>247268</v>
      </c>
      <c r="O13" s="20">
        <f t="shared" si="2"/>
        <v>551939.28571428568</v>
      </c>
    </row>
    <row r="14" spans="1:15" x14ac:dyDescent="0.25">
      <c r="A14" s="34" t="s">
        <v>109</v>
      </c>
      <c r="B14" s="3">
        <f>208272.25+806</f>
        <v>209078.25</v>
      </c>
      <c r="C14" s="4">
        <v>1166324.5999999999</v>
      </c>
      <c r="D14" s="4">
        <v>499853.39999999997</v>
      </c>
      <c r="E14" s="4">
        <f t="shared" si="5"/>
        <v>1666177.9999999998</v>
      </c>
      <c r="G14" s="8">
        <v>208272.24999999994</v>
      </c>
      <c r="H14" s="7">
        <v>590893.00419239944</v>
      </c>
      <c r="I14" s="7">
        <v>33029.79181112795</v>
      </c>
      <c r="J14" s="9">
        <v>623922.79600352736</v>
      </c>
      <c r="L14" s="11">
        <v>2.0797772225647821</v>
      </c>
      <c r="M14" s="11">
        <v>2.3338873401698552</v>
      </c>
      <c r="N14" s="16">
        <f t="shared" si="1"/>
        <v>418156.5</v>
      </c>
      <c r="O14" s="20">
        <f t="shared" si="2"/>
        <v>3332355.9999999995</v>
      </c>
    </row>
    <row r="15" spans="1:15" x14ac:dyDescent="0.25">
      <c r="A15" s="34" t="s">
        <v>24</v>
      </c>
      <c r="B15" s="3">
        <v>129896</v>
      </c>
      <c r="C15" s="4">
        <v>463463.5</v>
      </c>
      <c r="D15" s="4">
        <v>198627.5934487113</v>
      </c>
      <c r="E15" s="4">
        <f t="shared" si="5"/>
        <v>662091.09344871133</v>
      </c>
      <c r="G15" s="8">
        <v>129896</v>
      </c>
      <c r="H15" s="7">
        <v>463464.0309208</v>
      </c>
      <c r="I15" s="7">
        <v>242416</v>
      </c>
      <c r="J15" s="9">
        <v>705880.03092080005</v>
      </c>
      <c r="L15" s="11">
        <v>2.3634033990528636</v>
      </c>
      <c r="M15" s="11">
        <v>1.8493801741019251</v>
      </c>
      <c r="N15" s="16">
        <f t="shared" si="1"/>
        <v>259792</v>
      </c>
      <c r="O15" s="20">
        <f t="shared" si="2"/>
        <v>1324182.1868974227</v>
      </c>
    </row>
    <row r="16" spans="1:15" x14ac:dyDescent="0.25">
      <c r="A16" s="34" t="s">
        <v>26</v>
      </c>
      <c r="B16" s="3">
        <v>14064.846416382254</v>
      </c>
      <c r="C16" s="4">
        <v>0</v>
      </c>
      <c r="D16" s="4">
        <v>25461</v>
      </c>
      <c r="E16" s="4">
        <f t="shared" si="5"/>
        <v>25461</v>
      </c>
      <c r="G16" s="8">
        <v>14065</v>
      </c>
      <c r="H16" s="7">
        <v>0</v>
      </c>
      <c r="I16" s="7">
        <v>25461</v>
      </c>
      <c r="J16" s="9">
        <v>25461</v>
      </c>
      <c r="L16" s="11">
        <v>3.5449941001088949</v>
      </c>
      <c r="M16" s="11">
        <v>3.5449941001088949</v>
      </c>
      <c r="N16" s="16">
        <f t="shared" si="1"/>
        <v>28129.692832764507</v>
      </c>
      <c r="O16" s="20">
        <f t="shared" si="2"/>
        <v>50922</v>
      </c>
    </row>
    <row r="17" spans="1:15" x14ac:dyDescent="0.25">
      <c r="A17" s="38" t="s">
        <v>35</v>
      </c>
      <c r="B17" s="5">
        <f>SUM(B12:B16)</f>
        <v>514483.24532207003</v>
      </c>
      <c r="C17" s="6">
        <f t="shared" ref="C17:E17" si="6">SUM(C12:C16)</f>
        <v>1939955.4930322992</v>
      </c>
      <c r="D17" s="6">
        <f t="shared" si="6"/>
        <v>856870.87617683958</v>
      </c>
      <c r="E17" s="6">
        <f t="shared" si="6"/>
        <v>2796826.3692091387</v>
      </c>
      <c r="G17" s="8">
        <v>513677.39890568773</v>
      </c>
      <c r="H17" s="8">
        <v>1422464.5351131994</v>
      </c>
      <c r="I17" s="8">
        <v>401095.7593924572</v>
      </c>
      <c r="J17" s="9">
        <v>1823560.2945056567</v>
      </c>
      <c r="L17" s="13">
        <v>3.0952204234295171</v>
      </c>
      <c r="M17" s="13">
        <v>2.1373934086759916</v>
      </c>
      <c r="N17" s="5">
        <f t="shared" si="1"/>
        <v>1028966.4906441401</v>
      </c>
      <c r="O17" s="137">
        <f t="shared" si="2"/>
        <v>5593652.7384182774</v>
      </c>
    </row>
    <row r="18" spans="1:15" x14ac:dyDescent="0.25">
      <c r="B18" s="3"/>
      <c r="C18" s="4"/>
      <c r="D18" s="4"/>
      <c r="E18" s="4"/>
      <c r="G18" s="8"/>
      <c r="H18" s="7"/>
      <c r="I18" s="7"/>
      <c r="J18" s="9"/>
      <c r="N18" s="16">
        <f t="shared" si="1"/>
        <v>0</v>
      </c>
      <c r="O18" s="20"/>
    </row>
    <row r="19" spans="1:15" x14ac:dyDescent="0.25">
      <c r="A19" s="1" t="s">
        <v>110</v>
      </c>
      <c r="B19" s="5">
        <f>B17+B10</f>
        <v>946839.19761152938</v>
      </c>
      <c r="C19" s="6">
        <f>SUM(C17,C10)</f>
        <v>5354307.2564294823</v>
      </c>
      <c r="D19" s="6">
        <v>2295260.1878997721</v>
      </c>
      <c r="E19" s="6">
        <v>7650867.2929992396</v>
      </c>
      <c r="G19" s="8">
        <v>800435.99890568771</v>
      </c>
      <c r="H19" s="7">
        <v>1871415.6351131992</v>
      </c>
      <c r="I19" s="7">
        <v>1231420.274016097</v>
      </c>
      <c r="J19" s="9">
        <v>3102835.9091292964</v>
      </c>
      <c r="L19" s="13">
        <v>1.4619408518577639</v>
      </c>
      <c r="M19" s="13">
        <v>2.1304113303142045</v>
      </c>
      <c r="N19" s="5">
        <f t="shared" si="1"/>
        <v>1893678.3952230588</v>
      </c>
      <c r="O19" s="137">
        <f t="shared" si="2"/>
        <v>15301734.585998479</v>
      </c>
    </row>
    <row r="20" spans="1:15" x14ac:dyDescent="0.25">
      <c r="B20" s="3"/>
      <c r="C20" s="4"/>
      <c r="D20" s="4"/>
      <c r="E20" s="4"/>
      <c r="G20" s="8"/>
      <c r="H20" s="7"/>
      <c r="I20" s="7"/>
      <c r="J20" s="9"/>
      <c r="N20" s="16"/>
      <c r="O20" s="20"/>
    </row>
    <row r="21" spans="1:15" x14ac:dyDescent="0.25">
      <c r="A21" s="1" t="s">
        <v>111</v>
      </c>
      <c r="B21" s="5">
        <f>B19+B3</f>
        <v>952929.80846983602</v>
      </c>
      <c r="C21" s="6">
        <f>SUM(C19,C3)</f>
        <v>5794985.4865590716</v>
      </c>
      <c r="D21" s="6">
        <v>2484122.2865267387</v>
      </c>
      <c r="E21" s="6">
        <v>8280407.6217557956</v>
      </c>
      <c r="G21" s="10">
        <v>809543.04890568776</v>
      </c>
      <c r="H21" s="9">
        <v>2407124.9814831992</v>
      </c>
      <c r="I21" s="9">
        <v>1403482.9592015557</v>
      </c>
      <c r="J21" s="9">
        <v>3810607.9406847549</v>
      </c>
      <c r="L21" s="13">
        <v>1.4323425889615404</v>
      </c>
      <c r="M21" s="13">
        <v>1.9782784263964945</v>
      </c>
      <c r="N21" s="5">
        <f t="shared" si="1"/>
        <v>1905859.616939672</v>
      </c>
      <c r="O21" s="137">
        <f t="shared" si="2"/>
        <v>16560815.243511591</v>
      </c>
    </row>
    <row r="23" spans="1:15" x14ac:dyDescent="0.25">
      <c r="B23" s="16"/>
      <c r="O23" s="20">
        <f>O21+1036150+812000</f>
        <v>18408965.243511591</v>
      </c>
    </row>
    <row r="24" spans="1:15" x14ac:dyDescent="0.25">
      <c r="B24" s="16">
        <f>B21+60000</f>
        <v>1012929.808469836</v>
      </c>
      <c r="C24" s="17">
        <f>E21+518075+406000</f>
        <v>9204482.6217557956</v>
      </c>
      <c r="E24" s="20">
        <f>E21/(1-D25)</f>
        <v>8798482.7834047247</v>
      </c>
      <c r="F24" s="20">
        <f>E24-E21</f>
        <v>518075.16164892912</v>
      </c>
    </row>
    <row r="25" spans="1:15" x14ac:dyDescent="0.25">
      <c r="D25">
        <f>607732/10321127</f>
        <v>5.8882329420033297E-2</v>
      </c>
      <c r="E25" s="17">
        <f>E21/(D25)</f>
        <v>140626359.44118384</v>
      </c>
    </row>
    <row r="26" spans="1:15" x14ac:dyDescent="0.25">
      <c r="A26" t="s">
        <v>112</v>
      </c>
      <c r="K26" t="s">
        <v>134</v>
      </c>
      <c r="L26" t="s">
        <v>135</v>
      </c>
    </row>
    <row r="27" spans="1:15" x14ac:dyDescent="0.25">
      <c r="J27" t="s">
        <v>132</v>
      </c>
      <c r="K27" s="11">
        <f>L21</f>
        <v>1.4323425889615404</v>
      </c>
      <c r="L27" s="11">
        <f>M21</f>
        <v>1.9782784263964945</v>
      </c>
    </row>
    <row r="28" spans="1:15" x14ac:dyDescent="0.25">
      <c r="J28" t="s">
        <v>133</v>
      </c>
      <c r="K28" s="11">
        <f>L19</f>
        <v>1.4619408518577639</v>
      </c>
      <c r="L28" s="11">
        <f>M19</f>
        <v>2.1304113303142045</v>
      </c>
    </row>
    <row r="29" spans="1:15" ht="15.75" thickBot="1" x14ac:dyDescent="0.3"/>
    <row r="30" spans="1:15" ht="15.75" thickBot="1" x14ac:dyDescent="0.3">
      <c r="B30" s="74">
        <v>5796285</v>
      </c>
      <c r="D30" s="18">
        <f t="shared" ref="D30:D32" si="7">B30-C30</f>
        <v>5796285</v>
      </c>
    </row>
    <row r="31" spans="1:15" ht="15.75" thickBot="1" x14ac:dyDescent="0.3">
      <c r="B31" s="25">
        <v>240695</v>
      </c>
      <c r="D31" s="18">
        <f t="shared" si="7"/>
        <v>240695</v>
      </c>
      <c r="F31" s="24">
        <v>203599</v>
      </c>
    </row>
    <row r="32" spans="1:15" ht="15.75" thickBot="1" x14ac:dyDescent="0.3">
      <c r="B32" s="25">
        <f>62346-C35</f>
        <v>261870</v>
      </c>
      <c r="D32" s="18">
        <f t="shared" si="7"/>
        <v>261870</v>
      </c>
      <c r="F32" s="25">
        <v>68835</v>
      </c>
    </row>
    <row r="33" spans="2:8" ht="15.75" thickBot="1" x14ac:dyDescent="0.3">
      <c r="B33" s="26">
        <v>1981558</v>
      </c>
      <c r="C33">
        <v>593302</v>
      </c>
      <c r="D33" s="18">
        <f>B33-C33</f>
        <v>1388256</v>
      </c>
      <c r="F33" s="26">
        <v>1828835</v>
      </c>
    </row>
    <row r="34" spans="2:8" ht="15.75" thickBot="1" x14ac:dyDescent="0.3">
      <c r="B34" s="18">
        <f>SUM(B30:B33)</f>
        <v>8280408</v>
      </c>
      <c r="D34" s="18">
        <f>SUM(D30:D33)</f>
        <v>7687106</v>
      </c>
      <c r="E34" s="75">
        <v>8280408</v>
      </c>
    </row>
    <row r="35" spans="2:8" x14ac:dyDescent="0.25">
      <c r="C35" s="18">
        <v>-199524</v>
      </c>
    </row>
    <row r="37" spans="2:8" x14ac:dyDescent="0.25">
      <c r="G37" t="s">
        <v>0</v>
      </c>
      <c r="H37" t="s">
        <v>191</v>
      </c>
    </row>
    <row r="38" spans="2:8" x14ac:dyDescent="0.25">
      <c r="G38" t="s">
        <v>232</v>
      </c>
      <c r="H38" s="16">
        <v>6090.6108583066862</v>
      </c>
    </row>
    <row r="39" spans="2:8" x14ac:dyDescent="0.25">
      <c r="G39" t="s">
        <v>16</v>
      </c>
      <c r="H39" s="16">
        <v>8787.5</v>
      </c>
    </row>
    <row r="40" spans="2:8" ht="15.75" thickBot="1" x14ac:dyDescent="0.3">
      <c r="G40" t="s">
        <v>26</v>
      </c>
      <c r="H40" s="16">
        <v>14064.846416382254</v>
      </c>
    </row>
    <row r="41" spans="2:8" ht="15.75" thickBot="1" x14ac:dyDescent="0.3">
      <c r="B41" s="225"/>
      <c r="G41" t="s">
        <v>233</v>
      </c>
      <c r="H41" s="16">
        <v>16591</v>
      </c>
    </row>
    <row r="42" spans="2:8" ht="15.75" thickBot="1" x14ac:dyDescent="0.3">
      <c r="B42" s="226"/>
      <c r="G42" t="s">
        <v>18</v>
      </c>
      <c r="H42" s="16">
        <v>16736.107685927716</v>
      </c>
    </row>
    <row r="43" spans="2:8" ht="15.75" thickBot="1" x14ac:dyDescent="0.3">
      <c r="B43" s="226"/>
      <c r="G43" t="s">
        <v>108</v>
      </c>
      <c r="H43" s="16">
        <v>37810.148905687791</v>
      </c>
    </row>
    <row r="44" spans="2:8" ht="15.75" thickBot="1" x14ac:dyDescent="0.3">
      <c r="B44" s="226"/>
      <c r="G44" t="s">
        <v>23</v>
      </c>
      <c r="H44" s="16">
        <v>123634</v>
      </c>
    </row>
    <row r="45" spans="2:8" ht="15.75" thickBot="1" x14ac:dyDescent="0.3">
      <c r="B45" s="226"/>
      <c r="G45" t="s">
        <v>24</v>
      </c>
      <c r="H45" s="16">
        <v>129896</v>
      </c>
    </row>
    <row r="46" spans="2:8" ht="15.75" thickBot="1" x14ac:dyDescent="0.3">
      <c r="B46" s="227"/>
      <c r="G46" t="s">
        <v>13</v>
      </c>
      <c r="H46" s="16">
        <v>144975.09460353167</v>
      </c>
    </row>
    <row r="47" spans="2:8" x14ac:dyDescent="0.25">
      <c r="B47" s="228"/>
      <c r="G47" t="s">
        <v>109</v>
      </c>
      <c r="H47" s="16">
        <v>209078.25</v>
      </c>
    </row>
    <row r="48" spans="2:8" x14ac:dyDescent="0.25">
      <c r="G48" t="s">
        <v>15</v>
      </c>
      <c r="H48" s="16">
        <v>245266.25</v>
      </c>
    </row>
  </sheetData>
  <autoFilter ref="G37:H48" xr:uid="{DA5EB08A-8640-4EC6-B2DE-B907DD7E6114}">
    <sortState xmlns:xlrd2="http://schemas.microsoft.com/office/spreadsheetml/2017/richdata2" ref="G38:H48">
      <sortCondition ref="H37:H48"/>
    </sortState>
  </autoFilter>
  <conditionalFormatting sqref="G2:K2 G3:J21">
    <cfRule type="cellIs" dxfId="4" priority="5" operator="lessThan">
      <formula>B2</formula>
    </cfRule>
  </conditionalFormatting>
  <conditionalFormatting sqref="L2:M3 L5:M10 L19:M19 L21:M21">
    <cfRule type="cellIs" dxfId="3" priority="1" operator="greaterThan">
      <formula>1</formula>
    </cfRule>
    <cfRule type="cellIs" dxfId="2" priority="2" operator="lessThan">
      <formula>1</formula>
    </cfRule>
  </conditionalFormatting>
  <conditionalFormatting sqref="L12:M17">
    <cfRule type="cellIs" dxfId="1" priority="3" operator="greaterThan">
      <formula>1</formula>
    </cfRule>
    <cfRule type="cellIs" dxfId="0" priority="4" operator="lessThan">
      <formula>1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DACA1-BA51-46C2-88FF-B8F8B198096B}">
  <dimension ref="A1:F67"/>
  <sheetViews>
    <sheetView topLeftCell="A12" workbookViewId="0"/>
  </sheetViews>
  <sheetFormatPr defaultRowHeight="15" x14ac:dyDescent="0.25"/>
  <cols>
    <col min="1" max="3" width="28.85546875" customWidth="1"/>
    <col min="4" max="5" width="10.85546875" bestFit="1" customWidth="1"/>
  </cols>
  <sheetData>
    <row r="1" spans="1:6" ht="15.75" thickBot="1" x14ac:dyDescent="0.3">
      <c r="A1" s="102" t="s">
        <v>148</v>
      </c>
      <c r="B1" s="103" t="s">
        <v>104</v>
      </c>
      <c r="C1" s="104" t="s">
        <v>143</v>
      </c>
    </row>
    <row r="2" spans="1:6" ht="15.75" thickBot="1" x14ac:dyDescent="0.3">
      <c r="A2" s="106" t="s">
        <v>41</v>
      </c>
      <c r="B2" s="107">
        <v>6091</v>
      </c>
      <c r="C2" s="63">
        <v>629540</v>
      </c>
    </row>
    <row r="3" spans="1:6" ht="15.75" thickBot="1" x14ac:dyDescent="0.3">
      <c r="A3" s="106" t="s">
        <v>45</v>
      </c>
      <c r="B3" s="107">
        <v>431732</v>
      </c>
      <c r="C3" s="63">
        <v>4877645</v>
      </c>
    </row>
    <row r="4" spans="1:6" ht="15.75" thickBot="1" x14ac:dyDescent="0.3">
      <c r="A4" s="106" t="s">
        <v>54</v>
      </c>
      <c r="B4" s="107">
        <v>513678</v>
      </c>
      <c r="C4" s="63">
        <v>2796828</v>
      </c>
    </row>
    <row r="5" spans="1:6" ht="15.75" thickBot="1" x14ac:dyDescent="0.3">
      <c r="A5" s="108" t="s">
        <v>149</v>
      </c>
      <c r="B5" s="109">
        <v>60000</v>
      </c>
      <c r="C5" s="77">
        <v>406000</v>
      </c>
    </row>
    <row r="6" spans="1:6" ht="23.25" thickBot="1" x14ac:dyDescent="0.3">
      <c r="A6" s="108" t="s">
        <v>150</v>
      </c>
      <c r="B6" s="110" t="s">
        <v>151</v>
      </c>
      <c r="C6" s="77">
        <v>539855</v>
      </c>
    </row>
    <row r="7" spans="1:6" ht="15.75" thickBot="1" x14ac:dyDescent="0.3">
      <c r="A7" s="66" t="s">
        <v>53</v>
      </c>
      <c r="B7" s="111">
        <f>SUM(B2:B6)</f>
        <v>1011501</v>
      </c>
      <c r="C7" s="68">
        <f>SUM(C2:C6)+1</f>
        <v>9249869</v>
      </c>
    </row>
    <row r="8" spans="1:6" x14ac:dyDescent="0.25">
      <c r="A8" s="57"/>
    </row>
    <row r="9" spans="1:6" x14ac:dyDescent="0.25">
      <c r="A9" s="56"/>
    </row>
    <row r="11" spans="1:6" ht="15.75" thickBot="1" x14ac:dyDescent="0.3"/>
    <row r="12" spans="1:6" ht="34.5" thickBot="1" x14ac:dyDescent="0.3">
      <c r="A12" s="112"/>
      <c r="B12" s="103" t="s">
        <v>152</v>
      </c>
      <c r="C12" s="103" t="s">
        <v>84</v>
      </c>
      <c r="D12" s="104" t="s">
        <v>85</v>
      </c>
    </row>
    <row r="13" spans="1:6" ht="15.75" thickBot="1" x14ac:dyDescent="0.3">
      <c r="A13" s="61" t="s">
        <v>113</v>
      </c>
      <c r="B13" s="62">
        <f>'WA GAS'!C21</f>
        <v>5794985.4865590716</v>
      </c>
      <c r="C13" s="62">
        <v>0</v>
      </c>
      <c r="D13" s="63">
        <f>B13-C13</f>
        <v>5794985.4865590716</v>
      </c>
    </row>
    <row r="14" spans="1:6" ht="15.75" thickBot="1" x14ac:dyDescent="0.3">
      <c r="A14" s="61" t="s">
        <v>114</v>
      </c>
      <c r="B14" s="62">
        <f>184404+65000+1+1300</f>
        <v>250705</v>
      </c>
      <c r="C14" s="62">
        <v>0</v>
      </c>
      <c r="D14" s="63">
        <f t="shared" ref="D14:D16" si="0">B14-C14</f>
        <v>250705</v>
      </c>
    </row>
    <row r="15" spans="1:6" ht="15.75" thickBot="1" x14ac:dyDescent="0.3">
      <c r="A15" s="61" t="s">
        <v>115</v>
      </c>
      <c r="B15" s="62">
        <f>62346+523001+299999</f>
        <v>885346</v>
      </c>
      <c r="C15" s="62">
        <v>0</v>
      </c>
      <c r="D15" s="63">
        <f t="shared" si="0"/>
        <v>885346</v>
      </c>
    </row>
    <row r="16" spans="1:6" ht="15.75" thickBot="1" x14ac:dyDescent="0.3">
      <c r="A16" s="113" t="s">
        <v>51</v>
      </c>
      <c r="B16" s="114">
        <f>1575558+337275</f>
        <v>1912833</v>
      </c>
      <c r="C16" s="114">
        <v>187302</v>
      </c>
      <c r="D16" s="63">
        <f t="shared" si="0"/>
        <v>1725531</v>
      </c>
      <c r="F16">
        <f>SUM(B15,B13)/B18</f>
        <v>0.72220818858754932</v>
      </c>
    </row>
    <row r="17" spans="1:4" ht="15.75" thickBot="1" x14ac:dyDescent="0.3">
      <c r="A17" s="115" t="s">
        <v>100</v>
      </c>
      <c r="B17" s="86">
        <v>406000</v>
      </c>
      <c r="C17" s="86">
        <v>406000</v>
      </c>
      <c r="D17" s="86">
        <v>0</v>
      </c>
    </row>
    <row r="18" spans="1:4" ht="15.75" thickBot="1" x14ac:dyDescent="0.3">
      <c r="A18" s="66" t="s">
        <v>53</v>
      </c>
      <c r="B18" s="67">
        <f>SUM(B13:B17)</f>
        <v>9249869.4865590706</v>
      </c>
      <c r="C18" s="67">
        <f t="shared" ref="C18:D18" si="1">SUM(C13:C17)</f>
        <v>593302</v>
      </c>
      <c r="D18" s="67">
        <f t="shared" si="1"/>
        <v>8656567.4865590706</v>
      </c>
    </row>
    <row r="20" spans="1:4" x14ac:dyDescent="0.25">
      <c r="B20" s="18">
        <f>B18-C7</f>
        <v>0.48655907064676285</v>
      </c>
    </row>
    <row r="22" spans="1:4" ht="15.75" thickBot="1" x14ac:dyDescent="0.3"/>
    <row r="23" spans="1:4" ht="34.5" thickBot="1" x14ac:dyDescent="0.3">
      <c r="A23" s="102" t="s">
        <v>82</v>
      </c>
      <c r="B23" s="103" t="s">
        <v>153</v>
      </c>
      <c r="C23" s="103" t="s">
        <v>84</v>
      </c>
      <c r="D23" s="104" t="s">
        <v>85</v>
      </c>
    </row>
    <row r="24" spans="1:4" ht="15.75" thickBot="1" x14ac:dyDescent="0.3">
      <c r="A24" s="61" t="s">
        <v>86</v>
      </c>
      <c r="B24" s="62">
        <f>1282452+594318+600000</f>
        <v>2476770</v>
      </c>
      <c r="C24" s="62">
        <v>0</v>
      </c>
      <c r="D24" s="63">
        <f>B24-C24</f>
        <v>2476770</v>
      </c>
    </row>
    <row r="25" spans="1:4" ht="15.75" thickBot="1" x14ac:dyDescent="0.3">
      <c r="A25" s="61" t="s">
        <v>87</v>
      </c>
      <c r="B25" s="62">
        <f>246749</f>
        <v>246749</v>
      </c>
      <c r="C25" s="62">
        <v>0</v>
      </c>
      <c r="D25" s="63">
        <f t="shared" ref="D25:D36" si="2">B25-C25</f>
        <v>246749</v>
      </c>
    </row>
    <row r="26" spans="1:4" ht="15.75" thickBot="1" x14ac:dyDescent="0.3">
      <c r="A26" s="61" t="s">
        <v>88</v>
      </c>
      <c r="B26" s="62">
        <f>C26</f>
        <v>184782</v>
      </c>
      <c r="C26" s="62">
        <f>187302-C34</f>
        <v>184782</v>
      </c>
      <c r="D26" s="63">
        <f t="shared" si="2"/>
        <v>0</v>
      </c>
    </row>
    <row r="27" spans="1:4" ht="15.75" thickBot="1" x14ac:dyDescent="0.3">
      <c r="A27" s="61" t="s">
        <v>89</v>
      </c>
      <c r="B27" s="62">
        <f>4572+20000</f>
        <v>24572</v>
      </c>
      <c r="C27" s="62">
        <v>0</v>
      </c>
      <c r="D27" s="63">
        <f t="shared" si="2"/>
        <v>24572</v>
      </c>
    </row>
    <row r="28" spans="1:4" ht="15.75" thickBot="1" x14ac:dyDescent="0.3">
      <c r="A28" s="61" t="s">
        <v>116</v>
      </c>
      <c r="B28" s="62">
        <v>12192</v>
      </c>
      <c r="C28" s="62">
        <v>0</v>
      </c>
      <c r="D28" s="63">
        <f t="shared" si="2"/>
        <v>12192</v>
      </c>
    </row>
    <row r="29" spans="1:4" ht="15.75" thickBot="1" x14ac:dyDescent="0.3">
      <c r="A29" s="61" t="s">
        <v>92</v>
      </c>
      <c r="B29" s="62">
        <v>610</v>
      </c>
      <c r="C29" s="62">
        <v>0</v>
      </c>
      <c r="D29" s="63">
        <f t="shared" si="2"/>
        <v>610</v>
      </c>
    </row>
    <row r="30" spans="1:4" ht="15.75" thickBot="1" x14ac:dyDescent="0.3">
      <c r="A30" s="61" t="s">
        <v>91</v>
      </c>
      <c r="B30" s="62">
        <v>48769</v>
      </c>
      <c r="C30" s="62">
        <v>0</v>
      </c>
      <c r="D30" s="63">
        <f t="shared" si="2"/>
        <v>48769</v>
      </c>
    </row>
    <row r="31" spans="1:4" ht="15.75" thickBot="1" x14ac:dyDescent="0.3">
      <c r="A31" s="61" t="s">
        <v>93</v>
      </c>
      <c r="B31" s="62">
        <v>610</v>
      </c>
      <c r="C31" s="62">
        <v>0</v>
      </c>
      <c r="D31" s="63">
        <f t="shared" si="2"/>
        <v>610</v>
      </c>
    </row>
    <row r="32" spans="1:4" ht="15.75" thickBot="1" x14ac:dyDescent="0.3">
      <c r="A32" s="61" t="s">
        <v>96</v>
      </c>
      <c r="B32" s="62">
        <v>7000</v>
      </c>
      <c r="C32" s="62">
        <v>0</v>
      </c>
      <c r="D32" s="63">
        <f t="shared" si="2"/>
        <v>7000</v>
      </c>
    </row>
    <row r="33" spans="1:5" ht="15.75" thickBot="1" x14ac:dyDescent="0.3">
      <c r="A33" s="61" t="s">
        <v>117</v>
      </c>
      <c r="B33" s="62">
        <v>14021</v>
      </c>
      <c r="C33" s="62">
        <v>0</v>
      </c>
      <c r="D33" s="63">
        <f t="shared" si="2"/>
        <v>14021</v>
      </c>
    </row>
    <row r="34" spans="1:5" ht="15.75" thickBot="1" x14ac:dyDescent="0.3">
      <c r="A34" s="61" t="s">
        <v>98</v>
      </c>
      <c r="B34" s="62">
        <v>2520</v>
      </c>
      <c r="C34" s="62">
        <v>2520</v>
      </c>
      <c r="D34" s="63">
        <f t="shared" si="2"/>
        <v>0</v>
      </c>
    </row>
    <row r="35" spans="1:5" ht="15.75" thickBot="1" x14ac:dyDescent="0.3">
      <c r="A35" s="61" t="s">
        <v>99</v>
      </c>
      <c r="B35" s="62">
        <f>18289+12000</f>
        <v>30289</v>
      </c>
      <c r="C35" s="62">
        <v>0</v>
      </c>
      <c r="D35" s="63">
        <f t="shared" si="2"/>
        <v>30289</v>
      </c>
    </row>
    <row r="36" spans="1:5" ht="15.75" thickBot="1" x14ac:dyDescent="0.3">
      <c r="A36" s="64" t="s">
        <v>118</v>
      </c>
      <c r="B36" s="65">
        <v>406000</v>
      </c>
      <c r="C36" s="65">
        <v>406000</v>
      </c>
      <c r="D36" s="63">
        <f t="shared" si="2"/>
        <v>0</v>
      </c>
    </row>
    <row r="37" spans="1:5" ht="15.75" thickBot="1" x14ac:dyDescent="0.3">
      <c r="A37" s="66" t="s">
        <v>53</v>
      </c>
      <c r="B37" s="67">
        <f>SUM(B24:B36)</f>
        <v>3454884</v>
      </c>
      <c r="C37" s="67">
        <f t="shared" ref="C37:D37" si="3">SUM(C24:C36)</f>
        <v>593302</v>
      </c>
      <c r="D37" s="67">
        <f t="shared" si="3"/>
        <v>2861582</v>
      </c>
    </row>
    <row r="38" spans="1:5" x14ac:dyDescent="0.25">
      <c r="E38" s="18">
        <f>D39-D37</f>
        <v>0</v>
      </c>
    </row>
    <row r="39" spans="1:5" x14ac:dyDescent="0.25">
      <c r="D39" s="18">
        <f>D18-D13</f>
        <v>2861581.9999999991</v>
      </c>
    </row>
    <row r="42" spans="1:5" x14ac:dyDescent="0.25">
      <c r="C42" s="18">
        <f>B37+B13</f>
        <v>9249869.4865590706</v>
      </c>
    </row>
    <row r="44" spans="1:5" ht="15.75" thickBot="1" x14ac:dyDescent="0.3"/>
    <row r="45" spans="1:5" ht="15.75" thickBot="1" x14ac:dyDescent="0.3">
      <c r="A45" s="102" t="s">
        <v>0</v>
      </c>
      <c r="B45" s="103" t="s">
        <v>154</v>
      </c>
      <c r="C45" s="104" t="s">
        <v>155</v>
      </c>
    </row>
    <row r="46" spans="1:5" ht="15.75" thickBot="1" x14ac:dyDescent="0.3">
      <c r="A46" s="250" t="s">
        <v>41</v>
      </c>
      <c r="B46" s="252"/>
      <c r="C46" s="251"/>
    </row>
    <row r="47" spans="1:5" ht="15.75" thickBot="1" x14ac:dyDescent="0.3">
      <c r="A47" s="64" t="s">
        <v>41</v>
      </c>
      <c r="B47" s="116">
        <v>6091</v>
      </c>
      <c r="C47" s="77">
        <v>629540</v>
      </c>
    </row>
    <row r="48" spans="1:5" ht="15.75" thickBot="1" x14ac:dyDescent="0.3">
      <c r="A48" s="117" t="s">
        <v>156</v>
      </c>
      <c r="B48" s="118">
        <v>6091</v>
      </c>
      <c r="C48" s="119">
        <v>629540</v>
      </c>
    </row>
    <row r="49" spans="1:6" ht="15.75" thickBot="1" x14ac:dyDescent="0.3">
      <c r="A49" s="250" t="s">
        <v>45</v>
      </c>
      <c r="B49" s="252"/>
      <c r="C49" s="251"/>
    </row>
    <row r="50" spans="1:6" ht="15.75" thickBot="1" x14ac:dyDescent="0.3">
      <c r="A50" s="61" t="s">
        <v>157</v>
      </c>
      <c r="B50" s="120">
        <v>144975</v>
      </c>
      <c r="C50" s="63">
        <v>2378407</v>
      </c>
    </row>
    <row r="51" spans="1:6" ht="15.75" thickBot="1" x14ac:dyDescent="0.3">
      <c r="A51" s="61" t="s">
        <v>74</v>
      </c>
      <c r="B51" s="120">
        <v>244641</v>
      </c>
      <c r="C51" s="63">
        <v>1957130</v>
      </c>
    </row>
    <row r="52" spans="1:6" ht="15.75" thickBot="1" x14ac:dyDescent="0.3">
      <c r="A52" s="121" t="s">
        <v>158</v>
      </c>
      <c r="B52" s="122">
        <v>16591</v>
      </c>
      <c r="C52" s="123">
        <v>94807</v>
      </c>
      <c r="F52" s="138">
        <v>1706</v>
      </c>
    </row>
    <row r="53" spans="1:6" ht="15.75" thickBot="1" x14ac:dyDescent="0.3">
      <c r="A53" s="124" t="s">
        <v>16</v>
      </c>
      <c r="B53" s="125">
        <v>8788</v>
      </c>
      <c r="C53" s="126">
        <v>294286</v>
      </c>
      <c r="F53" s="139">
        <v>1148</v>
      </c>
    </row>
    <row r="54" spans="1:6" ht="15.75" thickBot="1" x14ac:dyDescent="0.3">
      <c r="A54" s="124" t="s">
        <v>18</v>
      </c>
      <c r="B54" s="125">
        <v>16736</v>
      </c>
      <c r="C54" s="126">
        <v>153016</v>
      </c>
      <c r="F54" s="139">
        <v>8857</v>
      </c>
    </row>
    <row r="55" spans="1:6" ht="15.75" thickBot="1" x14ac:dyDescent="0.3">
      <c r="A55" s="117" t="s">
        <v>159</v>
      </c>
      <c r="B55" s="118">
        <v>431732</v>
      </c>
      <c r="C55" s="119">
        <v>4877645</v>
      </c>
      <c r="F55" s="139">
        <v>51662</v>
      </c>
    </row>
    <row r="56" spans="1:6" ht="15.75" thickBot="1" x14ac:dyDescent="0.3">
      <c r="A56" s="250" t="s">
        <v>54</v>
      </c>
      <c r="B56" s="252"/>
      <c r="C56" s="251"/>
      <c r="F56" s="140" t="s">
        <v>144</v>
      </c>
    </row>
    <row r="57" spans="1:6" ht="15.75" thickBot="1" x14ac:dyDescent="0.3">
      <c r="A57" s="61" t="s">
        <v>160</v>
      </c>
      <c r="B57" s="120">
        <v>37810</v>
      </c>
      <c r="C57" s="63">
        <v>167127</v>
      </c>
      <c r="F57" s="140" t="s">
        <v>146</v>
      </c>
    </row>
    <row r="58" spans="1:6" ht="15.75" thickBot="1" x14ac:dyDescent="0.3">
      <c r="A58" s="61" t="s">
        <v>161</v>
      </c>
      <c r="B58" s="120">
        <v>129896</v>
      </c>
      <c r="C58" s="63">
        <v>662092</v>
      </c>
      <c r="F58" s="139">
        <v>31536</v>
      </c>
    </row>
    <row r="59" spans="1:6" ht="15.75" thickBot="1" x14ac:dyDescent="0.3">
      <c r="A59" s="121" t="s">
        <v>74</v>
      </c>
      <c r="B59" s="122">
        <v>208272</v>
      </c>
      <c r="C59" s="123">
        <v>1666178</v>
      </c>
      <c r="F59" s="141">
        <f>SUM(F52:F58)</f>
        <v>94909</v>
      </c>
    </row>
    <row r="60" spans="1:6" ht="15.75" thickBot="1" x14ac:dyDescent="0.3">
      <c r="A60" s="124" t="s">
        <v>23</v>
      </c>
      <c r="B60" s="125">
        <v>123634</v>
      </c>
      <c r="C60" s="126">
        <v>275970</v>
      </c>
    </row>
    <row r="61" spans="1:6" ht="15.75" thickBot="1" x14ac:dyDescent="0.3">
      <c r="A61" s="124" t="s">
        <v>25</v>
      </c>
      <c r="B61" s="127">
        <v>0</v>
      </c>
      <c r="C61" s="126">
        <v>1856</v>
      </c>
    </row>
    <row r="62" spans="1:6" ht="15.75" thickBot="1" x14ac:dyDescent="0.3">
      <c r="A62" s="124" t="s">
        <v>26</v>
      </c>
      <c r="B62" s="125">
        <v>14065</v>
      </c>
      <c r="C62" s="128">
        <v>25461</v>
      </c>
    </row>
    <row r="63" spans="1:6" ht="23.25" thickBot="1" x14ac:dyDescent="0.3">
      <c r="A63" s="117" t="s">
        <v>162</v>
      </c>
      <c r="B63" s="118">
        <v>513678</v>
      </c>
      <c r="C63" s="119">
        <v>2796828</v>
      </c>
    </row>
    <row r="64" spans="1:6" ht="15.75" thickBot="1" x14ac:dyDescent="0.3">
      <c r="A64" s="250" t="s">
        <v>101</v>
      </c>
      <c r="B64" s="252"/>
      <c r="C64" s="251"/>
    </row>
    <row r="65" spans="1:3" ht="15.75" thickBot="1" x14ac:dyDescent="0.3">
      <c r="A65" s="64" t="s">
        <v>163</v>
      </c>
      <c r="B65" s="116">
        <v>60000</v>
      </c>
      <c r="C65" s="77">
        <v>945855</v>
      </c>
    </row>
    <row r="66" spans="1:3" ht="23.25" thickBot="1" x14ac:dyDescent="0.3">
      <c r="A66" s="117" t="s">
        <v>164</v>
      </c>
      <c r="B66" s="118">
        <v>60000</v>
      </c>
      <c r="C66" s="119">
        <v>945855</v>
      </c>
    </row>
    <row r="67" spans="1:3" ht="15.75" thickBot="1" x14ac:dyDescent="0.3">
      <c r="A67" s="66" t="s">
        <v>165</v>
      </c>
      <c r="B67" s="111">
        <v>1011499</v>
      </c>
      <c r="C67" s="68">
        <f>SUM(C66,C63,C55,C48)</f>
        <v>9249868</v>
      </c>
    </row>
  </sheetData>
  <mergeCells count="4">
    <mergeCell ref="A46:C46"/>
    <mergeCell ref="A49:C49"/>
    <mergeCell ref="A56:C56"/>
    <mergeCell ref="A64:C6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2023-11-01T07:00:00+00:00</OpenedDate>
    <SignificantOrder xmlns="dc463f71-b30c-4ab2-9473-d307f9d35888">false</SignificantOrder>
    <Date1 xmlns="dc463f71-b30c-4ab2-9473-d307f9d35888">2025-01-29T08:00:00+00:00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230897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6CB35C9304D5E48918E20617CF3EA6E" ma:contentTypeVersion="24" ma:contentTypeDescription="" ma:contentTypeScope="" ma:versionID="18faa630d44c54877be864303c41c38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264A228-09F0-464A-9779-76B3C1F327F9}">
  <ds:schemaRefs>
    <ds:schemaRef ds:uri="5c8a3a3b-b028-43f9-8125-5ba62f0aa0ef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8631f6a1-3b4f-4428-93db-9674ed83f32f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BBE4B4-6B42-4F8D-900F-13E6AE117B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8EBCD9-D839-4B3D-941D-2E9E523E5488}"/>
</file>

<file path=customXml/itemProps4.xml><?xml version="1.0" encoding="utf-8"?>
<ds:datastoreItem xmlns:ds="http://schemas.openxmlformats.org/officeDocument/2006/customXml" ds:itemID="{CF6CD3E0-B0DD-40F1-9F33-BEFC22B49B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WA ELEC</vt:lpstr>
      <vt:lpstr>Sheet7</vt:lpstr>
      <vt:lpstr>Electric True Up</vt:lpstr>
      <vt:lpstr>Elec NIUC Calc</vt:lpstr>
      <vt:lpstr>Sheet2</vt:lpstr>
      <vt:lpstr>Sheet3</vt:lpstr>
      <vt:lpstr>Sheet1</vt:lpstr>
      <vt:lpstr>WA GAS</vt:lpstr>
      <vt:lpstr>Sheet6</vt:lpstr>
      <vt:lpstr>Gas True Up</vt:lpstr>
      <vt:lpstr>Sheet8</vt:lpstr>
      <vt:lpstr>Sheet4</vt:lpstr>
      <vt:lpstr>Sheet5</vt:lpstr>
      <vt:lpstr>BCP Charts</vt:lpstr>
      <vt:lpstr>'BCP Charts'!Print_Area</vt:lpstr>
    </vt:vector>
  </TitlesOfParts>
  <Manager/>
  <Company>Avista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Oglesby, Austin</dc:creator>
  <cp:keywords/>
  <dc:description/>
  <cp:lastModifiedBy>Booth, Avery (UTC)</cp:lastModifiedBy>
  <cp:revision/>
  <cp:lastPrinted>2023-10-17T16:54:24Z</cp:lastPrinted>
  <dcterms:created xsi:type="dcterms:W3CDTF">2023-08-29T22:32:57Z</dcterms:created>
  <dcterms:modified xsi:type="dcterms:W3CDTF">2025-01-29T21:21:15Z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0x0101006E56B4D1795A2E4DB2F0B01679ED314A00A6CB35C9304D5E48918E20617CF3EA6E</vt:lpwstr>
  </property>
  <property fmtid="{D5CDD505-2E9C-101B-9397-08002B2CF9AE}" pid="3" name="_docset_NoMedatataSyncRequired">
    <vt:lpwstr>False</vt:lpwstr>
  </property>
</Properties>
</file>