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ac.myhrum\Desktop\"/>
    </mc:Choice>
  </mc:AlternateContent>
  <xr:revisionPtr revIDLastSave="0" documentId="13_ncr:1_{B147E11C-1F10-4057-A28D-95745B4DD808}" xr6:coauthVersionLast="41" xr6:coauthVersionMax="41" xr10:uidLastSave="{00000000-0000-0000-0000-000000000000}"/>
  <bookViews>
    <workbookView xWindow="390" yWindow="390" windowWidth="26145" windowHeight="15360" xr2:uid="{F3B23EA9-A309-4699-916D-347A39171B33}"/>
  </bookViews>
  <sheets>
    <sheet name="WA Rates" sheetId="10" r:id="rId1"/>
    <sheet name="Core Cost Incurred" sheetId="13" r:id="rId2"/>
    <sheet name="WA DEFERRALS" sheetId="14" r:id="rId3"/>
  </sheets>
  <externalReferences>
    <externalReference r:id="rId4"/>
    <externalReference r:id="rId5"/>
    <externalReference r:id="rId6"/>
    <externalReference r:id="rId7"/>
  </externalReferences>
  <definedNames>
    <definedName name="FERCINT13">'[4]FERC Interest Rates'!$A$10:$C$21</definedName>
    <definedName name="FERCINT14">'[4]FERC Interest Rates'!$A$22:$C$33</definedName>
    <definedName name="FERCINT15">'[4]FERC Interest Rates'!$A$34:$C$45</definedName>
    <definedName name="FERCINT16">'[4]FERC Interest Rates'!$A$46:$C$57</definedName>
    <definedName name="FERCINT17">'[4]FERC Interest Rates'!$A$58:$C$69</definedName>
    <definedName name="FERCINT18">'[4]FERC Interest Rates'!$A$70:$C$81</definedName>
    <definedName name="FERCINT19">'[4]FERC Interest Rates'!$A$82:$C$93</definedName>
    <definedName name="_xlnm.Print_Area" localSheetId="1">'Core Cost Incurred'!$B$1:$Z$48</definedName>
    <definedName name="_xlnm.Print_Area" localSheetId="2">'WA DEFERRALS'!$B$1:$H$22</definedName>
    <definedName name="_xlnm.Print_Area" localSheetId="0">'WA Rates'!$B$1:$N$51</definedName>
    <definedName name="_xlnm.Print_Titles" localSheetId="1">'Core Cost Incurred'!$B:$F</definedName>
    <definedName name="_xlnm.Print_Titles" localSheetId="0">'WA Rates'!$1:$8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14" l="1"/>
  <c r="D8" i="14"/>
  <c r="E8" i="14"/>
  <c r="G8" i="14" s="1"/>
  <c r="G9" i="14" s="1"/>
  <c r="G12" i="14" s="1"/>
  <c r="D9" i="14"/>
  <c r="E9" i="14"/>
  <c r="E12" i="14" s="1"/>
  <c r="F9" i="14"/>
  <c r="D12" i="14"/>
  <c r="D18" i="14" s="1"/>
  <c r="F12" i="14"/>
  <c r="F18" i="14"/>
  <c r="G18" i="14" l="1"/>
  <c r="E18" i="14"/>
  <c r="V71" i="13" l="1"/>
  <c r="S71" i="13"/>
  <c r="T61" i="13"/>
  <c r="S61" i="13"/>
  <c r="Q61" i="13"/>
  <c r="P61" i="13"/>
  <c r="Q60" i="13"/>
  <c r="P60" i="13"/>
  <c r="T59" i="13"/>
  <c r="T62" i="13" s="1"/>
  <c r="S59" i="13"/>
  <c r="Q59" i="13"/>
  <c r="Q62" i="13" s="1"/>
  <c r="P59" i="13"/>
  <c r="AE45" i="13"/>
  <c r="AC43" i="13"/>
  <c r="AB43" i="13"/>
  <c r="Z43" i="13"/>
  <c r="W43" i="13"/>
  <c r="AC42" i="13"/>
  <c r="AC44" i="13" s="1"/>
  <c r="AB42" i="13"/>
  <c r="AB44" i="13" s="1"/>
  <c r="Z42" i="13"/>
  <c r="Z44" i="13" s="1"/>
  <c r="W42" i="13"/>
  <c r="W44" i="13" s="1"/>
  <c r="Q47" i="13" s="1"/>
  <c r="Y40" i="13"/>
  <c r="AC38" i="13"/>
  <c r="AC40" i="13" s="1"/>
  <c r="AB38" i="13"/>
  <c r="AB40" i="13" s="1"/>
  <c r="Z38" i="13"/>
  <c r="Z40" i="13" s="1"/>
  <c r="W38" i="13"/>
  <c r="W40" i="13" s="1"/>
  <c r="N37" i="13"/>
  <c r="K37" i="13"/>
  <c r="H37" i="13"/>
  <c r="N36" i="13"/>
  <c r="K36" i="13"/>
  <c r="H36" i="13"/>
  <c r="N35" i="13"/>
  <c r="K35" i="13"/>
  <c r="H35" i="13" s="1"/>
  <c r="N34" i="13"/>
  <c r="K34" i="13"/>
  <c r="H34" i="13" s="1"/>
  <c r="N33" i="13"/>
  <c r="K33" i="13"/>
  <c r="H33" i="13"/>
  <c r="N32" i="13"/>
  <c r="K32" i="13"/>
  <c r="H32" i="13"/>
  <c r="N31" i="13"/>
  <c r="K31" i="13"/>
  <c r="H31" i="13" s="1"/>
  <c r="N30" i="13"/>
  <c r="K30" i="13"/>
  <c r="H30" i="13" s="1"/>
  <c r="N29" i="13"/>
  <c r="K29" i="13"/>
  <c r="H29" i="13"/>
  <c r="N28" i="13"/>
  <c r="K28" i="13"/>
  <c r="H28" i="13"/>
  <c r="N27" i="13"/>
  <c r="K27" i="13"/>
  <c r="H27" i="13" s="1"/>
  <c r="N26" i="13"/>
  <c r="K26" i="13"/>
  <c r="H26" i="13" s="1"/>
  <c r="T25" i="13"/>
  <c r="T38" i="13" s="1"/>
  <c r="Q25" i="13"/>
  <c r="K25" i="13" s="1"/>
  <c r="H25" i="13" s="1"/>
  <c r="N25" i="13"/>
  <c r="N24" i="13"/>
  <c r="N38" i="13" s="1"/>
  <c r="K24" i="13"/>
  <c r="H24" i="13" s="1"/>
  <c r="AC22" i="13"/>
  <c r="AB22" i="13"/>
  <c r="Z22" i="13"/>
  <c r="W22" i="13"/>
  <c r="T21" i="13"/>
  <c r="N21" i="13" s="1"/>
  <c r="Q21" i="13"/>
  <c r="Q22" i="13" s="1"/>
  <c r="N20" i="13"/>
  <c r="K20" i="13"/>
  <c r="H20" i="13" s="1"/>
  <c r="N19" i="13"/>
  <c r="K19" i="13"/>
  <c r="H19" i="13" s="1"/>
  <c r="N18" i="13"/>
  <c r="K18" i="13"/>
  <c r="H18" i="13"/>
  <c r="T17" i="13"/>
  <c r="T22" i="13" s="1"/>
  <c r="Q17" i="13"/>
  <c r="Q43" i="13" s="1"/>
  <c r="N17" i="13"/>
  <c r="K17" i="13"/>
  <c r="H17" i="13" s="1"/>
  <c r="AC15" i="13"/>
  <c r="AB15" i="13"/>
  <c r="Z15" i="13"/>
  <c r="Y15" i="13"/>
  <c r="W15" i="13"/>
  <c r="V15" i="13"/>
  <c r="V40" i="13" s="1"/>
  <c r="T15" i="13"/>
  <c r="P15" i="13"/>
  <c r="P40" i="13" s="1"/>
  <c r="N14" i="13"/>
  <c r="M14" i="13"/>
  <c r="G14" i="13" s="1"/>
  <c r="K14" i="13"/>
  <c r="H14" i="13" s="1"/>
  <c r="J14" i="13"/>
  <c r="N13" i="13"/>
  <c r="M13" i="13"/>
  <c r="K13" i="13"/>
  <c r="J13" i="13"/>
  <c r="G13" i="13" s="1"/>
  <c r="H13" i="13"/>
  <c r="N12" i="13"/>
  <c r="M12" i="13"/>
  <c r="K12" i="13"/>
  <c r="H12" i="13" s="1"/>
  <c r="J12" i="13"/>
  <c r="G12" i="13"/>
  <c r="N11" i="13"/>
  <c r="H11" i="13" s="1"/>
  <c r="M11" i="13"/>
  <c r="K11" i="13"/>
  <c r="J11" i="13"/>
  <c r="G11" i="13" s="1"/>
  <c r="T10" i="13"/>
  <c r="T42" i="13" s="1"/>
  <c r="S10" i="13"/>
  <c r="S15" i="13" s="1"/>
  <c r="S40" i="13" s="1"/>
  <c r="Q10" i="13"/>
  <c r="K10" i="13" s="1"/>
  <c r="P10" i="13"/>
  <c r="J10" i="13" s="1"/>
  <c r="N9" i="13"/>
  <c r="K9" i="13"/>
  <c r="H9" i="13" s="1"/>
  <c r="Q8" i="13"/>
  <c r="Q15" i="13" s="1"/>
  <c r="N8" i="13"/>
  <c r="M8" i="13"/>
  <c r="J8" i="13"/>
  <c r="G8" i="13" s="1"/>
  <c r="N7" i="13"/>
  <c r="K7" i="13"/>
  <c r="H7" i="13"/>
  <c r="N6" i="13"/>
  <c r="K6" i="13"/>
  <c r="H6" i="13"/>
  <c r="W3" i="13"/>
  <c r="W1" i="13"/>
  <c r="M45" i="10"/>
  <c r="L45" i="10"/>
  <c r="K45" i="10"/>
  <c r="N45" i="10" s="1"/>
  <c r="J45" i="10"/>
  <c r="I45" i="10"/>
  <c r="H45" i="10"/>
  <c r="G45" i="10"/>
  <c r="G47" i="10" s="1"/>
  <c r="G49" i="10" s="1"/>
  <c r="G72" i="10" s="1"/>
  <c r="M43" i="10"/>
  <c r="L43" i="10"/>
  <c r="K43" i="10"/>
  <c r="N43" i="10" s="1"/>
  <c r="J43" i="10"/>
  <c r="I43" i="10"/>
  <c r="H43" i="10"/>
  <c r="L42" i="10"/>
  <c r="K42" i="10"/>
  <c r="J42" i="10"/>
  <c r="M42" i="10" s="1"/>
  <c r="I42" i="10"/>
  <c r="H42" i="10"/>
  <c r="K41" i="10"/>
  <c r="J41" i="10"/>
  <c r="M41" i="10" s="1"/>
  <c r="I41" i="10"/>
  <c r="L41" i="10" s="1"/>
  <c r="H41" i="10"/>
  <c r="J40" i="10"/>
  <c r="M40" i="10" s="1"/>
  <c r="I40" i="10"/>
  <c r="L40" i="10" s="1"/>
  <c r="H40" i="10"/>
  <c r="K40" i="10" s="1"/>
  <c r="I39" i="10"/>
  <c r="L39" i="10" s="1"/>
  <c r="H39" i="10"/>
  <c r="K39" i="10" s="1"/>
  <c r="I38" i="10"/>
  <c r="L38" i="10" s="1"/>
  <c r="H38" i="10"/>
  <c r="K38" i="10" s="1"/>
  <c r="L36" i="10"/>
  <c r="I36" i="10"/>
  <c r="H36" i="10"/>
  <c r="K36" i="10" s="1"/>
  <c r="L35" i="10"/>
  <c r="I35" i="10"/>
  <c r="H35" i="10"/>
  <c r="K35" i="10" s="1"/>
  <c r="L34" i="10"/>
  <c r="K34" i="10"/>
  <c r="H34" i="10"/>
  <c r="L32" i="10"/>
  <c r="K32" i="10"/>
  <c r="N32" i="10" s="1"/>
  <c r="J32" i="10"/>
  <c r="M32" i="10" s="1"/>
  <c r="I32" i="10"/>
  <c r="H32" i="10"/>
  <c r="K31" i="10"/>
  <c r="J31" i="10"/>
  <c r="M31" i="10" s="1"/>
  <c r="I31" i="10"/>
  <c r="L31" i="10" s="1"/>
  <c r="H31" i="10"/>
  <c r="J30" i="10"/>
  <c r="M30" i="10" s="1"/>
  <c r="I30" i="10"/>
  <c r="L30" i="10" s="1"/>
  <c r="H30" i="10"/>
  <c r="K30" i="10" s="1"/>
  <c r="I28" i="10"/>
  <c r="L28" i="10" s="1"/>
  <c r="H28" i="10"/>
  <c r="K28" i="10" s="1"/>
  <c r="I27" i="10"/>
  <c r="L27" i="10" s="1"/>
  <c r="H27" i="10"/>
  <c r="K27" i="10" s="1"/>
  <c r="L26" i="10"/>
  <c r="I26" i="10"/>
  <c r="H26" i="10"/>
  <c r="K26" i="10" s="1"/>
  <c r="L24" i="10"/>
  <c r="K24" i="10"/>
  <c r="I24" i="10"/>
  <c r="H24" i="10"/>
  <c r="L23" i="10"/>
  <c r="K23" i="10"/>
  <c r="J23" i="10"/>
  <c r="M23" i="10" s="1"/>
  <c r="I23" i="10"/>
  <c r="H23" i="10"/>
  <c r="K22" i="10"/>
  <c r="J22" i="10"/>
  <c r="M22" i="10" s="1"/>
  <c r="I22" i="10"/>
  <c r="L22" i="10" s="1"/>
  <c r="H22" i="10"/>
  <c r="J21" i="10"/>
  <c r="M21" i="10" s="1"/>
  <c r="I21" i="10"/>
  <c r="L21" i="10" s="1"/>
  <c r="H21" i="10"/>
  <c r="K21" i="10" s="1"/>
  <c r="J20" i="10"/>
  <c r="M20" i="10" s="1"/>
  <c r="I20" i="10"/>
  <c r="L20" i="10" s="1"/>
  <c r="H20" i="10"/>
  <c r="K20" i="10" s="1"/>
  <c r="N20" i="10" s="1"/>
  <c r="U19" i="10"/>
  <c r="R19" i="10"/>
  <c r="J19" i="10"/>
  <c r="M19" i="10" s="1"/>
  <c r="I19" i="10"/>
  <c r="L19" i="10" s="1"/>
  <c r="H19" i="10"/>
  <c r="K19" i="10" s="1"/>
  <c r="U18" i="10"/>
  <c r="L18" i="10"/>
  <c r="J18" i="10"/>
  <c r="M18" i="10" s="1"/>
  <c r="H18" i="10"/>
  <c r="K18" i="10" s="1"/>
  <c r="N18" i="10" s="1"/>
  <c r="I16" i="10"/>
  <c r="L16" i="10" s="1"/>
  <c r="H16" i="10"/>
  <c r="K16" i="10" s="1"/>
  <c r="N16" i="10" s="1"/>
  <c r="U15" i="10"/>
  <c r="R15" i="10"/>
  <c r="I15" i="10"/>
  <c r="L15" i="10" s="1"/>
  <c r="H15" i="10"/>
  <c r="K15" i="10" s="1"/>
  <c r="N15" i="10" s="1"/>
  <c r="L14" i="10"/>
  <c r="K14" i="10"/>
  <c r="H14" i="10"/>
  <c r="K12" i="10"/>
  <c r="N12" i="10" s="1"/>
  <c r="J12" i="10"/>
  <c r="I12" i="10"/>
  <c r="L12" i="10" s="1"/>
  <c r="H12" i="10"/>
  <c r="J11" i="10"/>
  <c r="I11" i="10"/>
  <c r="L11" i="10" s="1"/>
  <c r="H11" i="10"/>
  <c r="K11" i="10" s="1"/>
  <c r="N11" i="10" s="1"/>
  <c r="L10" i="10"/>
  <c r="K10" i="10"/>
  <c r="J10" i="10"/>
  <c r="J34" i="10" s="1"/>
  <c r="M34" i="10" s="1"/>
  <c r="U9" i="10"/>
  <c r="T9" i="10"/>
  <c r="R9" i="10"/>
  <c r="Q9" i="10"/>
  <c r="M9" i="10"/>
  <c r="L9" i="10"/>
  <c r="K9" i="10"/>
  <c r="N9" i="10" s="1"/>
  <c r="I8" i="10"/>
  <c r="J8" i="10" s="1"/>
  <c r="R7" i="10"/>
  <c r="F3" i="10"/>
  <c r="N43" i="13" l="1"/>
  <c r="H38" i="13"/>
  <c r="G10" i="13"/>
  <c r="N22" i="13"/>
  <c r="T47" i="13"/>
  <c r="AE44" i="13"/>
  <c r="AE46" i="13" s="1"/>
  <c r="T40" i="13"/>
  <c r="H10" i="13"/>
  <c r="G15" i="13"/>
  <c r="G40" i="13" s="1"/>
  <c r="K38" i="13"/>
  <c r="N10" i="13"/>
  <c r="N42" i="13" s="1"/>
  <c r="N44" i="13" s="1"/>
  <c r="Q38" i="13"/>
  <c r="Q40" i="13" s="1"/>
  <c r="Q42" i="13"/>
  <c r="Q44" i="13" s="1"/>
  <c r="Q46" i="13" s="1"/>
  <c r="Q48" i="13" s="1"/>
  <c r="M10" i="13"/>
  <c r="M15" i="13" s="1"/>
  <c r="M40" i="13" s="1"/>
  <c r="J15" i="13"/>
  <c r="J40" i="13" s="1"/>
  <c r="T43" i="13"/>
  <c r="T44" i="13" s="1"/>
  <c r="T46" i="13" s="1"/>
  <c r="T48" i="13" s="1"/>
  <c r="K8" i="13"/>
  <c r="K21" i="13"/>
  <c r="H21" i="13" s="1"/>
  <c r="H22" i="13" s="1"/>
  <c r="N36" i="10"/>
  <c r="N23" i="10"/>
  <c r="N42" i="10"/>
  <c r="N38" i="10"/>
  <c r="N14" i="10"/>
  <c r="N31" i="10"/>
  <c r="N34" i="10"/>
  <c r="L47" i="10"/>
  <c r="L49" i="10" s="1"/>
  <c r="N22" i="10"/>
  <c r="N24" i="10"/>
  <c r="N39" i="10"/>
  <c r="N41" i="10"/>
  <c r="N30" i="10"/>
  <c r="N27" i="10"/>
  <c r="N19" i="10"/>
  <c r="N21" i="10"/>
  <c r="N40" i="10"/>
  <c r="J28" i="10"/>
  <c r="M28" i="10" s="1"/>
  <c r="N28" i="10" s="1"/>
  <c r="J39" i="10"/>
  <c r="M39" i="10" s="1"/>
  <c r="J15" i="10"/>
  <c r="J16" i="10"/>
  <c r="J27" i="10"/>
  <c r="M27" i="10" s="1"/>
  <c r="J38" i="10"/>
  <c r="M38" i="10" s="1"/>
  <c r="J14" i="10"/>
  <c r="M14" i="10" s="1"/>
  <c r="J26" i="10"/>
  <c r="M26" i="10" s="1"/>
  <c r="N26" i="10" s="1"/>
  <c r="J35" i="10"/>
  <c r="M35" i="10" s="1"/>
  <c r="N35" i="10" s="1"/>
  <c r="O35" i="10" s="1"/>
  <c r="J36" i="10"/>
  <c r="M36" i="10" s="1"/>
  <c r="K47" i="10"/>
  <c r="K49" i="10" s="1"/>
  <c r="M10" i="10"/>
  <c r="J24" i="10"/>
  <c r="M24" i="10" s="1"/>
  <c r="H8" i="13" l="1"/>
  <c r="H15" i="13" s="1"/>
  <c r="H40" i="13" s="1"/>
  <c r="K42" i="13"/>
  <c r="K43" i="13"/>
  <c r="N15" i="13"/>
  <c r="N40" i="13" s="1"/>
  <c r="K22" i="13"/>
  <c r="K40" i="13" s="1"/>
  <c r="K15" i="13"/>
  <c r="M47" i="10"/>
  <c r="M49" i="10" s="1"/>
  <c r="N10" i="10"/>
  <c r="N47" i="10" s="1"/>
  <c r="K44" i="13" l="1"/>
  <c r="K46" i="13" s="1"/>
  <c r="N49" i="10"/>
  <c r="Q4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Cascade Natural Gas</author>
    <author>Brian Hoyle</author>
    <author>Jim Haug</author>
    <author>sarah.volk</author>
  </authors>
  <commentList>
    <comment ref="G9" authorId="0" shapeId="0" xr:uid="{B8D43499-C253-40BA-AADC-E218FDE9AB2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H9" authorId="1" shapeId="0" xr:uid="{BB6EAB92-2EEC-4CEA-BD09-62613B51F012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WA PGA - Demand 
Rate Schedule 504</t>
        </r>
      </text>
    </comment>
    <comment ref="I9" authorId="1" shapeId="0" xr:uid="{B0B04304-D14A-47AD-BB10-B7810170C4F4}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J9" authorId="1" shapeId="0" xr:uid="{7C11D8C8-CD0B-4D79-9240-897E73196213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Sch 595 will change in Nov/2019 - $.0074
Sch 590 - 3 years starting 4/2019</t>
        </r>
      </text>
    </comment>
    <comment ref="G10" authorId="0" shapeId="0" xr:uid="{F7FA21F2-AAE9-4431-8D68-699FF9B5842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I10" authorId="0" shapeId="0" xr:uid="{A27E97A1-D2E3-4DD4-BF70-DE9FD2B446D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503
</t>
        </r>
      </text>
    </comment>
    <comment ref="J10" authorId="1" shapeId="0" xr:uid="{E5BF7DD3-9AB1-4F95-86E3-A0F986A47094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Sch 595 will change in Nov/2019 - $.0074
Sch 590 - 3 years starting 4/2019</t>
        </r>
      </text>
    </comment>
    <comment ref="G11" authorId="0" shapeId="0" xr:uid="{E971E2B1-3F9E-49C3-BB9B-BD66C2DC331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2" authorId="0" shapeId="0" xr:uid="{CE40F9C2-C3E6-443E-9C86-3C21F2CE9D9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4" authorId="0" shapeId="0" xr:uid="{9E41883A-90B1-49FF-A512-B90AB6CCCA8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14" authorId="1" shapeId="0" xr:uid="{58C6A17E-7ABA-41E7-A6A9-D133E5472A92}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G15" authorId="0" shapeId="0" xr:uid="{E8F5E109-C2BC-4C01-9348-AF3102A75EA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6" authorId="0" shapeId="0" xr:uid="{03B5965D-8C79-4AEB-A84F-E8F60279ED5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8" authorId="0" shapeId="0" xr:uid="{FAF6A53C-72DD-40C0-9F0A-7322B5DB3B3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18" authorId="0" shapeId="0" xr:uid="{CF1EF6B5-3F77-444B-9B83-277EF77EA8A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 RS 511
</t>
        </r>
      </text>
    </comment>
    <comment ref="G19" authorId="0" shapeId="0" xr:uid="{626E7F26-1A5E-454D-833B-B9035DEF145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11/12</t>
        </r>
      </text>
    </comment>
    <comment ref="G21" authorId="0" shapeId="0" xr:uid="{E3EA9F0D-8E2E-42BF-98AB-98D7CC6BE58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2" authorId="0" shapeId="0" xr:uid="{9C92616B-76B9-40B9-AAEA-D28B1418E97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3" authorId="0" shapeId="0" xr:uid="{421CCBD8-580B-4089-A73D-5A7F9D9F907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4" authorId="0" shapeId="0" xr:uid="{10BAC807-6DD4-44B5-948C-ECD06A76F7B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6" authorId="0" shapeId="0" xr:uid="{18D95590-74FF-4418-8084-F669A6BD851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27" authorId="0" shapeId="0" xr:uid="{F49A37AB-E778-4BA1-9828-C012C71EDB7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30" authorId="0" shapeId="0" xr:uid="{D2A00B21-28C3-427F-B394-ED2FEC6623C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</t>
        </r>
      </text>
    </comment>
    <comment ref="G31" authorId="0" shapeId="0" xr:uid="{2BD893EF-419B-4194-9654-E6D371EDE47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2" authorId="0" shapeId="0" xr:uid="{D28700A4-B13B-4390-9A04-8D0C8CFA657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4" authorId="0" shapeId="0" xr:uid="{3013F38F-DEFA-4323-8645-4B98B146997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1501 - Page12
</t>
        </r>
      </text>
    </comment>
    <comment ref="I34" authorId="0" shapeId="0" xr:uid="{764FDF9F-2453-471E-B7D9-AD66F488564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570
</t>
        </r>
      </text>
    </comment>
    <comment ref="G35" authorId="0" shapeId="0" xr:uid="{7AD14D93-78E0-4E19-948C-C4AA6C7B9F6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6" authorId="0" shapeId="0" xr:uid="{CF1F1291-C4BA-40F3-B685-46ED8BBC01D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8" authorId="0" shapeId="0" xr:uid="{A32567C6-807B-40BD-9657-34679495FEE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12/13
</t>
        </r>
      </text>
    </comment>
    <comment ref="G39" authorId="0" shapeId="0" xr:uid="{463BF2E3-8A2D-4A87-BBAD-1E080B7CB80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40" authorId="0" shapeId="0" xr:uid="{E4CCB7BF-38DE-475E-A47E-CA262885B8E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41" authorId="0" shapeId="0" xr:uid="{FB36FB53-87ED-41C8-8F02-C75A282017A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13</t>
        </r>
      </text>
    </comment>
    <comment ref="G42" authorId="0" shapeId="0" xr:uid="{5B52275A-E380-4187-8850-37715A81C89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G43" authorId="0" shapeId="0" xr:uid="{B81977F3-34A3-4DD0-A427-66537DE7AC8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N47" authorId="2" shapeId="0" xr:uid="{5D0405E6-C455-4716-9421-69DF274A3525}">
      <text>
        <r>
          <rPr>
            <b/>
            <sz val="8"/>
            <color indexed="81"/>
            <rFont val="Tahoma"/>
            <family val="2"/>
          </rPr>
          <t>Jim Haug:</t>
        </r>
        <r>
          <rPr>
            <sz val="8"/>
            <color indexed="81"/>
            <rFont val="Tahoma"/>
            <family val="2"/>
          </rPr>
          <t xml:space="preserve">
Sum of Debits to 670001 (assigned gas cost).</t>
        </r>
      </text>
    </comment>
    <comment ref="M49" authorId="3" shapeId="0" xr:uid="{0545404A-7186-416E-B382-D6605F06BD14}">
      <text>
        <r>
          <rPr>
            <b/>
            <sz val="9"/>
            <color indexed="81"/>
            <rFont val="Tahoma"/>
            <family val="2"/>
          </rPr>
          <t>sarah.volk:</t>
        </r>
        <r>
          <rPr>
            <sz val="9"/>
            <color indexed="81"/>
            <rFont val="Tahoma"/>
            <family val="2"/>
          </rPr>
          <t xml:space="preserve">
Used as a comparison to the AMORTWA spreadsheet as a cross check.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F</author>
    <author>jfresco</author>
    <author>Jennifer</author>
    <author>sarah.volk</author>
  </authors>
  <commentList>
    <comment ref="K7" authorId="0" shapeId="0" xr:uid="{53EC7658-997A-4855-A492-C5FC4D89CC86}">
      <text>
        <r>
          <rPr>
            <b/>
            <sz val="7"/>
            <color indexed="81"/>
            <rFont val="Tahoma"/>
            <family val="2"/>
          </rPr>
          <t>John F:</t>
        </r>
        <r>
          <rPr>
            <sz val="7"/>
            <color indexed="81"/>
            <rFont val="Tahoma"/>
            <family val="2"/>
          </rPr>
          <t xml:space="preserve">
Beginning Sep-06 is being switch as part of the demand gas cost in calc PGA demand deferrals to conform with the PGA filing.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1" shapeId="0" xr:uid="{A297218E-81C1-42BD-89E4-1BFEDCC65B4D}">
      <text>
        <r>
          <rPr>
            <b/>
            <sz val="8"/>
            <color indexed="81"/>
            <rFont val="Tahoma"/>
            <family val="2"/>
          </rPr>
          <t>jfresco:</t>
        </r>
        <r>
          <rPr>
            <sz val="8"/>
            <color indexed="81"/>
            <rFont val="Tahoma"/>
            <family val="2"/>
          </rPr>
          <t xml:space="preserve">
Beg Oct-08, this account includes Collateral calls interest/income.
</t>
        </r>
      </text>
    </comment>
    <comment ref="K44" authorId="2" shapeId="0" xr:uid="{8B9B52BB-20C4-4E1C-AB3E-A20CDFC49C1E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N44" authorId="2" shapeId="0" xr:uid="{E33B0613-D0EE-4086-BC1F-D86741C87771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Q44" authorId="2" shapeId="0" xr:uid="{A6763D9E-6908-47A7-9DEE-9275B2F7A5D4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T44" authorId="2" shapeId="0" xr:uid="{AED0212A-CD9E-4E08-A5AC-FEB4C88671B2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AE44" authorId="3" shapeId="0" xr:uid="{75D42DE2-11BB-43C8-826F-C04CACD98EEA}">
      <text>
        <r>
          <rPr>
            <b/>
            <sz val="8"/>
            <color indexed="81"/>
            <rFont val="Tahoma"/>
            <family val="2"/>
          </rPr>
          <t>sarah.volk:</t>
        </r>
        <r>
          <rPr>
            <sz val="8"/>
            <color indexed="81"/>
            <rFont val="Tahoma"/>
            <family val="2"/>
          </rPr>
          <t xml:space="preserve">
This number should match the total true up from the True-up column on the Suppler Invoice tab of the Gas Supply Analysis plus any storage true-up for the month.
</t>
        </r>
        <r>
          <rPr>
            <b/>
            <sz val="10"/>
            <color indexed="81"/>
            <rFont val="Tahoma"/>
            <family val="2"/>
          </rPr>
          <t>Q65 -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Tahoma"/>
            <family val="2"/>
          </rPr>
          <t>Prior Month File</t>
        </r>
      </text>
    </comment>
  </commentList>
</comments>
</file>

<file path=xl/sharedStrings.xml><?xml version="1.0" encoding="utf-8"?>
<sst xmlns="http://schemas.openxmlformats.org/spreadsheetml/2006/main" count="450" uniqueCount="197">
  <si>
    <t>Amount</t>
  </si>
  <si>
    <t>State</t>
  </si>
  <si>
    <t>Washington</t>
  </si>
  <si>
    <t>Commodity</t>
  </si>
  <si>
    <t>47WA.6011.28051</t>
  </si>
  <si>
    <t>47WA.2530.01253</t>
  </si>
  <si>
    <t>Demand</t>
  </si>
  <si>
    <t>47WA.2530.01254</t>
  </si>
  <si>
    <t>Oregon</t>
  </si>
  <si>
    <t xml:space="preserve"> Washington Deferrals</t>
  </si>
  <si>
    <t xml:space="preserve"> Month of</t>
  </si>
  <si>
    <t>Amortization</t>
  </si>
  <si>
    <t>Total</t>
  </si>
  <si>
    <t>Gas Cost Recognized</t>
  </si>
  <si>
    <t>Total Gas Cost Recognized</t>
  </si>
  <si>
    <t>4</t>
  </si>
  <si>
    <t>Actual Gas Cost Incurred</t>
  </si>
  <si>
    <t>Deferred Gas Cost Journalized</t>
  </si>
  <si>
    <t>47WA.2530.01253 - Gas Loss</t>
  </si>
  <si>
    <t>Gas Storage Mitigation</t>
  </si>
  <si>
    <t>Deferral Amount</t>
  </si>
  <si>
    <t>( ____ )  = credit to gas cost</t>
  </si>
  <si>
    <t>JDE Gas Cost Account Code</t>
  </si>
  <si>
    <t>JDE Deferred Gas Account Code</t>
  </si>
  <si>
    <t xml:space="preserve"> Assignment of Core Gas Cost To</t>
  </si>
  <si>
    <t xml:space="preserve"> Class &amp; Rate Schedule</t>
  </si>
  <si>
    <t xml:space="preserve"> Blue - 1501A</t>
  </si>
  <si>
    <t xml:space="preserve"> Core Gas Cost</t>
  </si>
  <si>
    <t>Red Cells = Actual Billed Therms 1501</t>
  </si>
  <si>
    <t xml:space="preserve"> Revenue &amp; Cost by Rate Schedule - WA</t>
  </si>
  <si>
    <t>Green Cells = Unbilled Therms Incl. LV</t>
  </si>
  <si>
    <t>Sales</t>
  </si>
  <si>
    <t>Gas Cost</t>
  </si>
  <si>
    <t>CC&amp;B</t>
  </si>
  <si>
    <t>Therms</t>
  </si>
  <si>
    <t>WACOG at</t>
  </si>
  <si>
    <t>Cost</t>
  </si>
  <si>
    <t>CL</t>
  </si>
  <si>
    <t>RS</t>
  </si>
  <si>
    <t>Billed</t>
  </si>
  <si>
    <t>Recongnized</t>
  </si>
  <si>
    <t>Account Number</t>
  </si>
  <si>
    <t>Subledger</t>
  </si>
  <si>
    <t>Subledger Type</t>
  </si>
  <si>
    <t>Units</t>
  </si>
  <si>
    <t>Unit of Measure</t>
  </si>
  <si>
    <t>Posted Code</t>
  </si>
  <si>
    <t>Remark</t>
  </si>
  <si>
    <t>47WA.4002.4800</t>
  </si>
  <si>
    <t>Regular cycle</t>
  </si>
  <si>
    <t>47WA.6011.28040</t>
  </si>
  <si>
    <t>Firm Res - air con</t>
  </si>
  <si>
    <t>541</t>
  </si>
  <si>
    <t>CNGWA 541</t>
  </si>
  <si>
    <t>GC RECOGNIZED RS 15410</t>
  </si>
  <si>
    <t>Firm Residentials</t>
  </si>
  <si>
    <t>503</t>
  </si>
  <si>
    <t>CNGWA 503</t>
  </si>
  <si>
    <t>GC RECOGNIZED RS 15030</t>
  </si>
  <si>
    <t>47WA.4009.4800</t>
  </si>
  <si>
    <t>PM Unbilled - Res</t>
  </si>
  <si>
    <t>CM Unbilled - Res</t>
  </si>
  <si>
    <t>47WA.4002.4810</t>
  </si>
  <si>
    <t>Firm Commercial</t>
  </si>
  <si>
    <t>504</t>
  </si>
  <si>
    <t>CNGWA 504</t>
  </si>
  <si>
    <t>GC RECOGNIZED RS 25040</t>
  </si>
  <si>
    <t>47WA.4009.4810</t>
  </si>
  <si>
    <t>PM Unbilled - Com'l</t>
  </si>
  <si>
    <t>Reg. accrual</t>
  </si>
  <si>
    <t>CM Unbilled - Com'l</t>
  </si>
  <si>
    <t>Firm Com - Lg Vol</t>
  </si>
  <si>
    <t>511</t>
  </si>
  <si>
    <t>CNGWA 511</t>
  </si>
  <si>
    <t>GC RECOGNIZED RS 25110</t>
  </si>
  <si>
    <t>Firm Com - Compressed NG</t>
  </si>
  <si>
    <t>512</t>
  </si>
  <si>
    <t>CNGWA 512</t>
  </si>
  <si>
    <t>GC RECOGNIZED RS 25120</t>
  </si>
  <si>
    <t>Firm Com - air con</t>
  </si>
  <si>
    <t>GC RECOGNIZED RS 25410</t>
  </si>
  <si>
    <t xml:space="preserve">PM Unbilled </t>
  </si>
  <si>
    <t>CNGWA 04LV</t>
  </si>
  <si>
    <t xml:space="preserve">CM Unbilled </t>
  </si>
  <si>
    <t>47WA.4002.4809</t>
  </si>
  <si>
    <t>Firm Ind'l</t>
  </si>
  <si>
    <t>505</t>
  </si>
  <si>
    <t>CNGWA 505</t>
  </si>
  <si>
    <t>GC RECOGNIZED RS 35050</t>
  </si>
  <si>
    <t>Firm Industrial</t>
  </si>
  <si>
    <t>GC RECOGNIZED RS 35110</t>
  </si>
  <si>
    <t>Firm Ind'l - compressed NG</t>
  </si>
  <si>
    <t>GC RECOGNIZED RS 35120</t>
  </si>
  <si>
    <t>47WA.4002.4811</t>
  </si>
  <si>
    <t>Firm Ind'l - Lg Vol CNGW05LV</t>
  </si>
  <si>
    <t>CNGWA 05LV</t>
  </si>
  <si>
    <t>47WA.4009.4811</t>
  </si>
  <si>
    <t>Interr Small Commercial</t>
  </si>
  <si>
    <t>570</t>
  </si>
  <si>
    <t>CNGWA 570</t>
  </si>
  <si>
    <t>GC RECOGNIZED RS 55700</t>
  </si>
  <si>
    <t>GC RECOGNIZED RS 45700</t>
  </si>
  <si>
    <t>47WA.4009.4813</t>
  </si>
  <si>
    <t>Interr Industrial</t>
  </si>
  <si>
    <t>5</t>
  </si>
  <si>
    <t>CM Unbilled</t>
  </si>
  <si>
    <t>47WA.4002.4813</t>
  </si>
  <si>
    <t>Interr Industrial - Ltd</t>
  </si>
  <si>
    <t>577</t>
  </si>
  <si>
    <t>CNGWA 577</t>
  </si>
  <si>
    <t>GC RECOGNIZED RS 55770</t>
  </si>
  <si>
    <t>Interr Institutional</t>
  </si>
  <si>
    <t>GC RECOGNIZED RS 65700</t>
  </si>
  <si>
    <t>Old Rates</t>
  </si>
  <si>
    <t xml:space="preserve">Total Gas Cost Recognized </t>
  </si>
  <si>
    <t>New Rates</t>
  </si>
  <si>
    <t>S003000804009990670001</t>
  </si>
  <si>
    <t>GC RECOGNIZED CORE TOTAL</t>
  </si>
  <si>
    <t>Total WA</t>
  </si>
  <si>
    <t>A</t>
  </si>
  <si>
    <t xml:space="preserve"> </t>
  </si>
  <si>
    <t>CNGWA 11LV</t>
  </si>
  <si>
    <t>WASHINGTON - New Rates 2019</t>
  </si>
  <si>
    <t>Nov 1 2019</t>
  </si>
  <si>
    <t>Summary of Gas Cost Accruals by Reg Jurisdiction</t>
  </si>
  <si>
    <t>Current Month &amp; True-ups</t>
  </si>
  <si>
    <t>Current Month Accruals</t>
  </si>
  <si>
    <t xml:space="preserve">True-ups booked in </t>
  </si>
  <si>
    <t xml:space="preserve">xxx-08 True-Ups Booked in </t>
  </si>
  <si>
    <t>CORE</t>
  </si>
  <si>
    <t>Washington Amount</t>
  </si>
  <si>
    <t>Oregon Amount</t>
  </si>
  <si>
    <t>JDE Acct Code</t>
  </si>
  <si>
    <t>$</t>
  </si>
  <si>
    <t>TH</t>
  </si>
  <si>
    <t>47</t>
  </si>
  <si>
    <t>Contract Demand Charges</t>
  </si>
  <si>
    <t>NA</t>
  </si>
  <si>
    <t>D</t>
  </si>
  <si>
    <t>Canadian Toll Charges</t>
  </si>
  <si>
    <t>Commodity Charges</t>
  </si>
  <si>
    <t>C</t>
  </si>
  <si>
    <t>Financial Hedges Settlement</t>
  </si>
  <si>
    <t xml:space="preserve">Core Pipeline Imbalance </t>
  </si>
  <si>
    <t>Gas Withdrawn from Storage</t>
  </si>
  <si>
    <t>Gas Delivered to Storage (credit)</t>
  </si>
  <si>
    <t>Gas Used in Operations (credit)</t>
  </si>
  <si>
    <t>Off system sales</t>
  </si>
  <si>
    <t>Total Supply</t>
  </si>
  <si>
    <t>Capacity Reservation</t>
  </si>
  <si>
    <t>Firm Commodity</t>
  </si>
  <si>
    <t>Interruptible Commodity</t>
  </si>
  <si>
    <t>Other Firm Pipeline capacity</t>
  </si>
  <si>
    <t>Capacity Releases</t>
  </si>
  <si>
    <t>Total Pipeline Cap &amp; Transport</t>
  </si>
  <si>
    <t>LS Demand</t>
  </si>
  <si>
    <t>LS Capacity</t>
  </si>
  <si>
    <t>LS Commodity</t>
  </si>
  <si>
    <t>LS Liquefaction</t>
  </si>
  <si>
    <t>LS Inventory</t>
  </si>
  <si>
    <t>LS Vaporization</t>
  </si>
  <si>
    <t>TF Reservation from LS</t>
  </si>
  <si>
    <t>TF Commodity from LS</t>
  </si>
  <si>
    <t>SGS Demand</t>
  </si>
  <si>
    <t>SGS Capacity</t>
  </si>
  <si>
    <t>SGS Commodity</t>
  </si>
  <si>
    <t>SGS Inventory</t>
  </si>
  <si>
    <t>TF Reservation from SGS</t>
  </si>
  <si>
    <t>TF Commodity from SGS</t>
  </si>
  <si>
    <t>Total Peaking Services</t>
  </si>
  <si>
    <t>Total Core Gas Costs</t>
  </si>
  <si>
    <t>Total Commodity  (Col K, Rows , 10, 11, 12, 13, 14, 16, 20, 28, 29, 30, 31, 33, 36, 37 &amp; 39)</t>
  </si>
  <si>
    <t>Total Demand  (Col. K, Rows 8, 9, 19, 26, 27, 32, 34, 35, &amp; 38)</t>
  </si>
  <si>
    <t>Previous Month Gas Supply Analysis</t>
  </si>
  <si>
    <t>WA &amp; OR</t>
  </si>
  <si>
    <t>JDE Export</t>
  </si>
  <si>
    <t>True-up</t>
  </si>
  <si>
    <t xml:space="preserve">    </t>
  </si>
  <si>
    <t>AU</t>
  </si>
  <si>
    <t>Ledger Type</t>
  </si>
  <si>
    <t>AA</t>
  </si>
  <si>
    <t>Year</t>
  </si>
  <si>
    <t>2019</t>
  </si>
  <si>
    <t>Format</t>
  </si>
  <si>
    <t>per</t>
  </si>
  <si>
    <t>Period</t>
  </si>
  <si>
    <t>12</t>
  </si>
  <si>
    <t>Currency</t>
  </si>
  <si>
    <t>***</t>
  </si>
  <si>
    <t>Company</t>
  </si>
  <si>
    <t>00047</t>
  </si>
  <si>
    <t>Business Unit</t>
  </si>
  <si>
    <t>*</t>
  </si>
  <si>
    <t>CNGC</t>
  </si>
  <si>
    <t>47WA</t>
  </si>
  <si>
    <t>47OR</t>
  </si>
  <si>
    <t>28081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</si>
</sst>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mmmm\-yy"/>
    <numFmt numFmtId="168" formatCode="_(&quot;$&quot;* #,##0_);_(&quot;$&quot;* \(#,##0\);_(&quot;$&quot;* &quot;-&quot;??_);_(@_)"/>
    <numFmt numFmtId="169" formatCode="_(&quot;$&quot;* #,##0.0_);_(&quot;$&quot;* \(#,##0.0\);_(&quot;$&quot;* &quot;-&quot;??_);_(@_)"/>
    <numFmt numFmtId="171" formatCode="_(* #,##0.0000_);_(* \(#,##0.0000\);_(* &quot;-&quot;??_);_(@_)"/>
  </numFmts>
  <fonts count="51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name val="Arial"/>
      <family val="2"/>
    </font>
    <font>
      <b/>
      <sz val="11"/>
      <color rgb="FF0070C0"/>
      <name val="Arial"/>
      <family val="2"/>
    </font>
    <font>
      <b/>
      <sz val="11"/>
      <color indexed="10"/>
      <name val="Arial"/>
      <family val="2"/>
    </font>
    <font>
      <b/>
      <sz val="11"/>
      <color rgb="FF00B050"/>
      <name val="Arial"/>
      <family val="2"/>
    </font>
    <font>
      <sz val="10"/>
      <color rgb="FF00B050"/>
      <name val="Arial"/>
      <family val="2"/>
    </font>
    <font>
      <b/>
      <sz val="10"/>
      <color indexed="12"/>
      <name val="Arial"/>
      <family val="2"/>
    </font>
    <font>
      <u/>
      <sz val="10"/>
      <color rgb="FF00B050"/>
      <name val="Arial"/>
      <family val="2"/>
    </font>
    <font>
      <u/>
      <sz val="10"/>
      <name val="Arial"/>
      <family val="2"/>
    </font>
    <font>
      <sz val="12"/>
      <color indexed="10"/>
      <name val="Arial"/>
      <family val="2"/>
    </font>
    <font>
      <sz val="10"/>
      <color indexed="12"/>
      <name val="Arial"/>
      <family val="2"/>
    </font>
    <font>
      <b/>
      <sz val="12"/>
      <color indexed="10"/>
      <name val="Arial"/>
      <family val="2"/>
    </font>
    <font>
      <b/>
      <sz val="12"/>
      <color rgb="FF00B050"/>
      <name val="Arial"/>
      <family val="2"/>
    </font>
    <font>
      <sz val="12"/>
      <color rgb="FF00B050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sz val="11"/>
      <color rgb="FF00B05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i/>
      <sz val="8"/>
      <color indexed="10"/>
      <name val="Arial"/>
      <family val="2"/>
    </font>
    <font>
      <b/>
      <sz val="12"/>
      <color theme="4" tint="-0.249977111117893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b/>
      <sz val="11"/>
      <color rgb="FFFF0000"/>
      <name val="Arial"/>
      <family val="2"/>
    </font>
    <font>
      <b/>
      <sz val="10.5"/>
      <name val="Arial"/>
      <family val="2"/>
    </font>
    <font>
      <b/>
      <i/>
      <sz val="8"/>
      <name val="Arial"/>
      <family val="2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2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DDB7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D2D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2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44" fontId="0" fillId="0" borderId="0" xfId="0" applyNumberFormat="1"/>
    <xf numFmtId="0" fontId="5" fillId="0" borderId="0" xfId="0" applyFont="1"/>
    <xf numFmtId="165" fontId="1" fillId="0" borderId="0" xfId="1" applyNumberFormat="1" applyFont="1"/>
    <xf numFmtId="165" fontId="5" fillId="0" borderId="0" xfId="1" applyNumberFormat="1" applyFont="1"/>
    <xf numFmtId="0" fontId="1" fillId="0" borderId="0" xfId="0" applyFont="1" applyAlignment="1"/>
    <xf numFmtId="49" fontId="2" fillId="0" borderId="0" xfId="1" applyNumberFormat="1" applyFont="1" applyAlignment="1"/>
    <xf numFmtId="49" fontId="1" fillId="0" borderId="0" xfId="0" applyNumberFormat="1" applyFont="1"/>
    <xf numFmtId="49" fontId="14" fillId="0" borderId="0" xfId="0" applyNumberFormat="1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vertical="center"/>
    </xf>
    <xf numFmtId="49" fontId="15" fillId="0" borderId="0" xfId="0" applyNumberFormat="1" applyFont="1" applyAlignment="1">
      <alignment horizontal="left"/>
    </xf>
    <xf numFmtId="49" fontId="1" fillId="0" borderId="0" xfId="0" applyNumberFormat="1" applyFont="1" applyAlignment="1"/>
    <xf numFmtId="49" fontId="14" fillId="0" borderId="0" xfId="0" applyNumberFormat="1" applyFont="1" applyAlignment="1">
      <alignment vertical="top"/>
    </xf>
    <xf numFmtId="164" fontId="14" fillId="0" borderId="0" xfId="0" applyNumberFormat="1" applyFont="1" applyAlignment="1">
      <alignment horizontal="center" vertical="center" wrapText="1"/>
    </xf>
    <xf numFmtId="165" fontId="16" fillId="0" borderId="0" xfId="1" applyNumberFormat="1" applyFont="1" applyAlignment="1">
      <alignment horizontal="left"/>
    </xf>
    <xf numFmtId="49" fontId="1" fillId="0" borderId="0" xfId="0" applyNumberFormat="1" applyFont="1" applyFill="1" applyBorder="1" applyAlignment="1"/>
    <xf numFmtId="165" fontId="17" fillId="0" borderId="0" xfId="1" applyNumberFormat="1" applyFont="1" applyAlignment="1">
      <alignment horizontal="left"/>
    </xf>
    <xf numFmtId="49" fontId="1" fillId="0" borderId="0" xfId="1" applyNumberFormat="1" applyFont="1"/>
    <xf numFmtId="0" fontId="1" fillId="5" borderId="0" xfId="0" applyFont="1" applyFill="1" applyBorder="1"/>
    <xf numFmtId="49" fontId="1" fillId="5" borderId="0" xfId="1" applyNumberFormat="1" applyFont="1" applyFill="1" applyBorder="1"/>
    <xf numFmtId="49" fontId="1" fillId="5" borderId="0" xfId="0" applyNumberFormat="1" applyFont="1" applyFill="1" applyBorder="1"/>
    <xf numFmtId="165" fontId="1" fillId="5" borderId="0" xfId="1" applyNumberFormat="1" applyFont="1" applyFill="1" applyBorder="1" applyAlignment="1">
      <alignment horizontal="center"/>
    </xf>
    <xf numFmtId="166" fontId="1" fillId="5" borderId="0" xfId="2" applyNumberFormat="1" applyFont="1" applyFill="1" applyBorder="1" applyAlignment="1">
      <alignment horizontal="center"/>
    </xf>
    <xf numFmtId="166" fontId="1" fillId="0" borderId="0" xfId="2" applyNumberFormat="1" applyFont="1" applyFill="1" applyBorder="1" applyAlignment="1">
      <alignment horizontal="center"/>
    </xf>
    <xf numFmtId="39" fontId="0" fillId="0" borderId="0" xfId="0" applyNumberFormat="1"/>
    <xf numFmtId="0" fontId="18" fillId="0" borderId="0" xfId="0" applyFont="1" applyAlignment="1">
      <alignment horizontal="center"/>
    </xf>
    <xf numFmtId="49" fontId="4" fillId="5" borderId="0" xfId="0" applyNumberFormat="1" applyFont="1" applyFill="1" applyBorder="1" applyAlignment="1">
      <alignment horizontal="center"/>
    </xf>
    <xf numFmtId="49" fontId="4" fillId="5" borderId="0" xfId="1" applyNumberFormat="1" applyFont="1" applyFill="1" applyBorder="1"/>
    <xf numFmtId="49" fontId="4" fillId="5" borderId="0" xfId="0" applyNumberFormat="1" applyFont="1" applyFill="1" applyBorder="1"/>
    <xf numFmtId="39" fontId="16" fillId="0" borderId="0" xfId="0" applyNumberFormat="1" applyFont="1"/>
    <xf numFmtId="17" fontId="18" fillId="0" borderId="0" xfId="0" applyNumberFormat="1" applyFont="1" applyAlignment="1">
      <alignment horizontal="center"/>
    </xf>
    <xf numFmtId="49" fontId="4" fillId="5" borderId="1" xfId="0" applyNumberFormat="1" applyFont="1" applyFill="1" applyBorder="1" applyAlignment="1">
      <alignment horizontal="center"/>
    </xf>
    <xf numFmtId="49" fontId="4" fillId="5" borderId="1" xfId="1" applyNumberFormat="1" applyFont="1" applyFill="1" applyBorder="1" applyAlignment="1">
      <alignment horizontal="center"/>
    </xf>
    <xf numFmtId="165" fontId="1" fillId="5" borderId="1" xfId="1" applyNumberFormat="1" applyFont="1" applyFill="1" applyBorder="1" applyAlignment="1">
      <alignment horizontal="center"/>
    </xf>
    <xf numFmtId="167" fontId="19" fillId="5" borderId="1" xfId="2" applyNumberFormat="1" applyFont="1" applyFill="1" applyBorder="1" applyAlignment="1">
      <alignment horizontal="center"/>
    </xf>
    <xf numFmtId="166" fontId="1" fillId="5" borderId="1" xfId="2" applyNumberFormat="1" applyFont="1" applyFill="1" applyBorder="1" applyAlignment="1">
      <alignment horizontal="center"/>
    </xf>
    <xf numFmtId="14" fontId="20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" fillId="0" borderId="0" xfId="0" applyFont="1" applyAlignment="1">
      <alignment horizontal="left" indent="1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Fill="1"/>
    <xf numFmtId="165" fontId="22" fillId="0" borderId="0" xfId="1" applyNumberFormat="1" applyFont="1" applyFill="1"/>
    <xf numFmtId="166" fontId="23" fillId="8" borderId="0" xfId="2" applyNumberFormat="1" applyFont="1" applyFill="1"/>
    <xf numFmtId="44" fontId="1" fillId="0" borderId="0" xfId="2" applyNumberFormat="1"/>
    <xf numFmtId="44" fontId="1" fillId="3" borderId="0" xfId="2" applyNumberFormat="1" applyFill="1"/>
    <xf numFmtId="44" fontId="1" fillId="0" borderId="0" xfId="2" applyNumberFormat="1" applyFill="1"/>
    <xf numFmtId="44" fontId="1" fillId="0" borderId="0" xfId="0" applyNumberFormat="1" applyFont="1"/>
    <xf numFmtId="166" fontId="23" fillId="9" borderId="0" xfId="2" applyNumberFormat="1" applyFont="1" applyFill="1"/>
    <xf numFmtId="44" fontId="1" fillId="0" borderId="11" xfId="2" applyNumberFormat="1" applyBorder="1"/>
    <xf numFmtId="44" fontId="16" fillId="0" borderId="0" xfId="0" applyNumberFormat="1" applyFont="1"/>
    <xf numFmtId="44" fontId="4" fillId="0" borderId="0" xfId="0" applyNumberFormat="1" applyFont="1"/>
    <xf numFmtId="165" fontId="24" fillId="0" borderId="0" xfId="1" applyNumberFormat="1" applyFont="1" applyFill="1"/>
    <xf numFmtId="165" fontId="25" fillId="10" borderId="0" xfId="1" applyNumberFormat="1" applyFont="1" applyFill="1"/>
    <xf numFmtId="44" fontId="4" fillId="0" borderId="0" xfId="0" applyNumberFormat="1" applyFont="1" applyFill="1"/>
    <xf numFmtId="44" fontId="1" fillId="0" borderId="0" xfId="0" applyNumberFormat="1" applyFont="1" applyFill="1"/>
    <xf numFmtId="44" fontId="27" fillId="3" borderId="0" xfId="2" applyNumberFormat="1" applyFont="1" applyFill="1"/>
    <xf numFmtId="44" fontId="27" fillId="0" borderId="0" xfId="2" applyNumberFormat="1" applyFont="1" applyFill="1"/>
    <xf numFmtId="44" fontId="1" fillId="11" borderId="0" xfId="2" applyNumberFormat="1" applyFill="1"/>
    <xf numFmtId="165" fontId="28" fillId="0" borderId="0" xfId="1" applyNumberFormat="1" applyFont="1" applyFill="1"/>
    <xf numFmtId="165" fontId="29" fillId="10" borderId="0" xfId="1" applyNumberFormat="1" applyFont="1" applyFill="1"/>
    <xf numFmtId="165" fontId="18" fillId="0" borderId="0" xfId="1" applyNumberFormat="1" applyFont="1" applyFill="1"/>
    <xf numFmtId="165" fontId="26" fillId="0" borderId="0" xfId="1" applyNumberFormat="1" applyFont="1" applyFill="1"/>
    <xf numFmtId="166" fontId="19" fillId="9" borderId="0" xfId="2" applyNumberFormat="1" applyFont="1" applyFill="1"/>
    <xf numFmtId="166" fontId="1" fillId="0" borderId="0" xfId="2" applyNumberFormat="1"/>
    <xf numFmtId="165" fontId="30" fillId="10" borderId="0" xfId="1" applyNumberFormat="1" applyFont="1" applyFill="1"/>
    <xf numFmtId="165" fontId="31" fillId="0" borderId="0" xfId="1" applyNumberFormat="1" applyFont="1" applyFill="1"/>
    <xf numFmtId="165" fontId="9" fillId="0" borderId="0" xfId="1" applyNumberFormat="1" applyFont="1" applyFill="1"/>
    <xf numFmtId="166" fontId="32" fillId="0" borderId="0" xfId="2" applyNumberFormat="1" applyFont="1"/>
    <xf numFmtId="0" fontId="4" fillId="0" borderId="0" xfId="0" applyFont="1" applyAlignment="1">
      <alignment horizontal="left" indent="1"/>
    </xf>
    <xf numFmtId="49" fontId="1" fillId="0" borderId="0" xfId="0" applyNumberFormat="1" applyFont="1" applyAlignment="1">
      <alignment horizontal="right"/>
    </xf>
    <xf numFmtId="49" fontId="4" fillId="0" borderId="0" xfId="0" applyNumberFormat="1" applyFont="1"/>
    <xf numFmtId="165" fontId="2" fillId="0" borderId="0" xfId="1" applyNumberFormat="1" applyFont="1"/>
    <xf numFmtId="165" fontId="8" fillId="0" borderId="0" xfId="1" applyNumberFormat="1" applyFont="1"/>
    <xf numFmtId="44" fontId="4" fillId="6" borderId="0" xfId="0" applyNumberFormat="1" applyFont="1" applyFill="1" applyBorder="1" applyAlignment="1">
      <alignment horizontal="center"/>
    </xf>
    <xf numFmtId="44" fontId="4" fillId="12" borderId="0" xfId="0" applyNumberFormat="1" applyFont="1" applyFill="1" applyBorder="1" applyAlignment="1">
      <alignment horizontal="center"/>
    </xf>
    <xf numFmtId="44" fontId="4" fillId="13" borderId="11" xfId="2" applyFont="1" applyFill="1" applyBorder="1"/>
    <xf numFmtId="44" fontId="4" fillId="0" borderId="0" xfId="2" applyNumberFormat="1" applyFont="1"/>
    <xf numFmtId="44" fontId="4" fillId="3" borderId="0" xfId="2" applyNumberFormat="1" applyFont="1" applyFill="1"/>
    <xf numFmtId="165" fontId="8" fillId="10" borderId="0" xfId="1" applyNumberFormat="1" applyFont="1" applyFill="1"/>
    <xf numFmtId="168" fontId="1" fillId="0" borderId="0" xfId="2" applyNumberFormat="1"/>
    <xf numFmtId="44" fontId="28" fillId="0" borderId="0" xfId="2" applyNumberFormat="1" applyFont="1"/>
    <xf numFmtId="44" fontId="1" fillId="0" borderId="0" xfId="2" applyNumberFormat="1" applyFont="1"/>
    <xf numFmtId="165" fontId="3" fillId="0" borderId="0" xfId="1" applyNumberFormat="1" applyFont="1" applyAlignment="1">
      <alignment horizontal="center" vertical="center"/>
    </xf>
    <xf numFmtId="165" fontId="1" fillId="0" borderId="0" xfId="1" applyNumberFormat="1"/>
    <xf numFmtId="44" fontId="4" fillId="0" borderId="0" xfId="2" applyNumberFormat="1" applyFont="1" applyAlignment="1">
      <alignment horizontal="left"/>
    </xf>
    <xf numFmtId="165" fontId="28" fillId="0" borderId="0" xfId="1" applyNumberFormat="1" applyFont="1"/>
    <xf numFmtId="166" fontId="1" fillId="0" borderId="0" xfId="2" applyNumberFormat="1" applyFont="1" applyAlignment="1">
      <alignment horizontal="left"/>
    </xf>
    <xf numFmtId="43" fontId="1" fillId="0" borderId="0" xfId="1" applyFont="1" applyAlignment="1">
      <alignment horizontal="left"/>
    </xf>
    <xf numFmtId="169" fontId="1" fillId="0" borderId="0" xfId="2" applyNumberFormat="1"/>
    <xf numFmtId="44" fontId="28" fillId="0" borderId="0" xfId="2" applyFont="1" applyFill="1"/>
    <xf numFmtId="44" fontId="1" fillId="0" borderId="0" xfId="2" applyFont="1"/>
    <xf numFmtId="44" fontId="1" fillId="0" borderId="0" xfId="2"/>
    <xf numFmtId="43" fontId="4" fillId="0" borderId="0" xfId="1" applyFont="1" applyAlignment="1">
      <alignment horizontal="left"/>
    </xf>
    <xf numFmtId="44" fontId="23" fillId="0" borderId="0" xfId="2" applyFont="1" applyFill="1"/>
    <xf numFmtId="43" fontId="1" fillId="0" borderId="0" xfId="1"/>
    <xf numFmtId="44" fontId="4" fillId="0" borderId="0" xfId="2" applyFont="1"/>
    <xf numFmtId="44" fontId="1" fillId="0" borderId="12" xfId="2" applyFont="1" applyBorder="1"/>
    <xf numFmtId="165" fontId="1" fillId="0" borderId="2" xfId="1" applyNumberFormat="1" applyFont="1" applyBorder="1"/>
    <xf numFmtId="44" fontId="1" fillId="0" borderId="2" xfId="2" applyFont="1" applyBorder="1"/>
    <xf numFmtId="43" fontId="1" fillId="0" borderId="0" xfId="1" applyNumberFormat="1" applyFont="1"/>
    <xf numFmtId="165" fontId="5" fillId="0" borderId="0" xfId="1" applyNumberFormat="1" applyFont="1" applyFill="1"/>
    <xf numFmtId="0" fontId="1" fillId="3" borderId="0" xfId="0" applyFont="1" applyFill="1" applyAlignment="1">
      <alignment horizontal="left" indent="1"/>
    </xf>
    <xf numFmtId="49" fontId="1" fillId="3" borderId="0" xfId="1" applyNumberFormat="1" applyFont="1" applyFill="1"/>
    <xf numFmtId="49" fontId="1" fillId="3" borderId="0" xfId="0" applyNumberFormat="1" applyFont="1" applyFill="1" applyAlignment="1">
      <alignment horizontal="center"/>
    </xf>
    <xf numFmtId="49" fontId="1" fillId="3" borderId="0" xfId="0" applyNumberFormat="1" applyFont="1" applyFill="1"/>
    <xf numFmtId="49" fontId="2" fillId="0" borderId="0" xfId="0" applyNumberFormat="1" applyFont="1"/>
    <xf numFmtId="165" fontId="6" fillId="0" borderId="0" xfId="1" applyNumberFormat="1" applyFont="1" applyAlignment="1">
      <alignment horizontal="center"/>
    </xf>
    <xf numFmtId="49" fontId="6" fillId="0" borderId="0" xfId="1" applyNumberFormat="1" applyFont="1" applyAlignment="1"/>
    <xf numFmtId="49" fontId="5" fillId="0" borderId="0" xfId="1" applyNumberFormat="1" applyFont="1"/>
    <xf numFmtId="49" fontId="3" fillId="0" borderId="0" xfId="1" applyNumberFormat="1" applyFont="1" applyAlignment="1">
      <alignment horizontal="left"/>
    </xf>
    <xf numFmtId="165" fontId="5" fillId="0" borderId="0" xfId="1" applyNumberFormat="1" applyFont="1" applyAlignment="1">
      <alignment horizontal="left"/>
    </xf>
    <xf numFmtId="43" fontId="5" fillId="0" borderId="0" xfId="1" applyNumberFormat="1" applyFont="1"/>
    <xf numFmtId="165" fontId="5" fillId="14" borderId="0" xfId="1" applyNumberFormat="1" applyFont="1" applyFill="1"/>
    <xf numFmtId="43" fontId="37" fillId="0" borderId="0" xfId="1" applyNumberFormat="1" applyFont="1"/>
    <xf numFmtId="165" fontId="34" fillId="0" borderId="0" xfId="1" applyNumberFormat="1" applyFont="1" applyFill="1"/>
    <xf numFmtId="43" fontId="34" fillId="0" borderId="0" xfId="1" applyFont="1" applyFill="1"/>
    <xf numFmtId="164" fontId="9" fillId="0" borderId="0" xfId="1" applyNumberFormat="1" applyFont="1" applyBorder="1" applyAlignment="1">
      <alignment horizontal="center"/>
    </xf>
    <xf numFmtId="164" fontId="38" fillId="0" borderId="0" xfId="1" applyNumberFormat="1" applyFont="1" applyBorder="1" applyAlignment="1">
      <alignment horizontal="left"/>
    </xf>
    <xf numFmtId="165" fontId="6" fillId="0" borderId="0" xfId="1" applyNumberFormat="1" applyFon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165" fontId="24" fillId="0" borderId="0" xfId="1" applyNumberFormat="1" applyFont="1" applyBorder="1" applyAlignment="1">
      <alignment horizontal="center"/>
    </xf>
    <xf numFmtId="165" fontId="22" fillId="0" borderId="0" xfId="1" applyNumberFormat="1" applyFont="1" applyBorder="1" applyAlignment="1">
      <alignment horizontal="center"/>
    </xf>
    <xf numFmtId="49" fontId="8" fillId="0" borderId="0" xfId="1" applyNumberFormat="1" applyFont="1" applyBorder="1"/>
    <xf numFmtId="43" fontId="5" fillId="0" borderId="0" xfId="1" applyNumberFormat="1" applyFont="1" applyBorder="1"/>
    <xf numFmtId="165" fontId="34" fillId="0" borderId="0" xfId="1" applyNumberFormat="1" applyFont="1"/>
    <xf numFmtId="165" fontId="1" fillId="14" borderId="0" xfId="1" applyNumberFormat="1" applyFont="1" applyFill="1"/>
    <xf numFmtId="164" fontId="9" fillId="0" borderId="0" xfId="1" applyNumberFormat="1" applyFont="1" applyBorder="1" applyAlignment="1"/>
    <xf numFmtId="165" fontId="36" fillId="0" borderId="0" xfId="1" applyNumberFormat="1" applyFont="1" applyAlignment="1">
      <alignment horizontal="center"/>
    </xf>
    <xf numFmtId="165" fontId="36" fillId="0" borderId="0" xfId="1" applyNumberFormat="1" applyFont="1" applyAlignment="1">
      <alignment horizontal="center"/>
    </xf>
    <xf numFmtId="49" fontId="5" fillId="0" borderId="1" xfId="1" applyNumberFormat="1" applyFont="1" applyBorder="1"/>
    <xf numFmtId="49" fontId="8" fillId="0" borderId="1" xfId="1" applyNumberFormat="1" applyFont="1" applyBorder="1"/>
    <xf numFmtId="165" fontId="2" fillId="0" borderId="1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5" fontId="2" fillId="14" borderId="0" xfId="1" applyNumberFormat="1" applyFont="1" applyFill="1"/>
    <xf numFmtId="165" fontId="8" fillId="0" borderId="1" xfId="1" applyNumberFormat="1" applyFont="1" applyBorder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165" fontId="34" fillId="0" borderId="0" xfId="1" applyNumberFormat="1" applyFont="1" applyAlignment="1">
      <alignment horizontal="center"/>
    </xf>
    <xf numFmtId="49" fontId="4" fillId="5" borderId="1" xfId="1" applyNumberFormat="1" applyFont="1" applyFill="1" applyBorder="1" applyAlignment="1">
      <alignment horizontal="left"/>
    </xf>
    <xf numFmtId="165" fontId="1" fillId="5" borderId="1" xfId="1" applyNumberFormat="1" applyFont="1" applyFill="1" applyBorder="1"/>
    <xf numFmtId="165" fontId="21" fillId="5" borderId="2" xfId="1" applyNumberFormat="1" applyFont="1" applyFill="1" applyBorder="1" applyAlignment="1">
      <alignment horizontal="center"/>
    </xf>
    <xf numFmtId="43" fontId="21" fillId="5" borderId="2" xfId="1" applyNumberFormat="1" applyFont="1" applyFill="1" applyBorder="1" applyAlignment="1">
      <alignment horizontal="center"/>
    </xf>
    <xf numFmtId="165" fontId="21" fillId="5" borderId="1" xfId="1" applyNumberFormat="1" applyFont="1" applyFill="1" applyBorder="1" applyAlignment="1">
      <alignment horizontal="center"/>
    </xf>
    <xf numFmtId="43" fontId="21" fillId="5" borderId="1" xfId="1" applyNumberFormat="1" applyFont="1" applyFill="1" applyBorder="1" applyAlignment="1">
      <alignment horizontal="center"/>
    </xf>
    <xf numFmtId="165" fontId="33" fillId="5" borderId="1" xfId="1" applyNumberFormat="1" applyFont="1" applyFill="1" applyBorder="1" applyAlignment="1">
      <alignment horizontal="center"/>
    </xf>
    <xf numFmtId="165" fontId="33" fillId="5" borderId="2" xfId="1" applyNumberFormat="1" applyFont="1" applyFill="1" applyBorder="1" applyAlignment="1">
      <alignment horizontal="center"/>
    </xf>
    <xf numFmtId="43" fontId="33" fillId="5" borderId="2" xfId="1" applyNumberFormat="1" applyFont="1" applyFill="1" applyBorder="1" applyAlignment="1">
      <alignment horizontal="center"/>
    </xf>
    <xf numFmtId="43" fontId="33" fillId="5" borderId="1" xfId="1" applyNumberFormat="1" applyFont="1" applyFill="1" applyBorder="1" applyAlignment="1">
      <alignment horizontal="center"/>
    </xf>
    <xf numFmtId="165" fontId="39" fillId="5" borderId="1" xfId="1" applyNumberFormat="1" applyFont="1" applyFill="1" applyBorder="1" applyAlignment="1">
      <alignment horizontal="center"/>
    </xf>
    <xf numFmtId="43" fontId="21" fillId="0" borderId="0" xfId="1" applyNumberFormat="1" applyFont="1" applyAlignment="1">
      <alignment horizontal="center"/>
    </xf>
    <xf numFmtId="49" fontId="1" fillId="16" borderId="0" xfId="1" applyNumberFormat="1" applyFont="1" applyFill="1" applyAlignment="1">
      <alignment horizontal="right"/>
    </xf>
    <xf numFmtId="0" fontId="1" fillId="16" borderId="0" xfId="1" applyNumberFormat="1" applyFont="1" applyFill="1" applyAlignment="1">
      <alignment horizontal="center"/>
    </xf>
    <xf numFmtId="0" fontId="8" fillId="0" borderId="0" xfId="1" applyNumberFormat="1" applyFont="1" applyAlignment="1">
      <alignment horizontal="center"/>
    </xf>
    <xf numFmtId="165" fontId="32" fillId="0" borderId="0" xfId="1" applyNumberFormat="1" applyFont="1" applyAlignment="1">
      <alignment horizontal="center"/>
    </xf>
    <xf numFmtId="44" fontId="32" fillId="0" borderId="0" xfId="2" applyFont="1"/>
    <xf numFmtId="165" fontId="1" fillId="0" borderId="0" xfId="1" applyNumberFormat="1" applyFont="1" applyAlignment="1">
      <alignment horizontal="left" indent="3"/>
    </xf>
    <xf numFmtId="44" fontId="1" fillId="17" borderId="0" xfId="2" applyFont="1" applyFill="1"/>
    <xf numFmtId="165" fontId="1" fillId="0" borderId="0" xfId="1" applyNumberFormat="1" applyFont="1" applyFill="1" applyAlignment="1">
      <alignment horizontal="left"/>
    </xf>
    <xf numFmtId="44" fontId="16" fillId="17" borderId="0" xfId="2" applyFont="1" applyFill="1"/>
    <xf numFmtId="165" fontId="32" fillId="0" borderId="0" xfId="1" applyNumberFormat="1" applyFont="1" applyAlignment="1">
      <alignment horizontal="left"/>
    </xf>
    <xf numFmtId="44" fontId="9" fillId="17" borderId="0" xfId="2" applyFont="1" applyFill="1"/>
    <xf numFmtId="0" fontId="8" fillId="17" borderId="0" xfId="2" applyNumberFormat="1" applyFont="1" applyFill="1" applyAlignment="1">
      <alignment horizontal="center"/>
    </xf>
    <xf numFmtId="165" fontId="40" fillId="0" borderId="0" xfId="1" applyNumberFormat="1" applyFont="1" applyAlignment="1">
      <alignment horizontal="left"/>
    </xf>
    <xf numFmtId="165" fontId="34" fillId="0" borderId="0" xfId="1" applyNumberFormat="1" applyFont="1" applyAlignment="1">
      <alignment horizontal="left"/>
    </xf>
    <xf numFmtId="165" fontId="32" fillId="0" borderId="0" xfId="1" applyNumberFormat="1" applyFont="1"/>
    <xf numFmtId="165" fontId="1" fillId="0" borderId="0" xfId="1" applyNumberFormat="1" applyFont="1" applyFill="1"/>
    <xf numFmtId="44" fontId="1" fillId="18" borderId="0" xfId="2" applyNumberFormat="1" applyFont="1" applyFill="1"/>
    <xf numFmtId="44" fontId="1" fillId="18" borderId="0" xfId="2" applyFont="1" applyFill="1"/>
    <xf numFmtId="165" fontId="16" fillId="0" borderId="0" xfId="1" applyNumberFormat="1" applyFont="1"/>
    <xf numFmtId="44" fontId="16" fillId="18" borderId="0" xfId="2" applyFont="1" applyFill="1"/>
    <xf numFmtId="165" fontId="41" fillId="0" borderId="0" xfId="1" applyNumberFormat="1" applyFont="1" applyAlignment="1">
      <alignment horizontal="left"/>
    </xf>
    <xf numFmtId="165" fontId="41" fillId="0" borderId="0" xfId="1" applyNumberFormat="1" applyFont="1" applyAlignment="1">
      <alignment horizontal="left" indent="1"/>
    </xf>
    <xf numFmtId="44" fontId="35" fillId="19" borderId="0" xfId="2" applyFont="1" applyFill="1"/>
    <xf numFmtId="0" fontId="8" fillId="18" borderId="0" xfId="1" applyNumberFormat="1" applyFont="1" applyFill="1" applyAlignment="1">
      <alignment horizontal="center"/>
    </xf>
    <xf numFmtId="165" fontId="1" fillId="0" borderId="0" xfId="1" applyNumberFormat="1" applyFont="1" applyFill="1" applyAlignment="1">
      <alignment horizontal="left" indent="3"/>
    </xf>
    <xf numFmtId="165" fontId="1" fillId="0" borderId="0" xfId="1" applyNumberFormat="1" applyFont="1" applyAlignment="1">
      <alignment horizontal="left" indent="4"/>
    </xf>
    <xf numFmtId="44" fontId="9" fillId="18" borderId="0" xfId="2" applyFont="1" applyFill="1"/>
    <xf numFmtId="165" fontId="42" fillId="0" borderId="0" xfId="1" applyNumberFormat="1" applyFont="1" applyAlignment="1">
      <alignment horizontal="left" indent="4"/>
    </xf>
    <xf numFmtId="165" fontId="43" fillId="0" borderId="0" xfId="1" applyNumberFormat="1" applyFont="1" applyAlignment="1">
      <alignment horizontal="left"/>
    </xf>
    <xf numFmtId="43" fontId="5" fillId="14" borderId="0" xfId="1" applyFont="1" applyFill="1"/>
    <xf numFmtId="44" fontId="16" fillId="18" borderId="0" xfId="2" applyNumberFormat="1" applyFont="1" applyFill="1"/>
    <xf numFmtId="49" fontId="1" fillId="2" borderId="0" xfId="1" applyNumberFormat="1" applyFont="1" applyFill="1" applyAlignment="1">
      <alignment horizontal="right"/>
    </xf>
    <xf numFmtId="0" fontId="1" fillId="2" borderId="0" xfId="1" applyNumberFormat="1" applyFont="1" applyFill="1" applyAlignment="1">
      <alignment horizontal="center"/>
    </xf>
    <xf numFmtId="0" fontId="8" fillId="20" borderId="0" xfId="1" applyNumberFormat="1" applyFont="1" applyFill="1" applyAlignment="1">
      <alignment horizontal="center"/>
    </xf>
    <xf numFmtId="165" fontId="1" fillId="20" borderId="0" xfId="1" applyNumberFormat="1" applyFont="1" applyFill="1"/>
    <xf numFmtId="44" fontId="16" fillId="20" borderId="0" xfId="2" applyFont="1" applyFill="1"/>
    <xf numFmtId="165" fontId="40" fillId="0" borderId="0" xfId="1" applyNumberFormat="1" applyFont="1"/>
    <xf numFmtId="165" fontId="32" fillId="14" borderId="0" xfId="1" applyNumberFormat="1" applyFont="1" applyFill="1" applyAlignment="1">
      <alignment horizontal="left" vertical="top"/>
    </xf>
    <xf numFmtId="43" fontId="44" fillId="0" borderId="0" xfId="1" applyFont="1"/>
    <xf numFmtId="165" fontId="42" fillId="0" borderId="0" xfId="1" applyNumberFormat="1" applyFont="1" applyAlignment="1">
      <alignment horizontal="left"/>
    </xf>
    <xf numFmtId="165" fontId="44" fillId="0" borderId="0" xfId="1" applyNumberFormat="1" applyFont="1"/>
    <xf numFmtId="165" fontId="1" fillId="0" borderId="1" xfId="1" applyNumberFormat="1" applyFont="1" applyBorder="1"/>
    <xf numFmtId="44" fontId="1" fillId="18" borderId="1" xfId="2" applyFont="1" applyFill="1" applyBorder="1"/>
    <xf numFmtId="165" fontId="28" fillId="0" borderId="1" xfId="1" applyNumberFormat="1" applyFont="1" applyBorder="1"/>
    <xf numFmtId="44" fontId="28" fillId="18" borderId="0" xfId="2" applyFont="1" applyFill="1"/>
    <xf numFmtId="44" fontId="9" fillId="18" borderId="1" xfId="2" applyFont="1" applyFill="1" applyBorder="1"/>
    <xf numFmtId="49" fontId="1" fillId="16" borderId="0" xfId="1" applyNumberFormat="1" applyFont="1" applyFill="1" applyAlignment="1">
      <alignment horizontal="center"/>
    </xf>
    <xf numFmtId="49" fontId="8" fillId="0" borderId="0" xfId="1" applyNumberFormat="1" applyFont="1" applyAlignment="1">
      <alignment horizontal="center"/>
    </xf>
    <xf numFmtId="43" fontId="1" fillId="0" borderId="2" xfId="1" applyNumberFormat="1" applyFont="1" applyBorder="1"/>
    <xf numFmtId="165" fontId="32" fillId="0" borderId="12" xfId="1" applyNumberFormat="1" applyFont="1" applyBorder="1"/>
    <xf numFmtId="44" fontId="32" fillId="0" borderId="12" xfId="2" applyFont="1" applyBorder="1"/>
    <xf numFmtId="165" fontId="1" fillId="0" borderId="12" xfId="1" applyNumberFormat="1" applyFont="1" applyBorder="1"/>
    <xf numFmtId="44" fontId="2" fillId="0" borderId="2" xfId="2" applyFont="1" applyBorder="1"/>
    <xf numFmtId="165" fontId="5" fillId="0" borderId="2" xfId="1" applyNumberFormat="1" applyFont="1" applyBorder="1" applyAlignment="1">
      <alignment horizontal="left"/>
    </xf>
    <xf numFmtId="44" fontId="34" fillId="0" borderId="0" xfId="2" applyFont="1"/>
    <xf numFmtId="43" fontId="32" fillId="0" borderId="12" xfId="1" applyNumberFormat="1" applyFont="1" applyBorder="1"/>
    <xf numFmtId="165" fontId="5" fillId="0" borderId="0" xfId="1" applyNumberFormat="1" applyFont="1" applyFill="1" applyAlignment="1">
      <alignment horizontal="left"/>
    </xf>
    <xf numFmtId="43" fontId="32" fillId="0" borderId="0" xfId="1" applyNumberFormat="1" applyFont="1"/>
    <xf numFmtId="165" fontId="32" fillId="0" borderId="0" xfId="1" applyNumberFormat="1" applyFont="1" applyAlignment="1">
      <alignment horizontal="left" indent="4"/>
    </xf>
    <xf numFmtId="165" fontId="32" fillId="0" borderId="0" xfId="1" applyNumberFormat="1" applyFont="1" applyAlignment="1">
      <alignment horizontal="left" indent="3"/>
    </xf>
    <xf numFmtId="165" fontId="32" fillId="0" borderId="0" xfId="1" applyNumberFormat="1" applyFont="1" applyAlignment="1"/>
    <xf numFmtId="44" fontId="16" fillId="17" borderId="0" xfId="2" applyFont="1" applyFill="1" applyAlignment="1"/>
    <xf numFmtId="44" fontId="5" fillId="0" borderId="0" xfId="2" applyFont="1"/>
    <xf numFmtId="165" fontId="32" fillId="0" borderId="1" xfId="1" applyNumberFormat="1" applyFont="1" applyBorder="1" applyAlignment="1">
      <alignment horizontal="left" indent="3"/>
    </xf>
    <xf numFmtId="44" fontId="1" fillId="17" borderId="1" xfId="2" applyFont="1" applyFill="1" applyBorder="1"/>
    <xf numFmtId="165" fontId="1" fillId="0" borderId="0" xfId="1" applyNumberFormat="1" applyFont="1" applyAlignment="1">
      <alignment horizontal="center"/>
    </xf>
    <xf numFmtId="165" fontId="1" fillId="0" borderId="1" xfId="1" applyNumberFormat="1" applyFont="1" applyBorder="1" applyAlignment="1">
      <alignment horizontal="left" indent="3"/>
    </xf>
    <xf numFmtId="44" fontId="16" fillId="17" borderId="1" xfId="2" applyFont="1" applyFill="1" applyBorder="1"/>
    <xf numFmtId="165" fontId="32" fillId="0" borderId="2" xfId="1" applyNumberFormat="1" applyFont="1" applyBorder="1"/>
    <xf numFmtId="44" fontId="32" fillId="0" borderId="2" xfId="2" applyFont="1" applyBorder="1"/>
    <xf numFmtId="165" fontId="32" fillId="0" borderId="2" xfId="1" applyNumberFormat="1" applyFont="1" applyBorder="1" applyAlignment="1">
      <alignment horizontal="left" indent="3"/>
    </xf>
    <xf numFmtId="165" fontId="1" fillId="0" borderId="12" xfId="1" applyNumberFormat="1" applyFont="1" applyBorder="1" applyAlignment="1">
      <alignment horizontal="left" indent="3"/>
    </xf>
    <xf numFmtId="44" fontId="8" fillId="0" borderId="2" xfId="2" applyFont="1" applyBorder="1"/>
    <xf numFmtId="165" fontId="32" fillId="0" borderId="2" xfId="1" applyNumberFormat="1" applyFont="1" applyBorder="1" applyAlignment="1"/>
    <xf numFmtId="44" fontId="2" fillId="0" borderId="12" xfId="2" applyFont="1" applyBorder="1"/>
    <xf numFmtId="165" fontId="5" fillId="0" borderId="12" xfId="1" applyNumberFormat="1" applyFont="1" applyBorder="1"/>
    <xf numFmtId="165" fontId="32" fillId="0" borderId="12" xfId="1" applyNumberFormat="1" applyFont="1" applyBorder="1" applyAlignment="1">
      <alignment horizontal="left" indent="3"/>
    </xf>
    <xf numFmtId="165" fontId="8" fillId="0" borderId="0" xfId="1" applyNumberFormat="1" applyFont="1" applyAlignment="1">
      <alignment horizontal="left"/>
    </xf>
    <xf numFmtId="165" fontId="2" fillId="0" borderId="0" xfId="1" applyNumberFormat="1" applyFont="1" applyAlignment="1">
      <alignment horizontal="left"/>
    </xf>
    <xf numFmtId="44" fontId="32" fillId="0" borderId="1" xfId="2" applyFont="1" applyBorder="1"/>
    <xf numFmtId="165" fontId="32" fillId="0" borderId="1" xfId="1" applyNumberFormat="1" applyFont="1" applyBorder="1" applyAlignment="1"/>
    <xf numFmtId="49" fontId="8" fillId="0" borderId="0" xfId="1" applyNumberFormat="1" applyFont="1"/>
    <xf numFmtId="165" fontId="4" fillId="0" borderId="0" xfId="1" applyNumberFormat="1" applyFont="1"/>
    <xf numFmtId="165" fontId="5" fillId="0" borderId="0" xfId="1" applyNumberFormat="1" applyFont="1" applyAlignment="1">
      <alignment horizontal="left" indent="1"/>
    </xf>
    <xf numFmtId="43" fontId="5" fillId="0" borderId="2" xfId="1" applyNumberFormat="1" applyFont="1" applyBorder="1"/>
    <xf numFmtId="43" fontId="32" fillId="0" borderId="2" xfId="1" applyNumberFormat="1" applyFont="1" applyBorder="1"/>
    <xf numFmtId="165" fontId="32" fillId="0" borderId="0" xfId="1" applyNumberFormat="1" applyFont="1" applyFill="1" applyAlignment="1">
      <alignment horizontal="left"/>
    </xf>
    <xf numFmtId="165" fontId="4" fillId="0" borderId="2" xfId="1" applyNumberFormat="1" applyFont="1" applyBorder="1"/>
    <xf numFmtId="44" fontId="4" fillId="0" borderId="2" xfId="2" applyFont="1" applyBorder="1"/>
    <xf numFmtId="165" fontId="5" fillId="0" borderId="2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 applyFill="1" applyAlignment="1">
      <alignment horizontal="left"/>
    </xf>
    <xf numFmtId="165" fontId="8" fillId="0" borderId="2" xfId="1" applyNumberFormat="1" applyFont="1" applyBorder="1"/>
    <xf numFmtId="165" fontId="5" fillId="0" borderId="2" xfId="1" applyNumberFormat="1" applyFont="1" applyBorder="1" applyAlignment="1">
      <alignment horizontal="right"/>
    </xf>
    <xf numFmtId="43" fontId="5" fillId="0" borderId="12" xfId="1" applyNumberFormat="1" applyFont="1" applyBorder="1"/>
    <xf numFmtId="165" fontId="4" fillId="0" borderId="0" xfId="1" applyNumberFormat="1" applyFont="1" applyAlignment="1">
      <alignment horizontal="center"/>
    </xf>
    <xf numFmtId="44" fontId="2" fillId="4" borderId="0" xfId="2" applyFont="1" applyFill="1"/>
    <xf numFmtId="44" fontId="2" fillId="15" borderId="0" xfId="2" applyFont="1" applyFill="1"/>
    <xf numFmtId="165" fontId="32" fillId="14" borderId="0" xfId="1" applyNumberFormat="1" applyFont="1" applyFill="1"/>
    <xf numFmtId="44" fontId="8" fillId="18" borderId="0" xfId="2" applyFont="1" applyFill="1"/>
    <xf numFmtId="44" fontId="2" fillId="18" borderId="0" xfId="2" applyFont="1" applyFill="1"/>
    <xf numFmtId="44" fontId="5" fillId="19" borderId="0" xfId="2" applyFont="1" applyFill="1"/>
    <xf numFmtId="44" fontId="8" fillId="17" borderId="0" xfId="2" applyFont="1" applyFill="1"/>
    <xf numFmtId="44" fontId="2" fillId="17" borderId="0" xfId="2" applyFont="1" applyFill="1"/>
    <xf numFmtId="44" fontId="5" fillId="17" borderId="0" xfId="2" applyFont="1" applyFill="1"/>
    <xf numFmtId="165" fontId="32" fillId="0" borderId="0" xfId="1" applyNumberFormat="1" applyFont="1" applyFill="1"/>
    <xf numFmtId="44" fontId="34" fillId="0" borderId="2" xfId="2" applyFont="1" applyBorder="1"/>
    <xf numFmtId="44" fontId="34" fillId="0" borderId="0" xfId="2" applyFont="1" applyBorder="1"/>
    <xf numFmtId="44" fontId="2" fillId="0" borderId="0" xfId="2" applyNumberFormat="1" applyFont="1" applyBorder="1"/>
    <xf numFmtId="43" fontId="8" fillId="3" borderId="2" xfId="1" applyNumberFormat="1" applyFont="1" applyFill="1" applyBorder="1"/>
    <xf numFmtId="165" fontId="45" fillId="0" borderId="0" xfId="1" applyNumberFormat="1" applyFont="1" applyFill="1"/>
    <xf numFmtId="43" fontId="8" fillId="0" borderId="0" xfId="1" applyNumberFormat="1" applyFont="1" applyFill="1" applyAlignment="1">
      <alignment horizontal="left"/>
    </xf>
    <xf numFmtId="43" fontId="4" fillId="0" borderId="12" xfId="1" applyFont="1" applyBorder="1"/>
    <xf numFmtId="165" fontId="46" fillId="0" borderId="0" xfId="1" applyNumberFormat="1" applyFont="1" applyAlignment="1">
      <alignment horizontal="left" wrapText="1"/>
    </xf>
    <xf numFmtId="43" fontId="5" fillId="0" borderId="0" xfId="1" applyNumberFormat="1" applyFont="1" applyAlignment="1">
      <alignment horizontal="left"/>
    </xf>
    <xf numFmtId="165" fontId="45" fillId="0" borderId="0" xfId="1" applyNumberFormat="1" applyFont="1"/>
    <xf numFmtId="43" fontId="8" fillId="0" borderId="0" xfId="1" applyNumberFormat="1" applyFont="1" applyAlignment="1">
      <alignment horizontal="left"/>
    </xf>
    <xf numFmtId="165" fontId="5" fillId="0" borderId="0" xfId="1" applyNumberFormat="1" applyFont="1" applyBorder="1"/>
    <xf numFmtId="43" fontId="8" fillId="21" borderId="2" xfId="1" applyNumberFormat="1" applyFont="1" applyFill="1" applyBorder="1" applyAlignment="1">
      <alignment horizontal="left"/>
    </xf>
    <xf numFmtId="165" fontId="34" fillId="0" borderId="0" xfId="1" applyNumberFormat="1" applyFont="1" applyBorder="1"/>
    <xf numFmtId="43" fontId="2" fillId="0" borderId="0" xfId="1" applyNumberFormat="1" applyFont="1" applyBorder="1" applyAlignment="1">
      <alignment horizontal="left"/>
    </xf>
    <xf numFmtId="43" fontId="5" fillId="0" borderId="0" xfId="1" applyFont="1"/>
    <xf numFmtId="49" fontId="2" fillId="14" borderId="0" xfId="0" applyNumberFormat="1" applyFont="1" applyFill="1" applyAlignment="1">
      <alignment horizontal="right"/>
    </xf>
    <xf numFmtId="49" fontId="1" fillId="14" borderId="0" xfId="0" applyNumberFormat="1" applyFont="1" applyFill="1" applyAlignment="1">
      <alignment horizontal="right"/>
    </xf>
    <xf numFmtId="49" fontId="2" fillId="0" borderId="0" xfId="0" applyNumberFormat="1" applyFont="1" applyAlignment="1">
      <alignment horizontal="center"/>
    </xf>
    <xf numFmtId="43" fontId="8" fillId="0" borderId="0" xfId="1" applyNumberFormat="1" applyFont="1" applyBorder="1" applyAlignment="1">
      <alignment horizontal="left"/>
    </xf>
    <xf numFmtId="0" fontId="5" fillId="0" borderId="0" xfId="1" applyNumberFormat="1" applyFont="1"/>
    <xf numFmtId="15" fontId="5" fillId="0" borderId="0" xfId="1" applyNumberFormat="1" applyFont="1"/>
    <xf numFmtId="49" fontId="2" fillId="7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right"/>
    </xf>
    <xf numFmtId="165" fontId="4" fillId="0" borderId="3" xfId="1" applyNumberFormat="1" applyFont="1" applyBorder="1" applyAlignment="1">
      <alignment horizontal="center" vertical="top"/>
    </xf>
    <xf numFmtId="165" fontId="34" fillId="0" borderId="3" xfId="1" applyNumberFormat="1" applyFont="1" applyBorder="1"/>
    <xf numFmtId="49" fontId="1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center"/>
    </xf>
    <xf numFmtId="43" fontId="8" fillId="0" borderId="0" xfId="1" applyFont="1"/>
    <xf numFmtId="165" fontId="32" fillId="0" borderId="0" xfId="1" applyNumberFormat="1" applyFont="1" applyAlignment="1">
      <alignment horizontal="right"/>
    </xf>
    <xf numFmtId="43" fontId="8" fillId="0" borderId="0" xfId="1" applyFont="1" applyFill="1"/>
    <xf numFmtId="43" fontId="8" fillId="0" borderId="12" xfId="1" applyNumberFormat="1" applyFont="1" applyBorder="1" applyAlignment="1">
      <alignment vertical="center"/>
    </xf>
    <xf numFmtId="165" fontId="8" fillId="0" borderId="0" xfId="1" applyNumberFormat="1" applyFont="1" applyBorder="1"/>
    <xf numFmtId="43" fontId="8" fillId="0" borderId="0" xfId="1" applyNumberFormat="1" applyFont="1" applyBorder="1"/>
    <xf numFmtId="171" fontId="34" fillId="0" borderId="0" xfId="1" applyNumberFormat="1" applyFont="1"/>
    <xf numFmtId="171" fontId="5" fillId="0" borderId="0" xfId="1" applyNumberFormat="1" applyFont="1"/>
    <xf numFmtId="0" fontId="1" fillId="0" borderId="0" xfId="4"/>
    <xf numFmtId="0" fontId="1" fillId="0" borderId="0" xfId="4" applyFill="1"/>
    <xf numFmtId="165" fontId="5" fillId="0" borderId="0" xfId="5" applyNumberFormat="1" applyFont="1" applyFill="1"/>
    <xf numFmtId="0" fontId="1" fillId="0" borderId="0" xfId="4" applyFill="1" applyAlignment="1">
      <alignment horizontal="center"/>
    </xf>
    <xf numFmtId="44" fontId="1" fillId="0" borderId="0" xfId="4" applyNumberFormat="1" applyFill="1"/>
    <xf numFmtId="0" fontId="1" fillId="0" borderId="0" xfId="4" applyFont="1" applyFill="1"/>
    <xf numFmtId="0" fontId="1" fillId="0" borderId="0" xfId="4" applyFont="1" applyFill="1" applyBorder="1"/>
    <xf numFmtId="0" fontId="9" fillId="0" borderId="0" xfId="4" applyFont="1" applyFill="1" applyAlignment="1">
      <alignment horizontal="center"/>
    </xf>
    <xf numFmtId="0" fontId="9" fillId="0" borderId="10" xfId="4" applyFont="1" applyFill="1" applyBorder="1" applyAlignment="1">
      <alignment horizontal="center"/>
    </xf>
    <xf numFmtId="0" fontId="2" fillId="0" borderId="0" xfId="4" applyFont="1" applyFill="1" applyAlignment="1">
      <alignment horizontal="right"/>
    </xf>
    <xf numFmtId="44" fontId="2" fillId="0" borderId="0" xfId="4" applyNumberFormat="1" applyFont="1" applyFill="1" applyAlignment="1">
      <alignment horizontal="right"/>
    </xf>
    <xf numFmtId="165" fontId="1" fillId="0" borderId="0" xfId="5" applyNumberFormat="1" applyFont="1" applyFill="1"/>
    <xf numFmtId="44" fontId="2" fillId="0" borderId="0" xfId="4" applyNumberFormat="1" applyFont="1" applyFill="1"/>
    <xf numFmtId="44" fontId="2" fillId="0" borderId="4" xfId="4" applyNumberFormat="1" applyFont="1" applyFill="1" applyBorder="1"/>
    <xf numFmtId="0" fontId="2" fillId="0" borderId="0" xfId="4" applyFont="1" applyFill="1"/>
    <xf numFmtId="49" fontId="7" fillId="0" borderId="4" xfId="4" applyNumberFormat="1" applyFont="1" applyFill="1" applyBorder="1" applyAlignment="1">
      <alignment horizontal="center"/>
    </xf>
    <xf numFmtId="49" fontId="7" fillId="0" borderId="0" xfId="4" applyNumberFormat="1" applyFont="1" applyFill="1" applyAlignment="1">
      <alignment horizontal="center"/>
    </xf>
    <xf numFmtId="44" fontId="9" fillId="0" borderId="4" xfId="4" applyNumberFormat="1" applyFont="1" applyFill="1" applyBorder="1" applyAlignment="1">
      <alignment horizontal="center"/>
    </xf>
    <xf numFmtId="44" fontId="2" fillId="0" borderId="8" xfId="4" applyNumberFormat="1" applyFont="1" applyFill="1" applyBorder="1" applyAlignment="1">
      <alignment horizontal="left"/>
    </xf>
    <xf numFmtId="44" fontId="2" fillId="0" borderId="0" xfId="4" applyNumberFormat="1" applyFont="1" applyFill="1" applyAlignment="1">
      <alignment horizontal="center"/>
    </xf>
    <xf numFmtId="0" fontId="2" fillId="0" borderId="4" xfId="4" applyFont="1" applyFill="1" applyBorder="1"/>
    <xf numFmtId="0" fontId="2" fillId="0" borderId="8" xfId="4" applyFont="1" applyFill="1" applyBorder="1"/>
    <xf numFmtId="44" fontId="8" fillId="0" borderId="2" xfId="4" applyNumberFormat="1" applyFont="1" applyFill="1" applyBorder="1"/>
    <xf numFmtId="44" fontId="8" fillId="0" borderId="9" xfId="4" applyNumberFormat="1" applyFont="1" applyFill="1" applyBorder="1"/>
    <xf numFmtId="0" fontId="4" fillId="0" borderId="2" xfId="4" applyFont="1" applyFill="1" applyBorder="1"/>
    <xf numFmtId="0" fontId="8" fillId="0" borderId="2" xfId="4" applyFont="1" applyFill="1" applyBorder="1" applyAlignment="1">
      <alignment horizontal="left" indent="1"/>
    </xf>
    <xf numFmtId="44" fontId="2" fillId="0" borderId="0" xfId="6" applyFont="1" applyFill="1"/>
    <xf numFmtId="44" fontId="2" fillId="0" borderId="4" xfId="6" applyFont="1" applyFill="1" applyBorder="1"/>
    <xf numFmtId="0" fontId="2" fillId="0" borderId="1" xfId="4" applyFont="1" applyFill="1" applyBorder="1"/>
    <xf numFmtId="0" fontId="2" fillId="0" borderId="1" xfId="4" applyFont="1" applyFill="1" applyBorder="1" applyAlignment="1"/>
    <xf numFmtId="44" fontId="2" fillId="0" borderId="0" xfId="6" applyFont="1" applyFill="1" applyBorder="1"/>
    <xf numFmtId="0" fontId="2" fillId="0" borderId="8" xfId="6" applyNumberFormat="1" applyFont="1" applyFill="1" applyBorder="1" applyAlignment="1">
      <alignment horizontal="left"/>
    </xf>
    <xf numFmtId="44" fontId="2" fillId="0" borderId="8" xfId="6" applyFont="1" applyFill="1" applyBorder="1"/>
    <xf numFmtId="0" fontId="2" fillId="0" borderId="0" xfId="4" applyFont="1" applyFill="1" applyAlignment="1"/>
    <xf numFmtId="44" fontId="2" fillId="0" borderId="7" xfId="6" applyFont="1" applyFill="1" applyBorder="1"/>
    <xf numFmtId="44" fontId="2" fillId="0" borderId="1" xfId="4" applyNumberFormat="1" applyFont="1" applyFill="1" applyBorder="1"/>
    <xf numFmtId="44" fontId="2" fillId="0" borderId="5" xfId="6" applyFont="1" applyFill="1" applyBorder="1"/>
    <xf numFmtId="44" fontId="2" fillId="0" borderId="1" xfId="6" applyFont="1" applyFill="1" applyBorder="1"/>
    <xf numFmtId="44" fontId="2" fillId="0" borderId="6" xfId="4" applyNumberFormat="1" applyFont="1" applyFill="1" applyBorder="1" applyAlignment="1">
      <alignment horizontal="center"/>
    </xf>
    <xf numFmtId="44" fontId="2" fillId="0" borderId="4" xfId="4" applyNumberFormat="1" applyFont="1" applyFill="1" applyBorder="1" applyAlignment="1">
      <alignment horizontal="center"/>
    </xf>
    <xf numFmtId="44" fontId="2" fillId="0" borderId="0" xfId="4" applyNumberFormat="1" applyFont="1" applyFill="1" applyBorder="1" applyAlignment="1">
      <alignment horizontal="center"/>
    </xf>
    <xf numFmtId="0" fontId="2" fillId="0" borderId="1" xfId="4" applyFont="1" applyFill="1" applyBorder="1" applyAlignment="1">
      <alignment horizontal="center"/>
    </xf>
    <xf numFmtId="0" fontId="2" fillId="0" borderId="5" xfId="4" applyFont="1" applyFill="1" applyBorder="1" applyAlignment="1">
      <alignment horizontal="center"/>
    </xf>
    <xf numFmtId="0" fontId="8" fillId="0" borderId="1" xfId="4" applyFont="1" applyFill="1" applyBorder="1"/>
    <xf numFmtId="0" fontId="7" fillId="0" borderId="0" xfId="4" applyFont="1" applyFill="1" applyBorder="1" applyAlignment="1">
      <alignment horizontal="center"/>
    </xf>
    <xf numFmtId="0" fontId="7" fillId="0" borderId="4" xfId="4" applyFont="1" applyFill="1" applyBorder="1" applyAlignment="1">
      <alignment horizontal="center"/>
    </xf>
    <xf numFmtId="0" fontId="4" fillId="0" borderId="0" xfId="4" applyFont="1" applyFill="1" applyBorder="1"/>
    <xf numFmtId="0" fontId="1" fillId="0" borderId="1" xfId="4" applyFill="1" applyBorder="1" applyAlignment="1">
      <alignment horizontal="center"/>
    </xf>
    <xf numFmtId="0" fontId="1" fillId="0" borderId="3" xfId="4" applyFill="1" applyBorder="1" applyAlignment="1">
      <alignment horizontal="center"/>
    </xf>
    <xf numFmtId="0" fontId="1" fillId="0" borderId="1" xfId="4" applyFill="1" applyBorder="1" applyAlignment="1">
      <alignment horizontal="center"/>
    </xf>
    <xf numFmtId="164" fontId="6" fillId="0" borderId="0" xfId="4" applyNumberFormat="1" applyFont="1" applyFill="1" applyBorder="1" applyAlignment="1"/>
    <xf numFmtId="164" fontId="6" fillId="0" borderId="0" xfId="4" applyNumberFormat="1" applyFont="1" applyFill="1" applyBorder="1" applyAlignment="1">
      <alignment horizontal="left"/>
    </xf>
    <xf numFmtId="0" fontId="6" fillId="0" borderId="0" xfId="4" applyFont="1" applyFill="1" applyAlignment="1"/>
    <xf numFmtId="0" fontId="4" fillId="0" borderId="0" xfId="4" applyFont="1" applyFill="1" applyAlignment="1">
      <alignment horizontal="center" vertical="center"/>
    </xf>
    <xf numFmtId="0" fontId="6" fillId="0" borderId="0" xfId="4" applyFont="1" applyFill="1" applyAlignment="1">
      <alignment horizontal="right"/>
    </xf>
  </cellXfs>
  <cellStyles count="7">
    <cellStyle name="Comma" xfId="1" builtinId="3"/>
    <cellStyle name="Comma 3" xfId="5" xr:uid="{C1576F3B-6BFA-4001-B0A8-907D094BC2F6}"/>
    <cellStyle name="Currency" xfId="2" builtinId="4"/>
    <cellStyle name="Currency 3" xfId="6" xr:uid="{42371607-F67A-4BCD-B7AE-FC80C9D3C7A0}"/>
    <cellStyle name="Normal" xfId="0" builtinId="0"/>
    <cellStyle name="Normal 3" xfId="3" xr:uid="{7F043FEF-9AEE-4D8A-980A-E465238F082C}"/>
    <cellStyle name="Normal 4" xfId="4" xr:uid="{24258C1E-EF59-4827-B62B-2468548B7F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\Deferrals%202019\12-2019\Core%20GC%20Allocations%2012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rah.volk/Application%20Data/Microsoft/Excel/11-2010%20Core%20Billed%20Therm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Accounting\GA\GASCOST\Gas%20Cost%20CY2019\Gas%20Supply%20Analysis\11-2019%20Gas%20Supply%20Analys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\Deferrals%202019\12-2019\WA\UG-190773%20CNGC%20Monthly%20PGA%20Rpt%20December%202019,%201.20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"/>
      <sheetName val="WA Deferrals"/>
      <sheetName val="WA Rates Old Rates"/>
      <sheetName val="OR Rates 2015"/>
      <sheetName val="OR Deferrals Incl true-up 2"/>
      <sheetName val="WA Rates - old Rates"/>
      <sheetName val="OR Rates Old Rates"/>
      <sheetName val="OR Deferrals"/>
      <sheetName val="WA Rates - 2018"/>
      <sheetName val="WA Rates"/>
      <sheetName val="OR Rates 2018"/>
      <sheetName val="OR Rates"/>
      <sheetName val="Core Cost Incurre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7">
          <cell r="K47">
            <v>9304693.0299999993</v>
          </cell>
        </row>
      </sheetData>
      <sheetData sheetId="10" refreshError="1"/>
      <sheetData sheetId="11" refreshError="1"/>
      <sheetData sheetId="12">
        <row r="2">
          <cell r="B2">
            <v>43824</v>
          </cell>
        </row>
        <row r="42">
          <cell r="K42">
            <v>16747806.859999998</v>
          </cell>
        </row>
        <row r="43">
          <cell r="K43">
            <v>4078810.2499999995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Billed Therms "/>
      <sheetName val="Bill Freq Sum"/>
    </sheetNames>
    <sheetDataSet>
      <sheetData sheetId="0">
        <row r="12">
          <cell r="J12">
            <v>0</v>
          </cell>
        </row>
        <row r="88">
          <cell r="J88">
            <v>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Gas - Accrual"/>
      <sheetName val="Core Gas - Actual"/>
      <sheetName val="Core Gas - True-Up"/>
      <sheetName val="Demand Charges"/>
      <sheetName val="Supplier Invoices"/>
    </sheetNames>
    <sheetDataSet>
      <sheetData sheetId="0"/>
      <sheetData sheetId="1"/>
      <sheetData sheetId="2"/>
      <sheetData sheetId="3"/>
      <sheetData sheetId="4">
        <row r="95">
          <cell r="Q95">
            <v>26524.726880000821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 2530.01253"/>
      <sheetName val="DG 2530.01254"/>
      <sheetName val="DG 2530.01288"/>
      <sheetName val="DG 2530.01289"/>
      <sheetName val="RA 1860.20479"/>
      <sheetName val="RA 1823.47020430"/>
      <sheetName val="RA 1823.47020431"/>
      <sheetName val="RA 1823.47020444"/>
      <sheetName val="RA 1823.47020449"/>
      <sheetName val="RA 1862.20477"/>
      <sheetName val="RA 1823.47020478"/>
      <sheetName val="RA 1862.20480"/>
      <sheetName val="RA 1860.20481"/>
      <sheetName val="FERC Interest Rates"/>
      <sheetName val="Therm 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0">
          <cell r="A10">
            <v>41305</v>
          </cell>
          <cell r="B10">
            <v>3.2500000000000001E-2</v>
          </cell>
          <cell r="C10">
            <v>31</v>
          </cell>
        </row>
        <row r="11">
          <cell r="A11">
            <v>41333</v>
          </cell>
          <cell r="B11">
            <v>3.2500000000000001E-2</v>
          </cell>
          <cell r="C11">
            <v>28</v>
          </cell>
        </row>
        <row r="12">
          <cell r="A12">
            <v>41364</v>
          </cell>
          <cell r="B12">
            <v>3.2500000000000001E-2</v>
          </cell>
          <cell r="C12">
            <v>31</v>
          </cell>
        </row>
        <row r="13">
          <cell r="A13">
            <v>41394</v>
          </cell>
          <cell r="B13">
            <v>3.2500000000000001E-2</v>
          </cell>
          <cell r="C13">
            <v>30</v>
          </cell>
        </row>
        <row r="14">
          <cell r="A14">
            <v>41425</v>
          </cell>
          <cell r="B14">
            <v>3.2500000000000001E-2</v>
          </cell>
          <cell r="C14">
            <v>31</v>
          </cell>
        </row>
        <row r="15">
          <cell r="A15">
            <v>41455</v>
          </cell>
          <cell r="B15">
            <v>3.2500000000000001E-2</v>
          </cell>
          <cell r="C15">
            <v>30</v>
          </cell>
        </row>
        <row r="16">
          <cell r="A16">
            <v>41486</v>
          </cell>
          <cell r="B16">
            <v>3.2500000000000001E-2</v>
          </cell>
          <cell r="C16">
            <v>31</v>
          </cell>
        </row>
        <row r="17">
          <cell r="A17">
            <v>41517</v>
          </cell>
          <cell r="B17">
            <v>3.2500000000000001E-2</v>
          </cell>
          <cell r="C17">
            <v>31</v>
          </cell>
        </row>
        <row r="18">
          <cell r="A18">
            <v>41547</v>
          </cell>
          <cell r="B18">
            <v>3.2500000000000001E-2</v>
          </cell>
          <cell r="C18">
            <v>30</v>
          </cell>
        </row>
        <row r="19">
          <cell r="A19">
            <v>41578</v>
          </cell>
          <cell r="B19">
            <v>3.2500000000000001E-2</v>
          </cell>
          <cell r="C19">
            <v>31</v>
          </cell>
        </row>
        <row r="20">
          <cell r="A20">
            <v>41608</v>
          </cell>
          <cell r="B20">
            <v>3.2500000000000001E-2</v>
          </cell>
          <cell r="C20">
            <v>30</v>
          </cell>
        </row>
        <row r="21">
          <cell r="A21">
            <v>41639</v>
          </cell>
          <cell r="B21">
            <v>3.2500000000000001E-2</v>
          </cell>
          <cell r="C21">
            <v>31</v>
          </cell>
        </row>
        <row r="22">
          <cell r="A22">
            <v>41670</v>
          </cell>
          <cell r="B22">
            <v>3.2500000000000001E-2</v>
          </cell>
          <cell r="C22">
            <v>31</v>
          </cell>
        </row>
        <row r="23">
          <cell r="A23">
            <v>41698</v>
          </cell>
          <cell r="B23">
            <v>3.2500000000000001E-2</v>
          </cell>
          <cell r="C23">
            <v>28</v>
          </cell>
        </row>
        <row r="24">
          <cell r="A24">
            <v>41729</v>
          </cell>
          <cell r="B24">
            <v>3.2500000000000001E-2</v>
          </cell>
          <cell r="C24">
            <v>31</v>
          </cell>
        </row>
        <row r="25">
          <cell r="A25">
            <v>41759</v>
          </cell>
          <cell r="B25">
            <v>3.2500000000000001E-2</v>
          </cell>
          <cell r="C25">
            <v>30</v>
          </cell>
        </row>
        <row r="26">
          <cell r="A26">
            <v>41790</v>
          </cell>
          <cell r="B26">
            <v>3.2500000000000001E-2</v>
          </cell>
          <cell r="C26">
            <v>31</v>
          </cell>
        </row>
        <row r="27">
          <cell r="A27">
            <v>41820</v>
          </cell>
          <cell r="B27">
            <v>3.2500000000000001E-2</v>
          </cell>
          <cell r="C27">
            <v>30</v>
          </cell>
        </row>
        <row r="28">
          <cell r="A28">
            <v>41851</v>
          </cell>
          <cell r="B28">
            <v>3.2500000000000001E-2</v>
          </cell>
          <cell r="C28">
            <v>31</v>
          </cell>
        </row>
        <row r="29">
          <cell r="A29">
            <v>41882</v>
          </cell>
          <cell r="B29">
            <v>3.2500000000000001E-2</v>
          </cell>
          <cell r="C29">
            <v>31</v>
          </cell>
        </row>
        <row r="30">
          <cell r="A30">
            <v>41912</v>
          </cell>
          <cell r="B30">
            <v>3.2500000000000001E-2</v>
          </cell>
          <cell r="C30">
            <v>30</v>
          </cell>
        </row>
        <row r="31">
          <cell r="A31">
            <v>41943</v>
          </cell>
          <cell r="B31">
            <v>3.2500000000000001E-2</v>
          </cell>
          <cell r="C31">
            <v>31</v>
          </cell>
        </row>
        <row r="32">
          <cell r="A32">
            <v>41973</v>
          </cell>
          <cell r="B32">
            <v>3.2500000000000001E-2</v>
          </cell>
          <cell r="C32">
            <v>30</v>
          </cell>
        </row>
        <row r="33">
          <cell r="A33">
            <v>42004</v>
          </cell>
          <cell r="B33">
            <v>3.2500000000000001E-2</v>
          </cell>
          <cell r="C33">
            <v>31</v>
          </cell>
        </row>
        <row r="34">
          <cell r="A34">
            <v>42035</v>
          </cell>
          <cell r="B34">
            <v>3.2500000000000001E-2</v>
          </cell>
          <cell r="C34">
            <v>31</v>
          </cell>
        </row>
        <row r="35">
          <cell r="A35">
            <v>42063</v>
          </cell>
          <cell r="B35">
            <v>3.2500000000000001E-2</v>
          </cell>
          <cell r="C35">
            <v>28</v>
          </cell>
        </row>
        <row r="36">
          <cell r="A36">
            <v>42094</v>
          </cell>
          <cell r="B36">
            <v>3.2500000000000001E-2</v>
          </cell>
          <cell r="C36">
            <v>31</v>
          </cell>
        </row>
        <row r="37">
          <cell r="A37">
            <v>42124</v>
          </cell>
          <cell r="B37">
            <v>3.2500000000000001E-2</v>
          </cell>
          <cell r="C37">
            <v>30</v>
          </cell>
        </row>
        <row r="38">
          <cell r="A38">
            <v>42155</v>
          </cell>
          <cell r="B38">
            <v>3.2500000000000001E-2</v>
          </cell>
          <cell r="C38">
            <v>31</v>
          </cell>
        </row>
        <row r="39">
          <cell r="A39">
            <v>42185</v>
          </cell>
          <cell r="B39">
            <v>3.2500000000000001E-2</v>
          </cell>
          <cell r="C39">
            <v>30</v>
          </cell>
        </row>
        <row r="40">
          <cell r="A40">
            <v>42216</v>
          </cell>
          <cell r="B40">
            <v>3.2500000000000001E-2</v>
          </cell>
          <cell r="C40">
            <v>31</v>
          </cell>
        </row>
        <row r="41">
          <cell r="A41">
            <v>42247</v>
          </cell>
          <cell r="B41">
            <v>3.2500000000000001E-2</v>
          </cell>
          <cell r="C41">
            <v>31</v>
          </cell>
        </row>
        <row r="42">
          <cell r="A42">
            <v>42277</v>
          </cell>
          <cell r="B42">
            <v>3.2500000000000001E-2</v>
          </cell>
          <cell r="C42">
            <v>30</v>
          </cell>
        </row>
        <row r="43">
          <cell r="A43">
            <v>42308</v>
          </cell>
          <cell r="B43">
            <v>3.2500000000000001E-2</v>
          </cell>
          <cell r="C43">
            <v>31</v>
          </cell>
        </row>
        <row r="44">
          <cell r="A44">
            <v>42338</v>
          </cell>
          <cell r="B44">
            <v>3.2500000000000001E-2</v>
          </cell>
          <cell r="C44">
            <v>30</v>
          </cell>
        </row>
        <row r="45">
          <cell r="A45">
            <v>42369</v>
          </cell>
          <cell r="B45">
            <v>3.2500000000000001E-2</v>
          </cell>
          <cell r="C45">
            <v>31</v>
          </cell>
        </row>
        <row r="46">
          <cell r="A46">
            <v>42400</v>
          </cell>
          <cell r="B46">
            <v>3.2500000000000001E-2</v>
          </cell>
          <cell r="C46">
            <v>31</v>
          </cell>
        </row>
        <row r="47">
          <cell r="A47">
            <v>42429</v>
          </cell>
          <cell r="B47">
            <v>3.2500000000000001E-2</v>
          </cell>
          <cell r="C47">
            <v>29</v>
          </cell>
        </row>
        <row r="48">
          <cell r="A48">
            <v>42460</v>
          </cell>
          <cell r="B48">
            <v>3.2500000000000001E-2</v>
          </cell>
          <cell r="C48">
            <v>31</v>
          </cell>
        </row>
        <row r="49">
          <cell r="A49">
            <v>42490</v>
          </cell>
          <cell r="B49">
            <v>3.4599999999999999E-2</v>
          </cell>
          <cell r="C49">
            <v>30</v>
          </cell>
        </row>
        <row r="50">
          <cell r="A50">
            <v>42521</v>
          </cell>
          <cell r="B50">
            <v>3.4599999999999999E-2</v>
          </cell>
          <cell r="C50">
            <v>31</v>
          </cell>
        </row>
        <row r="51">
          <cell r="A51">
            <v>42551</v>
          </cell>
          <cell r="B51">
            <v>3.4599999999999999E-2</v>
          </cell>
          <cell r="C51">
            <v>30</v>
          </cell>
        </row>
        <row r="52">
          <cell r="A52">
            <v>42582</v>
          </cell>
          <cell r="B52">
            <v>3.5000000000000003E-2</v>
          </cell>
          <cell r="C52">
            <v>31</v>
          </cell>
        </row>
        <row r="53">
          <cell r="A53">
            <v>42613</v>
          </cell>
          <cell r="B53">
            <v>3.5000000000000003E-2</v>
          </cell>
          <cell r="C53">
            <v>31</v>
          </cell>
        </row>
        <row r="54">
          <cell r="A54">
            <v>42643</v>
          </cell>
          <cell r="B54">
            <v>3.5000000000000003E-2</v>
          </cell>
          <cell r="C54">
            <v>30</v>
          </cell>
        </row>
        <row r="55">
          <cell r="A55">
            <v>42674</v>
          </cell>
          <cell r="B55">
            <v>3.5000000000000003E-2</v>
          </cell>
          <cell r="C55">
            <v>31</v>
          </cell>
        </row>
        <row r="56">
          <cell r="A56">
            <v>42704</v>
          </cell>
          <cell r="B56">
            <v>3.5000000000000003E-2</v>
          </cell>
          <cell r="C56">
            <v>30</v>
          </cell>
        </row>
        <row r="57">
          <cell r="A57">
            <v>42735</v>
          </cell>
          <cell r="B57">
            <v>3.5000000000000003E-2</v>
          </cell>
          <cell r="C57">
            <v>31</v>
          </cell>
        </row>
        <row r="58">
          <cell r="A58">
            <v>42766</v>
          </cell>
          <cell r="B58">
            <v>3.5000000000000003E-2</v>
          </cell>
          <cell r="C58">
            <v>31</v>
          </cell>
        </row>
        <row r="59">
          <cell r="A59">
            <v>42794</v>
          </cell>
          <cell r="B59">
            <v>3.5000000000000003E-2</v>
          </cell>
          <cell r="C59">
            <v>28</v>
          </cell>
        </row>
        <row r="60">
          <cell r="A60">
            <v>42825</v>
          </cell>
          <cell r="B60">
            <v>3.5000000000000003E-2</v>
          </cell>
          <cell r="C60">
            <v>31</v>
          </cell>
        </row>
        <row r="61">
          <cell r="A61">
            <v>42855</v>
          </cell>
          <cell r="B61">
            <v>3.7100000000000001E-2</v>
          </cell>
          <cell r="C61">
            <v>30</v>
          </cell>
        </row>
        <row r="62">
          <cell r="A62">
            <v>42886</v>
          </cell>
          <cell r="B62">
            <v>3.7100000000000001E-2</v>
          </cell>
          <cell r="C62">
            <v>31</v>
          </cell>
        </row>
        <row r="63">
          <cell r="A63">
            <v>42916</v>
          </cell>
          <cell r="B63">
            <v>3.7100000000000001E-2</v>
          </cell>
          <cell r="C63">
            <v>30</v>
          </cell>
        </row>
        <row r="64">
          <cell r="A64">
            <v>42947</v>
          </cell>
          <cell r="B64">
            <v>3.9600000000000003E-2</v>
          </cell>
          <cell r="C64">
            <v>31</v>
          </cell>
        </row>
        <row r="65">
          <cell r="A65">
            <v>42978</v>
          </cell>
          <cell r="B65">
            <v>3.9600000000000003E-2</v>
          </cell>
          <cell r="C65">
            <v>31</v>
          </cell>
        </row>
        <row r="66">
          <cell r="A66">
            <v>43008</v>
          </cell>
          <cell r="B66">
            <v>3.9600000000000003E-2</v>
          </cell>
          <cell r="C66">
            <v>30</v>
          </cell>
        </row>
        <row r="67">
          <cell r="A67">
            <v>43039</v>
          </cell>
          <cell r="B67">
            <v>4.2099999999999999E-2</v>
          </cell>
          <cell r="C67">
            <v>31</v>
          </cell>
        </row>
        <row r="68">
          <cell r="A68">
            <v>43069</v>
          </cell>
          <cell r="B68">
            <v>4.2099999999999999E-2</v>
          </cell>
          <cell r="C68">
            <v>30</v>
          </cell>
        </row>
        <row r="69">
          <cell r="A69">
            <v>43100</v>
          </cell>
          <cell r="B69">
            <v>4.2099999999999999E-2</v>
          </cell>
          <cell r="C69">
            <v>31</v>
          </cell>
        </row>
        <row r="70">
          <cell r="A70">
            <v>43131</v>
          </cell>
          <cell r="B70">
            <v>4.2500000000000003E-2</v>
          </cell>
          <cell r="C70">
            <v>31</v>
          </cell>
        </row>
        <row r="71">
          <cell r="A71">
            <v>43159</v>
          </cell>
          <cell r="B71">
            <v>4.2500000000000003E-2</v>
          </cell>
          <cell r="C71">
            <v>28</v>
          </cell>
        </row>
        <row r="72">
          <cell r="A72">
            <v>43190</v>
          </cell>
          <cell r="B72">
            <v>4.2500000000000003E-2</v>
          </cell>
          <cell r="C72">
            <v>31</v>
          </cell>
        </row>
        <row r="73">
          <cell r="A73">
            <v>43220</v>
          </cell>
          <cell r="B73">
            <v>4.4699999999999997E-2</v>
          </cell>
          <cell r="C73">
            <v>30</v>
          </cell>
        </row>
        <row r="74">
          <cell r="A74">
            <v>43251</v>
          </cell>
          <cell r="B74">
            <v>4.4699999999999997E-2</v>
          </cell>
          <cell r="C74">
            <v>31</v>
          </cell>
        </row>
        <row r="75">
          <cell r="A75">
            <v>43281</v>
          </cell>
          <cell r="B75">
            <v>4.4699999999999997E-2</v>
          </cell>
          <cell r="C75">
            <v>30</v>
          </cell>
        </row>
        <row r="76">
          <cell r="A76">
            <v>43312</v>
          </cell>
          <cell r="B76">
            <v>4.6899999999999997E-2</v>
          </cell>
          <cell r="C76">
            <v>31</v>
          </cell>
        </row>
        <row r="77">
          <cell r="A77">
            <v>43343</v>
          </cell>
          <cell r="B77">
            <v>4.6899999999999997E-2</v>
          </cell>
          <cell r="C77">
            <v>31</v>
          </cell>
        </row>
        <row r="78">
          <cell r="A78">
            <v>43373</v>
          </cell>
          <cell r="B78">
            <v>4.6899999999999997E-2</v>
          </cell>
          <cell r="C78">
            <v>30</v>
          </cell>
        </row>
        <row r="79">
          <cell r="A79">
            <v>43404</v>
          </cell>
          <cell r="B79">
            <v>4.9599999999999998E-2</v>
          </cell>
          <cell r="C79">
            <v>31</v>
          </cell>
        </row>
        <row r="80">
          <cell r="A80">
            <v>43434</v>
          </cell>
          <cell r="B80">
            <v>4.9599999999999998E-2</v>
          </cell>
          <cell r="C80">
            <v>30</v>
          </cell>
        </row>
        <row r="81">
          <cell r="A81">
            <v>43465</v>
          </cell>
          <cell r="B81">
            <v>4.9599999999999998E-2</v>
          </cell>
          <cell r="C81">
            <v>31</v>
          </cell>
        </row>
        <row r="82">
          <cell r="A82">
            <v>43496</v>
          </cell>
          <cell r="B82">
            <v>5.1799999999999999E-2</v>
          </cell>
          <cell r="C82">
            <v>31</v>
          </cell>
        </row>
        <row r="83">
          <cell r="A83">
            <v>43524</v>
          </cell>
          <cell r="B83">
            <v>5.1799999999999999E-2</v>
          </cell>
          <cell r="C83">
            <v>28</v>
          </cell>
        </row>
        <row r="84">
          <cell r="A84">
            <v>43555</v>
          </cell>
          <cell r="B84">
            <v>5.1799999999999999E-2</v>
          </cell>
          <cell r="C84">
            <v>31</v>
          </cell>
        </row>
        <row r="85">
          <cell r="A85">
            <v>43585</v>
          </cell>
          <cell r="B85">
            <v>5.45E-2</v>
          </cell>
          <cell r="C85">
            <v>30</v>
          </cell>
        </row>
        <row r="86">
          <cell r="A86">
            <v>43616</v>
          </cell>
          <cell r="B86">
            <v>5.45E-2</v>
          </cell>
          <cell r="C86">
            <v>31</v>
          </cell>
        </row>
        <row r="87">
          <cell r="A87">
            <v>43646</v>
          </cell>
          <cell r="B87">
            <v>5.45E-2</v>
          </cell>
          <cell r="C87">
            <v>30</v>
          </cell>
        </row>
        <row r="88">
          <cell r="A88">
            <v>43677</v>
          </cell>
          <cell r="B88">
            <v>5.5E-2</v>
          </cell>
          <cell r="C88">
            <v>31</v>
          </cell>
        </row>
        <row r="89">
          <cell r="A89">
            <v>43708</v>
          </cell>
          <cell r="B89">
            <v>5.5E-2</v>
          </cell>
          <cell r="C89">
            <v>31</v>
          </cell>
        </row>
        <row r="90">
          <cell r="A90">
            <v>43738</v>
          </cell>
          <cell r="B90">
            <v>5.5E-2</v>
          </cell>
          <cell r="C90">
            <v>30</v>
          </cell>
        </row>
        <row r="91">
          <cell r="A91">
            <v>43769</v>
          </cell>
          <cell r="B91">
            <v>5.4199999999999998E-2</v>
          </cell>
          <cell r="C91">
            <v>31</v>
          </cell>
        </row>
        <row r="92">
          <cell r="A92">
            <v>43799</v>
          </cell>
          <cell r="B92">
            <v>5.4199999999999998E-2</v>
          </cell>
          <cell r="C92">
            <v>30</v>
          </cell>
        </row>
        <row r="93">
          <cell r="A93">
            <v>43830</v>
          </cell>
          <cell r="B93">
            <v>5.4199999999999998E-2</v>
          </cell>
          <cell r="C93">
            <v>31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05E5F-26E5-4881-8BBD-FDB7B962BB2E}">
  <dimension ref="B1:AL111"/>
  <sheetViews>
    <sheetView showGridLines="0" tabSelected="1" zoomScaleNormal="100" workbookViewId="0">
      <selection activeCell="J51" sqref="J51"/>
    </sheetView>
  </sheetViews>
  <sheetFormatPr defaultRowHeight="12.75" x14ac:dyDescent="0.2"/>
  <cols>
    <col min="1" max="1" width="1.7109375" customWidth="1"/>
    <col min="2" max="2" width="21.7109375" style="3" customWidth="1"/>
    <col min="3" max="3" width="26.140625" style="21" customWidth="1"/>
    <col min="4" max="4" width="3.5703125" style="10" hidden="1" customWidth="1"/>
    <col min="5" max="5" width="4" style="10" bestFit="1" customWidth="1"/>
    <col min="6" max="6" width="13.7109375" style="10" customWidth="1"/>
    <col min="7" max="7" width="15" style="90" bestFit="1" customWidth="1"/>
    <col min="8" max="8" width="12.140625" style="68" customWidth="1"/>
    <col min="9" max="9" width="11.85546875" style="68" bestFit="1" customWidth="1"/>
    <col min="10" max="10" width="14" style="68" bestFit="1" customWidth="1"/>
    <col min="11" max="12" width="16.140625" style="68" bestFit="1" customWidth="1"/>
    <col min="13" max="13" width="14.5703125" style="68" bestFit="1" customWidth="1"/>
    <col min="14" max="14" width="16.85546875" style="68" bestFit="1" customWidth="1"/>
    <col min="15" max="15" width="8.28515625" style="68" bestFit="1" customWidth="1"/>
    <col min="16" max="16" width="1.7109375" customWidth="1"/>
    <col min="17" max="17" width="16.42578125" hidden="1" customWidth="1"/>
    <col min="18" max="18" width="14.7109375" hidden="1" customWidth="1"/>
    <col min="19" max="19" width="9.7109375" hidden="1" customWidth="1"/>
    <col min="20" max="20" width="13.85546875" hidden="1" customWidth="1"/>
    <col min="21" max="21" width="12.85546875" hidden="1" customWidth="1"/>
    <col min="22" max="29" width="9.7109375" customWidth="1"/>
    <col min="30" max="30" width="25.28515625" customWidth="1"/>
    <col min="31" max="31" width="19.28515625" bestFit="1" customWidth="1"/>
    <col min="32" max="32" width="11.42578125" bestFit="1" customWidth="1"/>
    <col min="33" max="33" width="17" bestFit="1" customWidth="1"/>
    <col min="34" max="34" width="14.7109375" customWidth="1"/>
    <col min="36" max="36" width="17" bestFit="1" customWidth="1"/>
    <col min="37" max="37" width="13.85546875" bestFit="1" customWidth="1"/>
    <col min="38" max="38" width="31.7109375" customWidth="1"/>
  </cols>
  <sheetData>
    <row r="1" spans="2:38" ht="14.25" customHeight="1" x14ac:dyDescent="0.2">
      <c r="B1" s="8" t="s">
        <v>24</v>
      </c>
      <c r="C1" s="9"/>
      <c r="E1" s="11" t="s">
        <v>122</v>
      </c>
      <c r="F1" s="11"/>
      <c r="G1" s="11"/>
      <c r="H1" s="11"/>
      <c r="I1" s="11"/>
      <c r="J1" s="11"/>
      <c r="K1" s="11"/>
      <c r="L1" s="12"/>
      <c r="M1" s="12"/>
      <c r="N1" s="12"/>
      <c r="O1" s="12"/>
      <c r="P1" s="12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</row>
    <row r="2" spans="2:38" ht="14.25" customHeight="1" x14ac:dyDescent="0.25">
      <c r="B2" s="8" t="s">
        <v>25</v>
      </c>
      <c r="C2" s="9"/>
      <c r="D2" s="13"/>
      <c r="E2" s="11"/>
      <c r="F2" s="11"/>
      <c r="G2" s="11"/>
      <c r="H2" s="11"/>
      <c r="I2" s="11"/>
      <c r="J2" s="11"/>
      <c r="K2" s="11"/>
      <c r="L2" s="14" t="s">
        <v>26</v>
      </c>
      <c r="M2" s="14"/>
      <c r="N2" s="14"/>
      <c r="O2" s="14"/>
      <c r="P2" s="14"/>
    </row>
    <row r="3" spans="2:38" ht="14.25" customHeight="1" x14ac:dyDescent="0.25">
      <c r="B3" s="15" t="s">
        <v>27</v>
      </c>
      <c r="C3" s="15"/>
      <c r="D3" s="13"/>
      <c r="E3" s="16"/>
      <c r="F3" s="17">
        <f>'Core Cost Incurred'!B2</f>
        <v>43824</v>
      </c>
      <c r="G3" s="17"/>
      <c r="H3" s="17"/>
      <c r="I3" s="17"/>
      <c r="J3" s="17"/>
      <c r="K3" s="17"/>
      <c r="L3" s="18" t="s">
        <v>28</v>
      </c>
      <c r="M3" s="18"/>
      <c r="N3" s="18"/>
      <c r="O3" s="18"/>
      <c r="P3" s="18"/>
    </row>
    <row r="4" spans="2:38" ht="14.25" customHeight="1" x14ac:dyDescent="0.25">
      <c r="B4" s="19" t="s">
        <v>29</v>
      </c>
      <c r="C4" s="19"/>
      <c r="D4" s="13"/>
      <c r="E4" s="16"/>
      <c r="F4" s="17"/>
      <c r="G4" s="17"/>
      <c r="H4" s="17"/>
      <c r="I4" s="17"/>
      <c r="J4" s="17"/>
      <c r="K4" s="17"/>
      <c r="L4" s="20" t="s">
        <v>30</v>
      </c>
      <c r="M4" s="20"/>
      <c r="N4" s="20"/>
      <c r="O4" s="20"/>
      <c r="P4" s="20"/>
    </row>
    <row r="5" spans="2:38" ht="14.25" customHeight="1" x14ac:dyDescent="0.2">
      <c r="D5" s="13"/>
      <c r="E5" s="16"/>
      <c r="F5" s="16"/>
      <c r="G5" s="16"/>
      <c r="H5" s="16"/>
      <c r="I5" s="16"/>
      <c r="J5" s="16"/>
      <c r="K5" s="16"/>
      <c r="L5" s="12"/>
      <c r="M5" s="12"/>
      <c r="N5" s="12"/>
      <c r="O5" s="12"/>
      <c r="P5" s="12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pans="2:38" ht="15" x14ac:dyDescent="0.25">
      <c r="B6" s="22"/>
      <c r="C6" s="23"/>
      <c r="D6" s="24"/>
      <c r="E6" s="24"/>
      <c r="F6" s="24"/>
      <c r="G6" s="25" t="s">
        <v>31</v>
      </c>
      <c r="H6" s="26" t="s">
        <v>3</v>
      </c>
      <c r="I6" s="26" t="s">
        <v>6</v>
      </c>
      <c r="J6" s="26" t="s">
        <v>32</v>
      </c>
      <c r="K6" s="26" t="s">
        <v>3</v>
      </c>
      <c r="L6" s="26" t="s">
        <v>6</v>
      </c>
      <c r="M6" s="26"/>
      <c r="N6" s="26" t="s">
        <v>12</v>
      </c>
      <c r="O6" s="27"/>
      <c r="Q6" s="28"/>
      <c r="R6" s="33">
        <v>200294.94</v>
      </c>
      <c r="S6" s="28"/>
      <c r="T6" s="28"/>
      <c r="U6" s="33">
        <v>140046.39000000001</v>
      </c>
      <c r="V6" s="28"/>
      <c r="W6" s="28"/>
      <c r="X6" s="28"/>
      <c r="Y6" s="28"/>
      <c r="Z6" s="28"/>
      <c r="AA6" s="28"/>
      <c r="AB6" s="28"/>
      <c r="AC6" s="28"/>
      <c r="AD6" s="29"/>
    </row>
    <row r="7" spans="2:38" ht="15" x14ac:dyDescent="0.25">
      <c r="B7" s="30"/>
      <c r="C7" s="31"/>
      <c r="D7" s="32"/>
      <c r="E7" s="32"/>
      <c r="F7" s="30" t="s">
        <v>33</v>
      </c>
      <c r="G7" s="25" t="s">
        <v>34</v>
      </c>
      <c r="H7" s="26" t="s">
        <v>35</v>
      </c>
      <c r="I7" s="26" t="s">
        <v>35</v>
      </c>
      <c r="J7" s="26" t="s">
        <v>11</v>
      </c>
      <c r="K7" s="26" t="s">
        <v>36</v>
      </c>
      <c r="L7" s="26" t="s">
        <v>36</v>
      </c>
      <c r="M7" s="26" t="s">
        <v>32</v>
      </c>
      <c r="N7" s="26" t="s">
        <v>32</v>
      </c>
      <c r="O7" s="27"/>
      <c r="Q7" s="33">
        <v>11214374</v>
      </c>
      <c r="R7" s="33">
        <f>2345597.06+78799.97+56688.77</f>
        <v>2481085.8000000003</v>
      </c>
      <c r="S7" s="28"/>
      <c r="T7" s="33">
        <v>2845776</v>
      </c>
      <c r="U7" s="33">
        <v>459339.89</v>
      </c>
      <c r="V7" s="28"/>
      <c r="W7" s="28"/>
      <c r="X7" s="28"/>
      <c r="Y7" s="28"/>
      <c r="Z7" s="28"/>
      <c r="AA7" s="28"/>
      <c r="AB7" s="28"/>
      <c r="AC7" s="28"/>
      <c r="AD7" s="34"/>
      <c r="AE7" s="2"/>
    </row>
    <row r="8" spans="2:38" s="42" customFormat="1" x14ac:dyDescent="0.2">
      <c r="B8" s="35"/>
      <c r="C8" s="36"/>
      <c r="D8" s="35" t="s">
        <v>37</v>
      </c>
      <c r="E8" s="35" t="s">
        <v>38</v>
      </c>
      <c r="F8" s="35" t="s">
        <v>38</v>
      </c>
      <c r="G8" s="37" t="s">
        <v>39</v>
      </c>
      <c r="H8" s="38" t="s">
        <v>123</v>
      </c>
      <c r="I8" s="38" t="str">
        <f>+H8</f>
        <v>Nov 1 2019</v>
      </c>
      <c r="J8" s="38" t="str">
        <f>I8</f>
        <v>Nov 1 2019</v>
      </c>
      <c r="K8" s="39" t="s">
        <v>40</v>
      </c>
      <c r="L8" s="39" t="s">
        <v>40</v>
      </c>
      <c r="M8" s="39" t="s">
        <v>11</v>
      </c>
      <c r="N8" s="39" t="s">
        <v>40</v>
      </c>
      <c r="O8" s="27"/>
      <c r="P8"/>
      <c r="V8" s="28"/>
      <c r="W8" s="28"/>
      <c r="X8" s="28"/>
      <c r="Y8" s="28"/>
      <c r="Z8" s="28"/>
      <c r="AA8" s="28"/>
      <c r="AB8" s="28"/>
      <c r="AC8" s="28"/>
      <c r="AD8" s="40"/>
      <c r="AE8" s="2" t="s">
        <v>41</v>
      </c>
      <c r="AF8" s="2" t="s">
        <v>42</v>
      </c>
      <c r="AG8" s="2" t="s">
        <v>43</v>
      </c>
      <c r="AH8" s="41" t="s">
        <v>0</v>
      </c>
      <c r="AI8" s="2" t="s">
        <v>44</v>
      </c>
      <c r="AJ8" s="2" t="s">
        <v>45</v>
      </c>
      <c r="AK8" s="2" t="s">
        <v>46</v>
      </c>
      <c r="AL8" s="2" t="s">
        <v>47</v>
      </c>
    </row>
    <row r="9" spans="2:38" ht="15.75" hidden="1" x14ac:dyDescent="0.25">
      <c r="B9" s="43" t="s">
        <v>48</v>
      </c>
      <c r="C9" s="21" t="s">
        <v>51</v>
      </c>
      <c r="D9" s="44">
        <v>1</v>
      </c>
      <c r="E9" s="10" t="s">
        <v>52</v>
      </c>
      <c r="F9" s="45" t="s">
        <v>53</v>
      </c>
      <c r="G9" s="46">
        <v>0</v>
      </c>
      <c r="H9" s="47"/>
      <c r="I9" s="47"/>
      <c r="J9" s="47"/>
      <c r="K9" s="48">
        <f>ROUND(H9*G9,2)</f>
        <v>0</v>
      </c>
      <c r="L9" s="48">
        <f>ROUND(G9*I9,2)</f>
        <v>0</v>
      </c>
      <c r="M9" s="53">
        <f>ROUND(G9*J9,2)</f>
        <v>0</v>
      </c>
      <c r="N9" s="48">
        <f>SUM(K9:M9)</f>
        <v>0</v>
      </c>
      <c r="O9" s="50"/>
      <c r="Q9" s="54">
        <f>+-1529533-194708</f>
        <v>-1724241</v>
      </c>
      <c r="R9" s="54">
        <f>+-304369.99-70364.48</f>
        <v>-374734.47</v>
      </c>
      <c r="S9" s="51"/>
      <c r="T9" s="55">
        <f>+-505447-64182</f>
        <v>-569629</v>
      </c>
      <c r="U9" s="55">
        <f>+-100581.61-23194.4</f>
        <v>-123776.01000000001</v>
      </c>
      <c r="V9" s="51"/>
      <c r="W9" s="51"/>
      <c r="X9" s="51"/>
      <c r="Y9" s="51"/>
      <c r="Z9" s="51"/>
      <c r="AA9" s="51"/>
      <c r="AB9" s="51"/>
      <c r="AC9" s="51"/>
      <c r="AD9" s="28"/>
      <c r="AE9" t="s">
        <v>50</v>
      </c>
      <c r="AH9" s="28">
        <v>0</v>
      </c>
      <c r="AL9" t="s">
        <v>54</v>
      </c>
    </row>
    <row r="10" spans="2:38" ht="15.75" x14ac:dyDescent="0.25">
      <c r="B10" s="43" t="s">
        <v>48</v>
      </c>
      <c r="C10" s="21" t="s">
        <v>55</v>
      </c>
      <c r="D10" s="44">
        <v>1</v>
      </c>
      <c r="E10" s="10" t="s">
        <v>56</v>
      </c>
      <c r="F10" s="45" t="s">
        <v>57</v>
      </c>
      <c r="G10" s="56">
        <v>17650518</v>
      </c>
      <c r="H10" s="47">
        <v>0.24510999999999999</v>
      </c>
      <c r="I10" s="47">
        <v>0.17580000000000001</v>
      </c>
      <c r="J10" s="47">
        <f>0.05671+0.07276</f>
        <v>0.12947</v>
      </c>
      <c r="K10" s="48">
        <f>ROUND(H10*G10,2)</f>
        <v>4326318.47</v>
      </c>
      <c r="L10" s="48">
        <f>ROUND(G10*I10,2)</f>
        <v>3102961.06</v>
      </c>
      <c r="M10" s="53">
        <f>ROUND(G10*J10,2)</f>
        <v>2285212.5699999998</v>
      </c>
      <c r="N10" s="49">
        <f>SUM(K10:M10)</f>
        <v>9714492.0999999996</v>
      </c>
      <c r="O10" s="50"/>
      <c r="Q10" s="55"/>
      <c r="R10" s="55"/>
      <c r="S10" s="55"/>
      <c r="T10" s="55"/>
      <c r="U10" s="55"/>
      <c r="V10" s="51"/>
      <c r="W10" s="51"/>
      <c r="X10" s="51"/>
      <c r="Y10" s="51"/>
      <c r="Z10" s="51"/>
      <c r="AA10" s="51"/>
      <c r="AB10" s="51"/>
      <c r="AC10" s="51"/>
      <c r="AD10" s="28"/>
      <c r="AE10" t="s">
        <v>50</v>
      </c>
      <c r="AH10" s="28">
        <v>0</v>
      </c>
      <c r="AL10" t="s">
        <v>58</v>
      </c>
    </row>
    <row r="11" spans="2:38" ht="15.75" x14ac:dyDescent="0.25">
      <c r="B11" s="43" t="s">
        <v>59</v>
      </c>
      <c r="C11" s="21" t="s">
        <v>60</v>
      </c>
      <c r="D11" s="44">
        <v>1</v>
      </c>
      <c r="E11" s="10" t="s">
        <v>56</v>
      </c>
      <c r="F11" s="45" t="s">
        <v>57</v>
      </c>
      <c r="G11" s="57">
        <v>-11690320</v>
      </c>
      <c r="H11" s="52">
        <f>$H$10</f>
        <v>0.24510999999999999</v>
      </c>
      <c r="I11" s="52">
        <f>$I$10</f>
        <v>0.17580000000000001</v>
      </c>
      <c r="J11" s="52">
        <f>+$J$10</f>
        <v>0.12947</v>
      </c>
      <c r="K11" s="48">
        <f>ROUND(H11*G11,2)</f>
        <v>-2865414.34</v>
      </c>
      <c r="L11" s="48">
        <f>ROUND(G11*I11,2)</f>
        <v>-2055158.26</v>
      </c>
      <c r="M11" s="53"/>
      <c r="N11" s="49">
        <f>SUM(K11:M11)</f>
        <v>-4920572.5999999996</v>
      </c>
      <c r="O11" s="50"/>
      <c r="Q11" s="58"/>
      <c r="R11" s="58"/>
      <c r="S11" s="58"/>
      <c r="T11" s="58"/>
      <c r="U11" s="58"/>
      <c r="V11" s="59"/>
      <c r="W11" s="59"/>
      <c r="X11" s="59"/>
      <c r="Y11" s="59"/>
      <c r="Z11" s="59"/>
      <c r="AA11" s="59"/>
      <c r="AB11" s="59"/>
      <c r="AC11" s="59"/>
      <c r="AD11" s="28"/>
      <c r="AE11" t="s">
        <v>50</v>
      </c>
      <c r="AH11" s="28">
        <v>0</v>
      </c>
      <c r="AL11" t="s">
        <v>58</v>
      </c>
    </row>
    <row r="12" spans="2:38" ht="15.75" x14ac:dyDescent="0.25">
      <c r="B12" s="43" t="s">
        <v>59</v>
      </c>
      <c r="C12" s="21" t="s">
        <v>61</v>
      </c>
      <c r="D12" s="44">
        <v>1</v>
      </c>
      <c r="E12" s="10" t="s">
        <v>56</v>
      </c>
      <c r="F12" s="45" t="s">
        <v>57</v>
      </c>
      <c r="G12" s="57">
        <v>13833214</v>
      </c>
      <c r="H12" s="52">
        <f>$H$10</f>
        <v>0.24510999999999999</v>
      </c>
      <c r="I12" s="52">
        <f>$I$10</f>
        <v>0.17580000000000001</v>
      </c>
      <c r="J12" s="52">
        <f>+$J$10</f>
        <v>0.12947</v>
      </c>
      <c r="K12" s="48">
        <f>ROUND(H12*G12,2)</f>
        <v>3390659.08</v>
      </c>
      <c r="L12" s="48">
        <f>ROUND(G12*I12,2)</f>
        <v>2431879.02</v>
      </c>
      <c r="M12" s="53"/>
      <c r="N12" s="49">
        <f>SUM(K12:M12)</f>
        <v>5822538.0999999996</v>
      </c>
      <c r="O12" s="50"/>
      <c r="Q12" s="58"/>
      <c r="R12" s="58"/>
      <c r="S12" s="58"/>
      <c r="T12" s="58"/>
      <c r="U12" s="58"/>
      <c r="V12" s="59"/>
      <c r="W12" s="59"/>
      <c r="X12" s="59"/>
      <c r="Y12" s="59"/>
      <c r="Z12" s="59"/>
      <c r="AA12" s="59"/>
      <c r="AB12" s="59"/>
      <c r="AC12" s="59"/>
      <c r="AD12" s="28"/>
      <c r="AE12" t="s">
        <v>50</v>
      </c>
      <c r="AH12" s="28">
        <v>0</v>
      </c>
      <c r="AL12" t="s">
        <v>58</v>
      </c>
    </row>
    <row r="13" spans="2:38" ht="12.2" customHeight="1" x14ac:dyDescent="0.2">
      <c r="B13" s="43"/>
      <c r="D13" s="44"/>
      <c r="F13" s="45"/>
      <c r="G13" s="46"/>
      <c r="H13" s="52"/>
      <c r="I13" s="52"/>
      <c r="J13" s="52"/>
      <c r="K13" s="48"/>
      <c r="L13" s="48"/>
      <c r="M13" s="53"/>
      <c r="N13" s="48"/>
      <c r="O13" s="50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28"/>
      <c r="AH13" s="28"/>
    </row>
    <row r="14" spans="2:38" ht="15.75" x14ac:dyDescent="0.25">
      <c r="B14" s="43" t="s">
        <v>62</v>
      </c>
      <c r="C14" s="21" t="s">
        <v>63</v>
      </c>
      <c r="D14" s="44">
        <v>2</v>
      </c>
      <c r="E14" s="10" t="s">
        <v>64</v>
      </c>
      <c r="F14" s="45" t="s">
        <v>65</v>
      </c>
      <c r="G14" s="56">
        <v>11976706</v>
      </c>
      <c r="H14" s="52">
        <f t="shared" ref="H14:H16" si="0">$H$10</f>
        <v>0.24510999999999999</v>
      </c>
      <c r="I14" s="47">
        <v>0.17316000000000001</v>
      </c>
      <c r="J14" s="52">
        <f t="shared" ref="J14:J16" si="1">+$J$10</f>
        <v>0.12947</v>
      </c>
      <c r="K14" s="48">
        <f>ROUND(H14*G14,2)</f>
        <v>2935610.41</v>
      </c>
      <c r="L14" s="48">
        <f>ROUND(G14*I14,2)</f>
        <v>2073886.41</v>
      </c>
      <c r="M14" s="53">
        <f>ROUND(G14*J14,2)</f>
        <v>1550624.13</v>
      </c>
      <c r="N14" s="60">
        <f>SUM(K14:M14)</f>
        <v>6560120.9500000002</v>
      </c>
      <c r="O14" s="61">
        <v>-0.02</v>
      </c>
      <c r="Q14" s="51" t="s">
        <v>49</v>
      </c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28"/>
      <c r="AE14" t="s">
        <v>50</v>
      </c>
      <c r="AH14" s="28">
        <v>0</v>
      </c>
      <c r="AL14" t="s">
        <v>66</v>
      </c>
    </row>
    <row r="15" spans="2:38" ht="15.75" x14ac:dyDescent="0.25">
      <c r="B15" s="43" t="s">
        <v>67</v>
      </c>
      <c r="C15" s="21" t="s">
        <v>68</v>
      </c>
      <c r="D15" s="44">
        <v>2</v>
      </c>
      <c r="E15" s="10" t="s">
        <v>64</v>
      </c>
      <c r="F15" s="45" t="s">
        <v>65</v>
      </c>
      <c r="G15" s="57">
        <v>-10324809</v>
      </c>
      <c r="H15" s="52">
        <f t="shared" si="0"/>
        <v>0.24510999999999999</v>
      </c>
      <c r="I15" s="52">
        <f>+$I$14</f>
        <v>0.17316000000000001</v>
      </c>
      <c r="J15" s="52">
        <f t="shared" si="1"/>
        <v>0.12947</v>
      </c>
      <c r="K15" s="48">
        <f>ROUND(H15*G15,2)</f>
        <v>-2530713.9300000002</v>
      </c>
      <c r="L15" s="48">
        <f>ROUND(G15*I15,2)</f>
        <v>-1787843.93</v>
      </c>
      <c r="M15" s="53"/>
      <c r="N15" s="60">
        <f>SUM(K15:M15)</f>
        <v>-4318557.8600000003</v>
      </c>
      <c r="O15" s="61"/>
      <c r="Q15" s="59" t="s">
        <v>69</v>
      </c>
      <c r="R15" s="59">
        <f>101807.82+3135667.8</f>
        <v>3237475.6199999996</v>
      </c>
      <c r="S15" s="59"/>
      <c r="T15" s="59"/>
      <c r="U15" s="58">
        <f>242253.38+412186.68</f>
        <v>654440.06000000006</v>
      </c>
      <c r="V15" s="59"/>
      <c r="W15" s="59"/>
      <c r="X15" s="59"/>
      <c r="Y15" s="59"/>
      <c r="Z15" s="59"/>
      <c r="AA15" s="59"/>
      <c r="AB15" s="59"/>
      <c r="AC15" s="59"/>
      <c r="AD15" s="28"/>
      <c r="AE15" t="s">
        <v>50</v>
      </c>
      <c r="AH15" s="28">
        <v>0</v>
      </c>
      <c r="AL15" t="s">
        <v>66</v>
      </c>
    </row>
    <row r="16" spans="2:38" ht="15.75" x14ac:dyDescent="0.25">
      <c r="B16" s="43" t="s">
        <v>67</v>
      </c>
      <c r="C16" s="21" t="s">
        <v>70</v>
      </c>
      <c r="D16" s="44">
        <v>2</v>
      </c>
      <c r="E16" s="10" t="s">
        <v>64</v>
      </c>
      <c r="F16" s="45" t="s">
        <v>65</v>
      </c>
      <c r="G16" s="57">
        <v>11506709</v>
      </c>
      <c r="H16" s="52">
        <f t="shared" si="0"/>
        <v>0.24510999999999999</v>
      </c>
      <c r="I16" s="52">
        <f>+$I$14</f>
        <v>0.17316000000000001</v>
      </c>
      <c r="J16" s="52">
        <f t="shared" si="1"/>
        <v>0.12947</v>
      </c>
      <c r="K16" s="48">
        <f>ROUND(H16*G16,2)</f>
        <v>2820409.44</v>
      </c>
      <c r="L16" s="48">
        <f>ROUND(G16*I16,2)</f>
        <v>1992501.73</v>
      </c>
      <c r="M16" s="53"/>
      <c r="N16" s="49">
        <f>SUM(K16:M16)</f>
        <v>4812911.17</v>
      </c>
      <c r="O16" s="50"/>
      <c r="Q16" s="59" t="s">
        <v>69</v>
      </c>
      <c r="R16" s="59">
        <v>55387.57</v>
      </c>
      <c r="S16" s="59"/>
      <c r="T16" s="59"/>
      <c r="U16" s="58">
        <v>7182.43</v>
      </c>
      <c r="V16" s="59"/>
      <c r="W16" s="59"/>
      <c r="X16" s="59"/>
      <c r="Y16" s="59"/>
      <c r="Z16" s="59"/>
      <c r="AA16" s="59"/>
      <c r="AB16" s="59"/>
      <c r="AC16" s="59"/>
      <c r="AD16" s="28"/>
      <c r="AE16" t="s">
        <v>50</v>
      </c>
      <c r="AH16" s="28">
        <v>0</v>
      </c>
      <c r="AL16" t="s">
        <v>66</v>
      </c>
    </row>
    <row r="17" spans="2:38" ht="12.2" customHeight="1" x14ac:dyDescent="0.2">
      <c r="B17" s="43"/>
      <c r="D17" s="44"/>
      <c r="F17" s="45"/>
      <c r="G17" s="46"/>
      <c r="H17" s="52"/>
      <c r="I17" s="52"/>
      <c r="J17" s="52"/>
      <c r="K17" s="48"/>
      <c r="L17" s="48"/>
      <c r="M17" s="53"/>
      <c r="N17" s="48"/>
      <c r="O17" s="50"/>
      <c r="Q17" s="4"/>
      <c r="R17" s="4"/>
      <c r="S17" s="4"/>
      <c r="T17" s="4"/>
      <c r="U17" s="55"/>
      <c r="V17" s="4"/>
      <c r="W17" s="4"/>
      <c r="X17" s="4"/>
      <c r="Y17" s="4"/>
      <c r="Z17" s="4"/>
      <c r="AA17" s="4"/>
      <c r="AB17" s="4"/>
      <c r="AC17" s="4"/>
      <c r="AD17" s="28"/>
      <c r="AH17" s="28"/>
    </row>
    <row r="18" spans="2:38" ht="15.75" x14ac:dyDescent="0.25">
      <c r="B18" s="43" t="s">
        <v>62</v>
      </c>
      <c r="C18" s="21" t="s">
        <v>71</v>
      </c>
      <c r="D18" s="44">
        <v>2</v>
      </c>
      <c r="E18" s="10" t="s">
        <v>72</v>
      </c>
      <c r="F18" s="45" t="s">
        <v>73</v>
      </c>
      <c r="G18" s="56">
        <v>1270156</v>
      </c>
      <c r="H18" s="52">
        <f t="shared" ref="H18:H24" si="2">$H$10</f>
        <v>0.24510999999999999</v>
      </c>
      <c r="I18" s="47">
        <v>0.16012999999999999</v>
      </c>
      <c r="J18" s="52">
        <f t="shared" ref="J18:J24" si="3">+$J$10</f>
        <v>0.12947</v>
      </c>
      <c r="K18" s="48">
        <f t="shared" ref="K18:K24" si="4">ROUND(H18*G18,2)</f>
        <v>311327.94</v>
      </c>
      <c r="L18" s="48">
        <f t="shared" ref="L18:L24" si="5">ROUND(G18*I18,2)</f>
        <v>203390.07999999999</v>
      </c>
      <c r="M18" s="53">
        <f t="shared" ref="M18:M24" si="6">ROUND(G18*J18,2)</f>
        <v>164447.1</v>
      </c>
      <c r="N18" s="62">
        <f t="shared" ref="N18:N24" si="7">SUM(K18:M18)</f>
        <v>679165.12</v>
      </c>
      <c r="O18" s="61">
        <v>2.0699999999999998</v>
      </c>
      <c r="Q18" s="51" t="s">
        <v>49</v>
      </c>
      <c r="R18" s="51">
        <v>625208.07999999996</v>
      </c>
      <c r="S18" s="51"/>
      <c r="T18" s="51"/>
      <c r="U18" s="55">
        <f>44136.69+5300</f>
        <v>49436.69</v>
      </c>
      <c r="V18" s="51"/>
      <c r="W18" s="51"/>
      <c r="X18" s="51"/>
      <c r="Y18" s="51"/>
      <c r="Z18" s="51"/>
      <c r="AA18" s="51"/>
      <c r="AB18" s="51"/>
      <c r="AC18" s="51"/>
      <c r="AD18" s="28"/>
      <c r="AE18" t="s">
        <v>50</v>
      </c>
      <c r="AH18" s="28">
        <v>0</v>
      </c>
      <c r="AL18" t="s">
        <v>74</v>
      </c>
    </row>
    <row r="19" spans="2:38" ht="15" x14ac:dyDescent="0.2">
      <c r="B19" s="43" t="s">
        <v>62</v>
      </c>
      <c r="C19" s="21" t="s">
        <v>75</v>
      </c>
      <c r="D19" s="44">
        <v>2</v>
      </c>
      <c r="E19" s="10" t="s">
        <v>76</v>
      </c>
      <c r="F19" s="45" t="s">
        <v>77</v>
      </c>
      <c r="G19" s="46"/>
      <c r="H19" s="52">
        <f t="shared" si="2"/>
        <v>0.24510999999999999</v>
      </c>
      <c r="I19" s="52">
        <f t="shared" ref="I19:I24" si="8">+$I$14</f>
        <v>0.17316000000000001</v>
      </c>
      <c r="J19" s="52">
        <f t="shared" si="3"/>
        <v>0.12947</v>
      </c>
      <c r="K19" s="48">
        <f t="shared" si="4"/>
        <v>0</v>
      </c>
      <c r="L19" s="48">
        <f t="shared" si="5"/>
        <v>0</v>
      </c>
      <c r="M19" s="53">
        <f t="shared" si="6"/>
        <v>0</v>
      </c>
      <c r="N19" s="49">
        <f>SUM(K19:M19)</f>
        <v>0</v>
      </c>
      <c r="O19" s="50">
        <v>0.01</v>
      </c>
      <c r="Q19" s="51" t="s">
        <v>49</v>
      </c>
      <c r="R19" s="51">
        <f>+-128.04-565547.01</f>
        <v>-565675.05000000005</v>
      </c>
      <c r="S19" s="51"/>
      <c r="T19" s="51"/>
      <c r="U19" s="55">
        <f>+-193.7-79036.58</f>
        <v>-79230.28</v>
      </c>
      <c r="V19" s="51"/>
      <c r="W19" s="51"/>
      <c r="X19" s="51"/>
      <c r="Y19" s="51"/>
      <c r="Z19" s="51"/>
      <c r="AA19" s="51"/>
      <c r="AB19" s="51"/>
      <c r="AC19" s="51"/>
      <c r="AD19" s="63"/>
      <c r="AE19" t="s">
        <v>50</v>
      </c>
      <c r="AH19" s="28">
        <v>0</v>
      </c>
      <c r="AL19" t="s">
        <v>78</v>
      </c>
    </row>
    <row r="20" spans="2:38" ht="15" x14ac:dyDescent="0.2">
      <c r="B20" s="43" t="s">
        <v>62</v>
      </c>
      <c r="C20" s="21" t="s">
        <v>79</v>
      </c>
      <c r="D20" s="44">
        <v>2</v>
      </c>
      <c r="E20" s="10" t="s">
        <v>52</v>
      </c>
      <c r="F20" s="45" t="s">
        <v>53</v>
      </c>
      <c r="G20" s="46">
        <v>0</v>
      </c>
      <c r="H20" s="52">
        <f t="shared" si="2"/>
        <v>0.24510999999999999</v>
      </c>
      <c r="I20" s="52">
        <f t="shared" si="8"/>
        <v>0.17316000000000001</v>
      </c>
      <c r="J20" s="52">
        <f t="shared" si="3"/>
        <v>0.12947</v>
      </c>
      <c r="K20" s="48">
        <f t="shared" si="4"/>
        <v>0</v>
      </c>
      <c r="L20" s="48">
        <f t="shared" si="5"/>
        <v>0</v>
      </c>
      <c r="M20" s="53">
        <f t="shared" si="6"/>
        <v>0</v>
      </c>
      <c r="N20" s="48">
        <f t="shared" si="7"/>
        <v>0</v>
      </c>
      <c r="O20" s="50"/>
      <c r="Q20" s="51" t="s">
        <v>49</v>
      </c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63"/>
      <c r="AE20" t="s">
        <v>50</v>
      </c>
      <c r="AH20" s="28">
        <v>0</v>
      </c>
      <c r="AL20" t="s">
        <v>80</v>
      </c>
    </row>
    <row r="21" spans="2:38" ht="15.75" x14ac:dyDescent="0.25">
      <c r="B21" s="43" t="s">
        <v>62</v>
      </c>
      <c r="C21" s="21" t="s">
        <v>71</v>
      </c>
      <c r="D21" s="44">
        <v>2</v>
      </c>
      <c r="E21" s="10" t="s">
        <v>72</v>
      </c>
      <c r="F21" s="45" t="s">
        <v>82</v>
      </c>
      <c r="G21" s="56">
        <v>3958</v>
      </c>
      <c r="H21" s="52">
        <f t="shared" si="2"/>
        <v>0.24510999999999999</v>
      </c>
      <c r="I21" s="52">
        <f t="shared" si="8"/>
        <v>0.17316000000000001</v>
      </c>
      <c r="J21" s="52">
        <f t="shared" si="3"/>
        <v>0.12947</v>
      </c>
      <c r="K21" s="48">
        <f t="shared" si="4"/>
        <v>970.15</v>
      </c>
      <c r="L21" s="48">
        <f t="shared" si="5"/>
        <v>685.37</v>
      </c>
      <c r="M21" s="53">
        <f t="shared" si="6"/>
        <v>512.44000000000005</v>
      </c>
      <c r="N21" s="60">
        <f t="shared" si="7"/>
        <v>2167.96</v>
      </c>
      <c r="O21" s="61"/>
      <c r="Q21" s="51" t="s">
        <v>49</v>
      </c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28"/>
      <c r="AE21" t="s">
        <v>50</v>
      </c>
      <c r="AH21" s="28">
        <v>0</v>
      </c>
      <c r="AL21" t="s">
        <v>74</v>
      </c>
    </row>
    <row r="22" spans="2:38" ht="15.75" x14ac:dyDescent="0.25">
      <c r="B22" s="106" t="s">
        <v>62</v>
      </c>
      <c r="C22" s="107" t="s">
        <v>71</v>
      </c>
      <c r="D22" s="108">
        <v>2</v>
      </c>
      <c r="E22" s="109" t="s">
        <v>72</v>
      </c>
      <c r="F22" s="109" t="s">
        <v>121</v>
      </c>
      <c r="G22" s="56">
        <v>1498743</v>
      </c>
      <c r="H22" s="52">
        <f t="shared" si="2"/>
        <v>0.24510999999999999</v>
      </c>
      <c r="I22" s="52">
        <f t="shared" si="8"/>
        <v>0.17316000000000001</v>
      </c>
      <c r="J22" s="52">
        <f t="shared" si="3"/>
        <v>0.12947</v>
      </c>
      <c r="K22" s="48">
        <f t="shared" si="4"/>
        <v>367356.9</v>
      </c>
      <c r="L22" s="48">
        <f t="shared" si="5"/>
        <v>259522.34</v>
      </c>
      <c r="M22" s="53">
        <f t="shared" si="6"/>
        <v>194042.26</v>
      </c>
      <c r="N22" s="60">
        <f t="shared" si="7"/>
        <v>820921.5</v>
      </c>
      <c r="O22" s="6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28"/>
      <c r="AH22" s="28"/>
    </row>
    <row r="23" spans="2:38" ht="15.75" x14ac:dyDescent="0.25">
      <c r="B23" s="43" t="s">
        <v>67</v>
      </c>
      <c r="C23" s="21" t="s">
        <v>81</v>
      </c>
      <c r="D23" s="44">
        <v>2</v>
      </c>
      <c r="E23" s="10" t="s">
        <v>72</v>
      </c>
      <c r="F23" s="45" t="s">
        <v>82</v>
      </c>
      <c r="G23" s="64">
        <v>-1502701</v>
      </c>
      <c r="H23" s="52">
        <f t="shared" si="2"/>
        <v>0.24510999999999999</v>
      </c>
      <c r="I23" s="52">
        <f t="shared" si="8"/>
        <v>0.17316000000000001</v>
      </c>
      <c r="J23" s="52">
        <f t="shared" si="3"/>
        <v>0.12947</v>
      </c>
      <c r="K23" s="48">
        <f t="shared" si="4"/>
        <v>-368327.04</v>
      </c>
      <c r="L23" s="48">
        <f t="shared" si="5"/>
        <v>-260207.71</v>
      </c>
      <c r="M23" s="53">
        <f t="shared" si="6"/>
        <v>-194554.7</v>
      </c>
      <c r="N23" s="60">
        <f t="shared" si="7"/>
        <v>-823089.45</v>
      </c>
      <c r="O23" s="61"/>
      <c r="Q23" s="4"/>
      <c r="R23" s="4">
        <v>57899.56</v>
      </c>
      <c r="S23" s="4"/>
      <c r="T23" s="4"/>
      <c r="U23" s="55">
        <v>8091.98</v>
      </c>
      <c r="V23" s="4"/>
      <c r="W23" s="4"/>
      <c r="X23" s="4"/>
      <c r="Y23" s="4"/>
      <c r="Z23" s="4"/>
      <c r="AA23" s="4"/>
      <c r="AB23" s="4"/>
      <c r="AC23" s="4"/>
      <c r="AD23" s="65"/>
      <c r="AE23" t="s">
        <v>50</v>
      </c>
      <c r="AH23" s="28">
        <v>0</v>
      </c>
      <c r="AL23" t="s">
        <v>74</v>
      </c>
    </row>
    <row r="24" spans="2:38" ht="15.75" x14ac:dyDescent="0.25">
      <c r="B24" s="43" t="s">
        <v>67</v>
      </c>
      <c r="C24" s="21" t="s">
        <v>83</v>
      </c>
      <c r="D24" s="44">
        <v>2</v>
      </c>
      <c r="E24" s="10" t="s">
        <v>72</v>
      </c>
      <c r="F24" s="45" t="s">
        <v>82</v>
      </c>
      <c r="G24" s="64">
        <v>1693551</v>
      </c>
      <c r="H24" s="52">
        <f t="shared" si="2"/>
        <v>0.24510999999999999</v>
      </c>
      <c r="I24" s="52">
        <f t="shared" si="8"/>
        <v>0.17316000000000001</v>
      </c>
      <c r="J24" s="52">
        <f t="shared" si="3"/>
        <v>0.12947</v>
      </c>
      <c r="K24" s="48">
        <f t="shared" si="4"/>
        <v>415106.29</v>
      </c>
      <c r="L24" s="48">
        <f t="shared" si="5"/>
        <v>293255.28999999998</v>
      </c>
      <c r="M24" s="53">
        <f t="shared" si="6"/>
        <v>219264.05</v>
      </c>
      <c r="N24" s="49">
        <f t="shared" si="7"/>
        <v>927625.62999999989</v>
      </c>
      <c r="O24" s="50"/>
      <c r="Q24" s="4"/>
      <c r="R24" s="4">
        <v>61282.61</v>
      </c>
      <c r="S24" s="4"/>
      <c r="T24" s="4"/>
      <c r="U24" s="55">
        <v>6665.73</v>
      </c>
      <c r="V24" s="4"/>
      <c r="W24" s="4"/>
      <c r="X24" s="4"/>
      <c r="Y24" s="4"/>
      <c r="Z24" s="4"/>
      <c r="AA24" s="4"/>
      <c r="AB24" s="4"/>
      <c r="AC24" s="4"/>
      <c r="AD24" s="65"/>
      <c r="AE24" t="s">
        <v>50</v>
      </c>
      <c r="AH24" s="28">
        <v>0</v>
      </c>
      <c r="AL24" t="s">
        <v>74</v>
      </c>
    </row>
    <row r="25" spans="2:38" ht="12.2" customHeight="1" x14ac:dyDescent="0.2">
      <c r="B25" s="43"/>
      <c r="D25" s="44"/>
      <c r="F25" s="45"/>
      <c r="G25" s="66"/>
      <c r="H25" s="67"/>
      <c r="I25" s="52"/>
      <c r="J25" s="52"/>
      <c r="K25" s="48"/>
      <c r="L25" s="48"/>
      <c r="M25" s="53"/>
      <c r="N25" s="48"/>
      <c r="O25" s="50"/>
      <c r="Q25" s="4"/>
      <c r="R25" s="4"/>
      <c r="S25" s="4"/>
      <c r="T25" s="4"/>
      <c r="U25" s="55"/>
      <c r="V25" s="4"/>
      <c r="W25" s="4"/>
      <c r="X25" s="4"/>
      <c r="Y25" s="4"/>
      <c r="Z25" s="4"/>
      <c r="AA25" s="4"/>
      <c r="AB25" s="4"/>
      <c r="AC25" s="4"/>
      <c r="AD25" s="65"/>
      <c r="AH25" s="28"/>
    </row>
    <row r="26" spans="2:38" ht="15.75" x14ac:dyDescent="0.25">
      <c r="B26" s="43" t="s">
        <v>84</v>
      </c>
      <c r="C26" s="21" t="s">
        <v>85</v>
      </c>
      <c r="D26" s="44">
        <v>3</v>
      </c>
      <c r="E26" s="10" t="s">
        <v>86</v>
      </c>
      <c r="F26" s="45" t="s">
        <v>87</v>
      </c>
      <c r="G26" s="56">
        <v>1422636</v>
      </c>
      <c r="H26" s="52">
        <f t="shared" ref="H26:H28" si="9">$H$10</f>
        <v>0.24510999999999999</v>
      </c>
      <c r="I26" s="52">
        <f>$I$18</f>
        <v>0.16012999999999999</v>
      </c>
      <c r="J26" s="52">
        <f t="shared" ref="J26:J28" si="10">+$J$10</f>
        <v>0.12947</v>
      </c>
      <c r="K26" s="48">
        <f>ROUND(H26*G26,2)</f>
        <v>348702.31</v>
      </c>
      <c r="L26" s="48">
        <f>ROUND(G26*I26,2)</f>
        <v>227806.7</v>
      </c>
      <c r="M26" s="53">
        <f>ROUND(G26*J26,2)</f>
        <v>184188.68</v>
      </c>
      <c r="N26" s="49">
        <f>SUM(K26:M26)</f>
        <v>760697.69</v>
      </c>
      <c r="O26" s="50">
        <v>-0.01</v>
      </c>
      <c r="Q26" s="51" t="s">
        <v>49</v>
      </c>
      <c r="R26" s="51">
        <v>49965.85</v>
      </c>
      <c r="S26" s="51"/>
      <c r="T26" s="51"/>
      <c r="U26" s="55">
        <v>5434.8</v>
      </c>
      <c r="V26" s="51"/>
      <c r="W26" s="51"/>
      <c r="X26" s="51"/>
      <c r="Y26" s="51"/>
      <c r="Z26" s="51"/>
      <c r="AA26" s="51"/>
      <c r="AB26" s="51"/>
      <c r="AC26" s="51"/>
      <c r="AD26" s="63"/>
      <c r="AE26" t="s">
        <v>50</v>
      </c>
      <c r="AH26" s="28">
        <v>0</v>
      </c>
      <c r="AL26" t="s">
        <v>88</v>
      </c>
    </row>
    <row r="27" spans="2:38" ht="15.75" x14ac:dyDescent="0.25">
      <c r="B27" s="43" t="s">
        <v>84</v>
      </c>
      <c r="C27" s="21" t="s">
        <v>89</v>
      </c>
      <c r="D27" s="44">
        <v>3</v>
      </c>
      <c r="E27" s="10" t="s">
        <v>72</v>
      </c>
      <c r="F27" s="45" t="s">
        <v>73</v>
      </c>
      <c r="G27" s="56">
        <v>368658</v>
      </c>
      <c r="H27" s="52">
        <f t="shared" si="9"/>
        <v>0.24510999999999999</v>
      </c>
      <c r="I27" s="52">
        <f>$I$18</f>
        <v>0.16012999999999999</v>
      </c>
      <c r="J27" s="52">
        <f t="shared" si="10"/>
        <v>0.12947</v>
      </c>
      <c r="K27" s="48">
        <f>ROUND(H27*G27,2)</f>
        <v>90361.76</v>
      </c>
      <c r="L27" s="48">
        <f>ROUND(G27*I27,2)</f>
        <v>59033.21</v>
      </c>
      <c r="M27" s="53">
        <f>ROUND(G27*J27,2)</f>
        <v>47730.15</v>
      </c>
      <c r="N27" s="49">
        <f>SUM(K27:M27)</f>
        <v>197125.12</v>
      </c>
      <c r="O27" s="50"/>
      <c r="Q27" s="51" t="s">
        <v>49</v>
      </c>
      <c r="R27" s="51"/>
      <c r="S27" s="51"/>
      <c r="T27" s="51"/>
      <c r="U27" s="55"/>
      <c r="V27" s="51"/>
      <c r="W27" s="51"/>
      <c r="X27" s="51"/>
      <c r="Y27" s="51"/>
      <c r="Z27" s="51"/>
      <c r="AA27" s="51"/>
      <c r="AB27" s="51"/>
      <c r="AC27" s="51"/>
      <c r="AD27" s="63"/>
      <c r="AE27" t="s">
        <v>50</v>
      </c>
      <c r="AH27" s="28">
        <v>0</v>
      </c>
      <c r="AL27" t="s">
        <v>90</v>
      </c>
    </row>
    <row r="28" spans="2:38" ht="15" x14ac:dyDescent="0.2">
      <c r="B28" s="43" t="s">
        <v>84</v>
      </c>
      <c r="C28" s="21" t="s">
        <v>91</v>
      </c>
      <c r="D28" s="44">
        <v>3</v>
      </c>
      <c r="E28" s="10" t="s">
        <v>76</v>
      </c>
      <c r="F28" s="45" t="s">
        <v>77</v>
      </c>
      <c r="G28" s="46">
        <v>0</v>
      </c>
      <c r="H28" s="52">
        <f t="shared" si="9"/>
        <v>0.24510999999999999</v>
      </c>
      <c r="I28" s="52">
        <f>+$I$14</f>
        <v>0.17316000000000001</v>
      </c>
      <c r="J28" s="52">
        <f t="shared" si="10"/>
        <v>0.12947</v>
      </c>
      <c r="K28" s="48">
        <f>ROUND(H28*G28,2)</f>
        <v>0</v>
      </c>
      <c r="L28" s="48">
        <f>ROUND(G28*I28,2)</f>
        <v>0</v>
      </c>
      <c r="M28" s="53">
        <f>ROUND(G28*J28,2)</f>
        <v>0</v>
      </c>
      <c r="N28" s="48">
        <f>SUM(K28:M28)</f>
        <v>0</v>
      </c>
      <c r="O28" s="50"/>
      <c r="Q28" s="4"/>
      <c r="R28" s="4"/>
      <c r="S28" s="4"/>
      <c r="T28" s="4"/>
      <c r="U28" s="55"/>
      <c r="V28" s="4"/>
      <c r="W28" s="4"/>
      <c r="X28" s="4"/>
      <c r="Y28" s="4"/>
      <c r="Z28" s="4"/>
      <c r="AA28" s="4"/>
      <c r="AB28" s="4"/>
      <c r="AC28" s="4"/>
      <c r="AD28" s="28"/>
      <c r="AE28" t="s">
        <v>50</v>
      </c>
      <c r="AH28" s="28">
        <v>0</v>
      </c>
      <c r="AL28" t="s">
        <v>92</v>
      </c>
    </row>
    <row r="29" spans="2:38" ht="12.2" customHeight="1" x14ac:dyDescent="0.2">
      <c r="B29" s="43"/>
      <c r="D29" s="44"/>
      <c r="F29" s="45"/>
      <c r="G29" s="46"/>
      <c r="H29" s="52"/>
      <c r="I29" s="52"/>
      <c r="J29" s="52"/>
      <c r="K29" s="48"/>
      <c r="L29" s="48"/>
      <c r="M29" s="53"/>
      <c r="N29" s="48"/>
      <c r="O29" s="50"/>
      <c r="Q29" s="4"/>
      <c r="R29" s="4">
        <v>17029.240000000002</v>
      </c>
      <c r="S29" s="4"/>
      <c r="T29" s="4"/>
      <c r="U29" s="55">
        <v>1729.72</v>
      </c>
      <c r="V29" s="4"/>
      <c r="W29" s="4"/>
      <c r="X29" s="4"/>
      <c r="Y29" s="4"/>
      <c r="Z29" s="4"/>
      <c r="AA29" s="4"/>
      <c r="AB29" s="4"/>
      <c r="AC29" s="4"/>
      <c r="AD29" s="28"/>
      <c r="AH29" s="28"/>
    </row>
    <row r="30" spans="2:38" ht="15.75" x14ac:dyDescent="0.25">
      <c r="B30" s="43" t="s">
        <v>93</v>
      </c>
      <c r="C30" s="21" t="s">
        <v>94</v>
      </c>
      <c r="D30" s="44">
        <v>3</v>
      </c>
      <c r="E30" s="10" t="s">
        <v>86</v>
      </c>
      <c r="F30" s="45" t="s">
        <v>95</v>
      </c>
      <c r="G30" s="56">
        <v>491</v>
      </c>
      <c r="H30" s="52">
        <f t="shared" ref="H30:H32" si="11">$H$10</f>
        <v>0.24510999999999999</v>
      </c>
      <c r="I30" s="52">
        <f>$I$18</f>
        <v>0.16012999999999999</v>
      </c>
      <c r="J30" s="52">
        <f t="shared" ref="J30:J32" si="12">+$J$10</f>
        <v>0.12947</v>
      </c>
      <c r="K30" s="48">
        <f t="shared" ref="K30:K32" si="13">ROUND(H30*G30,2)</f>
        <v>120.35</v>
      </c>
      <c r="L30" s="48">
        <f t="shared" ref="L30:L32" si="14">ROUND(G30*I30,2)</f>
        <v>78.62</v>
      </c>
      <c r="M30" s="53">
        <f t="shared" ref="M30:M32" si="15">ROUND(G30*J30,2)</f>
        <v>63.57</v>
      </c>
      <c r="N30" s="48">
        <f t="shared" ref="N30:N32" si="16">SUM(K30:M30)</f>
        <v>262.54000000000002</v>
      </c>
      <c r="O30" s="50"/>
      <c r="Q30" s="51" t="s">
        <v>49</v>
      </c>
      <c r="R30" s="51"/>
      <c r="S30" s="51"/>
      <c r="T30" s="51"/>
      <c r="U30" s="55"/>
      <c r="V30" s="51"/>
      <c r="W30" s="51"/>
      <c r="X30" s="51"/>
      <c r="Y30" s="51"/>
      <c r="Z30" s="51"/>
      <c r="AA30" s="51"/>
      <c r="AB30" s="51"/>
      <c r="AC30" s="51"/>
      <c r="AD30" s="63"/>
      <c r="AE30" t="s">
        <v>50</v>
      </c>
      <c r="AH30" s="28">
        <v>0</v>
      </c>
      <c r="AL30" t="s">
        <v>88</v>
      </c>
    </row>
    <row r="31" spans="2:38" ht="15.75" x14ac:dyDescent="0.25">
      <c r="B31" s="43" t="s">
        <v>96</v>
      </c>
      <c r="C31" s="21" t="s">
        <v>81</v>
      </c>
      <c r="D31" s="44">
        <v>3</v>
      </c>
      <c r="E31" s="10" t="s">
        <v>86</v>
      </c>
      <c r="F31" s="45" t="s">
        <v>95</v>
      </c>
      <c r="G31" s="64">
        <v>-491</v>
      </c>
      <c r="H31" s="52">
        <f t="shared" si="11"/>
        <v>0.24510999999999999</v>
      </c>
      <c r="I31" s="52">
        <f>$I$18</f>
        <v>0.16012999999999999</v>
      </c>
      <c r="J31" s="52">
        <f t="shared" si="12"/>
        <v>0.12947</v>
      </c>
      <c r="K31" s="48">
        <f t="shared" si="13"/>
        <v>-120.35</v>
      </c>
      <c r="L31" s="48">
        <f t="shared" si="14"/>
        <v>-78.62</v>
      </c>
      <c r="M31" s="53">
        <f t="shared" si="15"/>
        <v>-63.57</v>
      </c>
      <c r="N31" s="48">
        <f t="shared" si="16"/>
        <v>-262.54000000000002</v>
      </c>
      <c r="O31" s="50"/>
      <c r="Q31" s="4"/>
      <c r="R31" s="4">
        <v>128505.68</v>
      </c>
      <c r="S31" s="4"/>
      <c r="T31" s="4"/>
      <c r="U31" s="55">
        <v>17959.87</v>
      </c>
      <c r="V31" s="4"/>
      <c r="W31" s="4"/>
      <c r="X31" s="4"/>
      <c r="Y31" s="4"/>
      <c r="Z31" s="4"/>
      <c r="AA31" s="4"/>
      <c r="AB31" s="4"/>
      <c r="AC31" s="4"/>
      <c r="AD31" s="65"/>
      <c r="AE31" t="s">
        <v>50</v>
      </c>
      <c r="AH31" s="28">
        <v>0</v>
      </c>
      <c r="AL31" t="s">
        <v>88</v>
      </c>
    </row>
    <row r="32" spans="2:38" ht="15.75" x14ac:dyDescent="0.25">
      <c r="B32" s="43" t="s">
        <v>96</v>
      </c>
      <c r="C32" s="21" t="s">
        <v>83</v>
      </c>
      <c r="D32" s="44">
        <v>3</v>
      </c>
      <c r="E32" s="10" t="s">
        <v>86</v>
      </c>
      <c r="F32" s="45" t="s">
        <v>95</v>
      </c>
      <c r="G32" s="64">
        <v>261</v>
      </c>
      <c r="H32" s="52">
        <f t="shared" si="11"/>
        <v>0.24510999999999999</v>
      </c>
      <c r="I32" s="52">
        <f>$I$18</f>
        <v>0.16012999999999999</v>
      </c>
      <c r="J32" s="52">
        <f t="shared" si="12"/>
        <v>0.12947</v>
      </c>
      <c r="K32" s="48">
        <f t="shared" si="13"/>
        <v>63.97</v>
      </c>
      <c r="L32" s="48">
        <f t="shared" si="14"/>
        <v>41.79</v>
      </c>
      <c r="M32" s="53">
        <f t="shared" si="15"/>
        <v>33.79</v>
      </c>
      <c r="N32" s="48">
        <f t="shared" si="16"/>
        <v>139.54999999999998</v>
      </c>
      <c r="O32" s="48"/>
      <c r="Q32" s="4"/>
      <c r="R32" s="4">
        <v>97.86</v>
      </c>
      <c r="S32" s="4"/>
      <c r="T32" s="4"/>
      <c r="U32" s="55">
        <v>10.64</v>
      </c>
      <c r="V32" s="4"/>
      <c r="W32" s="4"/>
      <c r="X32" s="4"/>
      <c r="Y32" s="4"/>
      <c r="Z32" s="4"/>
      <c r="AA32" s="4"/>
      <c r="AB32" s="4"/>
      <c r="AC32" s="4"/>
      <c r="AD32" s="65"/>
      <c r="AE32" t="s">
        <v>50</v>
      </c>
      <c r="AH32" s="28">
        <v>0</v>
      </c>
      <c r="AL32" t="s">
        <v>88</v>
      </c>
    </row>
    <row r="33" spans="2:38" ht="12.2" customHeight="1" x14ac:dyDescent="0.2">
      <c r="B33" s="43"/>
      <c r="D33" s="44"/>
      <c r="F33" s="45"/>
      <c r="G33" s="46"/>
      <c r="H33" s="52"/>
      <c r="I33" s="52"/>
      <c r="J33" s="52"/>
      <c r="K33" s="48"/>
      <c r="L33" s="48"/>
      <c r="M33" s="53"/>
      <c r="N33" s="48"/>
      <c r="O33" s="48"/>
      <c r="Q33" s="4"/>
      <c r="R33" s="4"/>
      <c r="S33" s="4"/>
      <c r="T33" s="4"/>
      <c r="U33" s="55"/>
      <c r="V33" s="4"/>
      <c r="W33" s="4"/>
      <c r="X33" s="4"/>
      <c r="Y33" s="4"/>
      <c r="Z33" s="4"/>
      <c r="AA33" s="4"/>
      <c r="AB33" s="4"/>
      <c r="AC33" s="4"/>
      <c r="AD33" s="63"/>
      <c r="AH33" s="28"/>
    </row>
    <row r="34" spans="2:38" ht="15" x14ac:dyDescent="0.2">
      <c r="B34" s="43" t="s">
        <v>93</v>
      </c>
      <c r="C34" s="21" t="s">
        <v>97</v>
      </c>
      <c r="D34" s="44" t="s">
        <v>15</v>
      </c>
      <c r="E34" s="10" t="s">
        <v>98</v>
      </c>
      <c r="F34" s="45" t="s">
        <v>99</v>
      </c>
      <c r="G34" s="46">
        <v>0</v>
      </c>
      <c r="H34" s="52">
        <f t="shared" ref="H34:H36" si="17">$H$10</f>
        <v>0.24510999999999999</v>
      </c>
      <c r="I34" s="47">
        <v>0.14713999999999999</v>
      </c>
      <c r="J34" s="52">
        <f t="shared" ref="J34:J36" si="18">+$J$10</f>
        <v>0.12947</v>
      </c>
      <c r="K34" s="48">
        <f>ROUND(H34*G34,2)</f>
        <v>0</v>
      </c>
      <c r="L34" s="48">
        <f>ROUND(G34*I34,2)</f>
        <v>0</v>
      </c>
      <c r="M34" s="53">
        <f>ROUND(G34*J34,2)</f>
        <v>0</v>
      </c>
      <c r="N34" s="62">
        <f>SUM(K34:M34)</f>
        <v>0</v>
      </c>
      <c r="Q34" s="4"/>
      <c r="R34" s="4"/>
      <c r="S34" s="4"/>
      <c r="T34" s="4"/>
      <c r="U34" s="55"/>
      <c r="V34" s="4"/>
      <c r="W34" s="4"/>
      <c r="X34" s="4"/>
      <c r="Y34" s="4"/>
      <c r="Z34" s="4"/>
      <c r="AA34" s="4"/>
      <c r="AB34" s="4"/>
      <c r="AC34" s="4"/>
      <c r="AD34" s="28"/>
      <c r="AE34" t="s">
        <v>50</v>
      </c>
      <c r="AH34" s="28">
        <v>0</v>
      </c>
      <c r="AL34" t="s">
        <v>100</v>
      </c>
    </row>
    <row r="35" spans="2:38" ht="15" x14ac:dyDescent="0.2">
      <c r="B35" s="43" t="s">
        <v>96</v>
      </c>
      <c r="C35" s="21" t="s">
        <v>81</v>
      </c>
      <c r="D35" s="44">
        <v>4</v>
      </c>
      <c r="E35" s="10" t="s">
        <v>98</v>
      </c>
      <c r="F35" s="45" t="s">
        <v>99</v>
      </c>
      <c r="G35" s="69">
        <v>0</v>
      </c>
      <c r="H35" s="52">
        <f t="shared" si="17"/>
        <v>0.24510999999999999</v>
      </c>
      <c r="I35" s="52">
        <f>$I$34</f>
        <v>0.14713999999999999</v>
      </c>
      <c r="J35" s="52">
        <f t="shared" si="18"/>
        <v>0.12947</v>
      </c>
      <c r="K35" s="48">
        <f>ROUND(H35*G35,2)</f>
        <v>0</v>
      </c>
      <c r="L35" s="48">
        <f>ROUND(G35*I35,2)</f>
        <v>0</v>
      </c>
      <c r="M35" s="53">
        <f>ROUND(G35*J35,2)</f>
        <v>0</v>
      </c>
      <c r="N35" s="49">
        <f>SUM(K35:M35)</f>
        <v>0</v>
      </c>
      <c r="O35" s="48">
        <f>-N35-80.06</f>
        <v>-80.06</v>
      </c>
      <c r="Q35" s="4"/>
      <c r="R35" s="4">
        <v>18307.25</v>
      </c>
      <c r="S35" s="4"/>
      <c r="T35" s="4"/>
      <c r="U35" s="55">
        <v>1859.59</v>
      </c>
      <c r="V35" s="4"/>
      <c r="W35" s="4"/>
      <c r="X35" s="4"/>
      <c r="Y35" s="4"/>
      <c r="Z35" s="4"/>
      <c r="AA35" s="4"/>
      <c r="AB35" s="4"/>
      <c r="AC35" s="4"/>
      <c r="AD35" s="65"/>
      <c r="AE35" t="s">
        <v>50</v>
      </c>
      <c r="AH35" s="28">
        <v>0</v>
      </c>
      <c r="AL35" t="s">
        <v>101</v>
      </c>
    </row>
    <row r="36" spans="2:38" ht="15" x14ac:dyDescent="0.2">
      <c r="B36" s="43" t="s">
        <v>96</v>
      </c>
      <c r="C36" s="21" t="s">
        <v>83</v>
      </c>
      <c r="D36" s="44">
        <v>4</v>
      </c>
      <c r="E36" s="10" t="s">
        <v>98</v>
      </c>
      <c r="F36" s="45" t="s">
        <v>99</v>
      </c>
      <c r="G36" s="69">
        <v>0</v>
      </c>
      <c r="H36" s="52">
        <f t="shared" si="17"/>
        <v>0.24510999999999999</v>
      </c>
      <c r="I36" s="52">
        <f>$I$34</f>
        <v>0.14713999999999999</v>
      </c>
      <c r="J36" s="52">
        <f t="shared" si="18"/>
        <v>0.12947</v>
      </c>
      <c r="K36" s="48">
        <f>ROUND(H36*G36,2)</f>
        <v>0</v>
      </c>
      <c r="L36" s="48">
        <f>ROUND(G36*I36,2)</f>
        <v>0</v>
      </c>
      <c r="M36" s="53">
        <f>ROUND(G36*J36,2)</f>
        <v>0</v>
      </c>
      <c r="N36" s="48">
        <f>SUM(K36:M36)</f>
        <v>0</v>
      </c>
      <c r="O36" s="48"/>
      <c r="Q36" s="4"/>
      <c r="R36" s="4"/>
      <c r="S36" s="4"/>
      <c r="T36" s="4"/>
      <c r="U36" s="55"/>
      <c r="V36" s="4"/>
      <c r="W36" s="4"/>
      <c r="X36" s="4"/>
      <c r="Y36" s="4"/>
      <c r="Z36" s="4"/>
      <c r="AA36" s="4"/>
      <c r="AB36" s="4"/>
      <c r="AC36" s="4"/>
      <c r="AD36" s="65"/>
      <c r="AE36" t="s">
        <v>50</v>
      </c>
      <c r="AH36" s="28">
        <v>0</v>
      </c>
      <c r="AL36" t="s">
        <v>101</v>
      </c>
    </row>
    <row r="37" spans="2:38" ht="12.2" customHeight="1" x14ac:dyDescent="0.2">
      <c r="B37" s="43"/>
      <c r="D37" s="44"/>
      <c r="F37" s="45"/>
      <c r="G37" s="46"/>
      <c r="H37" s="52"/>
      <c r="I37" s="52"/>
      <c r="J37" s="52"/>
      <c r="M37" s="53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28"/>
      <c r="AH37" s="28"/>
    </row>
    <row r="38" spans="2:38" ht="15.75" x14ac:dyDescent="0.25">
      <c r="B38" s="43" t="s">
        <v>102</v>
      </c>
      <c r="C38" s="21" t="s">
        <v>103</v>
      </c>
      <c r="D38" s="44" t="s">
        <v>104</v>
      </c>
      <c r="E38" s="10" t="s">
        <v>98</v>
      </c>
      <c r="F38" s="45" t="s">
        <v>99</v>
      </c>
      <c r="G38" s="56">
        <v>230233</v>
      </c>
      <c r="H38" s="52">
        <f t="shared" ref="H38:H43" si="19">$H$10</f>
        <v>0.24510999999999999</v>
      </c>
      <c r="I38" s="52">
        <f t="shared" ref="I38:I43" si="20">$I$34</f>
        <v>0.14713999999999999</v>
      </c>
      <c r="J38" s="52">
        <f t="shared" ref="J38:J45" si="21">+$J$10</f>
        <v>0.12947</v>
      </c>
      <c r="K38" s="48">
        <f t="shared" ref="K38:K43" si="22">ROUND(H38*G38,2)</f>
        <v>56432.41</v>
      </c>
      <c r="L38" s="48">
        <f t="shared" ref="L38:L43" si="23">ROUND(G38*I38,2)</f>
        <v>33876.480000000003</v>
      </c>
      <c r="M38" s="53">
        <f t="shared" ref="M38:M42" si="24">ROUND(G38*J38,2)</f>
        <v>29808.27</v>
      </c>
      <c r="N38" s="49">
        <f>SUM(K38:M38)</f>
        <v>120117.16000000002</v>
      </c>
      <c r="O38" s="48">
        <v>0.01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28"/>
      <c r="AE38" t="s">
        <v>50</v>
      </c>
      <c r="AH38" s="28">
        <v>0</v>
      </c>
      <c r="AL38" t="s">
        <v>101</v>
      </c>
    </row>
    <row r="39" spans="2:38" ht="15.75" x14ac:dyDescent="0.25">
      <c r="B39" s="43" t="s">
        <v>102</v>
      </c>
      <c r="C39" s="21" t="s">
        <v>81</v>
      </c>
      <c r="D39" s="44">
        <v>5</v>
      </c>
      <c r="E39" s="10" t="s">
        <v>98</v>
      </c>
      <c r="F39" s="45" t="s">
        <v>99</v>
      </c>
      <c r="G39" s="64">
        <v>-230233</v>
      </c>
      <c r="H39" s="52">
        <f t="shared" si="19"/>
        <v>0.24510999999999999</v>
      </c>
      <c r="I39" s="52">
        <f t="shared" si="20"/>
        <v>0.14713999999999999</v>
      </c>
      <c r="J39" s="52">
        <f t="shared" si="21"/>
        <v>0.12947</v>
      </c>
      <c r="K39" s="48">
        <f t="shared" si="22"/>
        <v>-56432.41</v>
      </c>
      <c r="L39" s="48">
        <f t="shared" si="23"/>
        <v>-33876.480000000003</v>
      </c>
      <c r="M39" s="53">
        <f t="shared" si="24"/>
        <v>-29808.27</v>
      </c>
      <c r="N39" s="49">
        <f t="shared" ref="N39:N43" si="25">SUM(K39:M39)</f>
        <v>-120117.16000000002</v>
      </c>
      <c r="O39" s="48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65"/>
      <c r="AE39" t="s">
        <v>50</v>
      </c>
      <c r="AH39" s="28">
        <v>0</v>
      </c>
      <c r="AL39" t="s">
        <v>100</v>
      </c>
    </row>
    <row r="40" spans="2:38" ht="15.75" x14ac:dyDescent="0.25">
      <c r="B40" s="43" t="s">
        <v>102</v>
      </c>
      <c r="C40" s="21" t="s">
        <v>105</v>
      </c>
      <c r="D40" s="44">
        <v>5</v>
      </c>
      <c r="E40" s="10" t="s">
        <v>98</v>
      </c>
      <c r="F40" s="45" t="s">
        <v>99</v>
      </c>
      <c r="G40" s="64">
        <v>254015</v>
      </c>
      <c r="H40" s="52">
        <f t="shared" si="19"/>
        <v>0.24510999999999999</v>
      </c>
      <c r="I40" s="52">
        <f t="shared" si="20"/>
        <v>0.14713999999999999</v>
      </c>
      <c r="J40" s="52">
        <f t="shared" si="21"/>
        <v>0.12947</v>
      </c>
      <c r="K40" s="48">
        <f t="shared" si="22"/>
        <v>62261.62</v>
      </c>
      <c r="L40" s="48">
        <f t="shared" si="23"/>
        <v>37375.769999999997</v>
      </c>
      <c r="M40" s="53">
        <f t="shared" si="24"/>
        <v>32887.32</v>
      </c>
      <c r="N40" s="49">
        <f t="shared" si="25"/>
        <v>132524.71</v>
      </c>
      <c r="O40" s="48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65"/>
      <c r="AE40" t="s">
        <v>50</v>
      </c>
      <c r="AH40" s="28">
        <v>0</v>
      </c>
      <c r="AL40" t="s">
        <v>100</v>
      </c>
    </row>
    <row r="41" spans="2:38" ht="15" x14ac:dyDescent="0.2">
      <c r="B41" s="43" t="s">
        <v>106</v>
      </c>
      <c r="C41" s="21" t="s">
        <v>107</v>
      </c>
      <c r="D41" s="44">
        <v>5</v>
      </c>
      <c r="E41" s="10" t="s">
        <v>108</v>
      </c>
      <c r="F41" s="45" t="s">
        <v>109</v>
      </c>
      <c r="G41" s="46"/>
      <c r="H41" s="52">
        <f t="shared" si="19"/>
        <v>0.24510999999999999</v>
      </c>
      <c r="I41" s="52">
        <f t="shared" si="20"/>
        <v>0.14713999999999999</v>
      </c>
      <c r="J41" s="52">
        <f t="shared" si="21"/>
        <v>0.12947</v>
      </c>
      <c r="K41" s="48">
        <f t="shared" si="22"/>
        <v>0</v>
      </c>
      <c r="L41" s="48">
        <f t="shared" si="23"/>
        <v>0</v>
      </c>
      <c r="M41" s="53">
        <f t="shared" si="24"/>
        <v>0</v>
      </c>
      <c r="N41" s="49">
        <f t="shared" si="25"/>
        <v>0</v>
      </c>
      <c r="O41" s="48">
        <v>-0.01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28"/>
      <c r="AE41" t="s">
        <v>50</v>
      </c>
      <c r="AH41" s="28">
        <v>0</v>
      </c>
      <c r="AL41" t="s">
        <v>110</v>
      </c>
    </row>
    <row r="42" spans="2:38" ht="15" x14ac:dyDescent="0.2">
      <c r="B42" s="43" t="s">
        <v>102</v>
      </c>
      <c r="C42" s="21" t="s">
        <v>81</v>
      </c>
      <c r="D42" s="44">
        <v>5</v>
      </c>
      <c r="E42" s="10" t="s">
        <v>108</v>
      </c>
      <c r="F42" s="45" t="s">
        <v>109</v>
      </c>
      <c r="G42" s="69">
        <v>0</v>
      </c>
      <c r="H42" s="52">
        <f t="shared" si="19"/>
        <v>0.24510999999999999</v>
      </c>
      <c r="I42" s="52">
        <f t="shared" si="20"/>
        <v>0.14713999999999999</v>
      </c>
      <c r="J42" s="52">
        <f t="shared" si="21"/>
        <v>0.12947</v>
      </c>
      <c r="K42" s="48">
        <f>ROUND(H42*G42,2)</f>
        <v>0</v>
      </c>
      <c r="L42" s="48">
        <f t="shared" si="23"/>
        <v>0</v>
      </c>
      <c r="M42" s="53">
        <f t="shared" si="24"/>
        <v>0</v>
      </c>
      <c r="N42" s="49">
        <f t="shared" si="25"/>
        <v>0</v>
      </c>
      <c r="O42" s="48">
        <v>-0.01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65"/>
      <c r="AE42" t="s">
        <v>50</v>
      </c>
      <c r="AH42" s="28">
        <v>0</v>
      </c>
      <c r="AL42" t="s">
        <v>100</v>
      </c>
    </row>
    <row r="43" spans="2:38" ht="15.75" x14ac:dyDescent="0.25">
      <c r="B43" s="43" t="s">
        <v>102</v>
      </c>
      <c r="C43" s="21" t="s">
        <v>105</v>
      </c>
      <c r="D43" s="44">
        <v>5</v>
      </c>
      <c r="E43" s="10" t="s">
        <v>108</v>
      </c>
      <c r="F43" s="45" t="s">
        <v>109</v>
      </c>
      <c r="G43" s="64"/>
      <c r="H43" s="52">
        <f t="shared" si="19"/>
        <v>0.24510999999999999</v>
      </c>
      <c r="I43" s="52">
        <f t="shared" si="20"/>
        <v>0.14713999999999999</v>
      </c>
      <c r="J43" s="52">
        <f t="shared" si="21"/>
        <v>0.12947</v>
      </c>
      <c r="K43" s="48">
        <f t="shared" si="22"/>
        <v>0</v>
      </c>
      <c r="L43" s="48">
        <f t="shared" si="23"/>
        <v>0</v>
      </c>
      <c r="M43" s="53">
        <f>ROUND(G43*J43,2)</f>
        <v>0</v>
      </c>
      <c r="N43" s="49">
        <f t="shared" si="25"/>
        <v>0</v>
      </c>
      <c r="O43" s="48">
        <v>0.01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65"/>
      <c r="AE43" t="s">
        <v>50</v>
      </c>
      <c r="AH43" s="28">
        <v>0</v>
      </c>
      <c r="AL43" t="s">
        <v>100</v>
      </c>
    </row>
    <row r="44" spans="2:38" ht="12.2" customHeight="1" x14ac:dyDescent="0.2">
      <c r="B44" s="43"/>
      <c r="D44" s="44"/>
      <c r="F44" s="45"/>
      <c r="G44" s="70"/>
      <c r="H44" s="52"/>
      <c r="I44" s="52"/>
      <c r="J44" s="52"/>
      <c r="K44" s="48"/>
      <c r="L44" s="48"/>
      <c r="M44" s="53"/>
      <c r="N44" s="48"/>
      <c r="O44" s="48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65"/>
      <c r="AH44" s="28"/>
    </row>
    <row r="45" spans="2:38" ht="14.25" x14ac:dyDescent="0.2">
      <c r="B45" s="43" t="s">
        <v>106</v>
      </c>
      <c r="C45" s="21" t="s">
        <v>111</v>
      </c>
      <c r="D45" s="44">
        <v>6</v>
      </c>
      <c r="E45" s="10" t="s">
        <v>98</v>
      </c>
      <c r="F45" s="45"/>
      <c r="G45" s="71">
        <f>'[2]Core Billed Therms '!$J$88</f>
        <v>0</v>
      </c>
      <c r="H45" s="52">
        <f>$H$10</f>
        <v>0.24510999999999999</v>
      </c>
      <c r="I45" s="52">
        <f>$I$34</f>
        <v>0.14713999999999999</v>
      </c>
      <c r="J45" s="52">
        <f t="shared" si="21"/>
        <v>0.12947</v>
      </c>
      <c r="K45" s="48">
        <f>ROUND(H45*G45,2)</f>
        <v>0</v>
      </c>
      <c r="L45" s="48">
        <f>ROUND(G45*I45,2)</f>
        <v>0</v>
      </c>
      <c r="M45" s="53">
        <f>ROUND(G45*J45,2)</f>
        <v>0</v>
      </c>
      <c r="N45" s="48">
        <f>SUM(K45:M45)</f>
        <v>0</v>
      </c>
      <c r="O45" s="48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28"/>
      <c r="AE45" t="s">
        <v>50</v>
      </c>
      <c r="AH45" s="28">
        <v>0</v>
      </c>
      <c r="AL45" t="s">
        <v>112</v>
      </c>
    </row>
    <row r="46" spans="2:38" ht="12.2" customHeight="1" x14ac:dyDescent="0.2">
      <c r="B46" s="43"/>
      <c r="D46" s="44"/>
      <c r="G46" s="71"/>
      <c r="J46" s="72"/>
      <c r="K46" s="48"/>
      <c r="L46" s="48"/>
      <c r="M46" s="53"/>
      <c r="N46" s="48"/>
      <c r="O46" s="48"/>
      <c r="AD46" s="28"/>
      <c r="AH46" s="28"/>
    </row>
    <row r="47" spans="2:38" ht="15" x14ac:dyDescent="0.25">
      <c r="B47" s="73"/>
      <c r="D47" s="74"/>
      <c r="E47" s="75"/>
      <c r="F47" s="10" t="s">
        <v>115</v>
      </c>
      <c r="G47" s="76">
        <f>SUM(G9:G46)</f>
        <v>37961295</v>
      </c>
      <c r="H47" s="77" t="s">
        <v>114</v>
      </c>
      <c r="K47" s="78">
        <f>SUM(K9:K46)</f>
        <v>9304693.0299999993</v>
      </c>
      <c r="L47" s="79">
        <f>SUM(L9:L46)</f>
        <v>6579128.870000001</v>
      </c>
      <c r="M47" s="80">
        <f>SUM(M9:M46)</f>
        <v>4484387.79</v>
      </c>
      <c r="N47" s="81">
        <f>SUM(N9:N46)</f>
        <v>20368209.690000005</v>
      </c>
      <c r="O47" s="82">
        <v>0.03</v>
      </c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28"/>
      <c r="AH47" s="28"/>
    </row>
    <row r="48" spans="2:38" ht="14.25" x14ac:dyDescent="0.2">
      <c r="C48" s="3"/>
      <c r="D48" s="74"/>
      <c r="F48" s="10" t="s">
        <v>113</v>
      </c>
      <c r="G48" s="76"/>
      <c r="K48" s="81"/>
      <c r="L48" s="81"/>
      <c r="M48" s="81"/>
      <c r="N48" s="81"/>
      <c r="O48" s="81"/>
      <c r="Q48" s="81">
        <f>-N47</f>
        <v>-20368209.690000005</v>
      </c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3" t="s">
        <v>116</v>
      </c>
      <c r="AE48" t="s">
        <v>50</v>
      </c>
      <c r="AH48" s="28">
        <v>0</v>
      </c>
      <c r="AL48" t="s">
        <v>117</v>
      </c>
    </row>
    <row r="49" spans="6:32" ht="15" x14ac:dyDescent="0.25">
      <c r="F49" s="110" t="s">
        <v>118</v>
      </c>
      <c r="G49" s="83">
        <f>+G47+G48</f>
        <v>37961295</v>
      </c>
      <c r="H49" s="84"/>
      <c r="K49" s="81">
        <f>SUM(K47:K48)</f>
        <v>9304693.0299999993</v>
      </c>
      <c r="L49" s="81">
        <f>SUM(L47:L48)</f>
        <v>6579128.870000001</v>
      </c>
      <c r="M49" s="81">
        <f>SUM(M47:M48)</f>
        <v>4484387.79</v>
      </c>
      <c r="N49" s="81">
        <f>SUM(N47:N48)</f>
        <v>20368209.690000005</v>
      </c>
      <c r="O49" s="81"/>
      <c r="P49" s="48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F49" s="28"/>
    </row>
    <row r="50" spans="6:32" ht="21.75" customHeight="1" x14ac:dyDescent="0.2">
      <c r="G50" s="111"/>
      <c r="K50" s="81"/>
      <c r="L50" s="86"/>
      <c r="M50" s="81"/>
      <c r="N50" s="81"/>
      <c r="O50" s="81"/>
    </row>
    <row r="51" spans="6:32" ht="21.75" customHeight="1" x14ac:dyDescent="0.2">
      <c r="G51" s="87" t="s">
        <v>119</v>
      </c>
      <c r="H51" s="88"/>
      <c r="L51" s="89"/>
      <c r="M51" s="48"/>
      <c r="N51" s="48"/>
      <c r="O51" s="48"/>
    </row>
    <row r="52" spans="6:32" x14ac:dyDescent="0.2">
      <c r="H52" s="88"/>
      <c r="L52" s="91"/>
      <c r="N52" s="86"/>
      <c r="O52" s="86"/>
    </row>
    <row r="53" spans="6:32" x14ac:dyDescent="0.2">
      <c r="F53" s="10" t="s">
        <v>120</v>
      </c>
      <c r="L53" s="92"/>
      <c r="N53" s="93"/>
      <c r="O53" s="93"/>
    </row>
    <row r="54" spans="6:32" x14ac:dyDescent="0.2">
      <c r="L54" s="92"/>
      <c r="M54" s="94"/>
    </row>
    <row r="55" spans="6:32" x14ac:dyDescent="0.2">
      <c r="L55" s="92"/>
      <c r="M55" s="94"/>
      <c r="N55" s="95"/>
      <c r="O55" s="95"/>
    </row>
    <row r="56" spans="6:32" x14ac:dyDescent="0.2">
      <c r="L56" s="92"/>
      <c r="M56" s="94"/>
      <c r="N56" s="96"/>
      <c r="O56" s="96"/>
    </row>
    <row r="57" spans="6:32" x14ac:dyDescent="0.2">
      <c r="L57" s="92"/>
      <c r="M57" s="94"/>
      <c r="N57" s="96"/>
      <c r="O57" s="96"/>
    </row>
    <row r="58" spans="6:32" x14ac:dyDescent="0.2">
      <c r="L58" s="92"/>
      <c r="M58" s="96"/>
      <c r="N58" s="94"/>
      <c r="O58" s="94"/>
    </row>
    <row r="59" spans="6:32" x14ac:dyDescent="0.2">
      <c r="L59" s="97"/>
      <c r="N59" s="98"/>
      <c r="O59" s="98"/>
    </row>
    <row r="60" spans="6:32" x14ac:dyDescent="0.2">
      <c r="L60" s="91"/>
      <c r="N60" s="99"/>
      <c r="O60" s="99"/>
    </row>
    <row r="72" spans="2:38" s="68" customFormat="1" x14ac:dyDescent="0.2">
      <c r="B72" s="3"/>
      <c r="C72" s="21"/>
      <c r="D72" s="10"/>
      <c r="E72" s="10"/>
      <c r="F72" s="10"/>
      <c r="G72" s="90" t="e">
        <f>+G49+#REF!</f>
        <v>#REF!</v>
      </c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</row>
    <row r="107" spans="2:29" x14ac:dyDescent="0.2">
      <c r="B107" s="6"/>
      <c r="D107" s="74"/>
    </row>
    <row r="108" spans="2:29" x14ac:dyDescent="0.2">
      <c r="B108" s="6"/>
      <c r="D108" s="74"/>
      <c r="Q108" s="91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  <c r="AC108" s="91"/>
    </row>
    <row r="109" spans="2:29" x14ac:dyDescent="0.2"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</row>
    <row r="110" spans="2:29" x14ac:dyDescent="0.2">
      <c r="D110" s="74"/>
    </row>
    <row r="111" spans="2:29" x14ac:dyDescent="0.2">
      <c r="D111" s="74"/>
    </row>
  </sheetData>
  <mergeCells count="9">
    <mergeCell ref="L5:P5"/>
    <mergeCell ref="E1:K2"/>
    <mergeCell ref="L1:P1"/>
    <mergeCell ref="L2:P2"/>
    <mergeCell ref="B3:C3"/>
    <mergeCell ref="F3:K4"/>
    <mergeCell ref="L3:P3"/>
    <mergeCell ref="B4:C4"/>
    <mergeCell ref="L4:P4"/>
  </mergeCells>
  <printOptions horizontalCentered="1" gridLines="1"/>
  <pageMargins left="0" right="0" top="0.45" bottom="0" header="0.15" footer="0.35"/>
  <pageSetup scale="74" orientation="landscape" cellComments="asDisplayed" r:id="rId1"/>
  <headerFooter alignWithMargins="0">
    <oddHeader>&amp;R&amp;16Page 4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360F1-B7DA-44C0-BF96-C7361C186446}">
  <dimension ref="B1:AG71"/>
  <sheetViews>
    <sheetView showGridLines="0" zoomScaleNormal="100" zoomScaleSheetLayoutView="100" workbookViewId="0">
      <pane xSplit="6" topLeftCell="G1" activePane="topRight" state="frozen"/>
      <selection activeCell="B6" sqref="B6"/>
      <selection pane="topRight" activeCell="S43" sqref="S43"/>
    </sheetView>
  </sheetViews>
  <sheetFormatPr defaultColWidth="9.140625" defaultRowHeight="14.1" customHeight="1" x14ac:dyDescent="0.25"/>
  <cols>
    <col min="1" max="1" width="1.7109375" style="7" customWidth="1"/>
    <col min="2" max="2" width="3.42578125" style="113" customWidth="1"/>
    <col min="3" max="3" width="5.5703125" style="113" customWidth="1"/>
    <col min="4" max="4" width="6.42578125" style="113" customWidth="1"/>
    <col min="5" max="5" width="8.85546875" style="236" customWidth="1"/>
    <col min="6" max="6" width="29.5703125" style="7" customWidth="1"/>
    <col min="7" max="7" width="11.140625" style="7" bestFit="1" customWidth="1"/>
    <col min="8" max="8" width="14.5703125" style="116" bestFit="1" customWidth="1"/>
    <col min="9" max="9" width="2.7109375" style="7" customWidth="1"/>
    <col min="10" max="10" width="12.7109375" style="7" bestFit="1" customWidth="1"/>
    <col min="11" max="11" width="16.85546875" style="116" bestFit="1" customWidth="1"/>
    <col min="12" max="12" width="2.7109375" style="7" customWidth="1"/>
    <col min="13" max="13" width="13.42578125" style="7" bestFit="1" customWidth="1"/>
    <col min="14" max="14" width="16.28515625" style="116" customWidth="1"/>
    <col min="15" max="15" width="3" style="7" customWidth="1"/>
    <col min="16" max="16" width="12.85546875" style="129" bestFit="1" customWidth="1"/>
    <col min="17" max="17" width="17.42578125" style="129" customWidth="1"/>
    <col min="18" max="18" width="3.7109375" style="129" customWidth="1"/>
    <col min="19" max="19" width="12.85546875" style="129" bestFit="1" customWidth="1"/>
    <col min="20" max="20" width="16.85546875" style="129" customWidth="1"/>
    <col min="21" max="21" width="3.5703125" style="7" customWidth="1"/>
    <col min="22" max="22" width="9.5703125" style="7" bestFit="1" customWidth="1"/>
    <col min="23" max="23" width="16" style="7" bestFit="1" customWidth="1"/>
    <col min="24" max="24" width="1.7109375" style="7" hidden="1" customWidth="1"/>
    <col min="25" max="25" width="10.85546875" style="7" bestFit="1" customWidth="1"/>
    <col min="26" max="26" width="14.7109375" style="7" bestFit="1" customWidth="1"/>
    <col min="27" max="27" width="1.7109375" style="7" hidden="1" customWidth="1"/>
    <col min="28" max="29" width="15.7109375" style="7" hidden="1" customWidth="1"/>
    <col min="30" max="30" width="2.140625" style="7" customWidth="1"/>
    <col min="31" max="31" width="14.85546875" style="7" bestFit="1" customWidth="1"/>
    <col min="32" max="32" width="10.7109375" style="7" bestFit="1" customWidth="1"/>
    <col min="33" max="33" width="13.7109375" style="7" bestFit="1" customWidth="1"/>
    <col min="34" max="16384" width="9.140625" style="7"/>
  </cols>
  <sheetData>
    <row r="1" spans="2:33" ht="17.45" customHeight="1" x14ac:dyDescent="0.25">
      <c r="B1" s="112" t="s">
        <v>124</v>
      </c>
      <c r="D1" s="114"/>
      <c r="E1" s="114"/>
      <c r="F1" s="114"/>
      <c r="G1" s="115"/>
      <c r="I1" s="117"/>
      <c r="K1" s="118"/>
      <c r="O1" s="117"/>
      <c r="P1" s="119"/>
      <c r="Q1" s="120"/>
      <c r="R1" s="119"/>
      <c r="S1" s="119"/>
      <c r="T1" s="119"/>
      <c r="U1" s="117"/>
      <c r="W1" s="121">
        <f>B2-31</f>
        <v>43793</v>
      </c>
      <c r="X1" s="121"/>
      <c r="Y1" s="121"/>
    </row>
    <row r="2" spans="2:33" ht="15" customHeight="1" x14ac:dyDescent="0.25">
      <c r="B2" s="122">
        <v>43824</v>
      </c>
      <c r="C2" s="122"/>
      <c r="D2" s="122"/>
      <c r="E2" s="122"/>
      <c r="G2" s="123" t="s">
        <v>12</v>
      </c>
      <c r="H2" s="123"/>
      <c r="I2" s="117"/>
      <c r="J2" s="124" t="s">
        <v>125</v>
      </c>
      <c r="K2" s="124"/>
      <c r="L2" s="124"/>
      <c r="M2" s="124"/>
      <c r="N2" s="124"/>
      <c r="O2" s="117"/>
      <c r="P2" s="125" t="s">
        <v>126</v>
      </c>
      <c r="Q2" s="125"/>
      <c r="R2" s="125"/>
      <c r="S2" s="125"/>
      <c r="T2" s="125"/>
      <c r="U2" s="117"/>
      <c r="W2" s="126" t="s">
        <v>127</v>
      </c>
      <c r="X2" s="126"/>
      <c r="Y2" s="126"/>
    </row>
    <row r="3" spans="2:33" ht="15" x14ac:dyDescent="0.25">
      <c r="E3" s="127"/>
      <c r="H3" s="128"/>
      <c r="I3" s="117"/>
      <c r="K3" s="118"/>
      <c r="O3" s="117"/>
      <c r="U3" s="130"/>
      <c r="W3" s="121">
        <f>B2</f>
        <v>43824</v>
      </c>
      <c r="X3" s="121"/>
      <c r="Y3" s="121"/>
      <c r="Z3" s="131"/>
      <c r="AB3" s="132" t="s">
        <v>128</v>
      </c>
      <c r="AC3" s="132"/>
      <c r="AD3" s="133"/>
    </row>
    <row r="4" spans="2:33" ht="16.5" customHeight="1" x14ac:dyDescent="0.25">
      <c r="B4" s="134"/>
      <c r="C4" s="134"/>
      <c r="D4" s="134"/>
      <c r="E4" s="135"/>
      <c r="F4" s="136" t="s">
        <v>129</v>
      </c>
      <c r="I4" s="117"/>
      <c r="J4" s="137" t="s">
        <v>130</v>
      </c>
      <c r="K4" s="137"/>
      <c r="L4" s="138"/>
      <c r="M4" s="137" t="s">
        <v>131</v>
      </c>
      <c r="N4" s="137"/>
      <c r="O4" s="139"/>
      <c r="P4" s="140" t="s">
        <v>130</v>
      </c>
      <c r="Q4" s="140"/>
      <c r="R4" s="141"/>
      <c r="S4" s="140" t="s">
        <v>131</v>
      </c>
      <c r="T4" s="140"/>
      <c r="U4" s="139"/>
      <c r="V4" s="137" t="s">
        <v>130</v>
      </c>
      <c r="W4" s="137"/>
      <c r="X4" s="138"/>
      <c r="Y4" s="137" t="s">
        <v>131</v>
      </c>
      <c r="Z4" s="137"/>
      <c r="AB4" s="142" t="s">
        <v>2</v>
      </c>
      <c r="AC4" s="142" t="s">
        <v>8</v>
      </c>
      <c r="AD4" s="142"/>
    </row>
    <row r="5" spans="2:33" s="6" customFormat="1" ht="15.75" customHeight="1" x14ac:dyDescent="0.2">
      <c r="B5" s="143" t="s">
        <v>132</v>
      </c>
      <c r="C5" s="143"/>
      <c r="D5" s="143"/>
      <c r="E5" s="143"/>
      <c r="F5" s="144"/>
      <c r="G5" s="145" t="s">
        <v>34</v>
      </c>
      <c r="H5" s="146" t="s">
        <v>133</v>
      </c>
      <c r="I5" s="117"/>
      <c r="J5" s="147" t="s">
        <v>34</v>
      </c>
      <c r="K5" s="148" t="s">
        <v>133</v>
      </c>
      <c r="L5" s="149"/>
      <c r="M5" s="147" t="s">
        <v>34</v>
      </c>
      <c r="N5" s="148" t="s">
        <v>133</v>
      </c>
      <c r="O5" s="117"/>
      <c r="P5" s="150" t="s">
        <v>34</v>
      </c>
      <c r="Q5" s="151" t="s">
        <v>133</v>
      </c>
      <c r="R5" s="149"/>
      <c r="S5" s="149" t="s">
        <v>34</v>
      </c>
      <c r="T5" s="152" t="s">
        <v>133</v>
      </c>
      <c r="U5" s="117"/>
      <c r="V5" s="147" t="s">
        <v>134</v>
      </c>
      <c r="W5" s="152" t="s">
        <v>133</v>
      </c>
      <c r="X5" s="149"/>
      <c r="Y5" s="153" t="s">
        <v>134</v>
      </c>
      <c r="Z5" s="152" t="s">
        <v>133</v>
      </c>
      <c r="AB5" s="154" t="s">
        <v>133</v>
      </c>
      <c r="AC5" s="154" t="s">
        <v>133</v>
      </c>
      <c r="AD5" s="154"/>
    </row>
    <row r="6" spans="2:33" ht="14.25" customHeight="1" x14ac:dyDescent="0.25">
      <c r="B6" s="155" t="s">
        <v>135</v>
      </c>
      <c r="C6" s="156">
        <v>6011</v>
      </c>
      <c r="D6" s="156">
        <v>28040</v>
      </c>
      <c r="E6" s="157">
        <v>671010</v>
      </c>
      <c r="F6" s="6" t="s">
        <v>136</v>
      </c>
      <c r="G6" s="158" t="s">
        <v>137</v>
      </c>
      <c r="H6" s="159">
        <f>K6+N6</f>
        <v>342142.5</v>
      </c>
      <c r="I6" s="117"/>
      <c r="J6" s="160"/>
      <c r="K6" s="161">
        <f>+Q6+W6</f>
        <v>40749.17</v>
      </c>
      <c r="L6" s="162" t="s">
        <v>138</v>
      </c>
      <c r="M6" s="160"/>
      <c r="N6" s="161">
        <f>+T6+Z6</f>
        <v>301393.33</v>
      </c>
      <c r="O6" s="117" t="s">
        <v>138</v>
      </c>
      <c r="P6" s="160"/>
      <c r="Q6" s="163">
        <v>40749.17</v>
      </c>
      <c r="R6" s="6"/>
      <c r="S6" s="160"/>
      <c r="T6" s="163">
        <v>301393.33</v>
      </c>
      <c r="U6" s="117"/>
      <c r="V6" s="164"/>
      <c r="W6" s="165"/>
      <c r="Y6" s="115"/>
      <c r="Z6" s="165"/>
      <c r="AE6" s="166">
        <v>671010</v>
      </c>
    </row>
    <row r="7" spans="2:33" ht="14.25" customHeight="1" x14ac:dyDescent="0.25">
      <c r="B7" s="155" t="s">
        <v>135</v>
      </c>
      <c r="C7" s="156">
        <v>6011</v>
      </c>
      <c r="D7" s="156">
        <v>28040</v>
      </c>
      <c r="E7" s="157">
        <v>671030</v>
      </c>
      <c r="F7" s="6" t="s">
        <v>139</v>
      </c>
      <c r="G7" s="158" t="s">
        <v>137</v>
      </c>
      <c r="H7" s="159">
        <f t="shared" ref="H7:H13" si="0">+K7+N7</f>
        <v>444710.81</v>
      </c>
      <c r="I7" s="117"/>
      <c r="J7" s="160"/>
      <c r="K7" s="161">
        <f>+Q7+W7</f>
        <v>254225.21</v>
      </c>
      <c r="L7" s="162" t="s">
        <v>138</v>
      </c>
      <c r="M7" s="160"/>
      <c r="N7" s="161">
        <f>+T7+Z7</f>
        <v>190485.6</v>
      </c>
      <c r="O7" s="117" t="s">
        <v>138</v>
      </c>
      <c r="P7" s="160"/>
      <c r="Q7" s="163">
        <v>249519.19</v>
      </c>
      <c r="R7" s="6"/>
      <c r="S7" s="160"/>
      <c r="T7" s="163">
        <v>174993.17</v>
      </c>
      <c r="U7" s="117"/>
      <c r="V7" s="167"/>
      <c r="W7" s="163">
        <v>4706.0200000000004</v>
      </c>
      <c r="X7" s="129"/>
      <c r="Y7" s="168"/>
      <c r="Z7" s="163">
        <v>15492.43</v>
      </c>
      <c r="AE7" s="166">
        <v>671030</v>
      </c>
    </row>
    <row r="8" spans="2:33" ht="14.25" customHeight="1" x14ac:dyDescent="0.25">
      <c r="B8" s="155" t="s">
        <v>135</v>
      </c>
      <c r="C8" s="156">
        <v>6011</v>
      </c>
      <c r="D8" s="156">
        <v>28040</v>
      </c>
      <c r="E8" s="157">
        <v>671050</v>
      </c>
      <c r="F8" s="6" t="s">
        <v>140</v>
      </c>
      <c r="G8" s="169">
        <f t="shared" ref="G8:G14" si="1">+J8+M8</f>
        <v>52256000</v>
      </c>
      <c r="H8" s="159">
        <f t="shared" si="0"/>
        <v>21255151.07</v>
      </c>
      <c r="I8" s="117"/>
      <c r="J8" s="170">
        <f>+P8+V8</f>
        <v>38640618</v>
      </c>
      <c r="K8" s="171">
        <f>+Q8+W8</f>
        <v>16864851.699999999</v>
      </c>
      <c r="L8" s="162" t="s">
        <v>141</v>
      </c>
      <c r="M8" s="6">
        <f>+S8+Y8</f>
        <v>13615382</v>
      </c>
      <c r="N8" s="172">
        <f>+T8+Z8</f>
        <v>4390299.37</v>
      </c>
      <c r="O8" s="117" t="s">
        <v>141</v>
      </c>
      <c r="P8" s="173">
        <v>38640668</v>
      </c>
      <c r="Q8" s="174">
        <f>16852505.11+362.5+12000</f>
        <v>16864867.609999999</v>
      </c>
      <c r="R8" s="6"/>
      <c r="S8" s="173">
        <v>13615332</v>
      </c>
      <c r="T8" s="174">
        <v>4390283.45</v>
      </c>
      <c r="U8" s="117"/>
      <c r="V8" s="175">
        <v>-50</v>
      </c>
      <c r="W8" s="174">
        <v>-15.91</v>
      </c>
      <c r="X8" s="129"/>
      <c r="Y8" s="176">
        <v>50</v>
      </c>
      <c r="Z8" s="174">
        <v>15.92</v>
      </c>
      <c r="AB8" s="177">
        <v>0</v>
      </c>
      <c r="AC8" s="177">
        <v>0</v>
      </c>
      <c r="AE8" s="178">
        <v>671050</v>
      </c>
    </row>
    <row r="9" spans="2:33" ht="14.25" customHeight="1" x14ac:dyDescent="0.25">
      <c r="B9" s="155" t="s">
        <v>135</v>
      </c>
      <c r="C9" s="156">
        <v>6011</v>
      </c>
      <c r="D9" s="156">
        <v>28040</v>
      </c>
      <c r="E9" s="157">
        <v>671051</v>
      </c>
      <c r="F9" s="6" t="s">
        <v>142</v>
      </c>
      <c r="G9" s="158" t="s">
        <v>137</v>
      </c>
      <c r="H9" s="159">
        <f t="shared" si="0"/>
        <v>0</v>
      </c>
      <c r="I9" s="117"/>
      <c r="J9" s="179"/>
      <c r="K9" s="172">
        <f t="shared" ref="J9:K14" si="2">+Q9+W9</f>
        <v>0</v>
      </c>
      <c r="L9" s="162" t="s">
        <v>141</v>
      </c>
      <c r="M9" s="180"/>
      <c r="N9" s="172">
        <f>+T9+Z9</f>
        <v>0</v>
      </c>
      <c r="O9" s="117" t="s">
        <v>141</v>
      </c>
      <c r="P9" s="160"/>
      <c r="Q9" s="181"/>
      <c r="R9" s="6"/>
      <c r="S9" s="160"/>
      <c r="T9" s="181"/>
      <c r="U9" s="117"/>
      <c r="V9" s="182"/>
      <c r="W9" s="181"/>
      <c r="X9" s="115"/>
      <c r="Y9" s="183"/>
      <c r="Z9" s="181"/>
      <c r="AE9" s="178">
        <v>671051</v>
      </c>
    </row>
    <row r="10" spans="2:33" ht="14.25" customHeight="1" x14ac:dyDescent="0.25">
      <c r="B10" s="155" t="s">
        <v>135</v>
      </c>
      <c r="C10" s="156">
        <v>6011</v>
      </c>
      <c r="D10" s="156">
        <v>28040</v>
      </c>
      <c r="E10" s="157">
        <v>671070</v>
      </c>
      <c r="F10" s="6" t="s">
        <v>143</v>
      </c>
      <c r="G10" s="169">
        <f t="shared" si="1"/>
        <v>-3027480</v>
      </c>
      <c r="H10" s="159">
        <f>+K10+N10</f>
        <v>-1263423.8799999999</v>
      </c>
      <c r="I10" s="117"/>
      <c r="J10" s="170">
        <f t="shared" si="2"/>
        <v>-2266223</v>
      </c>
      <c r="K10" s="172">
        <f t="shared" si="2"/>
        <v>-945878.23</v>
      </c>
      <c r="L10" s="162" t="s">
        <v>141</v>
      </c>
      <c r="M10" s="6">
        <f>+S10+Y10</f>
        <v>-761257</v>
      </c>
      <c r="N10" s="172">
        <f>+T10+Z10</f>
        <v>-317545.65000000002</v>
      </c>
      <c r="O10" s="184" t="s">
        <v>141</v>
      </c>
      <c r="P10" s="173">
        <f>+-1454992-811231</f>
        <v>-2266223</v>
      </c>
      <c r="Q10" s="185">
        <f>-591468.79-354409.44</f>
        <v>-945878.23</v>
      </c>
      <c r="R10" s="6"/>
      <c r="S10" s="173">
        <f>+-494958-266299</f>
        <v>-761257</v>
      </c>
      <c r="T10" s="174">
        <f>+-201205.37-116340.28</f>
        <v>-317545.65000000002</v>
      </c>
      <c r="U10" s="117"/>
      <c r="V10" s="182"/>
      <c r="W10" s="181"/>
      <c r="X10" s="115">
        <v>0</v>
      </c>
      <c r="Y10" s="183"/>
      <c r="Z10" s="181"/>
      <c r="AE10" s="178">
        <v>671070</v>
      </c>
    </row>
    <row r="11" spans="2:33" ht="14.25" customHeight="1" x14ac:dyDescent="0.25">
      <c r="B11" s="186" t="s">
        <v>135</v>
      </c>
      <c r="C11" s="187">
        <v>6011</v>
      </c>
      <c r="D11" s="187">
        <v>28081</v>
      </c>
      <c r="E11" s="188">
        <v>671050</v>
      </c>
      <c r="F11" s="189" t="s">
        <v>144</v>
      </c>
      <c r="G11" s="169">
        <f t="shared" si="1"/>
        <v>2658790</v>
      </c>
      <c r="H11" s="159">
        <f t="shared" si="0"/>
        <v>856668.5</v>
      </c>
      <c r="I11" s="117"/>
      <c r="J11" s="170">
        <f t="shared" si="2"/>
        <v>2342128</v>
      </c>
      <c r="K11" s="172">
        <f t="shared" si="2"/>
        <v>754639.28</v>
      </c>
      <c r="L11" s="162" t="s">
        <v>141</v>
      </c>
      <c r="M11" s="6">
        <f t="shared" ref="M11:N14" si="3">+S11+Y11</f>
        <v>316662</v>
      </c>
      <c r="N11" s="172">
        <f t="shared" si="3"/>
        <v>102029.22</v>
      </c>
      <c r="O11" s="117" t="s">
        <v>141</v>
      </c>
      <c r="P11" s="173">
        <v>2342128</v>
      </c>
      <c r="Q11" s="190">
        <v>754639.28</v>
      </c>
      <c r="R11" s="191">
        <v>-1</v>
      </c>
      <c r="S11" s="173">
        <v>316662</v>
      </c>
      <c r="T11" s="190">
        <v>102029.22</v>
      </c>
      <c r="U11" s="192">
        <v>-4</v>
      </c>
      <c r="V11" s="182"/>
      <c r="W11" s="181"/>
      <c r="X11" s="115"/>
      <c r="Y11" s="183"/>
      <c r="Z11" s="181"/>
      <c r="AE11" s="188">
        <v>671050</v>
      </c>
      <c r="AF11" s="129"/>
    </row>
    <row r="12" spans="2:33" ht="14.25" customHeight="1" x14ac:dyDescent="0.25">
      <c r="B12" s="186" t="s">
        <v>135</v>
      </c>
      <c r="C12" s="187">
        <v>6011</v>
      </c>
      <c r="D12" s="187">
        <v>28082</v>
      </c>
      <c r="E12" s="188">
        <v>671050</v>
      </c>
      <c r="F12" s="189" t="s">
        <v>145</v>
      </c>
      <c r="G12" s="169">
        <f t="shared" si="1"/>
        <v>0</v>
      </c>
      <c r="H12" s="159">
        <f t="shared" si="0"/>
        <v>0</v>
      </c>
      <c r="I12" s="117"/>
      <c r="J12" s="170">
        <f t="shared" si="2"/>
        <v>0</v>
      </c>
      <c r="K12" s="172">
        <f t="shared" si="2"/>
        <v>0</v>
      </c>
      <c r="L12" s="162" t="s">
        <v>141</v>
      </c>
      <c r="M12" s="90">
        <f t="shared" si="3"/>
        <v>0</v>
      </c>
      <c r="N12" s="172">
        <f t="shared" si="3"/>
        <v>0</v>
      </c>
      <c r="O12" s="117" t="s">
        <v>141</v>
      </c>
      <c r="P12" s="173">
        <v>0</v>
      </c>
      <c r="Q12" s="190">
        <v>0</v>
      </c>
      <c r="R12" s="191">
        <v>-2</v>
      </c>
      <c r="S12" s="193"/>
      <c r="T12" s="190"/>
      <c r="U12" s="192"/>
      <c r="V12" s="194"/>
      <c r="W12" s="181"/>
      <c r="X12" s="115"/>
      <c r="Y12" s="183"/>
      <c r="Z12" s="181"/>
      <c r="AE12" s="188">
        <v>671050</v>
      </c>
      <c r="AF12" s="129"/>
      <c r="AG12" s="173"/>
    </row>
    <row r="13" spans="2:33" ht="14.25" customHeight="1" x14ac:dyDescent="0.25">
      <c r="B13" s="186" t="s">
        <v>135</v>
      </c>
      <c r="C13" s="187">
        <v>6011</v>
      </c>
      <c r="D13" s="187">
        <v>28120</v>
      </c>
      <c r="E13" s="188">
        <v>671070</v>
      </c>
      <c r="F13" s="189" t="s">
        <v>146</v>
      </c>
      <c r="G13" s="169">
        <f t="shared" si="1"/>
        <v>-46375</v>
      </c>
      <c r="H13" s="159">
        <f t="shared" si="0"/>
        <v>-10509.779999999999</v>
      </c>
      <c r="I13" s="117"/>
      <c r="J13" s="170">
        <f t="shared" si="2"/>
        <v>-34413</v>
      </c>
      <c r="K13" s="172">
        <f>+Q13+W13</f>
        <v>-8434.9699999999993</v>
      </c>
      <c r="L13" s="162" t="s">
        <v>141</v>
      </c>
      <c r="M13" s="6">
        <f t="shared" si="3"/>
        <v>-11962</v>
      </c>
      <c r="N13" s="172">
        <f t="shared" si="3"/>
        <v>-2074.81</v>
      </c>
      <c r="O13" s="117" t="s">
        <v>141</v>
      </c>
      <c r="P13" s="173">
        <v>-34413</v>
      </c>
      <c r="Q13" s="190">
        <v>-8434.9699999999993</v>
      </c>
      <c r="R13" s="191">
        <v>-3</v>
      </c>
      <c r="S13" s="195">
        <v>-11962</v>
      </c>
      <c r="T13" s="190">
        <v>-2074.81</v>
      </c>
      <c r="U13" s="192">
        <v>-5</v>
      </c>
      <c r="V13" s="182"/>
      <c r="W13" s="181"/>
      <c r="X13" s="115"/>
      <c r="Y13" s="183">
        <v>0</v>
      </c>
      <c r="Z13" s="181"/>
      <c r="AE13" s="188">
        <v>671070</v>
      </c>
    </row>
    <row r="14" spans="2:33" ht="14.25" customHeight="1" x14ac:dyDescent="0.25">
      <c r="B14" s="155" t="s">
        <v>135</v>
      </c>
      <c r="C14" s="156">
        <v>6011</v>
      </c>
      <c r="D14" s="156">
        <v>28040</v>
      </c>
      <c r="E14" s="157">
        <v>671100</v>
      </c>
      <c r="F14" s="6" t="s">
        <v>147</v>
      </c>
      <c r="G14" s="169">
        <f t="shared" si="1"/>
        <v>0</v>
      </c>
      <c r="H14" s="159">
        <f>+K14+N14</f>
        <v>0</v>
      </c>
      <c r="I14" s="117"/>
      <c r="J14" s="170">
        <f>+P14+V14</f>
        <v>0</v>
      </c>
      <c r="K14" s="172">
        <f t="shared" si="2"/>
        <v>0</v>
      </c>
      <c r="L14" s="162" t="s">
        <v>141</v>
      </c>
      <c r="M14" s="196">
        <f t="shared" si="3"/>
        <v>0</v>
      </c>
      <c r="N14" s="197">
        <f t="shared" si="3"/>
        <v>0</v>
      </c>
      <c r="O14" s="117" t="s">
        <v>141</v>
      </c>
      <c r="P14" s="198"/>
      <c r="Q14" s="199"/>
      <c r="R14" s="6"/>
      <c r="S14" s="198"/>
      <c r="T14" s="181"/>
      <c r="U14" s="117"/>
      <c r="V14" s="182"/>
      <c r="W14" s="181"/>
      <c r="X14" s="115"/>
      <c r="Y14" s="183"/>
      <c r="Z14" s="200"/>
      <c r="AE14" s="178">
        <v>671100</v>
      </c>
    </row>
    <row r="15" spans="2:33" ht="14.25" customHeight="1" x14ac:dyDescent="0.25">
      <c r="B15" s="155"/>
      <c r="C15" s="201"/>
      <c r="D15" s="201"/>
      <c r="E15" s="202"/>
      <c r="F15" s="203" t="s">
        <v>148</v>
      </c>
      <c r="G15" s="204">
        <f>SUM(G6:G14)</f>
        <v>51840935</v>
      </c>
      <c r="H15" s="205">
        <f>SUM(H6:H14)</f>
        <v>21624739.219999999</v>
      </c>
      <c r="I15" s="117"/>
      <c r="J15" s="206">
        <f>SUM(J6:J14)</f>
        <v>38682110</v>
      </c>
      <c r="K15" s="101">
        <f>SUM(K6:K14)</f>
        <v>16960152.16</v>
      </c>
      <c r="L15" s="162"/>
      <c r="M15" s="6">
        <f>SUM(M6:M14)</f>
        <v>13158825</v>
      </c>
      <c r="N15" s="103">
        <f>SUM(N6:N14)</f>
        <v>4664587.0599999996</v>
      </c>
      <c r="O15" s="117"/>
      <c r="P15" s="6">
        <f>SUM(P6:P14)</f>
        <v>38682160</v>
      </c>
      <c r="Q15" s="207">
        <f>SUM(Q6:Q14)</f>
        <v>16955462.050000001</v>
      </c>
      <c r="R15" s="6"/>
      <c r="S15" s="6">
        <f>SUM(S6:S14)</f>
        <v>13158775</v>
      </c>
      <c r="T15" s="207">
        <f>SUM(T6:T14)</f>
        <v>4649078.71</v>
      </c>
      <c r="U15" s="117"/>
      <c r="V15" s="208">
        <f>+SUM(V6:V14)</f>
        <v>-50</v>
      </c>
      <c r="W15" s="207">
        <f>SUM(W6:W14)</f>
        <v>4690.1100000000006</v>
      </c>
      <c r="X15" s="115"/>
      <c r="Y15" s="208">
        <f>SUM(Y6:Y14)</f>
        <v>50</v>
      </c>
      <c r="Z15" s="207">
        <f>SUM(Z6:Z14)</f>
        <v>15508.35</v>
      </c>
      <c r="AB15" s="209">
        <f>SUM(AB6:AB14)</f>
        <v>0</v>
      </c>
      <c r="AC15" s="209">
        <f>SUM(AC6:AC14)</f>
        <v>0</v>
      </c>
      <c r="AD15" s="209"/>
      <c r="AE15" s="202"/>
    </row>
    <row r="16" spans="2:33" ht="14.25" customHeight="1" x14ac:dyDescent="0.25">
      <c r="B16" s="155"/>
      <c r="C16" s="201"/>
      <c r="D16" s="201"/>
      <c r="E16" s="202"/>
      <c r="G16" s="204"/>
      <c r="H16" s="210"/>
      <c r="I16" s="117"/>
      <c r="J16" s="204"/>
      <c r="K16" s="210"/>
      <c r="L16" s="211"/>
      <c r="M16" s="204"/>
      <c r="N16" s="212"/>
      <c r="O16" s="117"/>
      <c r="P16" s="206"/>
      <c r="Q16" s="100"/>
      <c r="R16" s="6"/>
      <c r="S16" s="206"/>
      <c r="T16" s="95"/>
      <c r="U16" s="117"/>
      <c r="V16" s="213"/>
      <c r="W16" s="95"/>
      <c r="X16" s="115"/>
      <c r="Y16" s="115"/>
      <c r="Z16" s="95"/>
      <c r="AE16" s="202"/>
    </row>
    <row r="17" spans="2:33" ht="14.25" customHeight="1" x14ac:dyDescent="0.25">
      <c r="B17" s="155" t="s">
        <v>135</v>
      </c>
      <c r="C17" s="156">
        <v>6011</v>
      </c>
      <c r="D17" s="156">
        <v>28040</v>
      </c>
      <c r="E17" s="157">
        <v>672010</v>
      </c>
      <c r="F17" s="6" t="s">
        <v>149</v>
      </c>
      <c r="G17" s="158"/>
      <c r="H17" s="159">
        <f>K17+N17</f>
        <v>5216499.0599999996</v>
      </c>
      <c r="I17" s="117"/>
      <c r="J17" s="214"/>
      <c r="K17" s="161">
        <f>+Q17+W17</f>
        <v>4139425.8099999996</v>
      </c>
      <c r="L17" s="162" t="s">
        <v>138</v>
      </c>
      <c r="M17" s="160"/>
      <c r="N17" s="161">
        <f>+T17+Z17</f>
        <v>1077073.25</v>
      </c>
      <c r="O17" s="117" t="s">
        <v>138</v>
      </c>
      <c r="P17" s="160"/>
      <c r="Q17" s="163">
        <f>163635.13+3896058.61</f>
        <v>4059693.7399999998</v>
      </c>
      <c r="R17" s="6"/>
      <c r="S17" s="160"/>
      <c r="T17" s="163">
        <f>365072.45+674633.87</f>
        <v>1039706.3200000001</v>
      </c>
      <c r="U17" s="117"/>
      <c r="V17" s="215"/>
      <c r="W17" s="163">
        <v>79732.070000000007</v>
      </c>
      <c r="X17" s="168"/>
      <c r="Y17" s="167"/>
      <c r="Z17" s="216">
        <v>37366.93</v>
      </c>
      <c r="AE17" s="166">
        <v>672010</v>
      </c>
    </row>
    <row r="18" spans="2:33" ht="14.25" customHeight="1" x14ac:dyDescent="0.25">
      <c r="B18" s="155" t="s">
        <v>135</v>
      </c>
      <c r="C18" s="156">
        <v>6011</v>
      </c>
      <c r="D18" s="156">
        <v>28040</v>
      </c>
      <c r="E18" s="157">
        <v>672020</v>
      </c>
      <c r="F18" s="6" t="s">
        <v>150</v>
      </c>
      <c r="G18" s="158"/>
      <c r="H18" s="159">
        <f>K18+N18</f>
        <v>117623.27</v>
      </c>
      <c r="I18" s="117"/>
      <c r="J18" s="214"/>
      <c r="K18" s="172">
        <f>+Q18+W18</f>
        <v>82629.08</v>
      </c>
      <c r="L18" s="162" t="s">
        <v>141</v>
      </c>
      <c r="M18" s="160"/>
      <c r="N18" s="172">
        <f>+T18+Z18</f>
        <v>34994.19</v>
      </c>
      <c r="O18" s="117" t="s">
        <v>141</v>
      </c>
      <c r="P18" s="160"/>
      <c r="Q18" s="174">
        <v>84143.75</v>
      </c>
      <c r="R18" s="6"/>
      <c r="S18" s="7"/>
      <c r="T18" s="174">
        <v>27153.25</v>
      </c>
      <c r="U18" s="117"/>
      <c r="V18" s="215"/>
      <c r="W18" s="174">
        <v>-1514.67</v>
      </c>
      <c r="X18" s="168"/>
      <c r="Y18" s="167"/>
      <c r="Z18" s="174">
        <v>7840.94</v>
      </c>
      <c r="AE18" s="178">
        <v>672020</v>
      </c>
      <c r="AF18" s="217"/>
    </row>
    <row r="19" spans="2:33" ht="14.25" customHeight="1" x14ac:dyDescent="0.25">
      <c r="B19" s="155" t="s">
        <v>135</v>
      </c>
      <c r="C19" s="156">
        <v>6011</v>
      </c>
      <c r="D19" s="156">
        <v>28040</v>
      </c>
      <c r="E19" s="157">
        <v>672030</v>
      </c>
      <c r="F19" s="6" t="s">
        <v>151</v>
      </c>
      <c r="G19" s="158"/>
      <c r="H19" s="159">
        <f>K19+N19</f>
        <v>0</v>
      </c>
      <c r="I19" s="117"/>
      <c r="J19" s="214"/>
      <c r="K19" s="161">
        <f>+Q19+W19</f>
        <v>0</v>
      </c>
      <c r="L19" s="162" t="s">
        <v>138</v>
      </c>
      <c r="M19" s="160"/>
      <c r="N19" s="161">
        <f>+T19+Z19</f>
        <v>0</v>
      </c>
      <c r="O19" s="117" t="s">
        <v>138</v>
      </c>
      <c r="P19" s="160"/>
      <c r="Q19" s="163"/>
      <c r="R19" s="6"/>
      <c r="S19" s="160"/>
      <c r="T19" s="163"/>
      <c r="U19" s="117"/>
      <c r="V19" s="215"/>
      <c r="W19" s="165"/>
      <c r="X19" s="115"/>
      <c r="Y19" s="164"/>
      <c r="Z19" s="165"/>
      <c r="AE19" s="166">
        <v>672030</v>
      </c>
      <c r="AF19" s="217"/>
    </row>
    <row r="20" spans="2:33" ht="14.25" customHeight="1" x14ac:dyDescent="0.25">
      <c r="B20" s="155" t="s">
        <v>135</v>
      </c>
      <c r="C20" s="156">
        <v>6011</v>
      </c>
      <c r="D20" s="156">
        <v>28040</v>
      </c>
      <c r="E20" s="157">
        <v>672040</v>
      </c>
      <c r="F20" s="6" t="s">
        <v>152</v>
      </c>
      <c r="G20" s="158"/>
      <c r="H20" s="159">
        <f>K20+N20</f>
        <v>105985.86000000002</v>
      </c>
      <c r="I20" s="117"/>
      <c r="J20" s="214"/>
      <c r="K20" s="161">
        <f>+Q20+W20</f>
        <v>94162.860000000015</v>
      </c>
      <c r="L20" s="162" t="s">
        <v>138</v>
      </c>
      <c r="M20" s="160"/>
      <c r="N20" s="161">
        <f>+T20+Z20</f>
        <v>11823</v>
      </c>
      <c r="O20" s="117" t="s">
        <v>138</v>
      </c>
      <c r="P20" s="160"/>
      <c r="Q20" s="163">
        <v>196515.45</v>
      </c>
      <c r="R20" s="6"/>
      <c r="S20" s="160"/>
      <c r="T20" s="163">
        <v>26569.41</v>
      </c>
      <c r="U20" s="117"/>
      <c r="V20" s="215"/>
      <c r="W20" s="163">
        <v>-102352.59</v>
      </c>
      <c r="X20" s="168"/>
      <c r="Y20" s="167"/>
      <c r="Z20" s="163">
        <v>-14746.41</v>
      </c>
      <c r="AE20" s="166">
        <v>672040</v>
      </c>
      <c r="AF20" s="217"/>
      <c r="AG20" s="217"/>
    </row>
    <row r="21" spans="2:33" ht="14.25" customHeight="1" x14ac:dyDescent="0.25">
      <c r="B21" s="155" t="s">
        <v>135</v>
      </c>
      <c r="C21" s="156">
        <v>6011</v>
      </c>
      <c r="D21" s="156">
        <v>28040</v>
      </c>
      <c r="E21" s="157">
        <v>672050</v>
      </c>
      <c r="F21" s="6" t="s">
        <v>153</v>
      </c>
      <c r="G21" s="158"/>
      <c r="H21" s="159">
        <f>K21+N21</f>
        <v>-1250183.02</v>
      </c>
      <c r="I21" s="117"/>
      <c r="J21" s="218"/>
      <c r="K21" s="161">
        <f>+Q21+W21</f>
        <v>-1103405.24</v>
      </c>
      <c r="L21" s="162" t="s">
        <v>138</v>
      </c>
      <c r="M21" s="160"/>
      <c r="N21" s="219">
        <f>+T21+Z21</f>
        <v>-146777.77999999997</v>
      </c>
      <c r="O21" s="117" t="s">
        <v>138</v>
      </c>
      <c r="P21" s="160"/>
      <c r="Q21" s="163">
        <f>+-108.06-995627.85</f>
        <v>-995735.91</v>
      </c>
      <c r="R21" s="220"/>
      <c r="S21" s="221"/>
      <c r="T21" s="222">
        <f>+-152.86-134670.24</f>
        <v>-134823.09999999998</v>
      </c>
      <c r="U21" s="117"/>
      <c r="V21" s="215"/>
      <c r="W21" s="163">
        <v>-107669.33</v>
      </c>
      <c r="X21" s="168"/>
      <c r="Y21" s="167"/>
      <c r="Z21" s="163">
        <v>-11954.68</v>
      </c>
      <c r="AE21" s="166">
        <v>672050</v>
      </c>
      <c r="AF21" s="217"/>
      <c r="AG21" s="217"/>
    </row>
    <row r="22" spans="2:33" ht="14.25" customHeight="1" x14ac:dyDescent="0.25">
      <c r="B22" s="155"/>
      <c r="C22" s="201"/>
      <c r="D22" s="201"/>
      <c r="E22" s="202"/>
      <c r="F22" s="206" t="s">
        <v>154</v>
      </c>
      <c r="G22" s="223"/>
      <c r="H22" s="224">
        <f>SUM(H17:H21)</f>
        <v>4189925.1699999995</v>
      </c>
      <c r="I22" s="117"/>
      <c r="J22" s="225"/>
      <c r="K22" s="103">
        <f>SUM(K17:K21)</f>
        <v>3212812.51</v>
      </c>
      <c r="L22" s="162"/>
      <c r="M22" s="226"/>
      <c r="N22" s="103">
        <f>SUM(N17:N21)</f>
        <v>977112.65999999992</v>
      </c>
      <c r="O22" s="117"/>
      <c r="P22" s="206"/>
      <c r="Q22" s="227">
        <f>SUM(Q17:Q21)</f>
        <v>3344617.0299999993</v>
      </c>
      <c r="R22" s="162"/>
      <c r="S22" s="102"/>
      <c r="T22" s="207">
        <f>SUM(T17:T21)</f>
        <v>958605.88</v>
      </c>
      <c r="U22" s="117"/>
      <c r="V22" s="228"/>
      <c r="W22" s="229">
        <f>SUM(W17:W21)</f>
        <v>-131804.51999999999</v>
      </c>
      <c r="X22" s="115"/>
      <c r="Y22" s="164"/>
      <c r="Z22" s="207">
        <f>SUM(Z17:Z21)</f>
        <v>18506.780000000002</v>
      </c>
      <c r="AB22" s="209">
        <f>SUM(AB17:AB21)</f>
        <v>0</v>
      </c>
      <c r="AC22" s="209">
        <f>SUM(AC17:AC21)</f>
        <v>0</v>
      </c>
      <c r="AD22" s="209"/>
      <c r="AE22" s="202"/>
    </row>
    <row r="23" spans="2:33" ht="14.25" customHeight="1" x14ac:dyDescent="0.25">
      <c r="B23" s="155"/>
      <c r="C23" s="201"/>
      <c r="D23" s="201"/>
      <c r="E23" s="202"/>
      <c r="F23" s="230"/>
      <c r="G23" s="169"/>
      <c r="H23" s="210"/>
      <c r="I23" s="117"/>
      <c r="J23" s="214"/>
      <c r="K23" s="212"/>
      <c r="L23" s="211"/>
      <c r="M23" s="231"/>
      <c r="N23" s="212"/>
      <c r="O23" s="117"/>
      <c r="P23" s="206"/>
      <c r="Q23" s="100"/>
      <c r="R23" s="6"/>
      <c r="S23" s="6"/>
      <c r="T23" s="95"/>
      <c r="U23" s="117"/>
      <c r="V23" s="215"/>
      <c r="W23" s="101"/>
      <c r="X23" s="115"/>
      <c r="Y23" s="164"/>
      <c r="Z23" s="95"/>
      <c r="AE23" s="202"/>
    </row>
    <row r="24" spans="2:33" ht="14.25" customHeight="1" x14ac:dyDescent="0.25">
      <c r="B24" s="155" t="s">
        <v>135</v>
      </c>
      <c r="C24" s="156">
        <v>6011</v>
      </c>
      <c r="D24" s="156">
        <v>28040</v>
      </c>
      <c r="E24" s="157">
        <v>673020</v>
      </c>
      <c r="F24" s="6" t="s">
        <v>155</v>
      </c>
      <c r="G24" s="158"/>
      <c r="H24" s="159">
        <f>K24+N24</f>
        <v>304070.67000000004</v>
      </c>
      <c r="I24" s="117"/>
      <c r="J24" s="214"/>
      <c r="K24" s="161">
        <f t="shared" ref="K24:K37" si="4">+Q24+W24</f>
        <v>268009.07</v>
      </c>
      <c r="L24" s="162" t="s">
        <v>138</v>
      </c>
      <c r="M24" s="160"/>
      <c r="N24" s="161">
        <f t="shared" ref="N24:N33" si="5">+T24+Z24</f>
        <v>36061.600000000006</v>
      </c>
      <c r="O24" s="117" t="s">
        <v>138</v>
      </c>
      <c r="P24" s="160"/>
      <c r="Q24" s="163">
        <v>164703.34</v>
      </c>
      <c r="R24" s="6"/>
      <c r="S24" s="160"/>
      <c r="T24" s="163">
        <v>22268.33</v>
      </c>
      <c r="U24" s="117"/>
      <c r="V24" s="215"/>
      <c r="W24" s="163">
        <v>103305.73</v>
      </c>
      <c r="X24" s="232"/>
      <c r="Y24" s="232"/>
      <c r="Z24" s="163">
        <v>13793.27</v>
      </c>
      <c r="AE24" s="166">
        <v>673020</v>
      </c>
    </row>
    <row r="25" spans="2:33" ht="14.25" customHeight="1" x14ac:dyDescent="0.25">
      <c r="B25" s="155" t="s">
        <v>135</v>
      </c>
      <c r="C25" s="156">
        <v>6011</v>
      </c>
      <c r="D25" s="156">
        <v>28040</v>
      </c>
      <c r="E25" s="157">
        <v>673030</v>
      </c>
      <c r="F25" s="6" t="s">
        <v>156</v>
      </c>
      <c r="G25" s="158"/>
      <c r="H25" s="159">
        <f t="shared" ref="H25:H37" si="6">K25+N25</f>
        <v>241003.34</v>
      </c>
      <c r="I25" s="117"/>
      <c r="J25" s="214"/>
      <c r="K25" s="161">
        <f t="shared" si="4"/>
        <v>213726.76</v>
      </c>
      <c r="L25" s="162" t="s">
        <v>138</v>
      </c>
      <c r="M25" s="160"/>
      <c r="N25" s="161">
        <f t="shared" si="5"/>
        <v>27276.579999999998</v>
      </c>
      <c r="O25" s="117" t="s">
        <v>138</v>
      </c>
      <c r="P25" s="160"/>
      <c r="Q25" s="163">
        <f>61282.61+152444.15</f>
        <v>213726.76</v>
      </c>
      <c r="R25" s="6"/>
      <c r="S25" s="160"/>
      <c r="T25" s="163">
        <f>6665.73+20610.85</f>
        <v>27276.579999999998</v>
      </c>
      <c r="U25" s="117"/>
      <c r="V25" s="215"/>
      <c r="W25" s="165"/>
      <c r="X25" s="233"/>
      <c r="Y25" s="233"/>
      <c r="Z25" s="165"/>
      <c r="AE25" s="166">
        <v>673030</v>
      </c>
    </row>
    <row r="26" spans="2:33" ht="14.25" customHeight="1" x14ac:dyDescent="0.25">
      <c r="B26" s="155" t="s">
        <v>135</v>
      </c>
      <c r="C26" s="156">
        <v>6011</v>
      </c>
      <c r="D26" s="156">
        <v>28040</v>
      </c>
      <c r="E26" s="157">
        <v>673040</v>
      </c>
      <c r="F26" s="6" t="s">
        <v>157</v>
      </c>
      <c r="G26" s="158"/>
      <c r="H26" s="159">
        <f t="shared" si="6"/>
        <v>0</v>
      </c>
      <c r="I26" s="117"/>
      <c r="J26" s="214"/>
      <c r="K26" s="172">
        <f t="shared" si="4"/>
        <v>0</v>
      </c>
      <c r="L26" s="162" t="s">
        <v>141</v>
      </c>
      <c r="M26" s="160"/>
      <c r="N26" s="172">
        <f>+T26+Z26</f>
        <v>0</v>
      </c>
      <c r="O26" s="117" t="s">
        <v>141</v>
      </c>
      <c r="P26" s="160"/>
      <c r="Q26" s="174"/>
      <c r="R26" s="6"/>
      <c r="S26" s="160"/>
      <c r="T26" s="174"/>
      <c r="U26" s="117"/>
      <c r="V26" s="215"/>
      <c r="W26" s="181"/>
      <c r="X26" s="233"/>
      <c r="Y26" s="233"/>
      <c r="Z26" s="181"/>
      <c r="AE26" s="178">
        <v>673040</v>
      </c>
    </row>
    <row r="27" spans="2:33" ht="14.25" customHeight="1" x14ac:dyDescent="0.25">
      <c r="B27" s="155" t="s">
        <v>135</v>
      </c>
      <c r="C27" s="156">
        <v>6011</v>
      </c>
      <c r="D27" s="156">
        <v>28040</v>
      </c>
      <c r="E27" s="157">
        <v>673050</v>
      </c>
      <c r="F27" s="6" t="s">
        <v>158</v>
      </c>
      <c r="G27" s="158"/>
      <c r="H27" s="159">
        <f t="shared" si="6"/>
        <v>0</v>
      </c>
      <c r="I27" s="117"/>
      <c r="J27" s="214"/>
      <c r="K27" s="172">
        <f t="shared" si="4"/>
        <v>0</v>
      </c>
      <c r="L27" s="162" t="s">
        <v>141</v>
      </c>
      <c r="M27" s="160"/>
      <c r="N27" s="172">
        <f t="shared" si="5"/>
        <v>0</v>
      </c>
      <c r="O27" s="117" t="s">
        <v>138</v>
      </c>
      <c r="P27" s="160"/>
      <c r="Q27" s="174"/>
      <c r="R27" s="6"/>
      <c r="S27" s="160"/>
      <c r="T27" s="174"/>
      <c r="U27" s="117"/>
      <c r="V27" s="215"/>
      <c r="W27" s="181"/>
      <c r="X27" s="233"/>
      <c r="Y27" s="233"/>
      <c r="Z27" s="181"/>
      <c r="AE27" s="178">
        <v>673050</v>
      </c>
    </row>
    <row r="28" spans="2:33" ht="14.25" customHeight="1" x14ac:dyDescent="0.25">
      <c r="B28" s="155" t="s">
        <v>135</v>
      </c>
      <c r="C28" s="156">
        <v>6011</v>
      </c>
      <c r="D28" s="156">
        <v>28040</v>
      </c>
      <c r="E28" s="157">
        <v>673060</v>
      </c>
      <c r="F28" s="6" t="s">
        <v>159</v>
      </c>
      <c r="G28" s="158"/>
      <c r="H28" s="159">
        <f t="shared" si="6"/>
        <v>0</v>
      </c>
      <c r="I28" s="117"/>
      <c r="J28" s="214"/>
      <c r="K28" s="172">
        <f t="shared" si="4"/>
        <v>0</v>
      </c>
      <c r="L28" s="162" t="s">
        <v>141</v>
      </c>
      <c r="M28" s="160"/>
      <c r="N28" s="172">
        <f t="shared" si="5"/>
        <v>0</v>
      </c>
      <c r="O28" s="117" t="s">
        <v>138</v>
      </c>
      <c r="P28" s="160"/>
      <c r="Q28" s="174"/>
      <c r="R28" s="6"/>
      <c r="S28" s="160"/>
      <c r="T28" s="174"/>
      <c r="U28" s="117"/>
      <c r="V28" s="215"/>
      <c r="W28" s="181"/>
      <c r="X28" s="233"/>
      <c r="Y28" s="233"/>
      <c r="Z28" s="181"/>
      <c r="AE28" s="178">
        <v>673060</v>
      </c>
    </row>
    <row r="29" spans="2:33" ht="14.25" customHeight="1" x14ac:dyDescent="0.25">
      <c r="B29" s="155" t="s">
        <v>135</v>
      </c>
      <c r="C29" s="156">
        <v>6011</v>
      </c>
      <c r="D29" s="156">
        <v>28040</v>
      </c>
      <c r="E29" s="157">
        <v>673070</v>
      </c>
      <c r="F29" s="6" t="s">
        <v>160</v>
      </c>
      <c r="G29" s="158"/>
      <c r="H29" s="159">
        <f t="shared" si="6"/>
        <v>4063.2</v>
      </c>
      <c r="I29" s="117"/>
      <c r="J29" s="214"/>
      <c r="K29" s="161">
        <f t="shared" si="4"/>
        <v>3664.6</v>
      </c>
      <c r="L29" s="162" t="s">
        <v>141</v>
      </c>
      <c r="M29" s="160"/>
      <c r="N29" s="161">
        <f t="shared" si="5"/>
        <v>398.6</v>
      </c>
      <c r="O29" s="117" t="s">
        <v>138</v>
      </c>
      <c r="P29" s="160"/>
      <c r="Q29" s="163">
        <v>1832.3</v>
      </c>
      <c r="R29" s="6"/>
      <c r="S29" s="160"/>
      <c r="T29" s="163">
        <v>199.3</v>
      </c>
      <c r="U29" s="117"/>
      <c r="V29" s="215"/>
      <c r="W29" s="163">
        <v>1832.3</v>
      </c>
      <c r="X29" s="232"/>
      <c r="Y29" s="232"/>
      <c r="Z29" s="163">
        <v>199.3</v>
      </c>
      <c r="AE29" s="166">
        <v>673070</v>
      </c>
    </row>
    <row r="30" spans="2:33" ht="14.25" customHeight="1" x14ac:dyDescent="0.25">
      <c r="B30" s="155" t="s">
        <v>135</v>
      </c>
      <c r="C30" s="156">
        <v>6011</v>
      </c>
      <c r="D30" s="156">
        <v>28040</v>
      </c>
      <c r="E30" s="157">
        <v>673080</v>
      </c>
      <c r="F30" s="6" t="s">
        <v>161</v>
      </c>
      <c r="G30" s="158"/>
      <c r="H30" s="159">
        <f t="shared" si="6"/>
        <v>19621.169999999998</v>
      </c>
      <c r="I30" s="117"/>
      <c r="J30" s="214"/>
      <c r="K30" s="161">
        <f t="shared" si="4"/>
        <v>17812.099999999999</v>
      </c>
      <c r="L30" s="162" t="s">
        <v>138</v>
      </c>
      <c r="M30" s="160"/>
      <c r="N30" s="161">
        <f t="shared" si="5"/>
        <v>1809.07</v>
      </c>
      <c r="O30" s="117" t="s">
        <v>138</v>
      </c>
      <c r="P30" s="160"/>
      <c r="Q30" s="163">
        <v>17364.18</v>
      </c>
      <c r="R30" s="6"/>
      <c r="S30" s="160"/>
      <c r="T30" s="163">
        <v>1763.58</v>
      </c>
      <c r="U30" s="117"/>
      <c r="V30" s="215"/>
      <c r="W30" s="163">
        <v>447.92</v>
      </c>
      <c r="X30" s="232"/>
      <c r="Y30" s="232"/>
      <c r="Z30" s="163">
        <v>45.49</v>
      </c>
      <c r="AE30" s="166">
        <v>673080</v>
      </c>
    </row>
    <row r="31" spans="2:33" ht="14.25" customHeight="1" x14ac:dyDescent="0.25">
      <c r="B31" s="155" t="s">
        <v>135</v>
      </c>
      <c r="C31" s="156">
        <v>6011</v>
      </c>
      <c r="D31" s="156">
        <v>28040</v>
      </c>
      <c r="E31" s="157">
        <v>673090</v>
      </c>
      <c r="F31" s="6" t="s">
        <v>162</v>
      </c>
      <c r="G31" s="158"/>
      <c r="H31" s="159">
        <f t="shared" si="6"/>
        <v>0</v>
      </c>
      <c r="I31" s="117"/>
      <c r="J31" s="214"/>
      <c r="K31" s="172">
        <f t="shared" si="4"/>
        <v>0</v>
      </c>
      <c r="L31" s="162" t="s">
        <v>141</v>
      </c>
      <c r="M31" s="160"/>
      <c r="N31" s="172">
        <f>+T31+Z31</f>
        <v>0</v>
      </c>
      <c r="O31" s="117" t="s">
        <v>141</v>
      </c>
      <c r="P31" s="160"/>
      <c r="Q31" s="174"/>
      <c r="R31" s="6"/>
      <c r="S31" s="160"/>
      <c r="T31" s="174"/>
      <c r="U31" s="117"/>
      <c r="V31" s="215"/>
      <c r="W31" s="174"/>
      <c r="X31" s="232"/>
      <c r="Y31" s="232"/>
      <c r="Z31" s="174"/>
      <c r="AE31" s="178">
        <v>673090</v>
      </c>
    </row>
    <row r="32" spans="2:33" ht="14.25" customHeight="1" x14ac:dyDescent="0.25">
      <c r="B32" s="155" t="s">
        <v>135</v>
      </c>
      <c r="C32" s="156">
        <v>6011</v>
      </c>
      <c r="D32" s="156">
        <v>28040</v>
      </c>
      <c r="E32" s="157">
        <v>673120</v>
      </c>
      <c r="F32" s="6" t="s">
        <v>163</v>
      </c>
      <c r="G32" s="158"/>
      <c r="H32" s="159">
        <f t="shared" si="6"/>
        <v>149740.39000000001</v>
      </c>
      <c r="I32" s="117"/>
      <c r="J32" s="214"/>
      <c r="K32" s="161">
        <f t="shared" si="4"/>
        <v>132254.09</v>
      </c>
      <c r="L32" s="162" t="s">
        <v>138</v>
      </c>
      <c r="M32" s="160"/>
      <c r="N32" s="161">
        <f t="shared" si="5"/>
        <v>17486.300000000003</v>
      </c>
      <c r="O32" s="117" t="s">
        <v>138</v>
      </c>
      <c r="P32" s="160"/>
      <c r="Q32" s="163">
        <v>131906.31</v>
      </c>
      <c r="R32" s="6"/>
      <c r="S32" s="160"/>
      <c r="T32" s="163">
        <v>17834.080000000002</v>
      </c>
      <c r="U32" s="117"/>
      <c r="V32" s="215"/>
      <c r="W32" s="163">
        <v>347.78</v>
      </c>
      <c r="X32" s="232"/>
      <c r="Y32" s="232"/>
      <c r="Z32" s="163">
        <v>-347.78</v>
      </c>
      <c r="AE32" s="166">
        <v>673120</v>
      </c>
    </row>
    <row r="33" spans="2:32" ht="14.25" customHeight="1" x14ac:dyDescent="0.25">
      <c r="B33" s="155" t="s">
        <v>135</v>
      </c>
      <c r="C33" s="156">
        <v>6011</v>
      </c>
      <c r="D33" s="156">
        <v>28040</v>
      </c>
      <c r="E33" s="157">
        <v>673130</v>
      </c>
      <c r="F33" s="6" t="s">
        <v>164</v>
      </c>
      <c r="G33" s="158"/>
      <c r="H33" s="159">
        <f t="shared" si="6"/>
        <v>0</v>
      </c>
      <c r="I33" s="117"/>
      <c r="J33" s="214"/>
      <c r="K33" s="161">
        <f t="shared" si="4"/>
        <v>0</v>
      </c>
      <c r="L33" s="162" t="s">
        <v>138</v>
      </c>
      <c r="M33" s="160"/>
      <c r="N33" s="161">
        <f t="shared" si="5"/>
        <v>0</v>
      </c>
      <c r="O33" s="117" t="s">
        <v>138</v>
      </c>
      <c r="P33" s="160"/>
      <c r="Q33" s="163"/>
      <c r="R33" s="6"/>
      <c r="S33" s="160"/>
      <c r="T33" s="163"/>
      <c r="U33" s="117"/>
      <c r="V33" s="215"/>
      <c r="W33" s="165"/>
      <c r="X33" s="115"/>
      <c r="Y33" s="164"/>
      <c r="Z33" s="165"/>
      <c r="AE33" s="166">
        <v>673130</v>
      </c>
    </row>
    <row r="34" spans="2:32" ht="14.25" customHeight="1" x14ac:dyDescent="0.25">
      <c r="B34" s="155" t="s">
        <v>135</v>
      </c>
      <c r="C34" s="156">
        <v>6011</v>
      </c>
      <c r="D34" s="156">
        <v>28040</v>
      </c>
      <c r="E34" s="157">
        <v>673140</v>
      </c>
      <c r="F34" s="6" t="s">
        <v>165</v>
      </c>
      <c r="G34" s="158"/>
      <c r="H34" s="159">
        <f t="shared" si="6"/>
        <v>0</v>
      </c>
      <c r="I34" s="117"/>
      <c r="J34" s="214"/>
      <c r="K34" s="172">
        <f t="shared" si="4"/>
        <v>0</v>
      </c>
      <c r="L34" s="162" t="s">
        <v>141</v>
      </c>
      <c r="M34" s="160"/>
      <c r="N34" s="172">
        <f>+T34+Z34</f>
        <v>0</v>
      </c>
      <c r="O34" s="117" t="s">
        <v>141</v>
      </c>
      <c r="P34" s="160"/>
      <c r="Q34" s="174"/>
      <c r="R34" s="6"/>
      <c r="S34" s="160"/>
      <c r="T34" s="174"/>
      <c r="U34" s="117"/>
      <c r="V34" s="215"/>
      <c r="W34" s="181"/>
      <c r="X34" s="115"/>
      <c r="Y34" s="164"/>
      <c r="Z34" s="181"/>
      <c r="AE34" s="178">
        <v>673140</v>
      </c>
    </row>
    <row r="35" spans="2:32" ht="14.25" customHeight="1" x14ac:dyDescent="0.25">
      <c r="B35" s="155" t="s">
        <v>135</v>
      </c>
      <c r="C35" s="156">
        <v>6011</v>
      </c>
      <c r="D35" s="156">
        <v>28040</v>
      </c>
      <c r="E35" s="157">
        <v>673160</v>
      </c>
      <c r="F35" s="6" t="s">
        <v>166</v>
      </c>
      <c r="G35" s="158"/>
      <c r="H35" s="159">
        <f t="shared" si="6"/>
        <v>0</v>
      </c>
      <c r="I35" s="117"/>
      <c r="J35" s="214"/>
      <c r="K35" s="172">
        <f t="shared" si="4"/>
        <v>0</v>
      </c>
      <c r="L35" s="162" t="s">
        <v>141</v>
      </c>
      <c r="M35" s="160"/>
      <c r="N35" s="172">
        <f>+T35+Z35</f>
        <v>0</v>
      </c>
      <c r="O35" s="117" t="s">
        <v>141</v>
      </c>
      <c r="P35" s="160"/>
      <c r="Q35" s="174"/>
      <c r="R35" s="6"/>
      <c r="S35" s="160"/>
      <c r="T35" s="174"/>
      <c r="U35" s="117"/>
      <c r="V35" s="215"/>
      <c r="W35" s="181"/>
      <c r="X35" s="115"/>
      <c r="Y35" s="164"/>
      <c r="Z35" s="181"/>
      <c r="AE35" s="178">
        <v>673160</v>
      </c>
    </row>
    <row r="36" spans="2:32" ht="14.25" customHeight="1" x14ac:dyDescent="0.25">
      <c r="B36" s="155" t="s">
        <v>135</v>
      </c>
      <c r="C36" s="156">
        <v>6011</v>
      </c>
      <c r="D36" s="156">
        <v>28040</v>
      </c>
      <c r="E36" s="157">
        <v>673180</v>
      </c>
      <c r="F36" s="6" t="s">
        <v>167</v>
      </c>
      <c r="G36" s="158"/>
      <c r="H36" s="159">
        <f t="shared" si="6"/>
        <v>20032.849999999999</v>
      </c>
      <c r="I36" s="117"/>
      <c r="J36" s="214"/>
      <c r="K36" s="161">
        <f>+Q36+W36</f>
        <v>18185.82</v>
      </c>
      <c r="L36" s="162" t="s">
        <v>138</v>
      </c>
      <c r="M36" s="160"/>
      <c r="N36" s="161">
        <f>+T36+Z36</f>
        <v>1847.03</v>
      </c>
      <c r="O36" s="117" t="s">
        <v>138</v>
      </c>
      <c r="P36" s="160"/>
      <c r="Q36" s="163">
        <v>18185.82</v>
      </c>
      <c r="R36" s="6"/>
      <c r="S36" s="160"/>
      <c r="T36" s="163">
        <v>1847.03</v>
      </c>
      <c r="U36" s="117"/>
      <c r="V36" s="215"/>
      <c r="W36" s="165"/>
      <c r="X36" s="233"/>
      <c r="Y36" s="233"/>
      <c r="Z36" s="165"/>
      <c r="AE36" s="166">
        <v>673180</v>
      </c>
    </row>
    <row r="37" spans="2:32" ht="14.25" customHeight="1" x14ac:dyDescent="0.25">
      <c r="B37" s="155" t="s">
        <v>135</v>
      </c>
      <c r="C37" s="156">
        <v>6011</v>
      </c>
      <c r="D37" s="156">
        <v>28040</v>
      </c>
      <c r="E37" s="157">
        <v>673190</v>
      </c>
      <c r="F37" s="196" t="s">
        <v>168</v>
      </c>
      <c r="G37" s="158"/>
      <c r="H37" s="234">
        <f t="shared" si="6"/>
        <v>0</v>
      </c>
      <c r="I37" s="117"/>
      <c r="J37" s="214"/>
      <c r="K37" s="172">
        <f t="shared" si="4"/>
        <v>0</v>
      </c>
      <c r="L37" s="162" t="s">
        <v>141</v>
      </c>
      <c r="M37" s="221"/>
      <c r="N37" s="172">
        <f>+T37+Z37</f>
        <v>0</v>
      </c>
      <c r="O37" s="117" t="s">
        <v>141</v>
      </c>
      <c r="P37" s="221"/>
      <c r="Q37" s="174"/>
      <c r="R37" s="6"/>
      <c r="S37" s="221"/>
      <c r="T37" s="200"/>
      <c r="U37" s="117"/>
      <c r="V37" s="235"/>
      <c r="W37" s="181"/>
      <c r="X37" s="115"/>
      <c r="Y37" s="164"/>
      <c r="Z37" s="181"/>
      <c r="AE37" s="178">
        <v>673190</v>
      </c>
    </row>
    <row r="38" spans="2:32" ht="15" x14ac:dyDescent="0.25">
      <c r="F38" s="6" t="s">
        <v>169</v>
      </c>
      <c r="G38" s="223"/>
      <c r="H38" s="159">
        <f>SUM(H24:H37)</f>
        <v>738531.62</v>
      </c>
      <c r="I38" s="117"/>
      <c r="J38" s="223"/>
      <c r="K38" s="103">
        <f>SUM(K24:K37)</f>
        <v>653652.43999999994</v>
      </c>
      <c r="L38" s="162"/>
      <c r="M38" s="6"/>
      <c r="N38" s="103">
        <f>SUM(N24:N37)</f>
        <v>84879.180000000008</v>
      </c>
      <c r="O38" s="117"/>
      <c r="P38" s="237"/>
      <c r="Q38" s="207">
        <f>SUM(Q24:Q37)</f>
        <v>547718.70999999985</v>
      </c>
      <c r="R38" s="162"/>
      <c r="S38" s="102"/>
      <c r="T38" s="207">
        <f>SUM(T24:T37)</f>
        <v>71188.900000000009</v>
      </c>
      <c r="U38" s="117"/>
      <c r="W38" s="207">
        <f>SUM(W24:W37)</f>
        <v>105933.73</v>
      </c>
      <c r="Y38" s="238"/>
      <c r="Z38" s="207">
        <f>SUM(Z24:Z37)</f>
        <v>13690.279999999999</v>
      </c>
      <c r="AB38" s="209">
        <f>SUM(AB24:AB37)</f>
        <v>0</v>
      </c>
      <c r="AC38" s="209">
        <f>SUM(AC24:AC37)</f>
        <v>0</v>
      </c>
      <c r="AD38" s="209"/>
    </row>
    <row r="39" spans="2:32" ht="14.1" customHeight="1" x14ac:dyDescent="0.25">
      <c r="F39" s="230"/>
      <c r="H39" s="239"/>
      <c r="I39" s="117"/>
      <c r="J39" s="223"/>
      <c r="K39" s="240"/>
      <c r="L39" s="241"/>
      <c r="M39" s="223"/>
      <c r="N39" s="240"/>
      <c r="O39" s="117"/>
      <c r="P39" s="242"/>
      <c r="Q39" s="243"/>
      <c r="R39" s="237"/>
      <c r="S39" s="242"/>
      <c r="T39" s="243"/>
      <c r="U39" s="117"/>
      <c r="V39" s="244"/>
      <c r="W39" s="203"/>
      <c r="Z39" s="104"/>
      <c r="AB39" s="116"/>
      <c r="AC39" s="116"/>
      <c r="AD39" s="116"/>
    </row>
    <row r="40" spans="2:32" ht="15.75" customHeight="1" x14ac:dyDescent="0.25">
      <c r="F40" s="102" t="s">
        <v>170</v>
      </c>
      <c r="G40" s="223">
        <f>+G38+G22+G15</f>
        <v>51840935</v>
      </c>
      <c r="H40" s="159">
        <f>+H38+H22+H15</f>
        <v>26553196.009999998</v>
      </c>
      <c r="I40" s="117"/>
      <c r="J40" s="245">
        <f>+J38+J22+J15</f>
        <v>38682110</v>
      </c>
      <c r="K40" s="207">
        <f>+K38+K22+K15</f>
        <v>20826617.109999999</v>
      </c>
      <c r="L40" s="246"/>
      <c r="M40" s="245">
        <f>+M38+M22+M15</f>
        <v>13158825</v>
      </c>
      <c r="N40" s="207">
        <f>+N38+N22+N15</f>
        <v>5726578.8999999994</v>
      </c>
      <c r="O40" s="139"/>
      <c r="P40" s="247">
        <f>+P38+P22+P15</f>
        <v>38682160</v>
      </c>
      <c r="Q40" s="227">
        <f>+Q38+Q22+Q15</f>
        <v>20847797.789999999</v>
      </c>
      <c r="R40" s="77"/>
      <c r="S40" s="247">
        <f>+S38+S22+S15</f>
        <v>13158775</v>
      </c>
      <c r="T40" s="227">
        <f>+T38+T22+T15</f>
        <v>5678873.4900000002</v>
      </c>
      <c r="U40" s="117"/>
      <c r="V40" s="248">
        <f>+V38+V22+V15</f>
        <v>-50</v>
      </c>
      <c r="W40" s="207">
        <f>+W38+W22+W15</f>
        <v>-21180.679999999993</v>
      </c>
      <c r="Y40" s="7">
        <f>+Y38+Y22+Y15</f>
        <v>50</v>
      </c>
      <c r="Z40" s="207">
        <f>+Z38+Z22+Z15</f>
        <v>47705.41</v>
      </c>
      <c r="AB40" s="209">
        <f>+AB38+AB22+AB15</f>
        <v>0</v>
      </c>
      <c r="AC40" s="209">
        <f>+AC38+AC22+AC15</f>
        <v>0</v>
      </c>
      <c r="AD40" s="209"/>
      <c r="AE40" s="217"/>
    </row>
    <row r="41" spans="2:32" ht="14.1" customHeight="1" x14ac:dyDescent="0.25">
      <c r="H41" s="249"/>
      <c r="I41" s="117"/>
      <c r="J41" s="169"/>
      <c r="K41" s="212"/>
      <c r="L41" s="241"/>
      <c r="M41" s="169"/>
      <c r="N41" s="212"/>
      <c r="O41" s="117"/>
      <c r="P41" s="237"/>
      <c r="Q41" s="100"/>
      <c r="R41" s="237"/>
      <c r="S41" s="237"/>
      <c r="T41" s="100"/>
      <c r="U41" s="117"/>
      <c r="W41" s="104"/>
      <c r="Z41" s="104"/>
    </row>
    <row r="42" spans="2:32" ht="14.1" customHeight="1" x14ac:dyDescent="0.25">
      <c r="C42" s="169" t="s">
        <v>171</v>
      </c>
      <c r="I42" s="117"/>
      <c r="J42" s="250"/>
      <c r="K42" s="251">
        <f>+K8+K9+K10+K11+K12+K13+K14+K18+K26+K27+K28+K31+K34+K35+K37</f>
        <v>16747806.859999998</v>
      </c>
      <c r="L42" s="241" t="s">
        <v>141</v>
      </c>
      <c r="M42" s="169"/>
      <c r="N42" s="252">
        <f>+N8+N9+N10+N11+N12+N13+N14+N18+N26+N31+N34+N35+N37+N27+N28</f>
        <v>4207702.32</v>
      </c>
      <c r="O42" s="253" t="s">
        <v>141</v>
      </c>
      <c r="P42" s="237"/>
      <c r="Q42" s="254">
        <f>+Q8+Q9+Q10+Q11+Q12+Q13+Q14+Q18+Q26+Q27+Q28+Q31+Q34+Q35+Q37</f>
        <v>16749337.439999998</v>
      </c>
      <c r="R42" s="237"/>
      <c r="S42" s="250"/>
      <c r="T42" s="254">
        <f>+T8+T10+T9+T11+T12+T13+T14+T18+T26+T31+T34+T35+T37+T27+T28</f>
        <v>4199845.4600000009</v>
      </c>
      <c r="U42" s="117"/>
      <c r="W42" s="255">
        <f>+W8+W9+W10+W11+W12+W13+W14+W18+W26+W27+W28+W31+W34+W35+W37</f>
        <v>-1530.5800000000002</v>
      </c>
      <c r="Z42" s="255">
        <f>Z9+Z10+Z11+Z12+Z13+Z14+Z18+Z26+Z31+Z34+Z35+Z37+Z8+Z27+Z28</f>
        <v>7856.86</v>
      </c>
      <c r="AB42" s="256">
        <f>+AB8+AB9+AB10+AB11+AB12+AB13+AB14+AB18+AB26+AB27+AB28+AB29+AB31+AB34+AB35+AB37</f>
        <v>0</v>
      </c>
      <c r="AC42" s="256">
        <f>+AC6+AC8+AC9+AC10+AC11+AC12+AC13+AC14+AC18+AC26+AC31+AC34+AC35+AC37</f>
        <v>0</v>
      </c>
    </row>
    <row r="43" spans="2:32" ht="14.1" customHeight="1" x14ac:dyDescent="0.25">
      <c r="C43" s="169" t="s">
        <v>172</v>
      </c>
      <c r="I43" s="117"/>
      <c r="J43" s="250"/>
      <c r="K43" s="251">
        <f>+K6+K7+K17+K24+K25+K30+K32+K33+K36+K19+K20+K21+K29</f>
        <v>4078810.2499999995</v>
      </c>
      <c r="L43" s="241" t="s">
        <v>138</v>
      </c>
      <c r="M43" s="169"/>
      <c r="N43" s="252">
        <f>N6+N7+N17+N24+N25+N30+N32+N33+N36+N19+N20+N21+N29</f>
        <v>1518876.5800000005</v>
      </c>
      <c r="O43" s="253" t="s">
        <v>138</v>
      </c>
      <c r="P43" s="237"/>
      <c r="Q43" s="257">
        <f>Q6+Q7+Q17+Q24+Q25+Q30+Q32+Q33+Q36+Q19+Q20+Q21+Q29</f>
        <v>4098460.3499999987</v>
      </c>
      <c r="R43" s="237"/>
      <c r="S43" s="250"/>
      <c r="T43" s="257">
        <f>+T7+T6+T17+T24+T25+T30+T32+T33+T36+T19+T20+T21+T29</f>
        <v>1479028.0300000005</v>
      </c>
      <c r="U43" s="117"/>
      <c r="W43" s="258">
        <f>W6+W7+W17+W24+W25+W30+W32+W33+W36+W19+W20+W21+W29</f>
        <v>-19650.09999999998</v>
      </c>
      <c r="Z43" s="258">
        <f>+Z7+Z17+Z24+Z25+Z30+Z32+Z33+Z36+Z19+Z20+Z21+Z29+Z6</f>
        <v>39848.55000000001</v>
      </c>
      <c r="AB43" s="259">
        <f>AB6+AB7+AB17+AB24+AB25+AB30+AB32+AB33+AB36</f>
        <v>0</v>
      </c>
      <c r="AC43" s="259">
        <f>+AC7+AC17+AC24+AC25+AC27+AC28+AC29+AC30+AC32+AC33+AC36</f>
        <v>0</v>
      </c>
    </row>
    <row r="44" spans="2:32" ht="15" customHeight="1" x14ac:dyDescent="0.25">
      <c r="C44" s="169" t="s">
        <v>12</v>
      </c>
      <c r="I44" s="117"/>
      <c r="J44" s="169"/>
      <c r="K44" s="207">
        <f>SUM(K42:K43)</f>
        <v>20826617.109999996</v>
      </c>
      <c r="L44" s="260"/>
      <c r="M44" s="169"/>
      <c r="N44" s="207">
        <f>SUM(N42:N43)</f>
        <v>5726578.9000000004</v>
      </c>
      <c r="O44" s="117"/>
      <c r="P44" s="237"/>
      <c r="Q44" s="227">
        <f>SUM(Q42:Q43)</f>
        <v>20847797.789999995</v>
      </c>
      <c r="R44" s="237"/>
      <c r="S44" s="237"/>
      <c r="T44" s="227">
        <f>SUM(T42:T43)</f>
        <v>5678873.4900000012</v>
      </c>
      <c r="U44" s="117"/>
      <c r="W44" s="207">
        <f>SUM(W42:W43)</f>
        <v>-21180.679999999982</v>
      </c>
      <c r="Z44" s="207">
        <f>SUM(Z42:Z43)</f>
        <v>47705.410000000011</v>
      </c>
      <c r="AB44" s="261">
        <f>SUM(AB42:AB43)</f>
        <v>0</v>
      </c>
      <c r="AC44" s="261">
        <f>SUM(AC42:AC43)</f>
        <v>0</v>
      </c>
      <c r="AD44" s="262"/>
      <c r="AE44" s="263">
        <f>+Z44+W44</f>
        <v>26524.730000000029</v>
      </c>
    </row>
    <row r="45" spans="2:32" ht="15" customHeight="1" x14ac:dyDescent="0.25">
      <c r="L45" s="105"/>
      <c r="AE45" s="263">
        <f>+'[3]Supplier Invoices'!$Q$95</f>
        <v>26524.726880000821</v>
      </c>
      <c r="AF45" s="76" t="s">
        <v>173</v>
      </c>
    </row>
    <row r="46" spans="2:32" ht="15" customHeight="1" x14ac:dyDescent="0.25">
      <c r="J46" s="6" t="s">
        <v>174</v>
      </c>
      <c r="K46" s="264">
        <f>K44+N44</f>
        <v>26553196.009999998</v>
      </c>
      <c r="P46" s="265" t="s">
        <v>175</v>
      </c>
      <c r="Q46" s="266">
        <f>Q44-Q11-Q12-Q13</f>
        <v>20101593.479999993</v>
      </c>
      <c r="R46" s="119"/>
      <c r="S46" s="265" t="s">
        <v>175</v>
      </c>
      <c r="T46" s="266">
        <f>T44-T11-T12-T13</f>
        <v>5578919.080000001</v>
      </c>
      <c r="W46" s="217"/>
      <c r="AE46" s="267">
        <f>+AE44-AE45</f>
        <v>3.1199992081383243E-3</v>
      </c>
    </row>
    <row r="47" spans="2:32" ht="15" customHeight="1" x14ac:dyDescent="0.25">
      <c r="F47" s="268"/>
      <c r="K47" s="269"/>
      <c r="P47" s="270" t="s">
        <v>176</v>
      </c>
      <c r="Q47" s="271">
        <f>W44</f>
        <v>-21180.679999999982</v>
      </c>
      <c r="R47" s="191"/>
      <c r="S47" s="270" t="s">
        <v>176</v>
      </c>
      <c r="T47" s="271">
        <f>Z44</f>
        <v>47705.410000000011</v>
      </c>
      <c r="W47" s="272"/>
    </row>
    <row r="48" spans="2:32" ht="15" customHeight="1" x14ac:dyDescent="0.25">
      <c r="F48" s="268"/>
      <c r="G48" s="7" t="s">
        <v>177</v>
      </c>
      <c r="Q48" s="273">
        <f>Q46+Q47</f>
        <v>20080412.799999993</v>
      </c>
      <c r="R48" s="274"/>
      <c r="S48" s="274"/>
      <c r="T48" s="273">
        <f>T46+T47</f>
        <v>5626624.4900000012</v>
      </c>
      <c r="U48" s="272"/>
      <c r="V48" s="272"/>
      <c r="W48" s="275"/>
      <c r="Z48" s="276"/>
    </row>
    <row r="49" spans="2:26" ht="15" customHeight="1" x14ac:dyDescent="0.25">
      <c r="F49" s="268"/>
      <c r="L49" s="277"/>
      <c r="M49" s="278" t="s">
        <v>1</v>
      </c>
      <c r="N49" s="279" t="s">
        <v>178</v>
      </c>
      <c r="Q49" s="280"/>
      <c r="T49" s="280"/>
      <c r="Z49" s="276"/>
    </row>
    <row r="50" spans="2:26" ht="14.1" customHeight="1" x14ac:dyDescent="0.25">
      <c r="L50" s="130"/>
      <c r="M50" s="278" t="s">
        <v>179</v>
      </c>
      <c r="N50" s="279" t="s">
        <v>180</v>
      </c>
      <c r="P50" s="77"/>
      <c r="Z50" s="276"/>
    </row>
    <row r="51" spans="2:26" ht="14.1" customHeight="1" x14ac:dyDescent="0.25">
      <c r="B51" s="7"/>
      <c r="L51" s="130"/>
      <c r="M51" s="278" t="s">
        <v>181</v>
      </c>
      <c r="N51" s="279" t="s">
        <v>182</v>
      </c>
    </row>
    <row r="52" spans="2:26" ht="14.1" customHeight="1" x14ac:dyDescent="0.25">
      <c r="B52" s="281"/>
      <c r="L52" s="130"/>
      <c r="M52" s="278" t="s">
        <v>183</v>
      </c>
      <c r="N52" s="279" t="s">
        <v>184</v>
      </c>
      <c r="W52" s="282"/>
    </row>
    <row r="53" spans="2:26" ht="14.1" customHeight="1" x14ac:dyDescent="0.25">
      <c r="L53" s="130"/>
      <c r="M53" s="278" t="s">
        <v>185</v>
      </c>
      <c r="N53" s="283" t="s">
        <v>186</v>
      </c>
    </row>
    <row r="54" spans="2:26" ht="14.1" customHeight="1" x14ac:dyDescent="0.25">
      <c r="L54" s="130"/>
      <c r="M54" s="278" t="s">
        <v>187</v>
      </c>
      <c r="N54" s="279" t="s">
        <v>188</v>
      </c>
    </row>
    <row r="55" spans="2:26" ht="14.1" customHeight="1" x14ac:dyDescent="0.25">
      <c r="L55" s="130"/>
      <c r="M55" s="278" t="s">
        <v>189</v>
      </c>
      <c r="N55" s="279" t="s">
        <v>190</v>
      </c>
    </row>
    <row r="56" spans="2:26" ht="14.1" customHeight="1" x14ac:dyDescent="0.25">
      <c r="L56" s="130"/>
      <c r="M56" s="278" t="s">
        <v>191</v>
      </c>
      <c r="N56" s="279" t="s">
        <v>192</v>
      </c>
    </row>
    <row r="57" spans="2:26" ht="14.1" customHeight="1" x14ac:dyDescent="0.25">
      <c r="L57" s="105"/>
      <c r="M57" s="284"/>
      <c r="N57" s="279" t="s">
        <v>193</v>
      </c>
    </row>
    <row r="58" spans="2:26" ht="14.1" customHeight="1" thickBot="1" x14ac:dyDescent="0.3">
      <c r="P58" s="285" t="s">
        <v>134</v>
      </c>
      <c r="Q58" s="286"/>
      <c r="R58" s="285"/>
      <c r="S58" s="285" t="s">
        <v>134</v>
      </c>
      <c r="T58" s="286"/>
    </row>
    <row r="59" spans="2:26" ht="14.1" customHeight="1" x14ac:dyDescent="0.25">
      <c r="B59" s="7"/>
      <c r="J59" s="287" t="s">
        <v>194</v>
      </c>
      <c r="K59" s="288" t="s">
        <v>195</v>
      </c>
      <c r="L59" s="76"/>
      <c r="M59" s="1">
        <v>6011</v>
      </c>
      <c r="N59" s="279" t="s">
        <v>196</v>
      </c>
      <c r="P59" s="77" t="e">
        <f ca="1">_xll.GXL(1, N$49,"CURRENCY="&amp;N$54&amp;";"&amp;"WEEKLY=FALSE",N$51,N$52,N$53,N$55,J59,$M59,$N59)</f>
        <v>#NAME?</v>
      </c>
      <c r="Q59" s="289" t="e">
        <f ca="1">_xll.GXL(1, N$50,"CURRENCY="&amp;N$54&amp;";"&amp;"WEEKLY=FALSE",N$51,N$52,N$53,N$55,J59,$M59,$N59)</f>
        <v>#NAME?</v>
      </c>
      <c r="R59" s="191">
        <v>-1</v>
      </c>
      <c r="S59" s="77" t="e">
        <f ca="1">_xll.GXL(1, N$49,"CURRENCY="&amp;N$54&amp;";"&amp;"WEEKLY=FALSE",N$51,N$52,N$53,N$55,K59,$M59,$N59)</f>
        <v>#NAME?</v>
      </c>
      <c r="T59" s="289" t="e">
        <f ca="1">_xll.GXL(1, N$50,"CURRENCY="&amp;N$54&amp;";"&amp;"WEEKLY=FALSE",N$51,N$52,N$53,N$55,K59,$M59,$N59)</f>
        <v>#NAME?</v>
      </c>
      <c r="U59" s="290">
        <v>-4</v>
      </c>
    </row>
    <row r="60" spans="2:26" ht="14.1" customHeight="1" x14ac:dyDescent="0.25">
      <c r="J60" s="287" t="s">
        <v>194</v>
      </c>
      <c r="K60" s="288" t="s">
        <v>195</v>
      </c>
      <c r="L60" s="76"/>
      <c r="M60" s="1">
        <v>6011</v>
      </c>
      <c r="N60" s="1">
        <v>28082</v>
      </c>
      <c r="P60" s="77" t="e">
        <f ca="1">_xll.GXL(1, N$49,"CURRENCY="&amp;N$54&amp;";"&amp;"WEEKLY=FALSE",N$51,N$52,N$53,N$55,J60,$M60,$N60)</f>
        <v>#NAME?</v>
      </c>
      <c r="Q60" s="291" t="e">
        <f ca="1">_xll.GXL(1, N$50,"CURRENCY="&amp;N$54&amp;";"&amp;"WEEKLY=FALSE",N$51,N$52,N$53,N$55,N$56,$M60,$N60)</f>
        <v>#NAME?</v>
      </c>
      <c r="R60" s="191">
        <v>-2</v>
      </c>
      <c r="S60" s="289"/>
      <c r="T60" s="291"/>
      <c r="U60" s="290"/>
    </row>
    <row r="61" spans="2:26" ht="15" x14ac:dyDescent="0.25">
      <c r="J61" s="287" t="s">
        <v>194</v>
      </c>
      <c r="K61" s="288" t="s">
        <v>195</v>
      </c>
      <c r="L61" s="76"/>
      <c r="M61" s="1">
        <v>6011</v>
      </c>
      <c r="N61" s="1">
        <v>28120</v>
      </c>
      <c r="P61" s="77" t="e">
        <f ca="1">_xll.GXL(1, N$49,"CURRENCY="&amp;N$54&amp;";"&amp;"WEEKLY=FALSE",N$51,N$52,N$53,N$55,J61,$M61,$N61)</f>
        <v>#NAME?</v>
      </c>
      <c r="Q61" s="289" t="e">
        <f ca="1">_xll.GXL(1, N$50,"CURRENCY="&amp;N$54&amp;";"&amp;"WEEKLY=FALSE",N$51,N$52,N$53,N$55,J61,$M61,$N61)</f>
        <v>#NAME?</v>
      </c>
      <c r="R61" s="191">
        <v>-3</v>
      </c>
      <c r="S61" s="77" t="e">
        <f ca="1">_xll.GXL(1, N$49,"CURRENCY="&amp;N$54&amp;";"&amp;"WEEKLY=FALSE",N$51,N$52,N$53,N$55,K61,$M61,$N61)</f>
        <v>#NAME?</v>
      </c>
      <c r="T61" s="289" t="e">
        <f ca="1">_xll.GXL(1, N$50,"CURRENCY="&amp;N$54&amp;";"&amp;"WEEKLY=FALSE",N$51,N$52,N$53,N$55,K61,$M61,$N61)</f>
        <v>#NAME?</v>
      </c>
      <c r="U61" s="290">
        <v>-5</v>
      </c>
    </row>
    <row r="62" spans="2:26" ht="14.1" customHeight="1" x14ac:dyDescent="0.25">
      <c r="B62" s="5"/>
      <c r="P62" s="77"/>
      <c r="Q62" s="292" t="e">
        <f ca="1">SUM(Q59:Q61)</f>
        <v>#NAME?</v>
      </c>
      <c r="R62" s="141"/>
      <c r="S62" s="141"/>
      <c r="T62" s="292" t="e">
        <f ca="1">SUM(T59:T61)</f>
        <v>#NAME?</v>
      </c>
      <c r="U62" s="76"/>
    </row>
    <row r="63" spans="2:26" ht="14.1" customHeight="1" x14ac:dyDescent="0.25">
      <c r="P63" s="293"/>
      <c r="Q63" s="294"/>
      <c r="R63" s="293"/>
      <c r="S63" s="293"/>
      <c r="T63" s="294"/>
      <c r="U63" s="76"/>
    </row>
    <row r="69" spans="17:22" ht="14.1" customHeight="1" x14ac:dyDescent="0.25">
      <c r="Q69" s="129">
        <v>9776852</v>
      </c>
      <c r="S69" s="129">
        <v>2278617.61</v>
      </c>
      <c r="T69" s="129">
        <v>2102518</v>
      </c>
      <c r="V69" s="7">
        <v>317389.78000000003</v>
      </c>
    </row>
    <row r="71" spans="17:22" ht="14.1" customHeight="1" x14ac:dyDescent="0.25">
      <c r="S71" s="295">
        <f>+S69/Q69</f>
        <v>0.23306250416800825</v>
      </c>
      <c r="V71" s="296">
        <f>+V69/T69</f>
        <v>0.15095698586171438</v>
      </c>
    </row>
  </sheetData>
  <mergeCells count="15">
    <mergeCell ref="B5:E5"/>
    <mergeCell ref="W3:Y3"/>
    <mergeCell ref="AB3:AC3"/>
    <mergeCell ref="J4:K4"/>
    <mergeCell ref="M4:N4"/>
    <mergeCell ref="P4:Q4"/>
    <mergeCell ref="S4:T4"/>
    <mergeCell ref="V4:W4"/>
    <mergeCell ref="Y4:Z4"/>
    <mergeCell ref="W1:Y1"/>
    <mergeCell ref="B2:E2"/>
    <mergeCell ref="G2:H2"/>
    <mergeCell ref="J2:N2"/>
    <mergeCell ref="P2:T2"/>
    <mergeCell ref="W2:Y2"/>
  </mergeCells>
  <printOptions gridLines="1"/>
  <pageMargins left="0" right="0" top="0.75" bottom="0" header="0.35" footer="0.24"/>
  <pageSetup scale="52" orientation="landscape" cellComments="asDisplayed" r:id="rId1"/>
  <headerFooter alignWithMargins="0">
    <oddHeader>&amp;C&amp;18&amp;A&amp;R&amp;18Page 6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F41A2-1D5A-4F5B-934D-8FF433B961E7}">
  <dimension ref="A1:I28"/>
  <sheetViews>
    <sheetView showGridLines="0" view="pageBreakPreview" zoomScale="110" zoomScaleNormal="100" zoomScaleSheetLayoutView="110" workbookViewId="0">
      <selection activeCell="R27" sqref="R27"/>
    </sheetView>
  </sheetViews>
  <sheetFormatPr defaultRowHeight="12.75" x14ac:dyDescent="0.2"/>
  <cols>
    <col min="1" max="1" width="1.7109375" style="297" customWidth="1"/>
    <col min="2" max="2" width="10" style="297" customWidth="1"/>
    <col min="3" max="3" width="23.7109375" style="297" customWidth="1"/>
    <col min="4" max="4" width="20.42578125" style="297" customWidth="1"/>
    <col min="5" max="5" width="21.140625" style="297" customWidth="1"/>
    <col min="6" max="6" width="16.42578125" style="297" bestFit="1" customWidth="1"/>
    <col min="7" max="7" width="17.7109375" style="297" bestFit="1" customWidth="1"/>
    <col min="8" max="8" width="3.7109375" style="297" customWidth="1"/>
    <col min="9" max="16384" width="9.140625" style="297"/>
  </cols>
  <sheetData>
    <row r="1" spans="1:9" ht="18" customHeight="1" x14ac:dyDescent="0.2">
      <c r="A1" s="298"/>
      <c r="B1" s="349" t="s">
        <v>9</v>
      </c>
      <c r="C1" s="349"/>
      <c r="D1" s="349"/>
      <c r="E1" s="349"/>
      <c r="F1" s="349"/>
      <c r="G1" s="351"/>
      <c r="H1" s="350"/>
      <c r="I1" s="298"/>
    </row>
    <row r="2" spans="1:9" ht="15" x14ac:dyDescent="0.2">
      <c r="A2" s="298"/>
      <c r="B2" s="349" t="s">
        <v>10</v>
      </c>
      <c r="C2" s="348">
        <f>'[1]Core Cost Incurred'!B2</f>
        <v>43824</v>
      </c>
      <c r="D2" s="347"/>
      <c r="E2" s="347"/>
      <c r="F2" s="347"/>
      <c r="G2" s="347"/>
      <c r="H2" s="298"/>
      <c r="I2" s="298"/>
    </row>
    <row r="3" spans="1:9" x14ac:dyDescent="0.2">
      <c r="A3" s="298"/>
      <c r="B3" s="298"/>
      <c r="C3" s="298"/>
      <c r="D3" s="298"/>
      <c r="E3" s="298"/>
      <c r="F3" s="298"/>
      <c r="G3" s="298"/>
      <c r="H3" s="298"/>
      <c r="I3" s="298"/>
    </row>
    <row r="4" spans="1:9" ht="15" customHeight="1" thickBot="1" x14ac:dyDescent="0.25">
      <c r="A4" s="298"/>
      <c r="B4" s="346"/>
      <c r="C4" s="346"/>
      <c r="D4" s="346"/>
      <c r="E4" s="346"/>
      <c r="F4" s="345"/>
      <c r="G4" s="344"/>
      <c r="H4" s="298"/>
      <c r="I4" s="298"/>
    </row>
    <row r="5" spans="1:9" ht="14.25" x14ac:dyDescent="0.2">
      <c r="A5" s="298"/>
      <c r="B5" s="343"/>
      <c r="C5" s="343"/>
      <c r="D5" s="341" t="s">
        <v>3</v>
      </c>
      <c r="E5" s="341" t="s">
        <v>6</v>
      </c>
      <c r="F5" s="342" t="s">
        <v>11</v>
      </c>
      <c r="G5" s="341" t="s">
        <v>12</v>
      </c>
      <c r="H5" s="298"/>
      <c r="I5" s="298"/>
    </row>
    <row r="6" spans="1:9" ht="15" x14ac:dyDescent="0.25">
      <c r="A6" s="298"/>
      <c r="B6" s="326" t="s">
        <v>13</v>
      </c>
      <c r="C6" s="340"/>
      <c r="D6" s="338">
        <v>692010</v>
      </c>
      <c r="E6" s="338">
        <v>691010</v>
      </c>
      <c r="F6" s="339">
        <v>693010</v>
      </c>
      <c r="G6" s="338"/>
      <c r="H6" s="302"/>
      <c r="I6" s="298"/>
    </row>
    <row r="7" spans="1:9" ht="16.5" customHeight="1" x14ac:dyDescent="0.2">
      <c r="A7" s="298"/>
      <c r="B7" s="330" t="s">
        <v>14</v>
      </c>
      <c r="C7" s="311"/>
      <c r="D7" s="337">
        <v>9304693.0299999993</v>
      </c>
      <c r="E7" s="337">
        <v>6579128.870000001</v>
      </c>
      <c r="F7" s="336">
        <v>4484387.79</v>
      </c>
      <c r="G7" s="335">
        <v>20368209.690000001</v>
      </c>
      <c r="H7" s="298"/>
      <c r="I7" s="298"/>
    </row>
    <row r="8" spans="1:9" ht="16.5" customHeight="1" x14ac:dyDescent="0.2">
      <c r="A8" s="298"/>
      <c r="B8" s="330" t="s">
        <v>16</v>
      </c>
      <c r="C8" s="311"/>
      <c r="D8" s="334">
        <f>'[1]Core Cost Incurred'!K42</f>
        <v>16747806.859999998</v>
      </c>
      <c r="E8" s="334">
        <f>'[1]Core Cost Incurred'!K43</f>
        <v>4078810.2499999995</v>
      </c>
      <c r="F8" s="333">
        <v>0</v>
      </c>
      <c r="G8" s="332">
        <f>SUM(D8:E8)</f>
        <v>20826617.109999996</v>
      </c>
      <c r="H8" s="298"/>
      <c r="I8" s="298"/>
    </row>
    <row r="9" spans="1:9" ht="16.5" customHeight="1" x14ac:dyDescent="0.2">
      <c r="A9" s="298"/>
      <c r="B9" s="330" t="s">
        <v>17</v>
      </c>
      <c r="C9" s="311"/>
      <c r="D9" s="323">
        <f>D7-D8</f>
        <v>-7443113.8299999982</v>
      </c>
      <c r="E9" s="331">
        <f>E7-E8</f>
        <v>2500318.6200000015</v>
      </c>
      <c r="F9" s="331">
        <f>F7-F8</f>
        <v>4484387.79</v>
      </c>
      <c r="G9" s="323">
        <f>G7-G8</f>
        <v>-458407.41999999434</v>
      </c>
      <c r="H9" s="298"/>
      <c r="I9" s="298"/>
    </row>
    <row r="10" spans="1:9" ht="16.5" customHeight="1" x14ac:dyDescent="0.2">
      <c r="A10" s="298"/>
      <c r="B10" s="330" t="s">
        <v>18</v>
      </c>
      <c r="C10" s="311"/>
      <c r="D10" s="327">
        <v>390952.2</v>
      </c>
      <c r="E10" s="329"/>
      <c r="F10" s="328"/>
      <c r="G10" s="327">
        <v>390952.2</v>
      </c>
      <c r="H10" s="298"/>
      <c r="I10" s="298"/>
    </row>
    <row r="11" spans="1:9" ht="16.5" customHeight="1" x14ac:dyDescent="0.2">
      <c r="A11" s="298"/>
      <c r="B11" s="326" t="s">
        <v>19</v>
      </c>
      <c r="C11" s="325"/>
      <c r="D11" s="323"/>
      <c r="E11" s="323">
        <v>359068.95</v>
      </c>
      <c r="F11" s="324"/>
      <c r="G11" s="323">
        <v>359068.95</v>
      </c>
      <c r="H11" s="298"/>
      <c r="I11" s="298"/>
    </row>
    <row r="12" spans="1:9" ht="16.5" customHeight="1" x14ac:dyDescent="0.25">
      <c r="A12" s="298"/>
      <c r="B12" s="322" t="s">
        <v>20</v>
      </c>
      <c r="C12" s="321"/>
      <c r="D12" s="319">
        <f>+D7-D8+D10</f>
        <v>-7052161.629999998</v>
      </c>
      <c r="E12" s="319">
        <f>+E9+E11</f>
        <v>2859387.5700000017</v>
      </c>
      <c r="F12" s="320">
        <f>+F7-F8</f>
        <v>4484387.79</v>
      </c>
      <c r="G12" s="319">
        <f>G9+G11+G10</f>
        <v>291613.73000000569</v>
      </c>
      <c r="H12" s="298"/>
      <c r="I12" s="298"/>
    </row>
    <row r="13" spans="1:9" ht="14.25" customHeight="1" x14ac:dyDescent="0.2">
      <c r="A13" s="298"/>
      <c r="B13" s="298"/>
      <c r="C13" s="298"/>
      <c r="D13" s="311"/>
      <c r="E13" s="311"/>
      <c r="F13" s="317"/>
      <c r="G13" s="311"/>
      <c r="H13" s="298"/>
      <c r="I13" s="298"/>
    </row>
    <row r="14" spans="1:9" ht="14.25" customHeight="1" x14ac:dyDescent="0.2">
      <c r="A14" s="298"/>
      <c r="B14" s="298"/>
      <c r="C14" s="298"/>
      <c r="D14" s="311" t="s">
        <v>21</v>
      </c>
      <c r="E14" s="311"/>
      <c r="F14" s="317"/>
      <c r="G14" s="311"/>
      <c r="H14" s="298"/>
      <c r="I14" s="298"/>
    </row>
    <row r="15" spans="1:9" ht="14.25" customHeight="1" x14ac:dyDescent="0.2">
      <c r="A15" s="298"/>
      <c r="B15" s="298"/>
      <c r="C15" s="298"/>
      <c r="D15" s="311"/>
      <c r="E15" s="318"/>
      <c r="F15" s="317"/>
      <c r="G15" s="311"/>
      <c r="H15" s="298"/>
      <c r="I15" s="298"/>
    </row>
    <row r="16" spans="1:9" ht="14.25" customHeight="1" x14ac:dyDescent="0.2">
      <c r="A16" s="298"/>
      <c r="B16" s="308" t="s">
        <v>22</v>
      </c>
      <c r="C16" s="308"/>
      <c r="D16" s="316" t="s">
        <v>4</v>
      </c>
      <c r="E16" s="315" t="s">
        <v>4</v>
      </c>
      <c r="F16" s="314"/>
      <c r="G16" s="304"/>
      <c r="H16" s="298"/>
      <c r="I16" s="298"/>
    </row>
    <row r="17" spans="1:9" ht="14.25" customHeight="1" x14ac:dyDescent="0.2">
      <c r="A17" s="298"/>
      <c r="B17" s="302"/>
      <c r="C17" s="302"/>
      <c r="D17" s="313"/>
      <c r="E17" s="313"/>
      <c r="F17" s="312"/>
      <c r="G17" s="311"/>
      <c r="H17" s="298"/>
      <c r="I17" s="298"/>
    </row>
    <row r="18" spans="1:9" ht="14.25" customHeight="1" x14ac:dyDescent="0.2">
      <c r="A18" s="298"/>
      <c r="B18" s="302"/>
      <c r="C18" s="302"/>
      <c r="D18" s="309">
        <f>-D12</f>
        <v>7052161.629999998</v>
      </c>
      <c r="E18" s="309">
        <f>-E9-E11</f>
        <v>-2859387.5700000017</v>
      </c>
      <c r="F18" s="310">
        <f>-F12</f>
        <v>-4484387.79</v>
      </c>
      <c r="G18" s="309">
        <f>SUM(D18:F18)</f>
        <v>-291613.73000000371</v>
      </c>
      <c r="H18" s="298"/>
      <c r="I18" s="298"/>
    </row>
    <row r="19" spans="1:9" ht="14.25" customHeight="1" thickBot="1" x14ac:dyDescent="0.25">
      <c r="A19" s="298"/>
      <c r="B19" s="308" t="s">
        <v>23</v>
      </c>
      <c r="C19" s="308"/>
      <c r="D19" s="307" t="s">
        <v>5</v>
      </c>
      <c r="E19" s="306" t="s">
        <v>7</v>
      </c>
      <c r="F19" s="305"/>
      <c r="G19" s="304"/>
      <c r="H19" s="298"/>
      <c r="I19" s="298"/>
    </row>
    <row r="20" spans="1:9" x14ac:dyDescent="0.2">
      <c r="A20" s="298"/>
      <c r="B20" s="302"/>
      <c r="C20" s="302"/>
      <c r="D20" s="298"/>
      <c r="E20" s="303"/>
      <c r="F20" s="303"/>
      <c r="G20" s="303"/>
      <c r="H20" s="298"/>
      <c r="I20" s="298"/>
    </row>
    <row r="21" spans="1:9" x14ac:dyDescent="0.2">
      <c r="A21" s="298"/>
      <c r="B21" s="298"/>
      <c r="C21" s="298"/>
      <c r="D21" s="302"/>
      <c r="E21" s="301"/>
      <c r="F21" s="300"/>
      <c r="G21" s="298"/>
      <c r="H21" s="298"/>
      <c r="I21" s="298"/>
    </row>
    <row r="22" spans="1:9" x14ac:dyDescent="0.2">
      <c r="A22" s="298"/>
      <c r="B22" s="298"/>
      <c r="C22" s="298"/>
      <c r="D22" s="298"/>
      <c r="E22" s="301"/>
      <c r="F22" s="300"/>
      <c r="G22" s="298"/>
      <c r="H22" s="298"/>
      <c r="I22" s="298"/>
    </row>
    <row r="23" spans="1:9" x14ac:dyDescent="0.2">
      <c r="A23" s="298"/>
      <c r="B23" s="298"/>
      <c r="C23" s="298"/>
      <c r="D23" s="298"/>
      <c r="E23" s="301"/>
      <c r="F23" s="300"/>
      <c r="G23" s="298"/>
      <c r="H23" s="298"/>
      <c r="I23" s="298"/>
    </row>
    <row r="24" spans="1:9" x14ac:dyDescent="0.2">
      <c r="A24" s="298"/>
      <c r="B24" s="298"/>
      <c r="C24" s="298"/>
      <c r="D24" s="298"/>
      <c r="E24" s="298"/>
      <c r="F24" s="300"/>
      <c r="G24" s="298"/>
      <c r="H24" s="298"/>
      <c r="I24" s="298"/>
    </row>
    <row r="25" spans="1:9" x14ac:dyDescent="0.2">
      <c r="A25" s="298"/>
      <c r="B25" s="298"/>
      <c r="C25" s="298"/>
      <c r="D25" s="298"/>
      <c r="E25" s="298"/>
      <c r="F25" s="298"/>
      <c r="G25" s="298"/>
      <c r="H25" s="298"/>
      <c r="I25" s="298"/>
    </row>
    <row r="26" spans="1:9" x14ac:dyDescent="0.2">
      <c r="A26" s="298"/>
      <c r="B26" s="298"/>
      <c r="C26" s="298"/>
      <c r="D26" s="298"/>
      <c r="E26" s="298"/>
      <c r="F26" s="298"/>
      <c r="G26" s="298"/>
      <c r="H26" s="298"/>
      <c r="I26" s="298"/>
    </row>
    <row r="27" spans="1:9" x14ac:dyDescent="0.2">
      <c r="A27" s="298"/>
      <c r="B27" s="299"/>
      <c r="C27" s="299"/>
      <c r="D27" s="298"/>
      <c r="E27" s="298"/>
      <c r="F27" s="298"/>
      <c r="G27" s="298"/>
      <c r="H27" s="298"/>
      <c r="I27" s="298"/>
    </row>
    <row r="28" spans="1:9" x14ac:dyDescent="0.2">
      <c r="A28" s="298"/>
      <c r="B28" s="298"/>
      <c r="C28" s="298"/>
      <c r="D28" s="298"/>
      <c r="E28" s="298"/>
      <c r="F28" s="298"/>
      <c r="G28" s="298"/>
      <c r="H28" s="298"/>
      <c r="I28" s="298"/>
    </row>
  </sheetData>
  <mergeCells count="1">
    <mergeCell ref="B4:E4"/>
  </mergeCells>
  <pageMargins left="0.75" right="0.75" top="0.7" bottom="1" header="0.7" footer="0.5"/>
  <pageSetup scale="80" fitToHeight="0" orientation="portrait" cellComments="asDisplayed" r:id="rId1"/>
  <headerFooter alignWithMargins="0">
    <oddHeader xml:space="preserve">&amp;C&amp;"Arial,Bold"&amp;12&amp;A          </oddHeader>
    <oddFooter>&amp;L&amp;B&amp;"Calibri(Body)"&amp;10 Cascade Natural Gas Corporation&amp;C&amp;B&amp;"Calibri(Body)"&amp;10 Page &amp;P of &amp;N&amp;R&amp;B&amp;"Calibri(Body)"&amp;10 Washington Deferral Accounts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780A18EE4CFF64D8EDA247CCB0BC2F7" ma:contentTypeVersion="56" ma:contentTypeDescription="" ma:contentTypeScope="" ma:versionID="9f51b59ab61d4981ca4e6f938046e6f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2019-09-13T07:00:00+00:00</OpenedDate>
    <SignificantOrder xmlns="dc463f71-b30c-4ab2-9473-d307f9d35888">false</SignificantOrder>
    <Date1 xmlns="dc463f71-b30c-4ab2-9473-d307f9d35888">2020-01-21T08:00:00+00:00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190773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802F2E3-1507-441C-A5BB-73A34E63C54D}"/>
</file>

<file path=customXml/itemProps2.xml><?xml version="1.0" encoding="utf-8"?>
<ds:datastoreItem xmlns:ds="http://schemas.openxmlformats.org/officeDocument/2006/customXml" ds:itemID="{0906954D-6193-4AB0-927B-CE17861F3C70}"/>
</file>

<file path=customXml/itemProps3.xml><?xml version="1.0" encoding="utf-8"?>
<ds:datastoreItem xmlns:ds="http://schemas.openxmlformats.org/officeDocument/2006/customXml" ds:itemID="{B326545A-3C7F-46B4-B6B1-604494EE95EB}"/>
</file>

<file path=customXml/itemProps4.xml><?xml version="1.0" encoding="utf-8"?>
<ds:datastoreItem xmlns:ds="http://schemas.openxmlformats.org/officeDocument/2006/customXml" ds:itemID="{53FE70F9-C77C-4503-9743-34CA2F4D6C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WA Rates</vt:lpstr>
      <vt:lpstr>Core Cost Incurred</vt:lpstr>
      <vt:lpstr>WA DEFERRALS</vt:lpstr>
      <vt:lpstr>'Core Cost Incurred'!Print_Area</vt:lpstr>
      <vt:lpstr>'WA DEFERRALS'!Print_Area</vt:lpstr>
      <vt:lpstr>'WA Rates'!Print_Area</vt:lpstr>
      <vt:lpstr>'Core Cost Incurred'!Print_Titles</vt:lpstr>
      <vt:lpstr>'WA Rates'!Print_Titles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Myhrum, Isaac</dc:creator>
  <cp:lastModifiedBy>Myhrum, Isaac</cp:lastModifiedBy>
  <dcterms:created xsi:type="dcterms:W3CDTF">2020-01-15T19:30:41Z</dcterms:created>
  <dcterms:modified xsi:type="dcterms:W3CDTF">2020-01-15T19:32:19Z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0x0101006E56B4D1795A2E4DB2F0B01679ED314A00C780A18EE4CFF64D8EDA247CCB0BC2F7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