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27.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1.xml" ContentType="application/vnd.openxmlformats-officedocument.spreadsheetml.worksheet+xml"/>
  <Override PartName="/xl/worksheets/sheet37.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30.xml" ContentType="application/vnd.openxmlformats-officedocument.spreadsheetml.worksheet+xml"/>
  <Override PartName="/xl/worksheets/sheet3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customXml/itemProps3.xml" ContentType="application/vnd.openxmlformats-officedocument.customXmlProperties+xml"/>
  <Override PartName="/xl/comments2.xml" ContentType="application/vnd.openxmlformats-officedocument.spreadsheetml.comments+xml"/>
  <Override PartName="/xl/externalLinks/externalLink1.xml" ContentType="application/vnd.openxmlformats-officedocument.spreadsheetml.externalLink+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xl/comments8.xml" ContentType="application/vnd.openxmlformats-officedocument.spreadsheetml.comments+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comments9.xml" ContentType="application/vnd.openxmlformats-officedocument.spreadsheetml.comments+xml"/>
  <Override PartName="/xl/externalLinks/externalLink13.xml" ContentType="application/vnd.openxmlformats-officedocument.spreadsheetml.externalLink+xml"/>
  <Override PartName="/xl/comments7.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10.xml" ContentType="application/vnd.openxmlformats-officedocument.spreadsheetml.comments+xml"/>
  <Override PartName="/xl/externalLinks/externalLink12.xml" ContentType="application/vnd.openxmlformats-officedocument.spreadsheetml.externalLink+xml"/>
  <Override PartName="/xl/comments15.xml" ContentType="application/vnd.openxmlformats-officedocument.spreadsheetml.comment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mments14.xml" ContentType="application/vnd.openxmlformats-officedocument.spreadsheetml.comments+xml"/>
  <Override PartName="/xl/externalLinks/externalLink5.xml" ContentType="application/vnd.openxmlformats-officedocument.spreadsheetml.externalLink+xml"/>
  <Override PartName="/xl/comments16.xml" ContentType="application/vnd.openxmlformats-officedocument.spreadsheetml.comments+xml"/>
  <Override PartName="/xl/comments17.xml" ContentType="application/vnd.openxmlformats-officedocument.spreadsheetml.comments+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comments11.xml" ContentType="application/vnd.openxmlformats-officedocument.spreadsheetml.comments+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comments12.xml" ContentType="application/vnd.openxmlformats-officedocument.spreadsheetml.comments+xml"/>
  <Override PartName="/xl/comments13.xml" ContentType="application/vnd.openxmlformats-officedocument.spreadsheetml.comments+xml"/>
  <Override PartName="/xl/externalLinks/externalLink9.xml" ContentType="application/vnd.openxmlformats-officedocument.spreadsheetml.externalLink+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90" windowWidth="13425" windowHeight="11925" firstSheet="1" activeTab="1"/>
  </bookViews>
  <sheets>
    <sheet name="WUTC_LYNNWOOD_SF" sheetId="5" state="hidden" r:id="rId1"/>
    <sheet name="Staff Analysis" sheetId="20" r:id="rId2"/>
    <sheet name="181020 WUTC_AW Bellevue MF" sheetId="42" r:id="rId3"/>
    <sheet name="181020 MF Value" sheetId="44" r:id="rId4"/>
    <sheet name="181020 WUTC_AW Bellevue SF" sheetId="43" r:id="rId5"/>
    <sheet name="181020 SF Value" sheetId="45" r:id="rId6"/>
    <sheet name="WUTC_AW of Bellevue_SF 2018" sheetId="32" r:id="rId7"/>
    <sheet name="Value 2018" sheetId="33" r:id="rId8"/>
    <sheet name="Commodity Tonnages 2018" sheetId="34" r:id="rId9"/>
    <sheet name="Pricing 2018" sheetId="35" r:id="rId10"/>
    <sheet name="Single Family 2018" sheetId="36" r:id="rId11"/>
    <sheet name="WUTC_AW of Bellevue_MF 2018" sheetId="37" r:id="rId12"/>
    <sheet name="Value MF 2018" sheetId="38" r:id="rId13"/>
    <sheet name="Commodity Tonnages MF 2018" sheetId="39" r:id="rId14"/>
    <sheet name="Pricing MF 2018" sheetId="40" r:id="rId15"/>
    <sheet name="Multi_Family 2018" sheetId="41" r:id="rId16"/>
    <sheet name="WUTC_AW of Bellevue_MF (2)" sheetId="27" r:id="rId17"/>
    <sheet name="Value MF" sheetId="28" r:id="rId18"/>
    <sheet name="Commodity Tonnages MF" sheetId="29" r:id="rId19"/>
    <sheet name="Pricing MF" sheetId="30" r:id="rId20"/>
    <sheet name="Multi_Family (2)" sheetId="31" r:id="rId21"/>
    <sheet name="WUTC_AW of Bellevue_SF (2)" sheetId="22" r:id="rId22"/>
    <sheet name="Value (2)" sheetId="23" r:id="rId23"/>
    <sheet name="Commodity Tonnages (2)" sheetId="24" r:id="rId24"/>
    <sheet name="Pricing (2)" sheetId="25" r:id="rId25"/>
    <sheet name="Single Family (2)" sheetId="26" r:id="rId26"/>
    <sheet name="2016 Staff Summary" sheetId="21" r:id="rId27"/>
    <sheet name="WUTC_AW of Bellevue_SF" sheetId="11" r:id="rId28"/>
    <sheet name="SF Value" sheetId="4" r:id="rId29"/>
    <sheet name="SF Commodity Tonnages" sheetId="2" r:id="rId30"/>
    <sheet name="SF Pricing" sheetId="3" r:id="rId31"/>
    <sheet name="Single Family" sheetId="6" r:id="rId32"/>
    <sheet name="WUTC_AW of Bellevue_MF" sheetId="12" r:id="rId33"/>
    <sheet name="Value" sheetId="14" r:id="rId34"/>
    <sheet name="Commodity Tonnages" sheetId="15" r:id="rId35"/>
    <sheet name="Pricing" sheetId="16" r:id="rId36"/>
    <sheet name="Multi_Family" sheetId="17"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BREMAIR_COST_of_SERVICE_STUDY" localSheetId="1">#REF!</definedName>
    <definedName name="BREMAIR_COST_of_SERVICE_STUDY">#REF!</definedName>
    <definedName name="color" localSheetId="23">#REF!</definedName>
    <definedName name="color" localSheetId="8">#REF!</definedName>
    <definedName name="color" localSheetId="18">#REF!</definedName>
    <definedName name="color" localSheetId="13">#REF!</definedName>
    <definedName name="color" localSheetId="20">#REF!</definedName>
    <definedName name="color" localSheetId="15">#REF!</definedName>
    <definedName name="color" localSheetId="24">#REF!</definedName>
    <definedName name="color" localSheetId="9">#REF!</definedName>
    <definedName name="color" localSheetId="19">#REF!</definedName>
    <definedName name="color" localSheetId="14">#REF!</definedName>
    <definedName name="color" localSheetId="25">#REF!</definedName>
    <definedName name="color" localSheetId="10">#REF!</definedName>
    <definedName name="color" localSheetId="1">#REF!</definedName>
    <definedName name="color" localSheetId="22">#REF!</definedName>
    <definedName name="color" localSheetId="7">#REF!</definedName>
    <definedName name="color" localSheetId="17">#REF!</definedName>
    <definedName name="color" localSheetId="12">#REF!</definedName>
    <definedName name="color" localSheetId="32">#REF!</definedName>
    <definedName name="color" localSheetId="16">#REF!</definedName>
    <definedName name="color" localSheetId="11">#REF!</definedName>
    <definedName name="color" localSheetId="21">#REF!</definedName>
    <definedName name="color" localSheetId="6">#REF!</definedName>
    <definedName name="color">#REF!</definedName>
    <definedName name="_xlnm.Print_Area" localSheetId="36">Multi_Family!$A$7:$N$102</definedName>
    <definedName name="_xlnm.Print_Area" localSheetId="20">'Multi_Family (2)'!$A$7:$N$102</definedName>
    <definedName name="_xlnm.Print_Area" localSheetId="15">'Multi_Family 2018'!$A$7:$N$102</definedName>
    <definedName name="_xlnm.Print_Area" localSheetId="35">Pricing!$A$1:$L$17</definedName>
    <definedName name="_xlnm.Print_Area" localSheetId="24">'Pricing (2)'!$A$1:$L$19</definedName>
    <definedName name="_xlnm.Print_Area" localSheetId="9">'Pricing 2018'!$A$1:$L$19</definedName>
    <definedName name="_xlnm.Print_Area" localSheetId="19">'Pricing MF'!$A$1:$L$17</definedName>
    <definedName name="_xlnm.Print_Area" localSheetId="14">'Pricing MF 2018'!$A$1:$L$17</definedName>
    <definedName name="_xlnm.Print_Area" localSheetId="30">'SF Pricing'!$A$1:$L$19</definedName>
    <definedName name="_xlnm.Print_Area" localSheetId="31">'Single Family'!$A$7:$N$102</definedName>
    <definedName name="_xlnm.Print_Area" localSheetId="25">'Single Family (2)'!$A$7:$N$102</definedName>
    <definedName name="_xlnm.Print_Area" localSheetId="10">'Single Family 2018'!$A$7:$N$102</definedName>
    <definedName name="_xlnm.Print_Area" localSheetId="1">'Staff Analysis'!$A$1:$F$57</definedName>
    <definedName name="_xlnm.Print_Area" localSheetId="32">'WUTC_AW of Bellevue_MF'!$A$1:$P$73</definedName>
    <definedName name="_xlnm.Print_Area" localSheetId="16">'WUTC_AW of Bellevue_MF (2)'!$A$1:$P$73</definedName>
    <definedName name="_xlnm.Print_Area" localSheetId="11">'WUTC_AW of Bellevue_MF 2018'!$A$1:$P$76</definedName>
    <definedName name="_xlnm.Print_Area" localSheetId="27">'WUTC_AW of Bellevue_SF'!$A$1:$P$65</definedName>
    <definedName name="_xlnm.Print_Area" localSheetId="21">'WUTC_AW of Bellevue_SF (2)'!$A$1:$P$65</definedName>
    <definedName name="_xlnm.Print_Area" localSheetId="6">'WUTC_AW of Bellevue_SF 2018'!$A$1:$P$75</definedName>
    <definedName name="_xlnm.Print_Area" localSheetId="0">WUTC_LYNNWOOD_SF!$A$1:$K$82</definedName>
    <definedName name="_xlnm.Print_Titles" localSheetId="36">Multi_Family!$A:$B,Multi_Family!$1:$6</definedName>
    <definedName name="_xlnm.Print_Titles" localSheetId="20">'Multi_Family (2)'!$A:$B,'Multi_Family (2)'!$1:$6</definedName>
    <definedName name="_xlnm.Print_Titles" localSheetId="15">'Multi_Family 2018'!$A:$B,'Multi_Family 2018'!$1:$6</definedName>
    <definedName name="_xlnm.Print_Titles" localSheetId="31">'Single Family'!$A:$B,'Single Family'!$1:$6</definedName>
    <definedName name="_xlnm.Print_Titles" localSheetId="25">'Single Family (2)'!$A:$B,'Single Family (2)'!$1:$6</definedName>
    <definedName name="_xlnm.Print_Titles" localSheetId="10">'Single Family 2018'!$A:$B,'Single Family 2018'!$1:$6</definedName>
    <definedName name="Print1" localSheetId="1">#REF!</definedName>
    <definedName name="Print1">#REF!</definedName>
    <definedName name="Print2" localSheetId="1">#REF!</definedName>
    <definedName name="Print2">#REF!</definedName>
  </definedNames>
  <calcPr calcId="145621"/>
</workbook>
</file>

<file path=xl/calcChain.xml><?xml version="1.0" encoding="utf-8"?>
<calcChain xmlns="http://schemas.openxmlformats.org/spreadsheetml/2006/main">
  <c r="E44" i="20" l="1"/>
  <c r="E17" i="20" l="1"/>
  <c r="E43" i="20" l="1"/>
  <c r="E42" i="20"/>
  <c r="E16" i="20"/>
  <c r="E15" i="20"/>
  <c r="A43" i="20"/>
  <c r="L17" i="44"/>
  <c r="K17" i="44"/>
  <c r="J17" i="44"/>
  <c r="I17" i="44"/>
  <c r="H17" i="44"/>
  <c r="G17" i="44"/>
  <c r="F17" i="44"/>
  <c r="E17" i="44"/>
  <c r="D17" i="44"/>
  <c r="C17" i="44"/>
  <c r="M17" i="44" s="1"/>
  <c r="O17" i="44" s="1"/>
  <c r="A17" i="44"/>
  <c r="L16" i="44"/>
  <c r="K16" i="44"/>
  <c r="J16" i="44"/>
  <c r="I16" i="44"/>
  <c r="H16" i="44"/>
  <c r="G16" i="44"/>
  <c r="F16" i="44"/>
  <c r="E16" i="44"/>
  <c r="M16" i="44" s="1"/>
  <c r="O16" i="44" s="1"/>
  <c r="D16" i="44"/>
  <c r="C16" i="44"/>
  <c r="A16" i="44"/>
  <c r="L15" i="44"/>
  <c r="K15" i="44"/>
  <c r="J15" i="44"/>
  <c r="I15" i="44"/>
  <c r="H15" i="44"/>
  <c r="G15" i="44"/>
  <c r="F15" i="44"/>
  <c r="E15" i="44"/>
  <c r="D15" i="44"/>
  <c r="C15" i="44"/>
  <c r="M15" i="44" s="1"/>
  <c r="O15" i="44" s="1"/>
  <c r="A15" i="44"/>
  <c r="L14" i="44"/>
  <c r="K14" i="44"/>
  <c r="J14" i="44"/>
  <c r="I14" i="44"/>
  <c r="H14" i="44"/>
  <c r="G14" i="44"/>
  <c r="F14" i="44"/>
  <c r="E14" i="44"/>
  <c r="D14" i="44"/>
  <c r="C14" i="44"/>
  <c r="M14" i="44" s="1"/>
  <c r="O14" i="44" s="1"/>
  <c r="A14" i="44"/>
  <c r="L13" i="44"/>
  <c r="K13" i="44"/>
  <c r="J13" i="44"/>
  <c r="I13" i="44"/>
  <c r="H13" i="44"/>
  <c r="G13" i="44"/>
  <c r="F13" i="44"/>
  <c r="E13" i="44"/>
  <c r="D13" i="44"/>
  <c r="C13" i="44"/>
  <c r="M13" i="44" s="1"/>
  <c r="O13" i="44" s="1"/>
  <c r="A13" i="44"/>
  <c r="L12" i="44"/>
  <c r="K12" i="44"/>
  <c r="J12" i="44"/>
  <c r="I12" i="44"/>
  <c r="H12" i="44"/>
  <c r="G12" i="44"/>
  <c r="F12" i="44"/>
  <c r="E12" i="44"/>
  <c r="M12" i="44" s="1"/>
  <c r="O12" i="44" s="1"/>
  <c r="D12" i="44"/>
  <c r="C12" i="44"/>
  <c r="A12" i="44"/>
  <c r="L11" i="44"/>
  <c r="K11" i="44"/>
  <c r="J11" i="44"/>
  <c r="I11" i="44"/>
  <c r="H11" i="44"/>
  <c r="G11" i="44"/>
  <c r="F11" i="44"/>
  <c r="E11" i="44"/>
  <c r="D11" i="44"/>
  <c r="C11" i="44"/>
  <c r="M11" i="44" s="1"/>
  <c r="O11" i="44" s="1"/>
  <c r="A11" i="44"/>
  <c r="L10" i="44"/>
  <c r="K10" i="44"/>
  <c r="J10" i="44"/>
  <c r="I10" i="44"/>
  <c r="H10" i="44"/>
  <c r="G10" i="44"/>
  <c r="F10" i="44"/>
  <c r="E10" i="44"/>
  <c r="D10" i="44"/>
  <c r="C10" i="44"/>
  <c r="M10" i="44" s="1"/>
  <c r="O10" i="44" s="1"/>
  <c r="A10" i="44"/>
  <c r="L9" i="44"/>
  <c r="L18" i="44" s="1"/>
  <c r="K9" i="44"/>
  <c r="J9" i="44"/>
  <c r="I9" i="44"/>
  <c r="H9" i="44"/>
  <c r="H18" i="44" s="1"/>
  <c r="G9" i="44"/>
  <c r="F9" i="44"/>
  <c r="E9" i="44"/>
  <c r="D9" i="44"/>
  <c r="D18" i="44" s="1"/>
  <c r="C9" i="44"/>
  <c r="M9" i="44" s="1"/>
  <c r="O9" i="44" s="1"/>
  <c r="A9" i="44"/>
  <c r="L8" i="44"/>
  <c r="K8" i="44"/>
  <c r="J8" i="44"/>
  <c r="I8" i="44"/>
  <c r="H8" i="44"/>
  <c r="G8" i="44"/>
  <c r="F8" i="44"/>
  <c r="E8" i="44"/>
  <c r="M8" i="44" s="1"/>
  <c r="O8" i="44" s="1"/>
  <c r="D8" i="44"/>
  <c r="C8" i="44"/>
  <c r="A8" i="44"/>
  <c r="L7" i="44"/>
  <c r="K7" i="44"/>
  <c r="J7" i="44"/>
  <c r="I7" i="44"/>
  <c r="H7" i="44"/>
  <c r="G7" i="44"/>
  <c r="F7" i="44"/>
  <c r="E7" i="44"/>
  <c r="D7" i="44"/>
  <c r="C7" i="44"/>
  <c r="M7" i="44" s="1"/>
  <c r="O7" i="44" s="1"/>
  <c r="A7" i="44"/>
  <c r="L6" i="44"/>
  <c r="K6" i="44"/>
  <c r="K18" i="44" s="1"/>
  <c r="J6" i="44"/>
  <c r="J18" i="44" s="1"/>
  <c r="I6" i="44"/>
  <c r="I18" i="44" s="1"/>
  <c r="H6" i="44"/>
  <c r="G6" i="44"/>
  <c r="G18" i="44" s="1"/>
  <c r="F6" i="44"/>
  <c r="F18" i="44" s="1"/>
  <c r="E6" i="44"/>
  <c r="E18" i="44" s="1"/>
  <c r="D6" i="44"/>
  <c r="C6" i="44"/>
  <c r="C18" i="44" s="1"/>
  <c r="A6" i="44"/>
  <c r="A2" i="44"/>
  <c r="L17" i="45"/>
  <c r="K17" i="45"/>
  <c r="J17" i="45"/>
  <c r="I17" i="45"/>
  <c r="H17" i="45"/>
  <c r="G17" i="45"/>
  <c r="F17" i="45"/>
  <c r="E17" i="45"/>
  <c r="D17" i="45"/>
  <c r="C17" i="45"/>
  <c r="M17" i="45" s="1"/>
  <c r="O17" i="45" s="1"/>
  <c r="A17" i="45"/>
  <c r="L16" i="45"/>
  <c r="K16" i="45"/>
  <c r="J16" i="45"/>
  <c r="I16" i="45"/>
  <c r="H16" i="45"/>
  <c r="G16" i="45"/>
  <c r="F16" i="45"/>
  <c r="E16" i="45"/>
  <c r="M16" i="45" s="1"/>
  <c r="O16" i="45" s="1"/>
  <c r="D16" i="45"/>
  <c r="C16" i="45"/>
  <c r="A16" i="45"/>
  <c r="L15" i="45"/>
  <c r="K15" i="45"/>
  <c r="J15" i="45"/>
  <c r="I15" i="45"/>
  <c r="H15" i="45"/>
  <c r="G15" i="45"/>
  <c r="F15" i="45"/>
  <c r="E15" i="45"/>
  <c r="D15" i="45"/>
  <c r="C15" i="45"/>
  <c r="M15" i="45" s="1"/>
  <c r="O15" i="45" s="1"/>
  <c r="A15" i="45"/>
  <c r="L14" i="45"/>
  <c r="K14" i="45"/>
  <c r="J14" i="45"/>
  <c r="I14" i="45"/>
  <c r="H14" i="45"/>
  <c r="G14" i="45"/>
  <c r="F14" i="45"/>
  <c r="E14" i="45"/>
  <c r="D14" i="45"/>
  <c r="C14" i="45"/>
  <c r="M14" i="45" s="1"/>
  <c r="O14" i="45" s="1"/>
  <c r="A14" i="45"/>
  <c r="L13" i="45"/>
  <c r="K13" i="45"/>
  <c r="J13" i="45"/>
  <c r="I13" i="45"/>
  <c r="H13" i="45"/>
  <c r="G13" i="45"/>
  <c r="F13" i="45"/>
  <c r="E13" i="45"/>
  <c r="D13" i="45"/>
  <c r="C13" i="45"/>
  <c r="M13" i="45" s="1"/>
  <c r="O13" i="45" s="1"/>
  <c r="A13" i="45"/>
  <c r="L12" i="45"/>
  <c r="K12" i="45"/>
  <c r="J12" i="45"/>
  <c r="I12" i="45"/>
  <c r="H12" i="45"/>
  <c r="G12" i="45"/>
  <c r="F12" i="45"/>
  <c r="E12" i="45"/>
  <c r="M12" i="45" s="1"/>
  <c r="O12" i="45" s="1"/>
  <c r="D12" i="45"/>
  <c r="C12" i="45"/>
  <c r="A12" i="45"/>
  <c r="L11" i="45"/>
  <c r="K11" i="45"/>
  <c r="J11" i="45"/>
  <c r="I11" i="45"/>
  <c r="H11" i="45"/>
  <c r="G11" i="45"/>
  <c r="F11" i="45"/>
  <c r="E11" i="45"/>
  <c r="D11" i="45"/>
  <c r="C11" i="45"/>
  <c r="M11" i="45" s="1"/>
  <c r="O11" i="45" s="1"/>
  <c r="A11" i="45"/>
  <c r="L10" i="45"/>
  <c r="K10" i="45"/>
  <c r="J10" i="45"/>
  <c r="I10" i="45"/>
  <c r="H10" i="45"/>
  <c r="G10" i="45"/>
  <c r="F10" i="45"/>
  <c r="E10" i="45"/>
  <c r="D10" i="45"/>
  <c r="C10" i="45"/>
  <c r="M10" i="45" s="1"/>
  <c r="O10" i="45" s="1"/>
  <c r="A10" i="45"/>
  <c r="L9" i="45"/>
  <c r="L18" i="45" s="1"/>
  <c r="K9" i="45"/>
  <c r="J9" i="45"/>
  <c r="I9" i="45"/>
  <c r="H9" i="45"/>
  <c r="H18" i="45" s="1"/>
  <c r="G9" i="45"/>
  <c r="F9" i="45"/>
  <c r="E9" i="45"/>
  <c r="D9" i="45"/>
  <c r="D18" i="45" s="1"/>
  <c r="C9" i="45"/>
  <c r="M9" i="45" s="1"/>
  <c r="O9" i="45" s="1"/>
  <c r="A9" i="45"/>
  <c r="L8" i="45"/>
  <c r="K8" i="45"/>
  <c r="J8" i="45"/>
  <c r="I8" i="45"/>
  <c r="H8" i="45"/>
  <c r="G8" i="45"/>
  <c r="F8" i="45"/>
  <c r="E8" i="45"/>
  <c r="M8" i="45" s="1"/>
  <c r="O8" i="45" s="1"/>
  <c r="D8" i="45"/>
  <c r="C8" i="45"/>
  <c r="A8" i="45"/>
  <c r="L7" i="45"/>
  <c r="K7" i="45"/>
  <c r="J7" i="45"/>
  <c r="I7" i="45"/>
  <c r="H7" i="45"/>
  <c r="G7" i="45"/>
  <c r="F7" i="45"/>
  <c r="E7" i="45"/>
  <c r="D7" i="45"/>
  <c r="C7" i="45"/>
  <c r="M7" i="45" s="1"/>
  <c r="O7" i="45" s="1"/>
  <c r="A7" i="45"/>
  <c r="L6" i="45"/>
  <c r="K6" i="45"/>
  <c r="K18" i="45" s="1"/>
  <c r="J6" i="45"/>
  <c r="J18" i="45" s="1"/>
  <c r="I6" i="45"/>
  <c r="I18" i="45" s="1"/>
  <c r="H6" i="45"/>
  <c r="G6" i="45"/>
  <c r="G18" i="45" s="1"/>
  <c r="F6" i="45"/>
  <c r="F18" i="45" s="1"/>
  <c r="E6" i="45"/>
  <c r="E18" i="45" s="1"/>
  <c r="D6" i="45"/>
  <c r="C6" i="45"/>
  <c r="C18" i="45" s="1"/>
  <c r="A6" i="45"/>
  <c r="A2" i="45"/>
  <c r="M18" i="44" l="1"/>
  <c r="M6" i="44"/>
  <c r="O6" i="44" s="1"/>
  <c r="O18" i="44" s="1"/>
  <c r="P18" i="44" s="1"/>
  <c r="O4" i="44" s="1"/>
  <c r="M18" i="45"/>
  <c r="M6" i="45"/>
  <c r="O6" i="45" s="1"/>
  <c r="O18" i="45" s="1"/>
  <c r="P18" i="45" s="1"/>
  <c r="O4" i="45" s="1"/>
  <c r="E51" i="20"/>
  <c r="C39" i="20"/>
  <c r="C38" i="20"/>
  <c r="E24" i="20"/>
  <c r="C12" i="20"/>
  <c r="C11" i="20"/>
  <c r="C56" i="20"/>
  <c r="A50" i="20"/>
  <c r="C40" i="20"/>
  <c r="E46" i="20" s="1"/>
  <c r="A39" i="20"/>
  <c r="A38" i="20"/>
  <c r="A37" i="20"/>
  <c r="C29" i="20"/>
  <c r="C13" i="20"/>
  <c r="E19" i="20" s="1"/>
  <c r="G73" i="42"/>
  <c r="L59" i="42"/>
  <c r="B24" i="42"/>
  <c r="J22" i="42"/>
  <c r="O27" i="42" s="1"/>
  <c r="J21" i="42"/>
  <c r="J20" i="42"/>
  <c r="J19" i="42"/>
  <c r="J18" i="42"/>
  <c r="J17" i="42"/>
  <c r="J16" i="42"/>
  <c r="J15" i="42"/>
  <c r="J14" i="42"/>
  <c r="B12" i="42"/>
  <c r="F37" i="42" s="1"/>
  <c r="J10" i="42"/>
  <c r="J9" i="42"/>
  <c r="J8" i="42"/>
  <c r="J26" i="42" s="1"/>
  <c r="G53" i="42" s="1"/>
  <c r="I71" i="42" s="1"/>
  <c r="A8" i="42"/>
  <c r="A9" i="42" s="1"/>
  <c r="O7" i="42"/>
  <c r="O6" i="42"/>
  <c r="O5" i="42"/>
  <c r="N57" i="43"/>
  <c r="F39" i="43"/>
  <c r="F40" i="43" s="1"/>
  <c r="F35" i="43"/>
  <c r="F36" i="43" s="1"/>
  <c r="F42" i="43" s="1"/>
  <c r="G42" i="43" s="1"/>
  <c r="A30" i="43"/>
  <c r="B24" i="43"/>
  <c r="J22" i="43"/>
  <c r="O27" i="43" s="1"/>
  <c r="J21" i="43"/>
  <c r="J20" i="43"/>
  <c r="J19" i="43"/>
  <c r="J18" i="43"/>
  <c r="J17" i="43"/>
  <c r="J16" i="43"/>
  <c r="J15" i="43"/>
  <c r="J14" i="43"/>
  <c r="B12" i="43"/>
  <c r="B26" i="43" s="1"/>
  <c r="B28" i="43" s="1"/>
  <c r="J10" i="43"/>
  <c r="J9" i="43"/>
  <c r="J8" i="43"/>
  <c r="J26" i="43" s="1"/>
  <c r="G51" i="43" s="1"/>
  <c r="I64" i="43" s="1"/>
  <c r="A8" i="43"/>
  <c r="O8" i="43" s="1"/>
  <c r="O7" i="43"/>
  <c r="O6" i="43"/>
  <c r="O5" i="43"/>
  <c r="D8" i="43" l="1"/>
  <c r="K9" i="42"/>
  <c r="O9" i="42"/>
  <c r="D9" i="42"/>
  <c r="F9" i="42" s="1"/>
  <c r="A10" i="42"/>
  <c r="K8" i="42"/>
  <c r="F38" i="42"/>
  <c r="D8" i="42"/>
  <c r="O8" i="42"/>
  <c r="B26" i="42"/>
  <c r="C37" i="42"/>
  <c r="F8" i="43"/>
  <c r="A9" i="43"/>
  <c r="K8" i="43"/>
  <c r="K51" i="20"/>
  <c r="K50" i="20"/>
  <c r="K42" i="20"/>
  <c r="I39" i="20"/>
  <c r="I38" i="20"/>
  <c r="D6" i="41"/>
  <c r="E6" i="41" s="1"/>
  <c r="F6" i="41" s="1"/>
  <c r="G6" i="41" s="1"/>
  <c r="H6" i="41" s="1"/>
  <c r="I6" i="41" s="1"/>
  <c r="J6" i="41" s="1"/>
  <c r="K6" i="41" s="1"/>
  <c r="L6" i="41" s="1"/>
  <c r="M6" i="41" s="1"/>
  <c r="N6" i="41" s="1"/>
  <c r="C9" i="41"/>
  <c r="D9" i="41"/>
  <c r="E9" i="41"/>
  <c r="F9" i="41"/>
  <c r="G9" i="41"/>
  <c r="H9" i="41"/>
  <c r="I9" i="41"/>
  <c r="J9" i="41"/>
  <c r="K9" i="41"/>
  <c r="L9" i="41"/>
  <c r="M9" i="41"/>
  <c r="N9" i="41"/>
  <c r="C10" i="41"/>
  <c r="D10" i="41"/>
  <c r="E10" i="41"/>
  <c r="F10" i="41"/>
  <c r="G10" i="41"/>
  <c r="H10" i="41"/>
  <c r="I10" i="41"/>
  <c r="J10" i="41"/>
  <c r="K10" i="41"/>
  <c r="L10" i="41"/>
  <c r="M10" i="41"/>
  <c r="N10" i="41"/>
  <c r="D13" i="41"/>
  <c r="D14" i="41"/>
  <c r="E14" i="41"/>
  <c r="E28" i="41" s="1"/>
  <c r="E56" i="41" s="1"/>
  <c r="D15" i="41"/>
  <c r="E15" i="41" s="1"/>
  <c r="E29" i="41" s="1"/>
  <c r="E57" i="41" s="1"/>
  <c r="F15" i="41"/>
  <c r="G15" i="41" s="1"/>
  <c r="H15" i="41" s="1"/>
  <c r="I15" i="41" s="1"/>
  <c r="D16" i="41"/>
  <c r="E16" i="41" s="1"/>
  <c r="D17" i="41"/>
  <c r="E17" i="41"/>
  <c r="D18" i="41"/>
  <c r="E18" i="41"/>
  <c r="E32" i="41" s="1"/>
  <c r="E60" i="41" s="1"/>
  <c r="D19" i="41"/>
  <c r="E19" i="41" s="1"/>
  <c r="E33" i="41" s="1"/>
  <c r="E61" i="41" s="1"/>
  <c r="E88" i="41" s="1"/>
  <c r="F19" i="41"/>
  <c r="G19" i="41" s="1"/>
  <c r="H19" i="41" s="1"/>
  <c r="I19" i="41" s="1"/>
  <c r="D20" i="41"/>
  <c r="E20" i="41" s="1"/>
  <c r="D21" i="41"/>
  <c r="E21" i="41"/>
  <c r="D22" i="41"/>
  <c r="E22" i="41"/>
  <c r="E36" i="41" s="1"/>
  <c r="D23" i="41"/>
  <c r="E23" i="41" s="1"/>
  <c r="E37" i="41" s="1"/>
  <c r="C27" i="41"/>
  <c r="D28" i="41"/>
  <c r="D56" i="41" s="1"/>
  <c r="D83" i="41" s="1"/>
  <c r="D29" i="41"/>
  <c r="D57" i="41" s="1"/>
  <c r="H29" i="41"/>
  <c r="H57" i="41" s="1"/>
  <c r="H84" i="41" s="1"/>
  <c r="D30" i="41"/>
  <c r="D58" i="41" s="1"/>
  <c r="D85" i="41" s="1"/>
  <c r="D31" i="41"/>
  <c r="D59" i="41" s="1"/>
  <c r="D32" i="41"/>
  <c r="D60" i="41" s="1"/>
  <c r="C33" i="41"/>
  <c r="C61" i="41" s="1"/>
  <c r="C88" i="41" s="1"/>
  <c r="D33" i="41"/>
  <c r="D61" i="41" s="1"/>
  <c r="D34" i="41"/>
  <c r="D7" i="39" s="1"/>
  <c r="D7" i="38" s="1"/>
  <c r="D35" i="41"/>
  <c r="D36" i="41"/>
  <c r="D37" i="41"/>
  <c r="D62" i="41"/>
  <c r="D89" i="41" s="1"/>
  <c r="D63" i="41"/>
  <c r="D90" i="41" s="1"/>
  <c r="D64" i="41"/>
  <c r="D91" i="41" s="1"/>
  <c r="E64" i="41"/>
  <c r="O79" i="41"/>
  <c r="E83" i="41"/>
  <c r="D84" i="41"/>
  <c r="E84" i="41"/>
  <c r="D86" i="41"/>
  <c r="D87" i="41"/>
  <c r="E87" i="41"/>
  <c r="D88" i="41"/>
  <c r="E91" i="41"/>
  <c r="B105" i="41"/>
  <c r="A4" i="40"/>
  <c r="C4" i="40"/>
  <c r="D4" i="40"/>
  <c r="E4" i="40"/>
  <c r="F4" i="40"/>
  <c r="G4" i="40"/>
  <c r="H4" i="40"/>
  <c r="I4" i="40"/>
  <c r="J4" i="40"/>
  <c r="K4" i="40"/>
  <c r="L4" i="40"/>
  <c r="C5" i="40"/>
  <c r="D5" i="40"/>
  <c r="E5" i="40"/>
  <c r="F5" i="40"/>
  <c r="G5" i="40"/>
  <c r="H5" i="40"/>
  <c r="I5" i="40"/>
  <c r="J5" i="40"/>
  <c r="K5" i="40"/>
  <c r="L5" i="40"/>
  <c r="C6" i="40"/>
  <c r="D6" i="40"/>
  <c r="E6" i="40"/>
  <c r="F6" i="40"/>
  <c r="G6" i="40"/>
  <c r="H6" i="40"/>
  <c r="I6" i="40"/>
  <c r="J6" i="40"/>
  <c r="K6" i="40"/>
  <c r="L6" i="40"/>
  <c r="C7" i="40"/>
  <c r="D7" i="40"/>
  <c r="E7" i="40"/>
  <c r="F7" i="40"/>
  <c r="G7" i="40"/>
  <c r="H7" i="40"/>
  <c r="I7" i="40"/>
  <c r="J7" i="40"/>
  <c r="K7" i="40"/>
  <c r="L7" i="40"/>
  <c r="C8" i="40"/>
  <c r="D8" i="40"/>
  <c r="E8" i="40"/>
  <c r="F8" i="40"/>
  <c r="G8" i="40"/>
  <c r="H8" i="40"/>
  <c r="I8" i="40"/>
  <c r="J8" i="40"/>
  <c r="K8" i="40"/>
  <c r="L8" i="40"/>
  <c r="C9" i="40"/>
  <c r="D9" i="40"/>
  <c r="E9" i="40"/>
  <c r="F9" i="40"/>
  <c r="G9" i="40"/>
  <c r="H9" i="40"/>
  <c r="I9" i="40"/>
  <c r="J9" i="40"/>
  <c r="K9" i="40"/>
  <c r="L9" i="40"/>
  <c r="C10" i="40"/>
  <c r="D10" i="40"/>
  <c r="E10" i="40"/>
  <c r="F10" i="40"/>
  <c r="G10" i="40"/>
  <c r="H10" i="40"/>
  <c r="I10" i="40"/>
  <c r="J10" i="40"/>
  <c r="K10" i="40"/>
  <c r="L10" i="40"/>
  <c r="C11" i="40"/>
  <c r="D11" i="40"/>
  <c r="E11" i="40"/>
  <c r="F11" i="40"/>
  <c r="G11" i="40"/>
  <c r="H11" i="40"/>
  <c r="I11" i="40"/>
  <c r="J11" i="40"/>
  <c r="K11" i="40"/>
  <c r="L11" i="40"/>
  <c r="C12" i="40"/>
  <c r="D12" i="40"/>
  <c r="E12" i="40"/>
  <c r="F12" i="40"/>
  <c r="G12" i="40"/>
  <c r="H12" i="40"/>
  <c r="I12" i="40"/>
  <c r="J12" i="40"/>
  <c r="K12" i="40"/>
  <c r="L12" i="40"/>
  <c r="C13" i="40"/>
  <c r="D13" i="40"/>
  <c r="E13" i="40"/>
  <c r="F13" i="40"/>
  <c r="G13" i="40"/>
  <c r="H13" i="40"/>
  <c r="I13" i="40"/>
  <c r="J13" i="40"/>
  <c r="K13" i="40"/>
  <c r="L13" i="40"/>
  <c r="C14" i="40"/>
  <c r="D14" i="40"/>
  <c r="E14" i="40"/>
  <c r="F14" i="40"/>
  <c r="G14" i="40"/>
  <c r="H14" i="40"/>
  <c r="I14" i="40"/>
  <c r="J14" i="40"/>
  <c r="K14" i="40"/>
  <c r="L14" i="40"/>
  <c r="C15" i="40"/>
  <c r="D15" i="40"/>
  <c r="E15" i="40"/>
  <c r="F15" i="40"/>
  <c r="G15" i="40"/>
  <c r="H15" i="40"/>
  <c r="I15" i="40"/>
  <c r="J15" i="40"/>
  <c r="K15" i="40"/>
  <c r="L15" i="40"/>
  <c r="A6" i="39"/>
  <c r="C7" i="39"/>
  <c r="E7" i="39"/>
  <c r="F7" i="39"/>
  <c r="I7" i="39"/>
  <c r="J7" i="39"/>
  <c r="L7" i="39"/>
  <c r="L7" i="38" s="1"/>
  <c r="C8" i="39"/>
  <c r="K8" i="39"/>
  <c r="K8" i="38" s="1"/>
  <c r="L8" i="39"/>
  <c r="A2" i="38"/>
  <c r="O5" i="37"/>
  <c r="O6" i="37"/>
  <c r="O7" i="37"/>
  <c r="A8" i="37"/>
  <c r="J8" i="37"/>
  <c r="J26" i="37" s="1"/>
  <c r="G53" i="37" s="1"/>
  <c r="I71" i="37" s="1"/>
  <c r="K8" i="37"/>
  <c r="A9" i="37"/>
  <c r="J9" i="37"/>
  <c r="J10" i="37"/>
  <c r="B12" i="37"/>
  <c r="F38" i="37" s="1"/>
  <c r="J14" i="37"/>
  <c r="J15" i="37"/>
  <c r="J16" i="37"/>
  <c r="J17" i="37"/>
  <c r="J18" i="37"/>
  <c r="J19" i="37"/>
  <c r="J20" i="37"/>
  <c r="J21" i="37"/>
  <c r="J22" i="37"/>
  <c r="O27" i="37" s="1"/>
  <c r="B24" i="37"/>
  <c r="B28" i="37"/>
  <c r="F37" i="37"/>
  <c r="L59" i="37"/>
  <c r="K24" i="20"/>
  <c r="K23" i="20"/>
  <c r="B28" i="32"/>
  <c r="K15" i="20"/>
  <c r="I12" i="20"/>
  <c r="I11" i="20"/>
  <c r="D6" i="36"/>
  <c r="E6" i="36" s="1"/>
  <c r="F6" i="36" s="1"/>
  <c r="G6" i="36" s="1"/>
  <c r="H6" i="36" s="1"/>
  <c r="I6" i="36" s="1"/>
  <c r="J6" i="36" s="1"/>
  <c r="K6" i="36" s="1"/>
  <c r="L6" i="36" s="1"/>
  <c r="M6" i="36" s="1"/>
  <c r="N6" i="36" s="1"/>
  <c r="C9" i="36"/>
  <c r="D9" i="36"/>
  <c r="E9" i="36"/>
  <c r="F9" i="36"/>
  <c r="G9" i="36"/>
  <c r="H9" i="36"/>
  <c r="I9" i="36"/>
  <c r="J9" i="36"/>
  <c r="K9" i="36"/>
  <c r="L9" i="36"/>
  <c r="M9" i="36"/>
  <c r="N9" i="36"/>
  <c r="C10" i="36"/>
  <c r="D10" i="36"/>
  <c r="E10" i="36"/>
  <c r="F10" i="36"/>
  <c r="G10" i="36"/>
  <c r="H10" i="36"/>
  <c r="I10" i="36"/>
  <c r="J10" i="36"/>
  <c r="K10" i="36"/>
  <c r="L10" i="36"/>
  <c r="M10" i="36"/>
  <c r="N10" i="36"/>
  <c r="D13" i="36"/>
  <c r="D14" i="36"/>
  <c r="E14" i="36" s="1"/>
  <c r="E28" i="36" s="1"/>
  <c r="E56" i="36" s="1"/>
  <c r="F14" i="36"/>
  <c r="D15" i="36"/>
  <c r="E15" i="36" s="1"/>
  <c r="D16" i="36"/>
  <c r="E16" i="36" s="1"/>
  <c r="D17" i="36"/>
  <c r="E17" i="36"/>
  <c r="D18" i="36"/>
  <c r="E18" i="36" s="1"/>
  <c r="E32" i="36" s="1"/>
  <c r="E60" i="36" s="1"/>
  <c r="D19" i="36"/>
  <c r="E19" i="36" s="1"/>
  <c r="D20" i="36"/>
  <c r="D21" i="36"/>
  <c r="E21" i="36"/>
  <c r="D22" i="36"/>
  <c r="E22" i="36"/>
  <c r="F22" i="36"/>
  <c r="D23" i="36"/>
  <c r="E23" i="36" s="1"/>
  <c r="N27" i="36"/>
  <c r="D28" i="36"/>
  <c r="D56" i="36" s="1"/>
  <c r="D83" i="36" s="1"/>
  <c r="D29" i="36"/>
  <c r="D57" i="36" s="1"/>
  <c r="D30" i="36"/>
  <c r="D58" i="36" s="1"/>
  <c r="D31" i="36"/>
  <c r="D32" i="36"/>
  <c r="D60" i="36" s="1"/>
  <c r="D87" i="36" s="1"/>
  <c r="D33" i="36"/>
  <c r="D61" i="36" s="1"/>
  <c r="D35" i="36"/>
  <c r="D36" i="36"/>
  <c r="D64" i="36" s="1"/>
  <c r="E36" i="36"/>
  <c r="D37" i="36"/>
  <c r="N37" i="36"/>
  <c r="N55" i="36"/>
  <c r="E64" i="36"/>
  <c r="O79" i="36"/>
  <c r="N82" i="36"/>
  <c r="E83" i="36"/>
  <c r="D84" i="36"/>
  <c r="D85" i="36"/>
  <c r="E87" i="36"/>
  <c r="D88" i="36"/>
  <c r="D91" i="36"/>
  <c r="E91" i="36"/>
  <c r="B105" i="36"/>
  <c r="A2" i="35"/>
  <c r="A6" i="35"/>
  <c r="C6" i="35"/>
  <c r="D6" i="35"/>
  <c r="E6" i="35"/>
  <c r="F6" i="35"/>
  <c r="G6" i="35"/>
  <c r="H6" i="35"/>
  <c r="I6" i="35"/>
  <c r="J6" i="35"/>
  <c r="K6" i="35"/>
  <c r="L6" i="35"/>
  <c r="C7" i="35"/>
  <c r="D7" i="35"/>
  <c r="E7" i="35"/>
  <c r="F7" i="35"/>
  <c r="G7" i="35"/>
  <c r="H7" i="35"/>
  <c r="H7" i="33" s="1"/>
  <c r="I7" i="35"/>
  <c r="J7" i="35"/>
  <c r="K7" i="35"/>
  <c r="L7" i="35"/>
  <c r="L7" i="33" s="1"/>
  <c r="C8" i="35"/>
  <c r="D8" i="35"/>
  <c r="E8" i="35"/>
  <c r="F8" i="35"/>
  <c r="G8" i="35"/>
  <c r="H8" i="35"/>
  <c r="I8" i="35"/>
  <c r="J8" i="35"/>
  <c r="K8" i="35"/>
  <c r="L8" i="35"/>
  <c r="C9" i="35"/>
  <c r="D9" i="35"/>
  <c r="E9" i="35"/>
  <c r="F9" i="35"/>
  <c r="G9" i="35"/>
  <c r="H9" i="35"/>
  <c r="I9" i="35"/>
  <c r="J9" i="35"/>
  <c r="K9" i="35"/>
  <c r="L9" i="35"/>
  <c r="C10" i="35"/>
  <c r="D10" i="35"/>
  <c r="E10" i="35"/>
  <c r="F10" i="35"/>
  <c r="G10" i="35"/>
  <c r="H10" i="35"/>
  <c r="I10" i="35"/>
  <c r="J10" i="35"/>
  <c r="K10" i="35"/>
  <c r="L10" i="35"/>
  <c r="C11" i="35"/>
  <c r="D11" i="35"/>
  <c r="E11" i="35"/>
  <c r="F11" i="35"/>
  <c r="G11" i="35"/>
  <c r="H11" i="35"/>
  <c r="I11" i="35"/>
  <c r="J11" i="35"/>
  <c r="K11" i="35"/>
  <c r="L11" i="35"/>
  <c r="C12" i="35"/>
  <c r="D12" i="35"/>
  <c r="E12" i="35"/>
  <c r="F12" i="35"/>
  <c r="G12" i="35"/>
  <c r="H12" i="35"/>
  <c r="I12" i="35"/>
  <c r="J12" i="35"/>
  <c r="K12" i="35"/>
  <c r="L12" i="35"/>
  <c r="C13" i="35"/>
  <c r="D13" i="35"/>
  <c r="E13" i="35"/>
  <c r="F13" i="35"/>
  <c r="G13" i="35"/>
  <c r="H13" i="35"/>
  <c r="I13" i="35"/>
  <c r="J13" i="35"/>
  <c r="K13" i="35"/>
  <c r="L13" i="35"/>
  <c r="C14" i="35"/>
  <c r="D14" i="35"/>
  <c r="E14" i="35"/>
  <c r="F14" i="35"/>
  <c r="G14" i="35"/>
  <c r="H14" i="35"/>
  <c r="I14" i="35"/>
  <c r="J14" i="35"/>
  <c r="K14" i="35"/>
  <c r="L14" i="35"/>
  <c r="C15" i="35"/>
  <c r="D15" i="35"/>
  <c r="E15" i="35"/>
  <c r="F15" i="35"/>
  <c r="G15" i="35"/>
  <c r="H15" i="35"/>
  <c r="I15" i="35"/>
  <c r="J15" i="35"/>
  <c r="K15" i="35"/>
  <c r="L15" i="35"/>
  <c r="C16" i="35"/>
  <c r="D16" i="35"/>
  <c r="E16" i="35"/>
  <c r="F16" i="35"/>
  <c r="G16" i="35"/>
  <c r="H16" i="35"/>
  <c r="I16" i="35"/>
  <c r="J16" i="35"/>
  <c r="K16" i="35"/>
  <c r="L16" i="35"/>
  <c r="C17" i="35"/>
  <c r="D17" i="35"/>
  <c r="E17" i="35"/>
  <c r="F17" i="35"/>
  <c r="G17" i="35"/>
  <c r="H17" i="35"/>
  <c r="I17" i="35"/>
  <c r="J17" i="35"/>
  <c r="K17" i="35"/>
  <c r="L17" i="35"/>
  <c r="A2" i="34"/>
  <c r="A6" i="34"/>
  <c r="A7" i="34"/>
  <c r="C7" i="34"/>
  <c r="F7" i="34"/>
  <c r="F7" i="33" s="1"/>
  <c r="H7" i="34"/>
  <c r="J7" i="34"/>
  <c r="J7" i="33" s="1"/>
  <c r="K7" i="34"/>
  <c r="K7" i="33" s="1"/>
  <c r="L7" i="34"/>
  <c r="C8" i="34"/>
  <c r="L8" i="34"/>
  <c r="G17" i="34"/>
  <c r="H17" i="34"/>
  <c r="H17" i="33" s="1"/>
  <c r="A2" i="33"/>
  <c r="G17" i="33"/>
  <c r="O5" i="32"/>
  <c r="O6" i="32"/>
  <c r="O7" i="32"/>
  <c r="A8" i="32"/>
  <c r="J8" i="32"/>
  <c r="J26" i="32" s="1"/>
  <c r="G51" i="32" s="1"/>
  <c r="I64" i="32" s="1"/>
  <c r="K8" i="32"/>
  <c r="A9" i="32"/>
  <c r="A10" i="32" s="1"/>
  <c r="J9" i="32"/>
  <c r="J10" i="32"/>
  <c r="B12" i="32"/>
  <c r="J14" i="32"/>
  <c r="J15" i="32"/>
  <c r="J16" i="32"/>
  <c r="J17" i="32"/>
  <c r="J18" i="32"/>
  <c r="J19" i="32"/>
  <c r="J20" i="32"/>
  <c r="J21" i="32"/>
  <c r="J22" i="32"/>
  <c r="O27" i="32" s="1"/>
  <c r="B24" i="32"/>
  <c r="B26" i="32" s="1"/>
  <c r="A30" i="32"/>
  <c r="F35" i="32"/>
  <c r="F36" i="32" s="1"/>
  <c r="F42" i="32" s="1"/>
  <c r="G42" i="32" s="1"/>
  <c r="F39" i="32"/>
  <c r="F40" i="32" s="1"/>
  <c r="N57" i="32"/>
  <c r="G50" i="20"/>
  <c r="G39" i="20"/>
  <c r="I40" i="20"/>
  <c r="K46" i="20" s="1"/>
  <c r="I56" i="20" s="1"/>
  <c r="G38" i="20"/>
  <c r="G37" i="20"/>
  <c r="I13" i="20"/>
  <c r="O10" i="42" l="1"/>
  <c r="D10" i="42"/>
  <c r="F10" i="42" s="1"/>
  <c r="A14" i="42"/>
  <c r="K10" i="42"/>
  <c r="F41" i="42"/>
  <c r="F42" i="42" s="1"/>
  <c r="F44" i="42" s="1"/>
  <c r="G44" i="42" s="1"/>
  <c r="B28" i="42"/>
  <c r="F8" i="42"/>
  <c r="A10" i="43"/>
  <c r="O9" i="43"/>
  <c r="D9" i="43"/>
  <c r="K9" i="43"/>
  <c r="A10" i="37"/>
  <c r="K9" i="37"/>
  <c r="G32" i="41"/>
  <c r="C55" i="41"/>
  <c r="C28" i="41"/>
  <c r="C30" i="41"/>
  <c r="C32" i="41"/>
  <c r="C34" i="41"/>
  <c r="C36" i="41"/>
  <c r="C35" i="41"/>
  <c r="I33" i="41"/>
  <c r="I61" i="41" s="1"/>
  <c r="J19" i="41"/>
  <c r="K19" i="41" s="1"/>
  <c r="L19" i="41" s="1"/>
  <c r="L8" i="38"/>
  <c r="K7" i="39"/>
  <c r="K7" i="38" s="1"/>
  <c r="A1" i="39"/>
  <c r="I7" i="38"/>
  <c r="E7" i="38"/>
  <c r="C37" i="41"/>
  <c r="H33" i="41"/>
  <c r="H61" i="41" s="1"/>
  <c r="H88" i="41" s="1"/>
  <c r="C29" i="41"/>
  <c r="C57" i="41" s="1"/>
  <c r="C84" i="41" s="1"/>
  <c r="F23" i="41"/>
  <c r="G23" i="41" s="1"/>
  <c r="H23" i="41" s="1"/>
  <c r="F21" i="41"/>
  <c r="G21" i="41" s="1"/>
  <c r="H21" i="41" s="1"/>
  <c r="E35" i="41"/>
  <c r="I29" i="41"/>
  <c r="I57" i="41" s="1"/>
  <c r="J15" i="41"/>
  <c r="K15" i="41" s="1"/>
  <c r="L15" i="41" s="1"/>
  <c r="E13" i="41"/>
  <c r="D27" i="41"/>
  <c r="G29" i="41"/>
  <c r="G57" i="41" s="1"/>
  <c r="G84" i="41" s="1"/>
  <c r="G31" i="41"/>
  <c r="G33" i="41"/>
  <c r="G61" i="41" s="1"/>
  <c r="G88" i="41" s="1"/>
  <c r="G35" i="41"/>
  <c r="G37" i="41"/>
  <c r="G6" i="39"/>
  <c r="F17" i="41"/>
  <c r="G17" i="41" s="1"/>
  <c r="H17" i="41" s="1"/>
  <c r="E31" i="41"/>
  <c r="J7" i="38"/>
  <c r="F7" i="38"/>
  <c r="A7" i="39"/>
  <c r="A8" i="39" s="1"/>
  <c r="A9" i="39" s="1"/>
  <c r="A10" i="39" s="1"/>
  <c r="A11" i="39" s="1"/>
  <c r="A12" i="39" s="1"/>
  <c r="A13" i="39" s="1"/>
  <c r="A14" i="39" s="1"/>
  <c r="A15" i="39" s="1"/>
  <c r="A16" i="39" s="1"/>
  <c r="A17" i="39" s="1"/>
  <c r="C31" i="41"/>
  <c r="K29" i="41"/>
  <c r="K57" i="41" s="1"/>
  <c r="K84" i="41" s="1"/>
  <c r="F22" i="41"/>
  <c r="G22" i="41" s="1"/>
  <c r="F18" i="41"/>
  <c r="G18" i="41" s="1"/>
  <c r="H18" i="41" s="1"/>
  <c r="F14" i="41"/>
  <c r="G14" i="41" s="1"/>
  <c r="N27" i="41"/>
  <c r="N37" i="41"/>
  <c r="J29" i="41"/>
  <c r="J57" i="41" s="1"/>
  <c r="J84" i="41" s="1"/>
  <c r="F28" i="41"/>
  <c r="F29" i="41"/>
  <c r="F57" i="41" s="1"/>
  <c r="F84" i="41" s="1"/>
  <c r="F31" i="41"/>
  <c r="F32" i="41"/>
  <c r="F33" i="41"/>
  <c r="F61" i="41" s="1"/>
  <c r="F88" i="41" s="1"/>
  <c r="F35" i="41"/>
  <c r="F36" i="41"/>
  <c r="F37" i="41"/>
  <c r="E34" i="41"/>
  <c r="F20" i="41"/>
  <c r="G20" i="41" s="1"/>
  <c r="H20" i="41" s="1"/>
  <c r="E30" i="41"/>
  <c r="F16" i="41"/>
  <c r="G16" i="41" s="1"/>
  <c r="H16" i="41" s="1"/>
  <c r="A6" i="38"/>
  <c r="A5" i="40"/>
  <c r="C7" i="38"/>
  <c r="C8" i="38"/>
  <c r="K10" i="37"/>
  <c r="A14" i="37"/>
  <c r="C37" i="37"/>
  <c r="B26" i="37"/>
  <c r="F41" i="37" s="1"/>
  <c r="F42" i="37" s="1"/>
  <c r="F44" i="37" s="1"/>
  <c r="G44" i="37" s="1"/>
  <c r="E20" i="36"/>
  <c r="D34" i="36"/>
  <c r="G14" i="36"/>
  <c r="H14" i="36" s="1"/>
  <c r="F28" i="36"/>
  <c r="D63" i="36"/>
  <c r="D90" i="36" s="1"/>
  <c r="E7" i="34"/>
  <c r="E7" i="33" s="1"/>
  <c r="E13" i="36"/>
  <c r="D27" i="36"/>
  <c r="G28" i="36"/>
  <c r="C27" i="36"/>
  <c r="C28" i="36"/>
  <c r="C29" i="36"/>
  <c r="C57" i="36" s="1"/>
  <c r="C84" i="36" s="1"/>
  <c r="C30" i="36"/>
  <c r="C31" i="36"/>
  <c r="C32" i="36"/>
  <c r="C33" i="36"/>
  <c r="C61" i="36" s="1"/>
  <c r="C88" i="36" s="1"/>
  <c r="C34" i="36"/>
  <c r="C35" i="36"/>
  <c r="C36" i="36"/>
  <c r="C37" i="36"/>
  <c r="H6" i="34" s="1"/>
  <c r="K9" i="32"/>
  <c r="A8" i="34"/>
  <c r="A8" i="35" s="1"/>
  <c r="A7" i="35"/>
  <c r="A7" i="33" s="1"/>
  <c r="D59" i="36"/>
  <c r="D86" i="36" s="1"/>
  <c r="I7" i="34"/>
  <c r="I7" i="33" s="1"/>
  <c r="E37" i="36"/>
  <c r="H8" i="34" s="1"/>
  <c r="H8" i="33" s="1"/>
  <c r="F23" i="36"/>
  <c r="F21" i="36"/>
  <c r="E35" i="36"/>
  <c r="E29" i="36"/>
  <c r="E57" i="36" s="1"/>
  <c r="E84" i="36" s="1"/>
  <c r="F15" i="36"/>
  <c r="L8" i="33"/>
  <c r="F18" i="36"/>
  <c r="F17" i="36"/>
  <c r="E31" i="36"/>
  <c r="E30" i="36"/>
  <c r="F16" i="36"/>
  <c r="K8" i="34"/>
  <c r="K8" i="33" s="1"/>
  <c r="G22" i="36"/>
  <c r="H22" i="36" s="1"/>
  <c r="F36" i="36"/>
  <c r="E33" i="36"/>
  <c r="E61" i="36" s="1"/>
  <c r="E88" i="36" s="1"/>
  <c r="F19" i="36"/>
  <c r="A6" i="33"/>
  <c r="A8" i="33"/>
  <c r="A9" i="34"/>
  <c r="A9" i="35" s="1"/>
  <c r="C7" i="33"/>
  <c r="C8" i="33"/>
  <c r="K10" i="32"/>
  <c r="A14" i="32"/>
  <c r="C35" i="32"/>
  <c r="K19" i="20"/>
  <c r="I29" i="20"/>
  <c r="L52" i="20"/>
  <c r="D39" i="20" s="1"/>
  <c r="E39" i="20" s="1"/>
  <c r="Q18" i="28"/>
  <c r="A15" i="42" l="1"/>
  <c r="O14" i="42"/>
  <c r="D14" i="42"/>
  <c r="K14" i="42"/>
  <c r="D12" i="42"/>
  <c r="F9" i="43"/>
  <c r="A14" i="43"/>
  <c r="K10" i="43"/>
  <c r="O10" i="43"/>
  <c r="D10" i="43"/>
  <c r="F10" i="43" s="1"/>
  <c r="C35" i="43"/>
  <c r="M19" i="41"/>
  <c r="L33" i="41"/>
  <c r="L61" i="41" s="1"/>
  <c r="L88" i="41" s="1"/>
  <c r="C63" i="41"/>
  <c r="C90" i="41" s="1"/>
  <c r="E6" i="39"/>
  <c r="C64" i="41"/>
  <c r="C91" i="41" s="1"/>
  <c r="L6" i="39"/>
  <c r="K6" i="39"/>
  <c r="C56" i="41"/>
  <c r="C83" i="41" s="1"/>
  <c r="G60" i="41"/>
  <c r="G87" i="41" s="1"/>
  <c r="C10" i="39"/>
  <c r="I20" i="41"/>
  <c r="H34" i="41"/>
  <c r="F63" i="41"/>
  <c r="F90" i="41" s="1"/>
  <c r="E9" i="39"/>
  <c r="E9" i="38" s="1"/>
  <c r="F59" i="41"/>
  <c r="F86" i="41" s="1"/>
  <c r="I9" i="39"/>
  <c r="I9" i="38" s="1"/>
  <c r="J9" i="39"/>
  <c r="J9" i="38" s="1"/>
  <c r="H32" i="41"/>
  <c r="I18" i="41"/>
  <c r="G34" i="41"/>
  <c r="E59" i="41"/>
  <c r="E86" i="41" s="1"/>
  <c r="I8" i="39"/>
  <c r="I8" i="38" s="1"/>
  <c r="J8" i="39"/>
  <c r="J8" i="38" s="1"/>
  <c r="I10" i="39"/>
  <c r="I10" i="38" s="1"/>
  <c r="G59" i="41"/>
  <c r="G86" i="41" s="1"/>
  <c r="J10" i="39"/>
  <c r="J10" i="38" s="1"/>
  <c r="D55" i="41"/>
  <c r="D38" i="41"/>
  <c r="G7" i="39"/>
  <c r="E63" i="41"/>
  <c r="E90" i="41" s="1"/>
  <c r="E8" i="39"/>
  <c r="E8" i="38" s="1"/>
  <c r="G6" i="38"/>
  <c r="C62" i="41"/>
  <c r="C89" i="41" s="1"/>
  <c r="D6" i="39"/>
  <c r="C38" i="41"/>
  <c r="E62" i="41"/>
  <c r="E89" i="41" s="1"/>
  <c r="D8" i="39"/>
  <c r="F34" i="41"/>
  <c r="F30" i="41"/>
  <c r="J33" i="41"/>
  <c r="J61" i="41" s="1"/>
  <c r="J88" i="41" s="1"/>
  <c r="H22" i="41"/>
  <c r="G36" i="41"/>
  <c r="I17" i="41"/>
  <c r="H31" i="41"/>
  <c r="E27" i="41"/>
  <c r="F13" i="41"/>
  <c r="I21" i="41"/>
  <c r="H35" i="41"/>
  <c r="G30" i="41"/>
  <c r="C60" i="41"/>
  <c r="C87" i="41" s="1"/>
  <c r="C6" i="39"/>
  <c r="C82" i="41"/>
  <c r="E58" i="41"/>
  <c r="E85" i="41" s="1"/>
  <c r="F8" i="39"/>
  <c r="F8" i="38" s="1"/>
  <c r="F64" i="41"/>
  <c r="F91" i="41" s="1"/>
  <c r="L9" i="39"/>
  <c r="L9" i="38" s="1"/>
  <c r="F60" i="41"/>
  <c r="F87" i="41" s="1"/>
  <c r="C9" i="39"/>
  <c r="F56" i="41"/>
  <c r="F83" i="41" s="1"/>
  <c r="K9" i="39"/>
  <c r="K9" i="38" s="1"/>
  <c r="H14" i="41"/>
  <c r="G28" i="41"/>
  <c r="C59" i="41"/>
  <c r="C86" i="41" s="1"/>
  <c r="I6" i="39"/>
  <c r="J6" i="39"/>
  <c r="I16" i="41"/>
  <c r="H30" i="41"/>
  <c r="N55" i="41"/>
  <c r="G17" i="39"/>
  <c r="G17" i="38" s="1"/>
  <c r="G63" i="41"/>
  <c r="G90" i="41" s="1"/>
  <c r="E10" i="39"/>
  <c r="E10" i="38" s="1"/>
  <c r="M15" i="41"/>
  <c r="L29" i="41"/>
  <c r="L57" i="41" s="1"/>
  <c r="L84" i="41" s="1"/>
  <c r="I23" i="41"/>
  <c r="H37" i="41"/>
  <c r="K33" i="41"/>
  <c r="K61" i="41" s="1"/>
  <c r="K88" i="41" s="1"/>
  <c r="C58" i="41"/>
  <c r="C85" i="41" s="1"/>
  <c r="F6" i="39"/>
  <c r="A6" i="40"/>
  <c r="A7" i="38"/>
  <c r="K14" i="37"/>
  <c r="A15" i="37"/>
  <c r="L25" i="20"/>
  <c r="D12" i="20" s="1"/>
  <c r="E12" i="20" s="1"/>
  <c r="F29" i="36"/>
  <c r="F57" i="36" s="1"/>
  <c r="F84" i="36" s="1"/>
  <c r="G15" i="36"/>
  <c r="F37" i="36"/>
  <c r="H9" i="34" s="1"/>
  <c r="H9" i="33" s="1"/>
  <c r="G23" i="36"/>
  <c r="C63" i="36"/>
  <c r="C90" i="36" s="1"/>
  <c r="E6" i="34"/>
  <c r="C59" i="36"/>
  <c r="C86" i="36" s="1"/>
  <c r="I6" i="34"/>
  <c r="J6" i="34"/>
  <c r="C38" i="36"/>
  <c r="C55" i="36"/>
  <c r="G6" i="34"/>
  <c r="E27" i="36"/>
  <c r="F13" i="36"/>
  <c r="D62" i="36"/>
  <c r="D89" i="36" s="1"/>
  <c r="D7" i="34"/>
  <c r="I22" i="36"/>
  <c r="H36" i="36"/>
  <c r="F30" i="36"/>
  <c r="G16" i="36"/>
  <c r="G18" i="36"/>
  <c r="F32" i="36"/>
  <c r="G21" i="36"/>
  <c r="F35" i="36"/>
  <c r="L6" i="34"/>
  <c r="C64" i="36"/>
  <c r="C91" i="36" s="1"/>
  <c r="C60" i="36"/>
  <c r="C87" i="36" s="1"/>
  <c r="C6" i="34"/>
  <c r="C56" i="36"/>
  <c r="C83" i="36" s="1"/>
  <c r="K6" i="34"/>
  <c r="D55" i="36"/>
  <c r="D38" i="36"/>
  <c r="G7" i="34"/>
  <c r="G7" i="33" s="1"/>
  <c r="F33" i="36"/>
  <c r="F61" i="36" s="1"/>
  <c r="F88" i="36" s="1"/>
  <c r="G19" i="36"/>
  <c r="E59" i="36"/>
  <c r="E86" i="36" s="1"/>
  <c r="J8" i="34"/>
  <c r="J8" i="33" s="1"/>
  <c r="I8" i="34"/>
  <c r="I8" i="33" s="1"/>
  <c r="D6" i="34"/>
  <c r="C62" i="36"/>
  <c r="C89" i="36" s="1"/>
  <c r="F6" i="34"/>
  <c r="C58" i="36"/>
  <c r="C85" i="36" s="1"/>
  <c r="F56" i="36"/>
  <c r="F83" i="36" s="1"/>
  <c r="K9" i="34"/>
  <c r="K9" i="33" s="1"/>
  <c r="E34" i="36"/>
  <c r="F20" i="36"/>
  <c r="E58" i="36"/>
  <c r="E85" i="36" s="1"/>
  <c r="F8" i="34"/>
  <c r="F8" i="33" s="1"/>
  <c r="F64" i="36"/>
  <c r="F91" i="36" s="1"/>
  <c r="L9" i="34"/>
  <c r="L9" i="33" s="1"/>
  <c r="G17" i="36"/>
  <c r="F31" i="36"/>
  <c r="E63" i="36"/>
  <c r="E90" i="36" s="1"/>
  <c r="E8" i="34"/>
  <c r="E8" i="33" s="1"/>
  <c r="H6" i="33"/>
  <c r="G36" i="36"/>
  <c r="K10" i="34"/>
  <c r="K10" i="33" s="1"/>
  <c r="G56" i="36"/>
  <c r="G83" i="36" s="1"/>
  <c r="I14" i="36"/>
  <c r="H28" i="36"/>
  <c r="A9" i="33"/>
  <c r="A10" i="34"/>
  <c r="A10" i="35" s="1"/>
  <c r="K14" i="32"/>
  <c r="A15" i="32"/>
  <c r="I63" i="22"/>
  <c r="K15" i="42" l="1"/>
  <c r="O15" i="42"/>
  <c r="D15" i="42"/>
  <c r="F15" i="42" s="1"/>
  <c r="A16" i="42"/>
  <c r="F14" i="42"/>
  <c r="D12" i="43"/>
  <c r="K14" i="43"/>
  <c r="O14" i="43"/>
  <c r="A15" i="43"/>
  <c r="D14" i="43"/>
  <c r="N82" i="41"/>
  <c r="I6" i="38"/>
  <c r="G13" i="41"/>
  <c r="F27" i="41"/>
  <c r="G64" i="41"/>
  <c r="G91" i="41" s="1"/>
  <c r="L10" i="39"/>
  <c r="L10" i="38" s="1"/>
  <c r="F62" i="41"/>
  <c r="F89" i="41" s="1"/>
  <c r="D9" i="39"/>
  <c r="D9" i="38" s="1"/>
  <c r="D6" i="38"/>
  <c r="I32" i="41"/>
  <c r="J18" i="41"/>
  <c r="I34" i="41"/>
  <c r="J20" i="41"/>
  <c r="K6" i="38"/>
  <c r="H60" i="41"/>
  <c r="H87" i="41" s="1"/>
  <c r="C11" i="39"/>
  <c r="C10" i="38"/>
  <c r="F6" i="38"/>
  <c r="I37" i="41"/>
  <c r="J23" i="41"/>
  <c r="H58" i="41"/>
  <c r="H85" i="41" s="1"/>
  <c r="F11" i="39"/>
  <c r="F11" i="38" s="1"/>
  <c r="G56" i="41"/>
  <c r="G83" i="41" s="1"/>
  <c r="K10" i="39"/>
  <c r="K10" i="38" s="1"/>
  <c r="C9" i="38"/>
  <c r="C65" i="41"/>
  <c r="H63" i="41"/>
  <c r="H90" i="41" s="1"/>
  <c r="E11" i="39"/>
  <c r="E11" i="38" s="1"/>
  <c r="H59" i="41"/>
  <c r="H86" i="41" s="1"/>
  <c r="J11" i="39"/>
  <c r="J11" i="38" s="1"/>
  <c r="I11" i="39"/>
  <c r="I11" i="38" s="1"/>
  <c r="M33" i="41"/>
  <c r="M61" i="41" s="1"/>
  <c r="M88" i="41" s="1"/>
  <c r="N19" i="41"/>
  <c r="N33" i="41" s="1"/>
  <c r="N61" i="41" s="1"/>
  <c r="N88" i="41" s="1"/>
  <c r="O88" i="41" s="1"/>
  <c r="M29" i="41"/>
  <c r="M57" i="41" s="1"/>
  <c r="M84" i="41" s="1"/>
  <c r="O84" i="41" s="1"/>
  <c r="N15" i="41"/>
  <c r="N29" i="41" s="1"/>
  <c r="N57" i="41" s="1"/>
  <c r="N84" i="41" s="1"/>
  <c r="G58" i="41"/>
  <c r="G85" i="41" s="1"/>
  <c r="F10" i="39"/>
  <c r="F10" i="38" s="1"/>
  <c r="E38" i="41"/>
  <c r="E55" i="41"/>
  <c r="G8" i="39"/>
  <c r="G8" i="38" s="1"/>
  <c r="H36" i="41"/>
  <c r="I22" i="41"/>
  <c r="D8" i="38"/>
  <c r="G7" i="38"/>
  <c r="L6" i="38"/>
  <c r="I30" i="41"/>
  <c r="J16" i="41"/>
  <c r="J6" i="38"/>
  <c r="H28" i="41"/>
  <c r="I14" i="41"/>
  <c r="C6" i="38"/>
  <c r="J21" i="41"/>
  <c r="I35" i="41"/>
  <c r="J17" i="41"/>
  <c r="I31" i="41"/>
  <c r="F58" i="41"/>
  <c r="F85" i="41" s="1"/>
  <c r="F9" i="39"/>
  <c r="F9" i="38" s="1"/>
  <c r="D82" i="41"/>
  <c r="D65" i="41"/>
  <c r="D66" i="41"/>
  <c r="G62" i="41"/>
  <c r="G89" i="41" s="1"/>
  <c r="D10" i="39"/>
  <c r="D10" i="38" s="1"/>
  <c r="D11" i="39"/>
  <c r="D11" i="38" s="1"/>
  <c r="H62" i="41"/>
  <c r="H89" i="41" s="1"/>
  <c r="E6" i="38"/>
  <c r="A7" i="40"/>
  <c r="A8" i="38"/>
  <c r="A16" i="37"/>
  <c r="K15" i="37"/>
  <c r="H17" i="36"/>
  <c r="G31" i="36"/>
  <c r="D65" i="36"/>
  <c r="D92" i="36" s="1"/>
  <c r="D82" i="36"/>
  <c r="F34" i="36"/>
  <c r="G20" i="36"/>
  <c r="K6" i="33"/>
  <c r="F60" i="36"/>
  <c r="F87" i="36" s="1"/>
  <c r="C9" i="34"/>
  <c r="H64" i="36"/>
  <c r="H91" i="36" s="1"/>
  <c r="L11" i="34"/>
  <c r="L11" i="33" s="1"/>
  <c r="F27" i="36"/>
  <c r="G13" i="36"/>
  <c r="E6" i="33"/>
  <c r="H15" i="36"/>
  <c r="G29" i="36"/>
  <c r="G57" i="36" s="1"/>
  <c r="G84" i="36" s="1"/>
  <c r="F58" i="36"/>
  <c r="F85" i="36" s="1"/>
  <c r="F9" i="34"/>
  <c r="F9" i="33" s="1"/>
  <c r="C82" i="36"/>
  <c r="C65" i="36"/>
  <c r="C66" i="36" s="1"/>
  <c r="H56" i="36"/>
  <c r="H83" i="36" s="1"/>
  <c r="K11" i="34"/>
  <c r="K11" i="33" s="1"/>
  <c r="G64" i="36"/>
  <c r="G91" i="36" s="1"/>
  <c r="L10" i="34"/>
  <c r="L10" i="33" s="1"/>
  <c r="E62" i="36"/>
  <c r="E89" i="36" s="1"/>
  <c r="D8" i="34"/>
  <c r="F6" i="33"/>
  <c r="L6" i="33"/>
  <c r="H18" i="36"/>
  <c r="G32" i="36"/>
  <c r="I36" i="36"/>
  <c r="J22" i="36"/>
  <c r="E38" i="36"/>
  <c r="E55" i="36"/>
  <c r="G8" i="34"/>
  <c r="G8" i="33" s="1"/>
  <c r="J6" i="33"/>
  <c r="D6" i="33"/>
  <c r="H19" i="36"/>
  <c r="G33" i="36"/>
  <c r="G61" i="36" s="1"/>
  <c r="G88" i="36" s="1"/>
  <c r="H21" i="36"/>
  <c r="G35" i="36"/>
  <c r="I28" i="36"/>
  <c r="J14" i="36"/>
  <c r="F59" i="36"/>
  <c r="F86" i="36" s="1"/>
  <c r="I9" i="34"/>
  <c r="I9" i="33" s="1"/>
  <c r="J9" i="34"/>
  <c r="J9" i="33" s="1"/>
  <c r="N6" i="34"/>
  <c r="C6" i="33"/>
  <c r="E9" i="34"/>
  <c r="E9" i="33" s="1"/>
  <c r="F63" i="36"/>
  <c r="F90" i="36" s="1"/>
  <c r="H16" i="36"/>
  <c r="G30" i="36"/>
  <c r="N7" i="34"/>
  <c r="D7" i="33"/>
  <c r="M7" i="33" s="1"/>
  <c r="G6" i="33"/>
  <c r="I6" i="33"/>
  <c r="H23" i="36"/>
  <c r="G37" i="36"/>
  <c r="H10" i="34" s="1"/>
  <c r="A10" i="33"/>
  <c r="A11" i="34"/>
  <c r="A11" i="35" s="1"/>
  <c r="A16" i="32"/>
  <c r="K15" i="32"/>
  <c r="Q42" i="20"/>
  <c r="O39" i="20"/>
  <c r="O38" i="20"/>
  <c r="D6" i="31"/>
  <c r="E6" i="31"/>
  <c r="F6" i="31" s="1"/>
  <c r="G6" i="31" s="1"/>
  <c r="H6" i="31" s="1"/>
  <c r="I6" i="31" s="1"/>
  <c r="J6" i="31" s="1"/>
  <c r="K6" i="31" s="1"/>
  <c r="L6" i="31" s="1"/>
  <c r="M6" i="31" s="1"/>
  <c r="N6" i="31" s="1"/>
  <c r="C9" i="31"/>
  <c r="D9" i="31"/>
  <c r="E9" i="31"/>
  <c r="F9" i="31"/>
  <c r="G9" i="31"/>
  <c r="H9" i="31"/>
  <c r="I9" i="31"/>
  <c r="J9" i="31"/>
  <c r="K9" i="31"/>
  <c r="L9" i="31"/>
  <c r="M9" i="31"/>
  <c r="N9" i="31"/>
  <c r="C10" i="31"/>
  <c r="D10" i="31"/>
  <c r="E10" i="31"/>
  <c r="F10" i="31"/>
  <c r="G10" i="31"/>
  <c r="H10" i="31"/>
  <c r="I10" i="31"/>
  <c r="J10" i="31"/>
  <c r="K10" i="31"/>
  <c r="L10" i="31"/>
  <c r="M10" i="31"/>
  <c r="N10" i="31"/>
  <c r="D13" i="31"/>
  <c r="E13" i="31" s="1"/>
  <c r="F13" i="31"/>
  <c r="G13" i="31" s="1"/>
  <c r="H13" i="31" s="1"/>
  <c r="D14" i="31"/>
  <c r="E14" i="31"/>
  <c r="F14" i="31" s="1"/>
  <c r="G14" i="31" s="1"/>
  <c r="H14" i="31" s="1"/>
  <c r="D15" i="31"/>
  <c r="E15" i="31" s="1"/>
  <c r="F15" i="31"/>
  <c r="G15" i="31" s="1"/>
  <c r="H15" i="31" s="1"/>
  <c r="D16" i="31"/>
  <c r="E16" i="31"/>
  <c r="F16" i="31" s="1"/>
  <c r="G16" i="31" s="1"/>
  <c r="H16" i="31" s="1"/>
  <c r="D17" i="31"/>
  <c r="E17" i="31" s="1"/>
  <c r="F17" i="31"/>
  <c r="G17" i="31" s="1"/>
  <c r="H17" i="31" s="1"/>
  <c r="D18" i="31"/>
  <c r="E18" i="31"/>
  <c r="F18" i="31" s="1"/>
  <c r="G18" i="31" s="1"/>
  <c r="H18" i="31" s="1"/>
  <c r="D19" i="31"/>
  <c r="E19" i="31" s="1"/>
  <c r="F19" i="31"/>
  <c r="G19" i="31" s="1"/>
  <c r="H19" i="31" s="1"/>
  <c r="D20" i="31"/>
  <c r="E20" i="31"/>
  <c r="F20" i="31" s="1"/>
  <c r="G20" i="31" s="1"/>
  <c r="H20" i="31" s="1"/>
  <c r="D21" i="31"/>
  <c r="E21" i="31" s="1"/>
  <c r="F21" i="31"/>
  <c r="G21" i="31" s="1"/>
  <c r="H21" i="31" s="1"/>
  <c r="D22" i="31"/>
  <c r="E22" i="31"/>
  <c r="F22" i="31" s="1"/>
  <c r="G22" i="31" s="1"/>
  <c r="H22" i="31" s="1"/>
  <c r="D23" i="31"/>
  <c r="E23" i="31" s="1"/>
  <c r="F23" i="31"/>
  <c r="G23" i="31" s="1"/>
  <c r="H23" i="31" s="1"/>
  <c r="D27" i="31"/>
  <c r="D55" i="31" s="1"/>
  <c r="F27" i="31"/>
  <c r="D28" i="31"/>
  <c r="D56" i="31" s="1"/>
  <c r="D29" i="31"/>
  <c r="D57" i="31" s="1"/>
  <c r="F29" i="31"/>
  <c r="F57" i="31" s="1"/>
  <c r="F84" i="31" s="1"/>
  <c r="D30" i="31"/>
  <c r="D58" i="31" s="1"/>
  <c r="D31" i="31"/>
  <c r="D59" i="31" s="1"/>
  <c r="F31" i="31"/>
  <c r="I9" i="29" s="1"/>
  <c r="I9" i="28" s="1"/>
  <c r="D32" i="31"/>
  <c r="D60" i="31" s="1"/>
  <c r="D33" i="31"/>
  <c r="D61" i="31" s="1"/>
  <c r="F33" i="31"/>
  <c r="F61" i="31" s="1"/>
  <c r="D34" i="31"/>
  <c r="D35" i="31"/>
  <c r="F35" i="31"/>
  <c r="D36" i="31"/>
  <c r="D37" i="31"/>
  <c r="F37" i="31"/>
  <c r="H9" i="29" s="1"/>
  <c r="H9" i="28" s="1"/>
  <c r="D38" i="31"/>
  <c r="D62" i="31"/>
  <c r="D89" i="31" s="1"/>
  <c r="D63" i="31"/>
  <c r="D90" i="31" s="1"/>
  <c r="D64" i="31"/>
  <c r="D91" i="31" s="1"/>
  <c r="D65" i="31"/>
  <c r="D66" i="31"/>
  <c r="O79" i="31"/>
  <c r="D82" i="31"/>
  <c r="D83" i="31"/>
  <c r="D84" i="31"/>
  <c r="D85" i="31"/>
  <c r="D86" i="31"/>
  <c r="D87" i="31"/>
  <c r="D88" i="31"/>
  <c r="F88" i="31"/>
  <c r="D92" i="31"/>
  <c r="B105" i="31"/>
  <c r="A4" i="30"/>
  <c r="C4" i="30"/>
  <c r="D4" i="30"/>
  <c r="E4" i="30"/>
  <c r="F4" i="30"/>
  <c r="G4" i="30"/>
  <c r="H4" i="30"/>
  <c r="I4" i="30"/>
  <c r="J4" i="30"/>
  <c r="K4" i="30"/>
  <c r="L4" i="30"/>
  <c r="A5" i="30"/>
  <c r="C5" i="30"/>
  <c r="D5" i="30"/>
  <c r="E5" i="30"/>
  <c r="F5" i="30"/>
  <c r="F7" i="28" s="1"/>
  <c r="G5" i="30"/>
  <c r="H5" i="30"/>
  <c r="I5" i="30"/>
  <c r="J5" i="30"/>
  <c r="K5" i="30"/>
  <c r="L5" i="30"/>
  <c r="C6" i="30"/>
  <c r="D6" i="30"/>
  <c r="E6" i="30"/>
  <c r="F6" i="30"/>
  <c r="G6" i="30"/>
  <c r="H6" i="30"/>
  <c r="I6" i="30"/>
  <c r="J6" i="30"/>
  <c r="K6" i="30"/>
  <c r="L6" i="30"/>
  <c r="C7" i="30"/>
  <c r="D7" i="30"/>
  <c r="E7" i="30"/>
  <c r="F7" i="30"/>
  <c r="G7" i="30"/>
  <c r="H7" i="30"/>
  <c r="I7" i="30"/>
  <c r="J7" i="30"/>
  <c r="K7" i="30"/>
  <c r="L7" i="30"/>
  <c r="C8" i="30"/>
  <c r="D8" i="30"/>
  <c r="E8" i="30"/>
  <c r="F8" i="30"/>
  <c r="G8" i="30"/>
  <c r="H8" i="30"/>
  <c r="I8" i="30"/>
  <c r="J8" i="30"/>
  <c r="K8" i="30"/>
  <c r="L8" i="30"/>
  <c r="C9" i="30"/>
  <c r="D9" i="30"/>
  <c r="E9" i="30"/>
  <c r="F9" i="30"/>
  <c r="G9" i="30"/>
  <c r="H9" i="30"/>
  <c r="I9" i="30"/>
  <c r="J9" i="30"/>
  <c r="K9" i="30"/>
  <c r="L9" i="30"/>
  <c r="C10" i="30"/>
  <c r="D10" i="30"/>
  <c r="E10" i="30"/>
  <c r="F10" i="30"/>
  <c r="G10" i="30"/>
  <c r="H10" i="30"/>
  <c r="I10" i="30"/>
  <c r="J10" i="30"/>
  <c r="K10" i="30"/>
  <c r="L10" i="30"/>
  <c r="C11" i="30"/>
  <c r="D11" i="30"/>
  <c r="E11" i="30"/>
  <c r="F11" i="30"/>
  <c r="G11" i="30"/>
  <c r="H11" i="30"/>
  <c r="I11" i="30"/>
  <c r="J11" i="30"/>
  <c r="K11" i="30"/>
  <c r="L11" i="30"/>
  <c r="C12" i="30"/>
  <c r="D12" i="30"/>
  <c r="E12" i="30"/>
  <c r="F12" i="30"/>
  <c r="G12" i="30"/>
  <c r="H12" i="30"/>
  <c r="I12" i="30"/>
  <c r="J12" i="30"/>
  <c r="K12" i="30"/>
  <c r="L12" i="30"/>
  <c r="C13" i="30"/>
  <c r="D13" i="30"/>
  <c r="E13" i="30"/>
  <c r="F13" i="30"/>
  <c r="G13" i="30"/>
  <c r="H13" i="30"/>
  <c r="I13" i="30"/>
  <c r="J13" i="30"/>
  <c r="K13" i="30"/>
  <c r="L13" i="30"/>
  <c r="C14" i="30"/>
  <c r="D14" i="30"/>
  <c r="E14" i="30"/>
  <c r="F14" i="30"/>
  <c r="G14" i="30"/>
  <c r="H14" i="30"/>
  <c r="I14" i="30"/>
  <c r="J14" i="30"/>
  <c r="K14" i="30"/>
  <c r="L14" i="30"/>
  <c r="C15" i="30"/>
  <c r="D15" i="30"/>
  <c r="E15" i="30"/>
  <c r="F15" i="30"/>
  <c r="G15" i="30"/>
  <c r="H15" i="30"/>
  <c r="I15" i="30"/>
  <c r="J15" i="30"/>
  <c r="K15" i="30"/>
  <c r="L15" i="30"/>
  <c r="A6" i="29"/>
  <c r="A7" i="29"/>
  <c r="A8" i="29" s="1"/>
  <c r="C7" i="29"/>
  <c r="D7" i="29"/>
  <c r="E7" i="29"/>
  <c r="F7" i="29"/>
  <c r="G7" i="29"/>
  <c r="H7" i="29"/>
  <c r="I7" i="29"/>
  <c r="J7" i="29"/>
  <c r="K7" i="29"/>
  <c r="L7" i="29"/>
  <c r="L7" i="28" s="1"/>
  <c r="A9" i="29"/>
  <c r="A10" i="29" s="1"/>
  <c r="A11" i="29" s="1"/>
  <c r="A12" i="29" s="1"/>
  <c r="A13" i="29" s="1"/>
  <c r="A14" i="29" s="1"/>
  <c r="A15" i="29" s="1"/>
  <c r="A16" i="29" s="1"/>
  <c r="A17" i="29" s="1"/>
  <c r="A1" i="29" s="1"/>
  <c r="A2" i="28"/>
  <c r="A6" i="28"/>
  <c r="C7" i="28"/>
  <c r="G7" i="28"/>
  <c r="H7" i="28"/>
  <c r="K7" i="28"/>
  <c r="O5" i="27"/>
  <c r="O6" i="27"/>
  <c r="O7" i="27"/>
  <c r="A8" i="27"/>
  <c r="A9" i="27" s="1"/>
  <c r="J8" i="27"/>
  <c r="J9" i="27"/>
  <c r="J10" i="27"/>
  <c r="B12" i="27"/>
  <c r="J14" i="27"/>
  <c r="J15" i="27"/>
  <c r="J16" i="27"/>
  <c r="J17" i="27"/>
  <c r="J18" i="27"/>
  <c r="J19" i="27"/>
  <c r="J20" i="27"/>
  <c r="J21" i="27"/>
  <c r="J26" i="27" s="1"/>
  <c r="G50" i="27" s="1"/>
  <c r="J22" i="27"/>
  <c r="B24" i="27"/>
  <c r="B26" i="27"/>
  <c r="F38" i="27" s="1"/>
  <c r="F39" i="27" s="1"/>
  <c r="F41" i="27" s="1"/>
  <c r="G41" i="27" s="1"/>
  <c r="O27" i="27"/>
  <c r="F34" i="27"/>
  <c r="F35" i="27"/>
  <c r="L56" i="27"/>
  <c r="I66" i="27"/>
  <c r="I68" i="27" s="1"/>
  <c r="Q15" i="20"/>
  <c r="Q23" i="20" s="1"/>
  <c r="O12" i="20"/>
  <c r="O11" i="20"/>
  <c r="D6" i="26"/>
  <c r="E6" i="26"/>
  <c r="F6" i="26" s="1"/>
  <c r="G6" i="26" s="1"/>
  <c r="H6" i="26" s="1"/>
  <c r="I6" i="26" s="1"/>
  <c r="J6" i="26" s="1"/>
  <c r="K6" i="26" s="1"/>
  <c r="L6" i="26" s="1"/>
  <c r="M6" i="26" s="1"/>
  <c r="N6" i="26" s="1"/>
  <c r="C9" i="26"/>
  <c r="D9" i="26"/>
  <c r="E9" i="26"/>
  <c r="F9" i="26"/>
  <c r="G9" i="26"/>
  <c r="H9" i="26"/>
  <c r="I9" i="26"/>
  <c r="J9" i="26"/>
  <c r="K9" i="26"/>
  <c r="L9" i="26"/>
  <c r="M9" i="26"/>
  <c r="N9" i="26"/>
  <c r="C10" i="26"/>
  <c r="C27" i="26" s="1"/>
  <c r="D10" i="26"/>
  <c r="E10" i="26"/>
  <c r="F10" i="26"/>
  <c r="G10" i="26"/>
  <c r="H10" i="26"/>
  <c r="I10" i="26"/>
  <c r="J10" i="26"/>
  <c r="K10" i="26"/>
  <c r="L10" i="26"/>
  <c r="M10" i="26"/>
  <c r="N10" i="26"/>
  <c r="D13" i="26"/>
  <c r="E13" i="26" s="1"/>
  <c r="F13" i="26"/>
  <c r="G13" i="26" s="1"/>
  <c r="H13" i="26" s="1"/>
  <c r="D14" i="26"/>
  <c r="E14" i="26"/>
  <c r="F14" i="26" s="1"/>
  <c r="D15" i="26"/>
  <c r="E15" i="26" s="1"/>
  <c r="F15" i="26"/>
  <c r="G15" i="26" s="1"/>
  <c r="D16" i="26"/>
  <c r="E16" i="26"/>
  <c r="F16" i="26" s="1"/>
  <c r="D17" i="26"/>
  <c r="E17" i="26" s="1"/>
  <c r="F17" i="26"/>
  <c r="G17" i="26" s="1"/>
  <c r="D18" i="26"/>
  <c r="E18" i="26"/>
  <c r="F18" i="26" s="1"/>
  <c r="D19" i="26"/>
  <c r="E19" i="26" s="1"/>
  <c r="F19" i="26"/>
  <c r="G19" i="26" s="1"/>
  <c r="D20" i="26"/>
  <c r="E20" i="26"/>
  <c r="F20" i="26" s="1"/>
  <c r="D21" i="26"/>
  <c r="E21" i="26" s="1"/>
  <c r="F21" i="26"/>
  <c r="G21" i="26" s="1"/>
  <c r="D22" i="26"/>
  <c r="E22" i="26"/>
  <c r="F22" i="26" s="1"/>
  <c r="D23" i="26"/>
  <c r="E23" i="26" s="1"/>
  <c r="F23" i="26"/>
  <c r="G23" i="26" s="1"/>
  <c r="D27" i="26"/>
  <c r="D55" i="26" s="1"/>
  <c r="F27" i="26"/>
  <c r="C28" i="26"/>
  <c r="D28" i="26"/>
  <c r="D56" i="26" s="1"/>
  <c r="C29" i="26"/>
  <c r="D29" i="26"/>
  <c r="D57" i="26" s="1"/>
  <c r="C30" i="26"/>
  <c r="D30" i="26"/>
  <c r="D58" i="26" s="1"/>
  <c r="D85" i="26" s="1"/>
  <c r="C31" i="26"/>
  <c r="C59" i="26" s="1"/>
  <c r="D31" i="26"/>
  <c r="D59" i="26" s="1"/>
  <c r="C32" i="26"/>
  <c r="D32" i="26"/>
  <c r="D60" i="26" s="1"/>
  <c r="D87" i="26" s="1"/>
  <c r="C33" i="26"/>
  <c r="C61" i="26" s="1"/>
  <c r="C88" i="26" s="1"/>
  <c r="D33" i="26"/>
  <c r="D61" i="26" s="1"/>
  <c r="F33" i="26"/>
  <c r="F61" i="26" s="1"/>
  <c r="F88" i="26" s="1"/>
  <c r="C34" i="26"/>
  <c r="D34" i="26"/>
  <c r="D62" i="26" s="1"/>
  <c r="C35" i="26"/>
  <c r="D35" i="26"/>
  <c r="C36" i="26"/>
  <c r="D36" i="26"/>
  <c r="D64" i="26" s="1"/>
  <c r="D91" i="26" s="1"/>
  <c r="C37" i="26"/>
  <c r="D37" i="26"/>
  <c r="C55" i="26"/>
  <c r="C56" i="26"/>
  <c r="C83" i="26" s="1"/>
  <c r="C58" i="26"/>
  <c r="C60" i="26"/>
  <c r="C87" i="26" s="1"/>
  <c r="C62" i="26"/>
  <c r="C89" i="26" s="1"/>
  <c r="C63" i="26"/>
  <c r="C90" i="26" s="1"/>
  <c r="D63" i="26"/>
  <c r="C64" i="26"/>
  <c r="C91" i="26" s="1"/>
  <c r="O79" i="26"/>
  <c r="C82" i="26"/>
  <c r="D82" i="26"/>
  <c r="D84" i="26"/>
  <c r="C85" i="26"/>
  <c r="C86" i="26"/>
  <c r="D86" i="26"/>
  <c r="D88" i="26"/>
  <c r="D89" i="26"/>
  <c r="D90" i="26"/>
  <c r="B105" i="26"/>
  <c r="A2" i="25"/>
  <c r="A6" i="25"/>
  <c r="C6" i="25"/>
  <c r="D6" i="25"/>
  <c r="E6" i="25"/>
  <c r="F6" i="25"/>
  <c r="G6" i="25"/>
  <c r="H6" i="25"/>
  <c r="I6" i="25"/>
  <c r="J6" i="25"/>
  <c r="K6" i="25"/>
  <c r="L6" i="25"/>
  <c r="C7" i="25"/>
  <c r="D7" i="25"/>
  <c r="E7" i="25"/>
  <c r="F7" i="25"/>
  <c r="G7" i="25"/>
  <c r="H7" i="25"/>
  <c r="I7" i="25"/>
  <c r="J7" i="25"/>
  <c r="K7" i="25"/>
  <c r="L7" i="25"/>
  <c r="C8" i="25"/>
  <c r="D8" i="25"/>
  <c r="E8" i="25"/>
  <c r="F8" i="25"/>
  <c r="G8" i="25"/>
  <c r="H8" i="25"/>
  <c r="I8" i="25"/>
  <c r="J8" i="25"/>
  <c r="K8" i="25"/>
  <c r="L8" i="25"/>
  <c r="C9" i="25"/>
  <c r="D9" i="25"/>
  <c r="E9" i="25"/>
  <c r="F9" i="25"/>
  <c r="G9" i="25"/>
  <c r="H9" i="25"/>
  <c r="I9" i="25"/>
  <c r="J9" i="25"/>
  <c r="K9" i="25"/>
  <c r="L9" i="25"/>
  <c r="C10" i="25"/>
  <c r="D10" i="25"/>
  <c r="E10" i="25"/>
  <c r="F10" i="25"/>
  <c r="G10" i="25"/>
  <c r="H10" i="25"/>
  <c r="I10" i="25"/>
  <c r="J10" i="25"/>
  <c r="K10" i="25"/>
  <c r="L10" i="25"/>
  <c r="C11" i="25"/>
  <c r="D11" i="25"/>
  <c r="E11" i="25"/>
  <c r="F11" i="25"/>
  <c r="G11" i="25"/>
  <c r="H11" i="25"/>
  <c r="I11" i="25"/>
  <c r="J11" i="25"/>
  <c r="K11" i="25"/>
  <c r="L11" i="25"/>
  <c r="C12" i="25"/>
  <c r="D12" i="25"/>
  <c r="E12" i="25"/>
  <c r="F12" i="25"/>
  <c r="G12" i="25"/>
  <c r="H12" i="25"/>
  <c r="I12" i="25"/>
  <c r="J12" i="25"/>
  <c r="K12" i="25"/>
  <c r="L12" i="25"/>
  <c r="C13" i="25"/>
  <c r="D13" i="25"/>
  <c r="E13" i="25"/>
  <c r="F13" i="25"/>
  <c r="G13" i="25"/>
  <c r="H13" i="25"/>
  <c r="I13" i="25"/>
  <c r="J13" i="25"/>
  <c r="K13" i="25"/>
  <c r="L13" i="25"/>
  <c r="C14" i="25"/>
  <c r="D14" i="25"/>
  <c r="E14" i="25"/>
  <c r="F14" i="25"/>
  <c r="G14" i="25"/>
  <c r="H14" i="25"/>
  <c r="I14" i="25"/>
  <c r="J14" i="25"/>
  <c r="K14" i="25"/>
  <c r="L14" i="25"/>
  <c r="C15" i="25"/>
  <c r="D15" i="25"/>
  <c r="E15" i="25"/>
  <c r="F15" i="25"/>
  <c r="G15" i="25"/>
  <c r="H15" i="25"/>
  <c r="I15" i="25"/>
  <c r="J15" i="25"/>
  <c r="K15" i="25"/>
  <c r="L15" i="25"/>
  <c r="C16" i="25"/>
  <c r="D16" i="25"/>
  <c r="E16" i="25"/>
  <c r="F16" i="25"/>
  <c r="G16" i="25"/>
  <c r="H16" i="25"/>
  <c r="I16" i="25"/>
  <c r="J16" i="25"/>
  <c r="K16" i="25"/>
  <c r="L16" i="25"/>
  <c r="C17" i="25"/>
  <c r="D17" i="25"/>
  <c r="E17" i="25"/>
  <c r="F17" i="25"/>
  <c r="G17" i="25"/>
  <c r="H17" i="25"/>
  <c r="I17" i="25"/>
  <c r="J17" i="25"/>
  <c r="K17" i="25"/>
  <c r="L17" i="25"/>
  <c r="A2" i="24"/>
  <c r="A6" i="24"/>
  <c r="C6" i="24"/>
  <c r="D6" i="24"/>
  <c r="E6" i="24"/>
  <c r="F6" i="24"/>
  <c r="G6" i="24"/>
  <c r="H6" i="24"/>
  <c r="I6" i="24"/>
  <c r="J6" i="24"/>
  <c r="K6" i="24"/>
  <c r="L6" i="24"/>
  <c r="C7" i="24"/>
  <c r="D7" i="24"/>
  <c r="E7" i="24"/>
  <c r="F7" i="24"/>
  <c r="G7" i="24"/>
  <c r="G7" i="23" s="1"/>
  <c r="H7" i="24"/>
  <c r="I7" i="24"/>
  <c r="J7" i="24"/>
  <c r="K7" i="24"/>
  <c r="K7" i="23" s="1"/>
  <c r="G9" i="24"/>
  <c r="G9" i="23" s="1"/>
  <c r="A2" i="23"/>
  <c r="C6" i="23"/>
  <c r="E6" i="23"/>
  <c r="G6" i="23"/>
  <c r="I6" i="23"/>
  <c r="K6" i="23"/>
  <c r="C7" i="23"/>
  <c r="O5" i="22"/>
  <c r="O6" i="22"/>
  <c r="O7" i="22"/>
  <c r="A8" i="22"/>
  <c r="A9" i="22" s="1"/>
  <c r="J8" i="22"/>
  <c r="K8" i="22"/>
  <c r="J9" i="22"/>
  <c r="J26" i="22" s="1"/>
  <c r="G50" i="22" s="1"/>
  <c r="J10" i="22"/>
  <c r="B12" i="22"/>
  <c r="F34" i="22" s="1"/>
  <c r="F35" i="22" s="1"/>
  <c r="F41" i="22" s="1"/>
  <c r="G41" i="22" s="1"/>
  <c r="J14" i="22"/>
  <c r="J15" i="22"/>
  <c r="J16" i="22"/>
  <c r="J17" i="22"/>
  <c r="J18" i="22"/>
  <c r="J19" i="22"/>
  <c r="J20" i="22"/>
  <c r="J21" i="22"/>
  <c r="J22" i="22"/>
  <c r="B24" i="22"/>
  <c r="F38" i="22" s="1"/>
  <c r="F39" i="22" s="1"/>
  <c r="O27" i="22"/>
  <c r="A29" i="22"/>
  <c r="N56" i="22"/>
  <c r="M50" i="20"/>
  <c r="Q50" i="20"/>
  <c r="M39" i="20"/>
  <c r="O40" i="20"/>
  <c r="Q46" i="20" s="1"/>
  <c r="Q51" i="20" s="1"/>
  <c r="O56" i="20" s="1"/>
  <c r="M38" i="20"/>
  <c r="M37" i="20"/>
  <c r="A17" i="42" l="1"/>
  <c r="O16" i="42"/>
  <c r="D16" i="42"/>
  <c r="K16" i="42"/>
  <c r="F14" i="43"/>
  <c r="A16" i="43"/>
  <c r="O15" i="43"/>
  <c r="D15" i="43"/>
  <c r="F15" i="43" s="1"/>
  <c r="K15" i="43"/>
  <c r="C11" i="38"/>
  <c r="K21" i="41"/>
  <c r="J35" i="41"/>
  <c r="H7" i="39"/>
  <c r="D92" i="41"/>
  <c r="I59" i="41"/>
  <c r="I86" i="41" s="1"/>
  <c r="I12" i="39"/>
  <c r="J12" i="39"/>
  <c r="H56" i="41"/>
  <c r="H83" i="41" s="1"/>
  <c r="K11" i="39"/>
  <c r="I58" i="41"/>
  <c r="I85" i="41" s="1"/>
  <c r="F12" i="39"/>
  <c r="F12" i="38" s="1"/>
  <c r="I36" i="41"/>
  <c r="J22" i="41"/>
  <c r="K23" i="41"/>
  <c r="J37" i="41"/>
  <c r="K20" i="41"/>
  <c r="J34" i="41"/>
  <c r="I63" i="41"/>
  <c r="I90" i="41" s="1"/>
  <c r="E12" i="39"/>
  <c r="K18" i="41"/>
  <c r="J32" i="41"/>
  <c r="F38" i="41"/>
  <c r="F55" i="41"/>
  <c r="G9" i="39"/>
  <c r="I28" i="41"/>
  <c r="J14" i="41"/>
  <c r="K16" i="41"/>
  <c r="J30" i="41"/>
  <c r="E82" i="41"/>
  <c r="E66" i="41"/>
  <c r="E65" i="41"/>
  <c r="I60" i="41"/>
  <c r="I87" i="41" s="1"/>
  <c r="C12" i="39"/>
  <c r="H13" i="41"/>
  <c r="G27" i="41"/>
  <c r="D93" i="41"/>
  <c r="D94" i="41" s="1"/>
  <c r="D96" i="41" s="1"/>
  <c r="K17" i="41"/>
  <c r="J31" i="41"/>
  <c r="H64" i="41"/>
  <c r="H91" i="41" s="1"/>
  <c r="L11" i="39"/>
  <c r="C52" i="41"/>
  <c r="C92" i="41"/>
  <c r="H6" i="39"/>
  <c r="C66" i="41"/>
  <c r="I62" i="41"/>
  <c r="I89" i="41" s="1"/>
  <c r="D12" i="39"/>
  <c r="D12" i="38" s="1"/>
  <c r="A8" i="40"/>
  <c r="A9" i="38"/>
  <c r="K16" i="37"/>
  <c r="A17" i="37"/>
  <c r="I15" i="36"/>
  <c r="H29" i="36"/>
  <c r="H57" i="36" s="1"/>
  <c r="H84" i="36" s="1"/>
  <c r="F38" i="36"/>
  <c r="F55" i="36"/>
  <c r="G9" i="34"/>
  <c r="O9" i="32"/>
  <c r="O7" i="33"/>
  <c r="D9" i="32" s="1"/>
  <c r="F9" i="32" s="1"/>
  <c r="I21" i="36"/>
  <c r="H35" i="36"/>
  <c r="E65" i="36"/>
  <c r="E92" i="36" s="1"/>
  <c r="E82" i="36"/>
  <c r="C10" i="34"/>
  <c r="G60" i="36"/>
  <c r="G87" i="36" s="1"/>
  <c r="G59" i="36"/>
  <c r="G86" i="36" s="1"/>
  <c r="I10" i="34"/>
  <c r="I10" i="33" s="1"/>
  <c r="J10" i="34"/>
  <c r="K14" i="36"/>
  <c r="J28" i="36"/>
  <c r="I18" i="36"/>
  <c r="H32" i="36"/>
  <c r="D93" i="36"/>
  <c r="H31" i="36"/>
  <c r="I17" i="36"/>
  <c r="I23" i="36"/>
  <c r="H37" i="36"/>
  <c r="H11" i="34" s="1"/>
  <c r="H11" i="33" s="1"/>
  <c r="I16" i="36"/>
  <c r="H30" i="36"/>
  <c r="G63" i="36"/>
  <c r="G90" i="36" s="1"/>
  <c r="E10" i="34"/>
  <c r="E10" i="33" s="1"/>
  <c r="I64" i="36"/>
  <c r="I91" i="36" s="1"/>
  <c r="L12" i="34"/>
  <c r="F62" i="36"/>
  <c r="F89" i="36" s="1"/>
  <c r="D9" i="34"/>
  <c r="D9" i="33" s="1"/>
  <c r="H10" i="33"/>
  <c r="G58" i="36"/>
  <c r="G85" i="36" s="1"/>
  <c r="F10" i="34"/>
  <c r="M6" i="33"/>
  <c r="I56" i="36"/>
  <c r="I83" i="36" s="1"/>
  <c r="K12" i="34"/>
  <c r="K12" i="33" s="1"/>
  <c r="I19" i="36"/>
  <c r="H33" i="36"/>
  <c r="H61" i="36" s="1"/>
  <c r="H88" i="36" s="1"/>
  <c r="K22" i="36"/>
  <c r="J36" i="36"/>
  <c r="N8" i="34"/>
  <c r="D8" i="33"/>
  <c r="M8" i="33" s="1"/>
  <c r="C52" i="36"/>
  <c r="C92" i="36"/>
  <c r="C93" i="36" s="1"/>
  <c r="H13" i="36"/>
  <c r="G27" i="36"/>
  <c r="N9" i="34"/>
  <c r="C9" i="33"/>
  <c r="H20" i="36"/>
  <c r="G34" i="36"/>
  <c r="D66" i="36"/>
  <c r="A12" i="34"/>
  <c r="A12" i="35" s="1"/>
  <c r="A11" i="33"/>
  <c r="K16" i="32"/>
  <c r="A17" i="32"/>
  <c r="R52" i="20"/>
  <c r="J39" i="20" s="1"/>
  <c r="N7" i="29"/>
  <c r="D7" i="28"/>
  <c r="A7" i="28"/>
  <c r="A6" i="30"/>
  <c r="A8" i="28" s="1"/>
  <c r="J9" i="29"/>
  <c r="J9" i="28" s="1"/>
  <c r="J7" i="28"/>
  <c r="F36" i="31"/>
  <c r="F34" i="31"/>
  <c r="F32" i="31"/>
  <c r="F30" i="31"/>
  <c r="F28" i="31"/>
  <c r="I23" i="31"/>
  <c r="J23" i="31" s="1"/>
  <c r="H37" i="31"/>
  <c r="H11" i="29" s="1"/>
  <c r="H11" i="28" s="1"/>
  <c r="I21" i="31"/>
  <c r="J21" i="31" s="1"/>
  <c r="H35" i="31"/>
  <c r="I19" i="31"/>
  <c r="J19" i="31" s="1"/>
  <c r="H33" i="31"/>
  <c r="H61" i="31" s="1"/>
  <c r="H88" i="31" s="1"/>
  <c r="I17" i="31"/>
  <c r="J17" i="31" s="1"/>
  <c r="H31" i="31"/>
  <c r="I15" i="31"/>
  <c r="J15" i="31" s="1"/>
  <c r="H29" i="31"/>
  <c r="H57" i="31" s="1"/>
  <c r="H84" i="31" s="1"/>
  <c r="I13" i="31"/>
  <c r="J13" i="31" s="1"/>
  <c r="H27" i="31"/>
  <c r="K8" i="27"/>
  <c r="G9" i="28"/>
  <c r="D93" i="31"/>
  <c r="D94" i="31" s="1"/>
  <c r="D96" i="31" s="1"/>
  <c r="E9" i="29"/>
  <c r="E9" i="28" s="1"/>
  <c r="F63" i="31"/>
  <c r="F90" i="31" s="1"/>
  <c r="F55" i="31"/>
  <c r="G9" i="29"/>
  <c r="H36" i="31"/>
  <c r="I22" i="31"/>
  <c r="J22" i="31" s="1"/>
  <c r="H34" i="31"/>
  <c r="I20" i="31"/>
  <c r="J20" i="31" s="1"/>
  <c r="H32" i="31"/>
  <c r="I18" i="31"/>
  <c r="J18" i="31" s="1"/>
  <c r="H30" i="31"/>
  <c r="I16" i="31"/>
  <c r="J16" i="31" s="1"/>
  <c r="H28" i="31"/>
  <c r="I14" i="31"/>
  <c r="J14" i="31" s="1"/>
  <c r="A10" i="27"/>
  <c r="C34" i="27" s="1"/>
  <c r="K9" i="27"/>
  <c r="F59" i="31"/>
  <c r="F86" i="31" s="1"/>
  <c r="I7" i="28"/>
  <c r="E7" i="28"/>
  <c r="M7" i="28" s="1"/>
  <c r="O7" i="28" s="1"/>
  <c r="P7" i="28" s="1"/>
  <c r="G27" i="31"/>
  <c r="G28" i="31"/>
  <c r="G29" i="31"/>
  <c r="G57" i="31" s="1"/>
  <c r="G84" i="31" s="1"/>
  <c r="G30" i="31"/>
  <c r="G31" i="31"/>
  <c r="G32" i="31"/>
  <c r="G33" i="31"/>
  <c r="G61" i="31" s="1"/>
  <c r="G88" i="31" s="1"/>
  <c r="G34" i="31"/>
  <c r="G35" i="31"/>
  <c r="G36" i="31"/>
  <c r="G37" i="31"/>
  <c r="H10" i="29" s="1"/>
  <c r="C27" i="31"/>
  <c r="C28" i="31"/>
  <c r="C29" i="31"/>
  <c r="C57" i="31" s="1"/>
  <c r="C84" i="31" s="1"/>
  <c r="C30" i="31"/>
  <c r="C31" i="31"/>
  <c r="C32" i="31"/>
  <c r="C33" i="31"/>
  <c r="C61" i="31" s="1"/>
  <c r="C88" i="31" s="1"/>
  <c r="C34" i="31"/>
  <c r="C35" i="31"/>
  <c r="C36" i="31"/>
  <c r="C37" i="31"/>
  <c r="H6" i="29" s="1"/>
  <c r="H6" i="28" s="1"/>
  <c r="I27" i="31"/>
  <c r="I28" i="31"/>
  <c r="I29" i="31"/>
  <c r="I57" i="31" s="1"/>
  <c r="I30" i="31"/>
  <c r="I31" i="31"/>
  <c r="I32" i="31"/>
  <c r="I33" i="31"/>
  <c r="I61" i="31" s="1"/>
  <c r="I34" i="31"/>
  <c r="I35" i="31"/>
  <c r="I36" i="31"/>
  <c r="I37" i="31"/>
  <c r="H12" i="29" s="1"/>
  <c r="H12" i="28" s="1"/>
  <c r="E27" i="31"/>
  <c r="E28" i="31"/>
  <c r="E29" i="31"/>
  <c r="E57" i="31" s="1"/>
  <c r="E84" i="31" s="1"/>
  <c r="E30" i="31"/>
  <c r="E31" i="31"/>
  <c r="E32" i="31"/>
  <c r="E33" i="31"/>
  <c r="E61" i="31" s="1"/>
  <c r="E88" i="31" s="1"/>
  <c r="E34" i="31"/>
  <c r="E35" i="31"/>
  <c r="E36" i="31"/>
  <c r="E37" i="31"/>
  <c r="H8" i="29" s="1"/>
  <c r="H8" i="28"/>
  <c r="A7" i="30"/>
  <c r="H10" i="28"/>
  <c r="A14" i="27"/>
  <c r="O13" i="20"/>
  <c r="H6" i="23"/>
  <c r="A10" i="22"/>
  <c r="K9" i="22"/>
  <c r="I7" i="23"/>
  <c r="E7" i="23"/>
  <c r="J6" i="23"/>
  <c r="M6" i="23" s="1"/>
  <c r="F6" i="23"/>
  <c r="A7" i="24"/>
  <c r="L6" i="23"/>
  <c r="D6" i="23"/>
  <c r="H9" i="23"/>
  <c r="D38" i="26"/>
  <c r="F37" i="26"/>
  <c r="H9" i="24" s="1"/>
  <c r="F29" i="26"/>
  <c r="F57" i="26" s="1"/>
  <c r="F84" i="26" s="1"/>
  <c r="J7" i="23"/>
  <c r="F7" i="23"/>
  <c r="F31" i="26"/>
  <c r="C38" i="26"/>
  <c r="C57" i="26"/>
  <c r="C84" i="26" s="1"/>
  <c r="D65" i="26"/>
  <c r="D92" i="26" s="1"/>
  <c r="F55" i="26"/>
  <c r="H23" i="26"/>
  <c r="G37" i="26"/>
  <c r="H10" i="24" s="1"/>
  <c r="H10" i="23" s="1"/>
  <c r="F36" i="26"/>
  <c r="G22" i="26"/>
  <c r="H21" i="26"/>
  <c r="G35" i="26"/>
  <c r="G20" i="26"/>
  <c r="F34" i="26"/>
  <c r="H19" i="26"/>
  <c r="G33" i="26"/>
  <c r="G61" i="26" s="1"/>
  <c r="G88" i="26" s="1"/>
  <c r="F32" i="26"/>
  <c r="G18" i="26"/>
  <c r="H17" i="26"/>
  <c r="G31" i="26"/>
  <c r="G16" i="26"/>
  <c r="F30" i="26"/>
  <c r="H15" i="26"/>
  <c r="G29" i="26"/>
  <c r="G57" i="26" s="1"/>
  <c r="G84" i="26" s="1"/>
  <c r="F28" i="26"/>
  <c r="G14" i="26"/>
  <c r="I13" i="26"/>
  <c r="J13" i="26" s="1"/>
  <c r="H27" i="26"/>
  <c r="A6" i="23"/>
  <c r="L7" i="24"/>
  <c r="L7" i="23" s="1"/>
  <c r="N6" i="24"/>
  <c r="D83" i="26"/>
  <c r="C65" i="26"/>
  <c r="F35" i="26"/>
  <c r="H7" i="23"/>
  <c r="D7" i="23"/>
  <c r="G27" i="26"/>
  <c r="E27" i="26"/>
  <c r="E28" i="26"/>
  <c r="E29" i="26"/>
  <c r="E57" i="26" s="1"/>
  <c r="E84" i="26" s="1"/>
  <c r="E30" i="26"/>
  <c r="E31" i="26"/>
  <c r="E32" i="26"/>
  <c r="E33" i="26"/>
  <c r="E61" i="26" s="1"/>
  <c r="E88" i="26" s="1"/>
  <c r="E34" i="26"/>
  <c r="E35" i="26"/>
  <c r="E36" i="26"/>
  <c r="E37" i="26"/>
  <c r="H8" i="24" s="1"/>
  <c r="H8" i="23" s="1"/>
  <c r="K10" i="22"/>
  <c r="A14" i="22"/>
  <c r="C34" i="22"/>
  <c r="B26" i="22"/>
  <c r="W42" i="20"/>
  <c r="W50" i="20" s="1"/>
  <c r="U39" i="20"/>
  <c r="U38" i="20"/>
  <c r="W15" i="20"/>
  <c r="U12" i="20"/>
  <c r="U11" i="20"/>
  <c r="E44" i="21"/>
  <c r="C44" i="21"/>
  <c r="F43" i="21"/>
  <c r="F42" i="21"/>
  <c r="F41" i="21"/>
  <c r="F40" i="21"/>
  <c r="F39" i="21"/>
  <c r="F38" i="21"/>
  <c r="F37" i="21"/>
  <c r="F44" i="21" s="1"/>
  <c r="E37" i="21"/>
  <c r="C30" i="21"/>
  <c r="E29" i="21"/>
  <c r="F29" i="21" s="1"/>
  <c r="F28" i="21"/>
  <c r="F27" i="21"/>
  <c r="F26" i="21"/>
  <c r="F25" i="21"/>
  <c r="E24" i="21"/>
  <c r="E30" i="21" s="1"/>
  <c r="E31" i="21" s="1"/>
  <c r="E32" i="21" s="1"/>
  <c r="C18" i="21"/>
  <c r="C17" i="21"/>
  <c r="C19" i="21" s="1"/>
  <c r="C20" i="21" s="1"/>
  <c r="D16" i="21"/>
  <c r="E16" i="21" s="1"/>
  <c r="D15" i="21"/>
  <c r="E15" i="21" s="1"/>
  <c r="F15" i="21" s="1"/>
  <c r="D14" i="21"/>
  <c r="D13" i="21"/>
  <c r="D17" i="21" s="1"/>
  <c r="C9" i="21"/>
  <c r="C8" i="21"/>
  <c r="C10" i="21" s="1"/>
  <c r="D7" i="21"/>
  <c r="E7" i="21" s="1"/>
  <c r="D6" i="21"/>
  <c r="E6" i="21" s="1"/>
  <c r="F6" i="21" s="1"/>
  <c r="D5" i="21"/>
  <c r="D4" i="21"/>
  <c r="D8" i="21" s="1"/>
  <c r="D38" i="20" l="1"/>
  <c r="E38" i="20" s="1"/>
  <c r="E40" i="20" s="1"/>
  <c r="K39" i="20"/>
  <c r="F16" i="42"/>
  <c r="K17" i="42"/>
  <c r="D17" i="42"/>
  <c r="F17" i="42" s="1"/>
  <c r="O17" i="42"/>
  <c r="A18" i="42"/>
  <c r="K16" i="43"/>
  <c r="O16" i="43"/>
  <c r="D16" i="43"/>
  <c r="F16" i="43" s="1"/>
  <c r="A17" i="43"/>
  <c r="L11" i="38"/>
  <c r="C12" i="38"/>
  <c r="L16" i="41"/>
  <c r="K30" i="41"/>
  <c r="F65" i="41"/>
  <c r="F66" i="41"/>
  <c r="F82" i="41"/>
  <c r="L20" i="41"/>
  <c r="K34" i="41"/>
  <c r="K22" i="41"/>
  <c r="J36" i="41"/>
  <c r="K11" i="38"/>
  <c r="I12" i="38"/>
  <c r="H6" i="38"/>
  <c r="N6" i="39"/>
  <c r="E93" i="41"/>
  <c r="E94" i="41" s="1"/>
  <c r="E96" i="41" s="1"/>
  <c r="K14" i="41"/>
  <c r="J28" i="41"/>
  <c r="L12" i="39"/>
  <c r="L12" i="38" s="1"/>
  <c r="I64" i="41"/>
  <c r="I91" i="41" s="1"/>
  <c r="C93" i="41"/>
  <c r="J59" i="41"/>
  <c r="J86" i="41" s="1"/>
  <c r="I13" i="39"/>
  <c r="I13" i="38" s="1"/>
  <c r="J13" i="39"/>
  <c r="J13" i="38" s="1"/>
  <c r="G55" i="41"/>
  <c r="G38" i="41"/>
  <c r="G10" i="39"/>
  <c r="I56" i="41"/>
  <c r="I83" i="41" s="1"/>
  <c r="K12" i="39"/>
  <c r="K12" i="38" s="1"/>
  <c r="J60" i="41"/>
  <c r="J87" i="41" s="1"/>
  <c r="C13" i="39"/>
  <c r="J63" i="41"/>
  <c r="J90" i="41" s="1"/>
  <c r="E13" i="39"/>
  <c r="E13" i="38" s="1"/>
  <c r="L17" i="41"/>
  <c r="K31" i="41"/>
  <c r="I13" i="41"/>
  <c r="H27" i="41"/>
  <c r="E92" i="41"/>
  <c r="H8" i="39"/>
  <c r="J58" i="41"/>
  <c r="J85" i="41" s="1"/>
  <c r="F13" i="39"/>
  <c r="G9" i="38"/>
  <c r="L18" i="41"/>
  <c r="K32" i="41"/>
  <c r="E12" i="38"/>
  <c r="J62" i="41"/>
  <c r="J89" i="41" s="1"/>
  <c r="D13" i="39"/>
  <c r="L23" i="41"/>
  <c r="K37" i="41"/>
  <c r="J12" i="38"/>
  <c r="H7" i="38"/>
  <c r="M7" i="38" s="1"/>
  <c r="N7" i="39"/>
  <c r="L21" i="41"/>
  <c r="K35" i="41"/>
  <c r="A9" i="40"/>
  <c r="A10" i="38"/>
  <c r="A18" i="37"/>
  <c r="K17" i="37"/>
  <c r="C94" i="36"/>
  <c r="C96" i="36" s="1"/>
  <c r="J17" i="36"/>
  <c r="I31" i="36"/>
  <c r="L14" i="36"/>
  <c r="K28" i="36"/>
  <c r="L22" i="36"/>
  <c r="K36" i="36"/>
  <c r="I30" i="36"/>
  <c r="J16" i="36"/>
  <c r="H59" i="36"/>
  <c r="H86" i="36" s="1"/>
  <c r="I11" i="34"/>
  <c r="I11" i="33" s="1"/>
  <c r="J11" i="34"/>
  <c r="J11" i="33" s="1"/>
  <c r="H60" i="36"/>
  <c r="H87" i="36" s="1"/>
  <c r="C11" i="34"/>
  <c r="C10" i="33"/>
  <c r="H63" i="36"/>
  <c r="H90" i="36" s="1"/>
  <c r="E11" i="34"/>
  <c r="F10" i="33"/>
  <c r="G62" i="36"/>
  <c r="G89" i="36" s="1"/>
  <c r="D10" i="34"/>
  <c r="D10" i="33" s="1"/>
  <c r="G38" i="36"/>
  <c r="G10" i="34"/>
  <c r="G10" i="33" s="1"/>
  <c r="G55" i="36"/>
  <c r="O8" i="33"/>
  <c r="D10" i="32" s="1"/>
  <c r="F10" i="32" s="1"/>
  <c r="O10" i="32"/>
  <c r="D94" i="36"/>
  <c r="D96" i="36" s="1"/>
  <c r="I32" i="36"/>
  <c r="J18" i="36"/>
  <c r="E93" i="36"/>
  <c r="J21" i="36"/>
  <c r="I35" i="36"/>
  <c r="G9" i="33"/>
  <c r="I29" i="36"/>
  <c r="I57" i="36" s="1"/>
  <c r="J15" i="36"/>
  <c r="M9" i="33"/>
  <c r="J64" i="36"/>
  <c r="J91" i="36" s="1"/>
  <c r="L13" i="34"/>
  <c r="L13" i="33" s="1"/>
  <c r="H58" i="36"/>
  <c r="H85" i="36" s="1"/>
  <c r="F11" i="34"/>
  <c r="F11" i="33" s="1"/>
  <c r="I20" i="36"/>
  <c r="H34" i="36"/>
  <c r="I13" i="36"/>
  <c r="H27" i="36"/>
  <c r="I33" i="36"/>
  <c r="I61" i="36" s="1"/>
  <c r="J19" i="36"/>
  <c r="O6" i="33"/>
  <c r="O8" i="32"/>
  <c r="L12" i="33"/>
  <c r="I37" i="36"/>
  <c r="H12" i="34" s="1"/>
  <c r="J23" i="36"/>
  <c r="J56" i="36"/>
  <c r="J83" i="36" s="1"/>
  <c r="K13" i="34"/>
  <c r="K13" i="33" s="1"/>
  <c r="J10" i="33"/>
  <c r="E66" i="36"/>
  <c r="F65" i="36"/>
  <c r="F92" i="36" s="1"/>
  <c r="F82" i="36"/>
  <c r="A13" i="34"/>
  <c r="A13" i="35" s="1"/>
  <c r="A12" i="33"/>
  <c r="A18" i="32"/>
  <c r="K17" i="32"/>
  <c r="Q24" i="20"/>
  <c r="O29" i="20" s="1"/>
  <c r="Q19" i="20"/>
  <c r="E62" i="31"/>
  <c r="E89" i="31" s="1"/>
  <c r="D8" i="29"/>
  <c r="E58" i="31"/>
  <c r="E85" i="31" s="1"/>
  <c r="F8" i="29"/>
  <c r="F8" i="28" s="1"/>
  <c r="C63" i="31"/>
  <c r="C90" i="31" s="1"/>
  <c r="E6" i="29"/>
  <c r="C59" i="31"/>
  <c r="C86" i="31" s="1"/>
  <c r="J6" i="29"/>
  <c r="I6" i="29"/>
  <c r="C38" i="31"/>
  <c r="C55" i="31"/>
  <c r="G6" i="29"/>
  <c r="G62" i="31"/>
  <c r="G89" i="31" s="1"/>
  <c r="D10" i="29"/>
  <c r="F10" i="29"/>
  <c r="F10" i="28" s="1"/>
  <c r="G58" i="31"/>
  <c r="G85" i="31" s="1"/>
  <c r="H56" i="31"/>
  <c r="H83" i="31" s="1"/>
  <c r="K11" i="29"/>
  <c r="K11" i="28" s="1"/>
  <c r="H60" i="31"/>
  <c r="H87" i="31" s="1"/>
  <c r="C11" i="29"/>
  <c r="C11" i="28" s="1"/>
  <c r="H64" i="31"/>
  <c r="H91" i="31" s="1"/>
  <c r="L11" i="29"/>
  <c r="L11" i="28" s="1"/>
  <c r="H55" i="31"/>
  <c r="H38" i="31"/>
  <c r="G11" i="29"/>
  <c r="G11" i="28" s="1"/>
  <c r="H59" i="31"/>
  <c r="H86" i="31" s="1"/>
  <c r="I11" i="29"/>
  <c r="I11" i="28" s="1"/>
  <c r="J11" i="29"/>
  <c r="J11" i="28" s="1"/>
  <c r="E11" i="29"/>
  <c r="E11" i="28" s="1"/>
  <c r="H63" i="31"/>
  <c r="H90" i="31" s="1"/>
  <c r="F56" i="31"/>
  <c r="F83" i="31" s="1"/>
  <c r="K9" i="29"/>
  <c r="K9" i="28" s="1"/>
  <c r="F64" i="31"/>
  <c r="F91" i="31" s="1"/>
  <c r="L9" i="29"/>
  <c r="L9" i="28" s="1"/>
  <c r="K10" i="27"/>
  <c r="I64" i="31"/>
  <c r="I91" i="31" s="1"/>
  <c r="L12" i="29"/>
  <c r="L12" i="28" s="1"/>
  <c r="I60" i="31"/>
  <c r="I87" i="31" s="1"/>
  <c r="C12" i="29"/>
  <c r="C12" i="28" s="1"/>
  <c r="I56" i="31"/>
  <c r="I83" i="31" s="1"/>
  <c r="K12" i="29"/>
  <c r="K12" i="28" s="1"/>
  <c r="C62" i="31"/>
  <c r="C89" i="31" s="1"/>
  <c r="D6" i="29"/>
  <c r="C58" i="31"/>
  <c r="C85" i="31" s="1"/>
  <c r="F6" i="29"/>
  <c r="K16" i="31"/>
  <c r="J30" i="31"/>
  <c r="K20" i="31"/>
  <c r="J34" i="31"/>
  <c r="K13" i="31"/>
  <c r="J27" i="31"/>
  <c r="K17" i="31"/>
  <c r="J31" i="31"/>
  <c r="K21" i="31"/>
  <c r="J35" i="31"/>
  <c r="F58" i="31"/>
  <c r="F85" i="31" s="1"/>
  <c r="F9" i="29"/>
  <c r="F9" i="28" s="1"/>
  <c r="E64" i="31"/>
  <c r="E91" i="31" s="1"/>
  <c r="L8" i="29"/>
  <c r="L8" i="28" s="1"/>
  <c r="E60" i="31"/>
  <c r="E87" i="31" s="1"/>
  <c r="C8" i="29"/>
  <c r="C8" i="28" s="1"/>
  <c r="E56" i="31"/>
  <c r="E83" i="31" s="1"/>
  <c r="K8" i="29"/>
  <c r="K8" i="28" s="1"/>
  <c r="I63" i="31"/>
  <c r="I90" i="31" s="1"/>
  <c r="E12" i="29"/>
  <c r="E12" i="28" s="1"/>
  <c r="I59" i="31"/>
  <c r="I86" i="31" s="1"/>
  <c r="J12" i="29"/>
  <c r="J12" i="28" s="1"/>
  <c r="I12" i="29"/>
  <c r="I12" i="28" s="1"/>
  <c r="I38" i="31"/>
  <c r="I55" i="31"/>
  <c r="G12" i="29"/>
  <c r="G12" i="28" s="1"/>
  <c r="G64" i="31"/>
  <c r="G91" i="31" s="1"/>
  <c r="L10" i="29"/>
  <c r="L10" i="28" s="1"/>
  <c r="G60" i="31"/>
  <c r="G87" i="31" s="1"/>
  <c r="C10" i="29"/>
  <c r="C10" i="28" s="1"/>
  <c r="G56" i="31"/>
  <c r="G83" i="31" s="1"/>
  <c r="K10" i="29"/>
  <c r="K10" i="28" s="1"/>
  <c r="H58" i="31"/>
  <c r="H85" i="31" s="1"/>
  <c r="F11" i="29"/>
  <c r="F11" i="28" s="1"/>
  <c r="H62" i="31"/>
  <c r="H89" i="31" s="1"/>
  <c r="D11" i="29"/>
  <c r="F82" i="31"/>
  <c r="F65" i="31"/>
  <c r="F92" i="31" s="1"/>
  <c r="F60" i="31"/>
  <c r="F87" i="31" s="1"/>
  <c r="C9" i="29"/>
  <c r="C9" i="28" s="1"/>
  <c r="E63" i="31"/>
  <c r="E90" i="31" s="1"/>
  <c r="E8" i="29"/>
  <c r="E8" i="28" s="1"/>
  <c r="E59" i="31"/>
  <c r="E86" i="31" s="1"/>
  <c r="J8" i="29"/>
  <c r="J8" i="28" s="1"/>
  <c r="I8" i="29"/>
  <c r="I8" i="28" s="1"/>
  <c r="E38" i="31"/>
  <c r="E55" i="31"/>
  <c r="G8" i="29"/>
  <c r="G8" i="28" s="1"/>
  <c r="I62" i="31"/>
  <c r="I89" i="31" s="1"/>
  <c r="D12" i="29"/>
  <c r="I58" i="31"/>
  <c r="I85" i="31" s="1"/>
  <c r="F12" i="29"/>
  <c r="F12" i="28" s="1"/>
  <c r="C64" i="31"/>
  <c r="C91" i="31" s="1"/>
  <c r="L6" i="29"/>
  <c r="C60" i="31"/>
  <c r="C87" i="31" s="1"/>
  <c r="C6" i="29"/>
  <c r="C56" i="31"/>
  <c r="C83" i="31" s="1"/>
  <c r="K6" i="29"/>
  <c r="G63" i="31"/>
  <c r="G90" i="31" s="1"/>
  <c r="E10" i="29"/>
  <c r="E10" i="28" s="1"/>
  <c r="G59" i="31"/>
  <c r="G86" i="31" s="1"/>
  <c r="J10" i="29"/>
  <c r="J10" i="28" s="1"/>
  <c r="I10" i="29"/>
  <c r="I10" i="28" s="1"/>
  <c r="G38" i="31"/>
  <c r="G55" i="31"/>
  <c r="G10" i="29"/>
  <c r="G10" i="28" s="1"/>
  <c r="K14" i="31"/>
  <c r="J28" i="31"/>
  <c r="K18" i="31"/>
  <c r="J32" i="31"/>
  <c r="K22" i="31"/>
  <c r="J36" i="31"/>
  <c r="K15" i="31"/>
  <c r="J29" i="31"/>
  <c r="J57" i="31" s="1"/>
  <c r="J84" i="31" s="1"/>
  <c r="K19" i="31"/>
  <c r="J33" i="31"/>
  <c r="J61" i="31" s="1"/>
  <c r="J88" i="31" s="1"/>
  <c r="K23" i="31"/>
  <c r="J37" i="31"/>
  <c r="H13" i="29" s="1"/>
  <c r="H13" i="28" s="1"/>
  <c r="F62" i="31"/>
  <c r="F89" i="31" s="1"/>
  <c r="D9" i="29"/>
  <c r="F38" i="31"/>
  <c r="O9" i="27"/>
  <c r="A9" i="28"/>
  <c r="A8" i="30"/>
  <c r="D9" i="27"/>
  <c r="F9" i="27" s="1"/>
  <c r="K14" i="27"/>
  <c r="A15" i="27"/>
  <c r="R25" i="20"/>
  <c r="J12" i="20" s="1"/>
  <c r="O8" i="22"/>
  <c r="O6" i="23"/>
  <c r="P6" i="23" s="1"/>
  <c r="M7" i="23"/>
  <c r="O7" i="23" s="1"/>
  <c r="P7" i="23" s="1"/>
  <c r="E8" i="24"/>
  <c r="E8" i="23" s="1"/>
  <c r="E63" i="26"/>
  <c r="E90" i="26" s="1"/>
  <c r="E38" i="26"/>
  <c r="E55" i="26"/>
  <c r="G8" i="24"/>
  <c r="C92" i="26"/>
  <c r="C93" i="26" s="1"/>
  <c r="C52" i="26"/>
  <c r="K13" i="26"/>
  <c r="J27" i="26"/>
  <c r="I15" i="26"/>
  <c r="H29" i="26"/>
  <c r="H57" i="26" s="1"/>
  <c r="H84" i="26" s="1"/>
  <c r="I17" i="26"/>
  <c r="H31" i="26"/>
  <c r="I19" i="26"/>
  <c r="H33" i="26"/>
  <c r="H61" i="26" s="1"/>
  <c r="H88" i="26" s="1"/>
  <c r="I21" i="26"/>
  <c r="H35" i="26"/>
  <c r="I23" i="26"/>
  <c r="H37" i="26"/>
  <c r="H11" i="24" s="1"/>
  <c r="H11" i="23" s="1"/>
  <c r="A7" i="25"/>
  <c r="A7" i="23" s="1"/>
  <c r="A8" i="24"/>
  <c r="F56" i="26"/>
  <c r="F83" i="26" s="1"/>
  <c r="K9" i="24"/>
  <c r="K9" i="23" s="1"/>
  <c r="H16" i="26"/>
  <c r="G30" i="26"/>
  <c r="F60" i="26"/>
  <c r="F87" i="26" s="1"/>
  <c r="C9" i="24"/>
  <c r="H20" i="26"/>
  <c r="G34" i="26"/>
  <c r="F64" i="26"/>
  <c r="F91" i="26" s="1"/>
  <c r="L9" i="24"/>
  <c r="L9" i="23" s="1"/>
  <c r="F82" i="26"/>
  <c r="N7" i="24"/>
  <c r="E64" i="26"/>
  <c r="E91" i="26" s="1"/>
  <c r="L8" i="24"/>
  <c r="L8" i="23" s="1"/>
  <c r="E60" i="26"/>
  <c r="E87" i="26" s="1"/>
  <c r="C8" i="24"/>
  <c r="E56" i="26"/>
  <c r="E83" i="26" s="1"/>
  <c r="K8" i="24"/>
  <c r="I27" i="26"/>
  <c r="G10" i="24"/>
  <c r="G10" i="23" s="1"/>
  <c r="G55" i="26"/>
  <c r="F63" i="26"/>
  <c r="F90" i="26" s="1"/>
  <c r="E9" i="24"/>
  <c r="E9" i="23" s="1"/>
  <c r="H55" i="26"/>
  <c r="G11" i="24"/>
  <c r="G11" i="23" s="1"/>
  <c r="G59" i="26"/>
  <c r="G86" i="26" s="1"/>
  <c r="I10" i="24"/>
  <c r="I10" i="23" s="1"/>
  <c r="J10" i="24"/>
  <c r="J10" i="23" s="1"/>
  <c r="G63" i="26"/>
  <c r="G90" i="26" s="1"/>
  <c r="E10" i="24"/>
  <c r="D66" i="26"/>
  <c r="I8" i="24"/>
  <c r="I8" i="23" s="1"/>
  <c r="E59" i="26"/>
  <c r="E86" i="26" s="1"/>
  <c r="J8" i="24"/>
  <c r="F59" i="26"/>
  <c r="F86" i="26" s="1"/>
  <c r="J9" i="24"/>
  <c r="J9" i="23" s="1"/>
  <c r="I9" i="24"/>
  <c r="I9" i="23" s="1"/>
  <c r="E62" i="26"/>
  <c r="E89" i="26" s="1"/>
  <c r="D8" i="24"/>
  <c r="E58" i="26"/>
  <c r="E85" i="26" s="1"/>
  <c r="F8" i="24"/>
  <c r="D93" i="26"/>
  <c r="D94" i="26" s="1"/>
  <c r="D96" i="26" s="1"/>
  <c r="H14" i="26"/>
  <c r="G28" i="26"/>
  <c r="G38" i="26" s="1"/>
  <c r="F9" i="24"/>
  <c r="F9" i="23" s="1"/>
  <c r="F58" i="26"/>
  <c r="F85" i="26" s="1"/>
  <c r="H18" i="26"/>
  <c r="G32" i="26"/>
  <c r="F62" i="26"/>
  <c r="F89" i="26" s="1"/>
  <c r="D9" i="24"/>
  <c r="D9" i="23" s="1"/>
  <c r="H22" i="26"/>
  <c r="G36" i="26"/>
  <c r="F38" i="26"/>
  <c r="C66" i="26"/>
  <c r="D9" i="22"/>
  <c r="F9" i="22" s="1"/>
  <c r="O9" i="22"/>
  <c r="D8" i="22"/>
  <c r="F8" i="22" s="1"/>
  <c r="K14" i="22"/>
  <c r="A15" i="22"/>
  <c r="F7" i="21"/>
  <c r="F9" i="21" s="1"/>
  <c r="E9" i="21"/>
  <c r="D10" i="21"/>
  <c r="F16" i="21"/>
  <c r="F18" i="21" s="1"/>
  <c r="E18" i="21"/>
  <c r="E5" i="21"/>
  <c r="F5" i="21" s="1"/>
  <c r="E14" i="21"/>
  <c r="F14" i="21" s="1"/>
  <c r="E4" i="21"/>
  <c r="D9" i="21"/>
  <c r="E13" i="21"/>
  <c r="D18" i="21"/>
  <c r="D19" i="21" s="1"/>
  <c r="D20" i="21" s="1"/>
  <c r="F24" i="21"/>
  <c r="F30" i="21" s="1"/>
  <c r="F31" i="21" s="1"/>
  <c r="F32" i="21" s="1"/>
  <c r="S50" i="20"/>
  <c r="S39" i="20"/>
  <c r="U40" i="20"/>
  <c r="W46" i="20" s="1"/>
  <c r="S38" i="20"/>
  <c r="S37" i="20"/>
  <c r="U13" i="20"/>
  <c r="W19" i="20" s="1"/>
  <c r="K12" i="20" l="1"/>
  <c r="D11" i="20"/>
  <c r="E11" i="20" s="1"/>
  <c r="E13" i="20" s="1"/>
  <c r="A19" i="42"/>
  <c r="O18" i="42"/>
  <c r="D18" i="42"/>
  <c r="F18" i="42" s="1"/>
  <c r="K18" i="42"/>
  <c r="K17" i="43"/>
  <c r="A18" i="43"/>
  <c r="D17" i="43"/>
  <c r="O17" i="43"/>
  <c r="L35" i="41"/>
  <c r="M21" i="41"/>
  <c r="M18" i="41"/>
  <c r="L32" i="41"/>
  <c r="I27" i="41"/>
  <c r="J13" i="41"/>
  <c r="G65" i="41"/>
  <c r="G66" i="41"/>
  <c r="G82" i="41"/>
  <c r="M20" i="41"/>
  <c r="L34" i="41"/>
  <c r="O7" i="38"/>
  <c r="D9" i="37" s="1"/>
  <c r="F9" i="37" s="1"/>
  <c r="O9" i="37"/>
  <c r="M23" i="41"/>
  <c r="M37" i="41" s="1"/>
  <c r="L37" i="41"/>
  <c r="L31" i="41"/>
  <c r="M17" i="41"/>
  <c r="J56" i="41"/>
  <c r="J83" i="41" s="1"/>
  <c r="K13" i="39"/>
  <c r="J64" i="41"/>
  <c r="J91" i="41" s="1"/>
  <c r="L13" i="39"/>
  <c r="L13" i="38" s="1"/>
  <c r="F14" i="39"/>
  <c r="F14" i="38" s="1"/>
  <c r="K58" i="41"/>
  <c r="K85" i="41" s="1"/>
  <c r="K62" i="41"/>
  <c r="K89" i="41" s="1"/>
  <c r="D14" i="39"/>
  <c r="D14" i="38" s="1"/>
  <c r="H8" i="38"/>
  <c r="M8" i="38" s="1"/>
  <c r="N8" i="39"/>
  <c r="K59" i="41"/>
  <c r="K86" i="41" s="1"/>
  <c r="I14" i="39"/>
  <c r="I14" i="38" s="1"/>
  <c r="J14" i="39"/>
  <c r="C94" i="41"/>
  <c r="C96" i="41" s="1"/>
  <c r="F92" i="41"/>
  <c r="H9" i="39"/>
  <c r="K63" i="41"/>
  <c r="K90" i="41" s="1"/>
  <c r="E14" i="39"/>
  <c r="E14" i="38" s="1"/>
  <c r="D13" i="38"/>
  <c r="K60" i="41"/>
  <c r="K87" i="41" s="1"/>
  <c r="C14" i="39"/>
  <c r="F13" i="38"/>
  <c r="H55" i="41"/>
  <c r="H38" i="41"/>
  <c r="G11" i="39"/>
  <c r="C13" i="38"/>
  <c r="G10" i="38"/>
  <c r="L14" i="41"/>
  <c r="K28" i="41"/>
  <c r="M6" i="38"/>
  <c r="L22" i="41"/>
  <c r="K36" i="41"/>
  <c r="F93" i="41"/>
  <c r="F94" i="41" s="1"/>
  <c r="F96" i="41" s="1"/>
  <c r="M16" i="41"/>
  <c r="L30" i="41"/>
  <c r="A11" i="38"/>
  <c r="A10" i="40"/>
  <c r="K18" i="37"/>
  <c r="A19" i="37"/>
  <c r="H62" i="36"/>
  <c r="H89" i="36" s="1"/>
  <c r="D11" i="34"/>
  <c r="D11" i="33" s="1"/>
  <c r="J29" i="36"/>
  <c r="J57" i="36" s="1"/>
  <c r="J84" i="36" s="1"/>
  <c r="K15" i="36"/>
  <c r="I63" i="36"/>
  <c r="I90" i="36" s="1"/>
  <c r="E12" i="34"/>
  <c r="E12" i="33" s="1"/>
  <c r="K18" i="36"/>
  <c r="J32" i="36"/>
  <c r="F93" i="36"/>
  <c r="F94" i="36" s="1"/>
  <c r="F96" i="36" s="1"/>
  <c r="I34" i="36"/>
  <c r="J20" i="36"/>
  <c r="K21" i="36"/>
  <c r="J35" i="36"/>
  <c r="I60" i="36"/>
  <c r="I87" i="36" s="1"/>
  <c r="C12" i="34"/>
  <c r="G82" i="36"/>
  <c r="G65" i="36"/>
  <c r="G92" i="36" s="1"/>
  <c r="E11" i="33"/>
  <c r="M10" i="33"/>
  <c r="M14" i="36"/>
  <c r="L28" i="36"/>
  <c r="J33" i="36"/>
  <c r="J61" i="36" s="1"/>
  <c r="J88" i="36" s="1"/>
  <c r="K19" i="36"/>
  <c r="N10" i="34"/>
  <c r="I58" i="36"/>
  <c r="I85" i="36" s="1"/>
  <c r="F12" i="34"/>
  <c r="F12" i="33" s="1"/>
  <c r="K14" i="34"/>
  <c r="K14" i="33" s="1"/>
  <c r="K56" i="36"/>
  <c r="K83" i="36" s="1"/>
  <c r="F66" i="36"/>
  <c r="J37" i="36"/>
  <c r="H13" i="34" s="1"/>
  <c r="H13" i="33" s="1"/>
  <c r="K23" i="36"/>
  <c r="H55" i="36"/>
  <c r="H38" i="36"/>
  <c r="G11" i="34"/>
  <c r="E94" i="36"/>
  <c r="E96" i="36" s="1"/>
  <c r="C11" i="33"/>
  <c r="K64" i="36"/>
  <c r="K91" i="36" s="1"/>
  <c r="L14" i="34"/>
  <c r="I59" i="36"/>
  <c r="I86" i="36" s="1"/>
  <c r="I12" i="34"/>
  <c r="J12" i="34"/>
  <c r="J12" i="33" s="1"/>
  <c r="H12" i="33"/>
  <c r="D8" i="32"/>
  <c r="I27" i="36"/>
  <c r="J13" i="36"/>
  <c r="O9" i="33"/>
  <c r="D14" i="32" s="1"/>
  <c r="F14" i="32" s="1"/>
  <c r="O14" i="32"/>
  <c r="J30" i="36"/>
  <c r="K16" i="36"/>
  <c r="M22" i="36"/>
  <c r="L36" i="36"/>
  <c r="K17" i="36"/>
  <c r="J31" i="36"/>
  <c r="A14" i="34"/>
  <c r="A14" i="35" s="1"/>
  <c r="A13" i="33"/>
  <c r="K18" i="32"/>
  <c r="A19" i="32"/>
  <c r="C13" i="29"/>
  <c r="C13" i="28" s="1"/>
  <c r="J60" i="31"/>
  <c r="J87" i="31" s="1"/>
  <c r="K6" i="28"/>
  <c r="L6" i="28"/>
  <c r="N12" i="29"/>
  <c r="D12" i="28"/>
  <c r="M12" i="28" s="1"/>
  <c r="O12" i="28" s="1"/>
  <c r="P12" i="28" s="1"/>
  <c r="J63" i="31"/>
  <c r="J90" i="31" s="1"/>
  <c r="E13" i="29"/>
  <c r="E13" i="28" s="1"/>
  <c r="J55" i="31"/>
  <c r="J38" i="31"/>
  <c r="G13" i="29"/>
  <c r="G13" i="28" s="1"/>
  <c r="J58" i="31"/>
  <c r="J85" i="31" s="1"/>
  <c r="F13" i="29"/>
  <c r="F13" i="28" s="1"/>
  <c r="N6" i="29"/>
  <c r="D6" i="28"/>
  <c r="G6" i="28"/>
  <c r="J6" i="28"/>
  <c r="L23" i="31"/>
  <c r="K37" i="31"/>
  <c r="H14" i="29" s="1"/>
  <c r="H14" i="28" s="1"/>
  <c r="L15" i="31"/>
  <c r="K29" i="31"/>
  <c r="K57" i="31" s="1"/>
  <c r="K84" i="31" s="1"/>
  <c r="L18" i="31"/>
  <c r="K32" i="31"/>
  <c r="G65" i="31"/>
  <c r="G92" i="31" s="1"/>
  <c r="G66" i="31"/>
  <c r="G82" i="31"/>
  <c r="G93" i="31" s="1"/>
  <c r="F66" i="31"/>
  <c r="I65" i="31"/>
  <c r="I92" i="31" s="1"/>
  <c r="I66" i="31"/>
  <c r="I82" i="31"/>
  <c r="L21" i="31"/>
  <c r="K35" i="31"/>
  <c r="L13" i="31"/>
  <c r="K27" i="31"/>
  <c r="L16" i="31"/>
  <c r="K30" i="31"/>
  <c r="H82" i="31"/>
  <c r="H66" i="31"/>
  <c r="H65" i="31"/>
  <c r="H92" i="31" s="1"/>
  <c r="C65" i="31"/>
  <c r="C66" i="31" s="1"/>
  <c r="C82" i="31"/>
  <c r="N9" i="29"/>
  <c r="D9" i="28"/>
  <c r="J64" i="31"/>
  <c r="J91" i="31" s="1"/>
  <c r="L13" i="29"/>
  <c r="L13" i="28" s="1"/>
  <c r="K13" i="29"/>
  <c r="K13" i="28" s="1"/>
  <c r="J56" i="31"/>
  <c r="J83" i="31" s="1"/>
  <c r="C6" i="28"/>
  <c r="M9" i="28"/>
  <c r="F93" i="31"/>
  <c r="J59" i="31"/>
  <c r="J86" i="31" s="1"/>
  <c r="I13" i="29"/>
  <c r="I13" i="28" s="1"/>
  <c r="J13" i="29"/>
  <c r="J13" i="28" s="1"/>
  <c r="J62" i="31"/>
  <c r="J89" i="31" s="1"/>
  <c r="D13" i="29"/>
  <c r="F6" i="28"/>
  <c r="N10" i="29"/>
  <c r="D10" i="28"/>
  <c r="M10" i="28" s="1"/>
  <c r="O10" i="28" s="1"/>
  <c r="P10" i="28" s="1"/>
  <c r="E6" i="28"/>
  <c r="N8" i="29"/>
  <c r="D8" i="28"/>
  <c r="M8" i="28" s="1"/>
  <c r="O8" i="28" s="1"/>
  <c r="L19" i="31"/>
  <c r="K33" i="31"/>
  <c r="K61" i="31" s="1"/>
  <c r="K88" i="31" s="1"/>
  <c r="L22" i="31"/>
  <c r="K36" i="31"/>
  <c r="L14" i="31"/>
  <c r="K28" i="31"/>
  <c r="E65" i="31"/>
  <c r="E92" i="31" s="1"/>
  <c r="E82" i="31"/>
  <c r="N11" i="29"/>
  <c r="D11" i="28"/>
  <c r="M11" i="28" s="1"/>
  <c r="O11" i="28" s="1"/>
  <c r="P11" i="28" s="1"/>
  <c r="L17" i="31"/>
  <c r="K31" i="31"/>
  <c r="L20" i="31"/>
  <c r="K34" i="31"/>
  <c r="I6" i="28"/>
  <c r="A9" i="30"/>
  <c r="A10" i="28"/>
  <c r="D15" i="27" s="1"/>
  <c r="F15" i="27" s="1"/>
  <c r="O10" i="27"/>
  <c r="A16" i="27"/>
  <c r="K15" i="27"/>
  <c r="C94" i="26"/>
  <c r="C96" i="26" s="1"/>
  <c r="J8" i="23"/>
  <c r="E10" i="23"/>
  <c r="N8" i="24"/>
  <c r="C8" i="23"/>
  <c r="G62" i="26"/>
  <c r="G89" i="26" s="1"/>
  <c r="D10" i="24"/>
  <c r="D10" i="23" s="1"/>
  <c r="G58" i="26"/>
  <c r="G85" i="26" s="1"/>
  <c r="F10" i="24"/>
  <c r="F10" i="23" s="1"/>
  <c r="A9" i="24"/>
  <c r="A8" i="25"/>
  <c r="A8" i="23" s="1"/>
  <c r="H63" i="26"/>
  <c r="H90" i="26" s="1"/>
  <c r="E11" i="24"/>
  <c r="E11" i="23" s="1"/>
  <c r="H59" i="26"/>
  <c r="H86" i="26" s="1"/>
  <c r="I11" i="24"/>
  <c r="J11" i="24"/>
  <c r="J11" i="23" s="1"/>
  <c r="G13" i="24"/>
  <c r="G13" i="23" s="1"/>
  <c r="J55" i="26"/>
  <c r="G8" i="23"/>
  <c r="F8" i="23"/>
  <c r="I55" i="26"/>
  <c r="G12" i="24"/>
  <c r="G12" i="23" s="1"/>
  <c r="F65" i="26"/>
  <c r="F92" i="26" s="1"/>
  <c r="H34" i="26"/>
  <c r="I20" i="26"/>
  <c r="H30" i="26"/>
  <c r="I16" i="26"/>
  <c r="J21" i="26"/>
  <c r="I35" i="26"/>
  <c r="J17" i="26"/>
  <c r="I31" i="26"/>
  <c r="L13" i="26"/>
  <c r="K27" i="26"/>
  <c r="E82" i="26"/>
  <c r="E65" i="26"/>
  <c r="E92" i="26" s="1"/>
  <c r="G64" i="26"/>
  <c r="G91" i="26" s="1"/>
  <c r="L10" i="24"/>
  <c r="L10" i="23" s="1"/>
  <c r="G60" i="26"/>
  <c r="G87" i="26" s="1"/>
  <c r="C10" i="24"/>
  <c r="G56" i="26"/>
  <c r="G83" i="26" s="1"/>
  <c r="K10" i="24"/>
  <c r="K10" i="23" s="1"/>
  <c r="G82" i="26"/>
  <c r="K8" i="23"/>
  <c r="N9" i="24"/>
  <c r="C9" i="23"/>
  <c r="M9" i="23" s="1"/>
  <c r="O9" i="23" s="1"/>
  <c r="P9" i="23" s="1"/>
  <c r="H36" i="26"/>
  <c r="I22" i="26"/>
  <c r="H32" i="26"/>
  <c r="I18" i="26"/>
  <c r="H28" i="26"/>
  <c r="I14" i="26"/>
  <c r="D8" i="23"/>
  <c r="H82" i="26"/>
  <c r="F93" i="26"/>
  <c r="J23" i="26"/>
  <c r="I37" i="26"/>
  <c r="H12" i="24" s="1"/>
  <c r="H12" i="23" s="1"/>
  <c r="J19" i="26"/>
  <c r="I33" i="26"/>
  <c r="I61" i="26" s="1"/>
  <c r="J15" i="26"/>
  <c r="I29" i="26"/>
  <c r="I57" i="26" s="1"/>
  <c r="A16" i="22"/>
  <c r="K15" i="22"/>
  <c r="W51" i="20"/>
  <c r="U56" i="20" s="1"/>
  <c r="X55" i="20" s="1"/>
  <c r="E17" i="21"/>
  <c r="E19" i="21" s="1"/>
  <c r="F13" i="21"/>
  <c r="F17" i="21" s="1"/>
  <c r="F19" i="21" s="1"/>
  <c r="E8" i="21"/>
  <c r="E10" i="21" s="1"/>
  <c r="F4" i="21"/>
  <c r="F8" i="21" s="1"/>
  <c r="F10" i="21" s="1"/>
  <c r="W23" i="20"/>
  <c r="W24" i="20"/>
  <c r="U29" i="20" s="1"/>
  <c r="X28" i="20" s="1"/>
  <c r="J72" i="12"/>
  <c r="J73" i="12"/>
  <c r="J58" i="12"/>
  <c r="J70" i="12" s="1"/>
  <c r="J56" i="12"/>
  <c r="J68" i="12"/>
  <c r="I52" i="12"/>
  <c r="I51" i="12"/>
  <c r="I44" i="12"/>
  <c r="I41" i="12"/>
  <c r="I39" i="12"/>
  <c r="K19" i="42" l="1"/>
  <c r="O19" i="42"/>
  <c r="D19" i="42"/>
  <c r="F19" i="42" s="1"/>
  <c r="A20" i="42"/>
  <c r="A19" i="43"/>
  <c r="D18" i="43"/>
  <c r="O18" i="43"/>
  <c r="K18" i="43"/>
  <c r="L58" i="41"/>
  <c r="L85" i="41" s="1"/>
  <c r="F15" i="39"/>
  <c r="M22" i="41"/>
  <c r="L36" i="41"/>
  <c r="K56" i="41"/>
  <c r="K83" i="41" s="1"/>
  <c r="K14" i="39"/>
  <c r="K14" i="38" s="1"/>
  <c r="H65" i="41"/>
  <c r="H66" i="41"/>
  <c r="H82" i="41"/>
  <c r="M30" i="41"/>
  <c r="N16" i="41"/>
  <c r="N30" i="41" s="1"/>
  <c r="M14" i="41"/>
  <c r="L28" i="41"/>
  <c r="H9" i="38"/>
  <c r="M9" i="38" s="1"/>
  <c r="N9" i="39"/>
  <c r="N17" i="41"/>
  <c r="N31" i="41" s="1"/>
  <c r="M31" i="41"/>
  <c r="I38" i="41"/>
  <c r="I55" i="41"/>
  <c r="G12" i="39"/>
  <c r="O8" i="37"/>
  <c r="O6" i="38"/>
  <c r="G11" i="38"/>
  <c r="J14" i="38"/>
  <c r="O8" i="38"/>
  <c r="D10" i="37" s="1"/>
  <c r="F10" i="37" s="1"/>
  <c r="O10" i="37"/>
  <c r="L59" i="41"/>
  <c r="L86" i="41" s="1"/>
  <c r="J15" i="39"/>
  <c r="J15" i="38" s="1"/>
  <c r="I15" i="39"/>
  <c r="D15" i="39"/>
  <c r="L62" i="41"/>
  <c r="L89" i="41" s="1"/>
  <c r="G92" i="41"/>
  <c r="G93" i="41" s="1"/>
  <c r="H10" i="39"/>
  <c r="L60" i="41"/>
  <c r="L87" i="41" s="1"/>
  <c r="C15" i="39"/>
  <c r="N21" i="41"/>
  <c r="N35" i="41" s="1"/>
  <c r="M35" i="41"/>
  <c r="K64" i="41"/>
  <c r="K91" i="41" s="1"/>
  <c r="L14" i="39"/>
  <c r="C14" i="38"/>
  <c r="K13" i="38"/>
  <c r="M34" i="41"/>
  <c r="N20" i="41"/>
  <c r="N34" i="41" s="1"/>
  <c r="M32" i="41"/>
  <c r="N18" i="41"/>
  <c r="N32" i="41" s="1"/>
  <c r="L63" i="41"/>
  <c r="L90" i="41" s="1"/>
  <c r="E15" i="39"/>
  <c r="E15" i="38" s="1"/>
  <c r="K13" i="41"/>
  <c r="J27" i="41"/>
  <c r="A12" i="38"/>
  <c r="A11" i="40"/>
  <c r="A20" i="37"/>
  <c r="K19" i="37"/>
  <c r="I38" i="36"/>
  <c r="I55" i="36"/>
  <c r="G12" i="34"/>
  <c r="G12" i="33" s="1"/>
  <c r="G11" i="33"/>
  <c r="M28" i="36"/>
  <c r="N14" i="36"/>
  <c r="N28" i="36" s="1"/>
  <c r="J59" i="36"/>
  <c r="J86" i="36" s="1"/>
  <c r="I13" i="34"/>
  <c r="I13" i="33" s="1"/>
  <c r="J13" i="34"/>
  <c r="J13" i="33" s="1"/>
  <c r="L16" i="36"/>
  <c r="K30" i="36"/>
  <c r="N11" i="34"/>
  <c r="L19" i="36"/>
  <c r="K33" i="36"/>
  <c r="K61" i="36" s="1"/>
  <c r="K88" i="36" s="1"/>
  <c r="O10" i="33"/>
  <c r="O15" i="32"/>
  <c r="G66" i="36"/>
  <c r="E13" i="34"/>
  <c r="E13" i="33" s="1"/>
  <c r="J63" i="36"/>
  <c r="J90" i="36" s="1"/>
  <c r="J60" i="36"/>
  <c r="J87" i="36" s="1"/>
  <c r="C13" i="34"/>
  <c r="L15" i="36"/>
  <c r="K29" i="36"/>
  <c r="K57" i="36" s="1"/>
  <c r="K84" i="36" s="1"/>
  <c r="M36" i="36"/>
  <c r="N22" i="36"/>
  <c r="N36" i="36" s="1"/>
  <c r="I12" i="33"/>
  <c r="L17" i="36"/>
  <c r="K31" i="36"/>
  <c r="J58" i="36"/>
  <c r="J85" i="36" s="1"/>
  <c r="F13" i="34"/>
  <c r="F13" i="33" s="1"/>
  <c r="F8" i="32"/>
  <c r="D12" i="32"/>
  <c r="L14" i="33"/>
  <c r="H65" i="36"/>
  <c r="H92" i="36" s="1"/>
  <c r="H66" i="36"/>
  <c r="H82" i="36"/>
  <c r="H93" i="36" s="1"/>
  <c r="H94" i="36" s="1"/>
  <c r="H96" i="36" s="1"/>
  <c r="G93" i="36"/>
  <c r="L21" i="36"/>
  <c r="K35" i="36"/>
  <c r="L18" i="36"/>
  <c r="K32" i="36"/>
  <c r="I62" i="36"/>
  <c r="I89" i="36" s="1"/>
  <c r="D12" i="34"/>
  <c r="D12" i="33" s="1"/>
  <c r="L64" i="36"/>
  <c r="L91" i="36" s="1"/>
  <c r="L15" i="34"/>
  <c r="L15" i="33" s="1"/>
  <c r="J27" i="36"/>
  <c r="K13" i="36"/>
  <c r="L23" i="36"/>
  <c r="K37" i="36"/>
  <c r="H14" i="34" s="1"/>
  <c r="H14" i="33" s="1"/>
  <c r="L56" i="36"/>
  <c r="L83" i="36" s="1"/>
  <c r="K15" i="34"/>
  <c r="K15" i="33" s="1"/>
  <c r="C12" i="33"/>
  <c r="J34" i="36"/>
  <c r="K20" i="36"/>
  <c r="A15" i="34"/>
  <c r="A15" i="35" s="1"/>
  <c r="A14" i="33"/>
  <c r="A20" i="32"/>
  <c r="K19" i="32"/>
  <c r="L34" i="31"/>
  <c r="M20" i="31"/>
  <c r="K64" i="31"/>
  <c r="K91" i="31" s="1"/>
  <c r="L14" i="29"/>
  <c r="L14" i="28" s="1"/>
  <c r="N13" i="29"/>
  <c r="D13" i="28"/>
  <c r="L30" i="31"/>
  <c r="M16" i="31"/>
  <c r="M21" i="31"/>
  <c r="L35" i="31"/>
  <c r="J82" i="31"/>
  <c r="J65" i="31"/>
  <c r="J92" i="31" s="1"/>
  <c r="J14" i="29"/>
  <c r="J14" i="28" s="1"/>
  <c r="K59" i="31"/>
  <c r="K86" i="31" s="1"/>
  <c r="I14" i="29"/>
  <c r="L36" i="31"/>
  <c r="M22" i="31"/>
  <c r="F94" i="31"/>
  <c r="F96" i="31" s="1"/>
  <c r="H93" i="31"/>
  <c r="H94" i="31" s="1"/>
  <c r="H96" i="31" s="1"/>
  <c r="K38" i="31"/>
  <c r="K55" i="31"/>
  <c r="G14" i="29"/>
  <c r="I93" i="31"/>
  <c r="I94" i="31" s="1"/>
  <c r="I96" i="31" s="1"/>
  <c r="M15" i="31"/>
  <c r="L29" i="31"/>
  <c r="L57" i="31" s="1"/>
  <c r="L84" i="31" s="1"/>
  <c r="M17" i="31"/>
  <c r="L31" i="31"/>
  <c r="E93" i="31"/>
  <c r="K56" i="31"/>
  <c r="K83" i="31" s="1"/>
  <c r="K14" i="29"/>
  <c r="K14" i="28" s="1"/>
  <c r="O9" i="28"/>
  <c r="O14" i="27"/>
  <c r="C52" i="31"/>
  <c r="C92" i="31"/>
  <c r="C93" i="31" s="1"/>
  <c r="M13" i="31"/>
  <c r="L27" i="31"/>
  <c r="K60" i="31"/>
  <c r="K87" i="31" s="1"/>
  <c r="C14" i="29"/>
  <c r="K62" i="31"/>
  <c r="K89" i="31" s="1"/>
  <c r="D14" i="29"/>
  <c r="E66" i="31"/>
  <c r="L28" i="31"/>
  <c r="M14" i="31"/>
  <c r="M19" i="31"/>
  <c r="L33" i="31"/>
  <c r="L61" i="31" s="1"/>
  <c r="L88" i="31" s="1"/>
  <c r="M6" i="28"/>
  <c r="K58" i="31"/>
  <c r="K85" i="31" s="1"/>
  <c r="F14" i="29"/>
  <c r="F14" i="28" s="1"/>
  <c r="K63" i="31"/>
  <c r="K90" i="31" s="1"/>
  <c r="E14" i="29"/>
  <c r="G94" i="31"/>
  <c r="G96" i="31" s="1"/>
  <c r="L32" i="31"/>
  <c r="M18" i="31"/>
  <c r="M23" i="31"/>
  <c r="L37" i="31"/>
  <c r="H15" i="29" s="1"/>
  <c r="H15" i="28" s="1"/>
  <c r="M13" i="28"/>
  <c r="O13" i="28" s="1"/>
  <c r="P13" i="28" s="1"/>
  <c r="O15" i="27"/>
  <c r="A11" i="28"/>
  <c r="O16" i="27" s="1"/>
  <c r="A10" i="30"/>
  <c r="P8" i="28"/>
  <c r="D10" i="27"/>
  <c r="K16" i="27"/>
  <c r="D16" i="27"/>
  <c r="F16" i="27" s="1"/>
  <c r="A17" i="27"/>
  <c r="J14" i="26"/>
  <c r="I28" i="26"/>
  <c r="K55" i="26"/>
  <c r="G14" i="24"/>
  <c r="G14" i="23" s="1"/>
  <c r="E12" i="24"/>
  <c r="E12" i="23" s="1"/>
  <c r="I63" i="26"/>
  <c r="I90" i="26" s="1"/>
  <c r="J20" i="26"/>
  <c r="I34" i="26"/>
  <c r="I82" i="26"/>
  <c r="A9" i="25"/>
  <c r="A9" i="23" s="1"/>
  <c r="A10" i="24"/>
  <c r="M8" i="23"/>
  <c r="O8" i="23" s="1"/>
  <c r="J22" i="26"/>
  <c r="I36" i="26"/>
  <c r="K15" i="26"/>
  <c r="J29" i="26"/>
  <c r="J57" i="26" s="1"/>
  <c r="J84" i="26" s="1"/>
  <c r="K23" i="26"/>
  <c r="J37" i="26"/>
  <c r="H13" i="24" s="1"/>
  <c r="H13" i="23" s="1"/>
  <c r="H56" i="26"/>
  <c r="K11" i="24"/>
  <c r="H38" i="26"/>
  <c r="H64" i="26"/>
  <c r="H91" i="26" s="1"/>
  <c r="L11" i="24"/>
  <c r="N10" i="24"/>
  <c r="C10" i="23"/>
  <c r="M10" i="23" s="1"/>
  <c r="O10" i="23" s="1"/>
  <c r="P10" i="23" s="1"/>
  <c r="E66" i="26"/>
  <c r="M13" i="26"/>
  <c r="L27" i="26"/>
  <c r="K21" i="26"/>
  <c r="J35" i="26"/>
  <c r="H62" i="26"/>
  <c r="H89" i="26" s="1"/>
  <c r="D11" i="24"/>
  <c r="J18" i="26"/>
  <c r="I32" i="26"/>
  <c r="I59" i="26"/>
  <c r="I86" i="26" s="1"/>
  <c r="I12" i="24"/>
  <c r="I12" i="23" s="1"/>
  <c r="J12" i="24"/>
  <c r="J12" i="23" s="1"/>
  <c r="J16" i="26"/>
  <c r="I30" i="26"/>
  <c r="F66" i="26"/>
  <c r="F94" i="26" s="1"/>
  <c r="F96" i="26" s="1"/>
  <c r="K19" i="26"/>
  <c r="J33" i="26"/>
  <c r="J61" i="26" s="1"/>
  <c r="J88" i="26" s="1"/>
  <c r="H60" i="26"/>
  <c r="H87" i="26" s="1"/>
  <c r="C11" i="24"/>
  <c r="G65" i="26"/>
  <c r="E93" i="26"/>
  <c r="K17" i="26"/>
  <c r="J31" i="26"/>
  <c r="H58" i="26"/>
  <c r="H85" i="26" s="1"/>
  <c r="F11" i="24"/>
  <c r="J82" i="26"/>
  <c r="I11" i="23"/>
  <c r="K16" i="22"/>
  <c r="A17" i="22"/>
  <c r="X52" i="20"/>
  <c r="P39" i="20" s="1"/>
  <c r="F20" i="21"/>
  <c r="E20" i="21"/>
  <c r="X25" i="20"/>
  <c r="P12" i="20" s="1"/>
  <c r="AC42" i="20"/>
  <c r="AC50" i="20" s="1"/>
  <c r="AA39" i="20"/>
  <c r="AA38" i="20"/>
  <c r="AC38" i="20" s="1"/>
  <c r="AC15" i="20"/>
  <c r="AC23" i="20" s="1"/>
  <c r="AA12" i="20"/>
  <c r="AA11" i="20"/>
  <c r="Y50" i="20"/>
  <c r="Y39" i="20"/>
  <c r="AB38" i="20"/>
  <c r="Y38" i="20"/>
  <c r="Y37" i="20"/>
  <c r="AB11" i="20"/>
  <c r="BB55" i="20"/>
  <c r="AV55" i="20"/>
  <c r="AG55" i="20"/>
  <c r="AP52" i="20"/>
  <c r="AO51" i="20"/>
  <c r="AW50" i="20"/>
  <c r="AQ50" i="20"/>
  <c r="AK50" i="20"/>
  <c r="AI50" i="20"/>
  <c r="AE50" i="20"/>
  <c r="AU46" i="20"/>
  <c r="AO46" i="20"/>
  <c r="BA42" i="20"/>
  <c r="AU42" i="20"/>
  <c r="AU50" i="20" s="1"/>
  <c r="AI42" i="20"/>
  <c r="AM40" i="20"/>
  <c r="AZ39" i="20"/>
  <c r="AT38" i="20" s="1"/>
  <c r="AY39" i="20"/>
  <c r="AW39" i="20"/>
  <c r="AS39" i="20"/>
  <c r="AQ39" i="20"/>
  <c r="AK39" i="20"/>
  <c r="AH39" i="20"/>
  <c r="AG39" i="20"/>
  <c r="AE39" i="20"/>
  <c r="AZ38" i="20"/>
  <c r="AY38" i="20"/>
  <c r="AW38" i="20"/>
  <c r="AS38" i="20"/>
  <c r="AQ38" i="20"/>
  <c r="AK38" i="20"/>
  <c r="AG38" i="20"/>
  <c r="AG40" i="20" s="1"/>
  <c r="AI46" i="20" s="1"/>
  <c r="AI51" i="20" s="1"/>
  <c r="AE38" i="20"/>
  <c r="AW37" i="20"/>
  <c r="AQ37" i="20"/>
  <c r="AK37" i="20"/>
  <c r="AE37" i="20"/>
  <c r="AV28" i="20"/>
  <c r="AG28" i="20"/>
  <c r="AO24" i="20"/>
  <c r="AP25" i="20" s="1"/>
  <c r="AH12" i="20" s="1"/>
  <c r="AI23" i="20"/>
  <c r="AU19" i="20"/>
  <c r="AO19" i="20"/>
  <c r="BA15" i="20"/>
  <c r="AU15" i="20"/>
  <c r="AU23" i="20" s="1"/>
  <c r="AI15" i="20"/>
  <c r="AM13" i="20"/>
  <c r="AZ12" i="20"/>
  <c r="AT11" i="20" s="1"/>
  <c r="AY12" i="20"/>
  <c r="AS12" i="20"/>
  <c r="AG12" i="20"/>
  <c r="AZ11" i="20"/>
  <c r="AY11" i="20"/>
  <c r="AS11" i="20"/>
  <c r="AG11" i="20"/>
  <c r="AG13" i="20" s="1"/>
  <c r="AQ1" i="20"/>
  <c r="AW1" i="20" s="1"/>
  <c r="Q39" i="20" l="1"/>
  <c r="J38" i="20"/>
  <c r="K38" i="20" s="1"/>
  <c r="K40" i="20" s="1"/>
  <c r="K44" i="20" s="1"/>
  <c r="L48" i="20" s="1"/>
  <c r="L54" i="20" s="1"/>
  <c r="L57" i="20" s="1"/>
  <c r="Q12" i="20"/>
  <c r="J11" i="20"/>
  <c r="K11" i="20" s="1"/>
  <c r="K13" i="20" s="1"/>
  <c r="K17" i="20" s="1"/>
  <c r="L21" i="20" s="1"/>
  <c r="L27" i="20" s="1"/>
  <c r="L30" i="20" s="1"/>
  <c r="A21" i="42"/>
  <c r="O20" i="42"/>
  <c r="D20" i="42"/>
  <c r="F20" i="42" s="1"/>
  <c r="K20" i="42"/>
  <c r="O19" i="43"/>
  <c r="D19" i="43"/>
  <c r="K19" i="43"/>
  <c r="A20" i="43"/>
  <c r="G94" i="41"/>
  <c r="G96" i="41" s="1"/>
  <c r="M62" i="41"/>
  <c r="M89" i="41" s="1"/>
  <c r="D16" i="39"/>
  <c r="D16" i="38" s="1"/>
  <c r="L14" i="38"/>
  <c r="C15" i="38"/>
  <c r="J18" i="38"/>
  <c r="M59" i="41"/>
  <c r="M86" i="41" s="1"/>
  <c r="I16" i="39"/>
  <c r="I16" i="38" s="1"/>
  <c r="J16" i="39"/>
  <c r="J16" i="38" s="1"/>
  <c r="O9" i="38"/>
  <c r="D14" i="37" s="1"/>
  <c r="F14" i="37" s="1"/>
  <c r="O14" i="37"/>
  <c r="M58" i="41"/>
  <c r="M85" i="41" s="1"/>
  <c r="F16" i="39"/>
  <c r="F16" i="38" s="1"/>
  <c r="H93" i="41"/>
  <c r="H94" i="41" s="1"/>
  <c r="H96" i="41" s="1"/>
  <c r="F15" i="38"/>
  <c r="J38" i="41"/>
  <c r="J55" i="41"/>
  <c r="G13" i="39"/>
  <c r="N60" i="41"/>
  <c r="N87" i="41" s="1"/>
  <c r="C17" i="39"/>
  <c r="D15" i="38"/>
  <c r="G12" i="38"/>
  <c r="N59" i="41"/>
  <c r="N86" i="41" s="1"/>
  <c r="J17" i="39"/>
  <c r="J17" i="38" s="1"/>
  <c r="I17" i="39"/>
  <c r="I17" i="38" s="1"/>
  <c r="L56" i="41"/>
  <c r="L83" i="41" s="1"/>
  <c r="K15" i="39"/>
  <c r="K15" i="38" s="1"/>
  <c r="L13" i="41"/>
  <c r="K27" i="41"/>
  <c r="M60" i="41"/>
  <c r="M87" i="41" s="1"/>
  <c r="C16" i="39"/>
  <c r="M63" i="41"/>
  <c r="M90" i="41" s="1"/>
  <c r="E16" i="39"/>
  <c r="E16" i="38" s="1"/>
  <c r="H10" i="38"/>
  <c r="M10" i="38" s="1"/>
  <c r="N10" i="39"/>
  <c r="I15" i="38"/>
  <c r="I18" i="38" s="1"/>
  <c r="D8" i="37"/>
  <c r="I82" i="41"/>
  <c r="I65" i="41"/>
  <c r="I66" i="41" s="1"/>
  <c r="M28" i="41"/>
  <c r="N14" i="41"/>
  <c r="N28" i="41" s="1"/>
  <c r="H92" i="41"/>
  <c r="H11" i="39"/>
  <c r="L15" i="39"/>
  <c r="L15" i="38" s="1"/>
  <c r="L64" i="41"/>
  <c r="L91" i="41" s="1"/>
  <c r="N62" i="41"/>
  <c r="N89" i="41" s="1"/>
  <c r="D17" i="39"/>
  <c r="D17" i="38" s="1"/>
  <c r="D18" i="38" s="1"/>
  <c r="N63" i="41"/>
  <c r="N90" i="41" s="1"/>
  <c r="E17" i="39"/>
  <c r="E17" i="38" s="1"/>
  <c r="E18" i="38" s="1"/>
  <c r="J18" i="39"/>
  <c r="N58" i="41"/>
  <c r="N85" i="41" s="1"/>
  <c r="O85" i="41" s="1"/>
  <c r="F17" i="39"/>
  <c r="F17" i="38" s="1"/>
  <c r="M36" i="41"/>
  <c r="N22" i="41"/>
  <c r="N36" i="41" s="1"/>
  <c r="A12" i="40"/>
  <c r="A13" i="38"/>
  <c r="K20" i="37"/>
  <c r="A21" i="37"/>
  <c r="N12" i="34"/>
  <c r="C14" i="34"/>
  <c r="K60" i="36"/>
  <c r="K87" i="36" s="1"/>
  <c r="M21" i="36"/>
  <c r="L35" i="36"/>
  <c r="M64" i="36"/>
  <c r="M91" i="36" s="1"/>
  <c r="L16" i="34"/>
  <c r="L16" i="33" s="1"/>
  <c r="I65" i="36"/>
  <c r="I92" i="36" s="1"/>
  <c r="I82" i="36"/>
  <c r="M23" i="36"/>
  <c r="M37" i="36" s="1"/>
  <c r="H16" i="34" s="1"/>
  <c r="H16" i="33" s="1"/>
  <c r="L37" i="36"/>
  <c r="H15" i="34" s="1"/>
  <c r="N64" i="36"/>
  <c r="N91" i="36" s="1"/>
  <c r="L17" i="34"/>
  <c r="L17" i="33" s="1"/>
  <c r="L18" i="33" s="1"/>
  <c r="L20" i="36"/>
  <c r="K34" i="36"/>
  <c r="M12" i="33"/>
  <c r="L13" i="36"/>
  <c r="K27" i="36"/>
  <c r="M18" i="36"/>
  <c r="L32" i="36"/>
  <c r="G94" i="36"/>
  <c r="G96" i="36" s="1"/>
  <c r="D15" i="32"/>
  <c r="F15" i="32" s="1"/>
  <c r="K58" i="36"/>
  <c r="K85" i="36" s="1"/>
  <c r="F14" i="34"/>
  <c r="F14" i="33" s="1"/>
  <c r="E14" i="34"/>
  <c r="K63" i="36"/>
  <c r="K90" i="36" s="1"/>
  <c r="L18" i="34"/>
  <c r="L31" i="36"/>
  <c r="M17" i="36"/>
  <c r="N13" i="34"/>
  <c r="C13" i="33"/>
  <c r="M19" i="36"/>
  <c r="L33" i="36"/>
  <c r="L61" i="36" s="1"/>
  <c r="L88" i="36" s="1"/>
  <c r="M56" i="36"/>
  <c r="M83" i="36" s="1"/>
  <c r="K16" i="34"/>
  <c r="K16" i="33" s="1"/>
  <c r="J62" i="36"/>
  <c r="J89" i="36" s="1"/>
  <c r="D13" i="34"/>
  <c r="D13" i="33" s="1"/>
  <c r="J38" i="36"/>
  <c r="J55" i="36"/>
  <c r="G13" i="34"/>
  <c r="G13" i="33" s="1"/>
  <c r="K59" i="36"/>
  <c r="K86" i="36" s="1"/>
  <c r="J14" i="34"/>
  <c r="J14" i="33" s="1"/>
  <c r="I14" i="34"/>
  <c r="M15" i="36"/>
  <c r="L29" i="36"/>
  <c r="L57" i="36" s="1"/>
  <c r="L84" i="36" s="1"/>
  <c r="M16" i="36"/>
  <c r="L30" i="36"/>
  <c r="N56" i="36"/>
  <c r="K17" i="34"/>
  <c r="K17" i="33" s="1"/>
  <c r="K18" i="33" s="1"/>
  <c r="M11" i="33"/>
  <c r="A16" i="34"/>
  <c r="A16" i="35" s="1"/>
  <c r="A15" i="33"/>
  <c r="K20" i="32"/>
  <c r="A21" i="32"/>
  <c r="C94" i="31"/>
  <c r="C96" i="31" s="1"/>
  <c r="L55" i="31"/>
  <c r="L38" i="31"/>
  <c r="G15" i="29"/>
  <c r="G15" i="28" s="1"/>
  <c r="N15" i="31"/>
  <c r="N29" i="31" s="1"/>
  <c r="N57" i="31" s="1"/>
  <c r="N84" i="31" s="1"/>
  <c r="M29" i="31"/>
  <c r="M57" i="31" s="1"/>
  <c r="M84" i="31" s="1"/>
  <c r="L64" i="31"/>
  <c r="L91" i="31" s="1"/>
  <c r="L15" i="29"/>
  <c r="L58" i="31"/>
  <c r="L85" i="31" s="1"/>
  <c r="F15" i="29"/>
  <c r="F15" i="28" s="1"/>
  <c r="L62" i="31"/>
  <c r="L89" i="31" s="1"/>
  <c r="D15" i="29"/>
  <c r="N23" i="31"/>
  <c r="N37" i="31" s="1"/>
  <c r="H17" i="29" s="1"/>
  <c r="H17" i="28" s="1"/>
  <c r="M37" i="31"/>
  <c r="H16" i="29" s="1"/>
  <c r="H16" i="28" s="1"/>
  <c r="E14" i="28"/>
  <c r="N19" i="31"/>
  <c r="N33" i="31" s="1"/>
  <c r="N61" i="31" s="1"/>
  <c r="N88" i="31" s="1"/>
  <c r="M33" i="31"/>
  <c r="M61" i="31" s="1"/>
  <c r="M88" i="31" s="1"/>
  <c r="N13" i="31"/>
  <c r="N27" i="31" s="1"/>
  <c r="M27" i="31"/>
  <c r="P9" i="28"/>
  <c r="D14" i="27"/>
  <c r="F14" i="27" s="1"/>
  <c r="E94" i="31"/>
  <c r="E96" i="31" s="1"/>
  <c r="I14" i="28"/>
  <c r="J66" i="31"/>
  <c r="E15" i="29"/>
  <c r="E15" i="28" s="1"/>
  <c r="L63" i="31"/>
  <c r="L90" i="31" s="1"/>
  <c r="N18" i="31"/>
  <c r="N32" i="31" s="1"/>
  <c r="M32" i="31"/>
  <c r="O6" i="28"/>
  <c r="O8" i="27"/>
  <c r="N14" i="31"/>
  <c r="N28" i="31" s="1"/>
  <c r="M28" i="31"/>
  <c r="N14" i="29"/>
  <c r="D14" i="28"/>
  <c r="C14" i="28"/>
  <c r="L59" i="31"/>
  <c r="L86" i="31" s="1"/>
  <c r="I15" i="29"/>
  <c r="I15" i="28" s="1"/>
  <c r="J15" i="29"/>
  <c r="G14" i="28"/>
  <c r="N21" i="31"/>
  <c r="N35" i="31" s="1"/>
  <c r="M35" i="31"/>
  <c r="L60" i="31"/>
  <c r="L87" i="31" s="1"/>
  <c r="C15" i="29"/>
  <c r="C15" i="28" s="1"/>
  <c r="L56" i="31"/>
  <c r="L83" i="31" s="1"/>
  <c r="K15" i="29"/>
  <c r="N17" i="31"/>
  <c r="N31" i="31" s="1"/>
  <c r="M31" i="31"/>
  <c r="K65" i="31"/>
  <c r="K92" i="31" s="1"/>
  <c r="K66" i="31"/>
  <c r="K82" i="31"/>
  <c r="N22" i="31"/>
  <c r="N36" i="31" s="1"/>
  <c r="M36" i="31"/>
  <c r="J93" i="31"/>
  <c r="J94" i="31" s="1"/>
  <c r="J96" i="31" s="1"/>
  <c r="N16" i="31"/>
  <c r="N30" i="31" s="1"/>
  <c r="M30" i="31"/>
  <c r="N20" i="31"/>
  <c r="N34" i="31" s="1"/>
  <c r="M34" i="31"/>
  <c r="A12" i="28"/>
  <c r="A11" i="30"/>
  <c r="F10" i="27"/>
  <c r="A18" i="27"/>
  <c r="K17" i="27"/>
  <c r="D17" i="27"/>
  <c r="F17" i="27" s="1"/>
  <c r="O17" i="27"/>
  <c r="I13" i="24"/>
  <c r="J59" i="26"/>
  <c r="J86" i="26" s="1"/>
  <c r="J13" i="24"/>
  <c r="J13" i="23" s="1"/>
  <c r="G92" i="26"/>
  <c r="G93" i="26" s="1"/>
  <c r="G66" i="26"/>
  <c r="K18" i="26"/>
  <c r="J32" i="26"/>
  <c r="L21" i="26"/>
  <c r="K35" i="26"/>
  <c r="I64" i="26"/>
  <c r="I91" i="26" s="1"/>
  <c r="L12" i="24"/>
  <c r="L12" i="23" s="1"/>
  <c r="P8" i="23"/>
  <c r="K82" i="26"/>
  <c r="D14" i="22"/>
  <c r="F14" i="22" s="1"/>
  <c r="L17" i="26"/>
  <c r="K31" i="26"/>
  <c r="C11" i="23"/>
  <c r="N11" i="24"/>
  <c r="D11" i="23"/>
  <c r="L55" i="26"/>
  <c r="G15" i="24"/>
  <c r="L23" i="26"/>
  <c r="K37" i="26"/>
  <c r="H14" i="24" s="1"/>
  <c r="K22" i="26"/>
  <c r="J36" i="26"/>
  <c r="A11" i="24"/>
  <c r="A10" i="25"/>
  <c r="A10" i="23" s="1"/>
  <c r="K12" i="24"/>
  <c r="K12" i="23" s="1"/>
  <c r="I56" i="26"/>
  <c r="I38" i="26"/>
  <c r="O14" i="22"/>
  <c r="O10" i="22"/>
  <c r="F11" i="23"/>
  <c r="E94" i="26"/>
  <c r="E96" i="26" s="1"/>
  <c r="L19" i="26"/>
  <c r="K33" i="26"/>
  <c r="K61" i="26" s="1"/>
  <c r="K88" i="26" s="1"/>
  <c r="I58" i="26"/>
  <c r="I85" i="26" s="1"/>
  <c r="F12" i="24"/>
  <c r="F12" i="23" s="1"/>
  <c r="N13" i="26"/>
  <c r="N27" i="26" s="1"/>
  <c r="M27" i="26"/>
  <c r="K11" i="23"/>
  <c r="I62" i="26"/>
  <c r="I89" i="26" s="1"/>
  <c r="D12" i="24"/>
  <c r="D12" i="23" s="1"/>
  <c r="K14" i="26"/>
  <c r="J28" i="26"/>
  <c r="K16" i="26"/>
  <c r="J30" i="26"/>
  <c r="C12" i="24"/>
  <c r="I60" i="26"/>
  <c r="I87" i="26" s="1"/>
  <c r="J63" i="26"/>
  <c r="J90" i="26" s="1"/>
  <c r="E13" i="24"/>
  <c r="L11" i="23"/>
  <c r="H83" i="26"/>
  <c r="H65" i="26"/>
  <c r="H92" i="26" s="1"/>
  <c r="L15" i="26"/>
  <c r="K29" i="26"/>
  <c r="K57" i="26" s="1"/>
  <c r="K84" i="26" s="1"/>
  <c r="K20" i="26"/>
  <c r="J34" i="26"/>
  <c r="D10" i="22"/>
  <c r="A18" i="22"/>
  <c r="K17" i="22"/>
  <c r="BA38" i="20"/>
  <c r="AS40" i="20"/>
  <c r="AU51" i="20" s="1"/>
  <c r="AV52" i="20" s="1"/>
  <c r="AN39" i="20" s="1"/>
  <c r="BA39" i="20"/>
  <c r="BA12" i="20"/>
  <c r="AI39" i="20"/>
  <c r="AI12" i="20"/>
  <c r="AA40" i="20"/>
  <c r="AC46" i="20" s="1"/>
  <c r="AC51" i="20" s="1"/>
  <c r="AD52" i="20" s="1"/>
  <c r="V39" i="20" s="1"/>
  <c r="AA13" i="20"/>
  <c r="AC24" i="20" s="1"/>
  <c r="AI24" i="20"/>
  <c r="AG29" i="20" s="1"/>
  <c r="AJ28" i="20" s="1"/>
  <c r="AI19" i="20"/>
  <c r="AY13" i="20"/>
  <c r="BA19" i="20" s="1"/>
  <c r="BA24" i="20" s="1"/>
  <c r="BA11" i="20"/>
  <c r="AU11" i="20"/>
  <c r="AU38" i="20"/>
  <c r="AY40" i="20"/>
  <c r="BA46" i="20" s="1"/>
  <c r="BA51" i="20" s="1"/>
  <c r="AC11" i="20"/>
  <c r="AG56" i="20"/>
  <c r="AJ55" i="20" s="1"/>
  <c r="AJ52" i="20"/>
  <c r="AB39" i="20" s="1"/>
  <c r="AS13" i="20"/>
  <c r="AU24" i="20" s="1"/>
  <c r="AV25" i="20" s="1"/>
  <c r="BA23" i="20"/>
  <c r="BA50" i="20"/>
  <c r="BA40" i="20" l="1"/>
  <c r="BA44" i="20" s="1"/>
  <c r="K21" i="42"/>
  <c r="O21" i="42"/>
  <c r="D21" i="42"/>
  <c r="F21" i="42" s="1"/>
  <c r="A22" i="42"/>
  <c r="K20" i="43"/>
  <c r="O20" i="43"/>
  <c r="A21" i="43"/>
  <c r="D20" i="43"/>
  <c r="M56" i="41"/>
  <c r="M83" i="41" s="1"/>
  <c r="K16" i="39"/>
  <c r="F18" i="38"/>
  <c r="N64" i="41"/>
  <c r="N91" i="41" s="1"/>
  <c r="L17" i="39"/>
  <c r="L17" i="38" s="1"/>
  <c r="L18" i="38" s="1"/>
  <c r="O89" i="41"/>
  <c r="M64" i="41"/>
  <c r="M91" i="41" s="1"/>
  <c r="L16" i="39"/>
  <c r="L16" i="38" s="1"/>
  <c r="D12" i="37"/>
  <c r="F8" i="37"/>
  <c r="O10" i="38"/>
  <c r="O15" i="37"/>
  <c r="C16" i="38"/>
  <c r="C17" i="38"/>
  <c r="C18" i="39"/>
  <c r="K55" i="41"/>
  <c r="K38" i="41"/>
  <c r="G14" i="39"/>
  <c r="G13" i="38"/>
  <c r="O90" i="41"/>
  <c r="H11" i="38"/>
  <c r="N11" i="39"/>
  <c r="M13" i="41"/>
  <c r="M27" i="41" s="1"/>
  <c r="L27" i="41"/>
  <c r="J65" i="41"/>
  <c r="J66" i="41"/>
  <c r="J82" i="41"/>
  <c r="E18" i="39"/>
  <c r="N56" i="41"/>
  <c r="K17" i="39"/>
  <c r="K17" i="38" s="1"/>
  <c r="N38" i="41"/>
  <c r="I92" i="41"/>
  <c r="I93" i="41" s="1"/>
  <c r="H12" i="39"/>
  <c r="I18" i="39"/>
  <c r="O86" i="41"/>
  <c r="D18" i="39"/>
  <c r="O87" i="41"/>
  <c r="F18" i="39"/>
  <c r="A13" i="40"/>
  <c r="A14" i="38"/>
  <c r="A22" i="37"/>
  <c r="K21" i="37"/>
  <c r="M29" i="36"/>
  <c r="M57" i="36" s="1"/>
  <c r="M84" i="36" s="1"/>
  <c r="N15" i="36"/>
  <c r="N29" i="36" s="1"/>
  <c r="H15" i="33"/>
  <c r="H18" i="34"/>
  <c r="O11" i="33"/>
  <c r="O16" i="32"/>
  <c r="L58" i="36"/>
  <c r="L85" i="36" s="1"/>
  <c r="F15" i="34"/>
  <c r="I14" i="33"/>
  <c r="K18" i="34"/>
  <c r="N17" i="36"/>
  <c r="N31" i="36" s="1"/>
  <c r="M31" i="36"/>
  <c r="E14" i="33"/>
  <c r="L60" i="36"/>
  <c r="L87" i="36" s="1"/>
  <c r="C15" i="34"/>
  <c r="H18" i="33"/>
  <c r="N14" i="34"/>
  <c r="C14" i="33"/>
  <c r="M13" i="36"/>
  <c r="M27" i="36" s="1"/>
  <c r="L27" i="36"/>
  <c r="M20" i="36"/>
  <c r="L34" i="36"/>
  <c r="M30" i="36"/>
  <c r="N16" i="36"/>
  <c r="N30" i="36" s="1"/>
  <c r="M33" i="36"/>
  <c r="M61" i="36" s="1"/>
  <c r="M88" i="36" s="1"/>
  <c r="N19" i="36"/>
  <c r="N33" i="36" s="1"/>
  <c r="N61" i="36" s="1"/>
  <c r="N88" i="36" s="1"/>
  <c r="L59" i="36"/>
  <c r="L86" i="36" s="1"/>
  <c r="I15" i="34"/>
  <c r="I15" i="33" s="1"/>
  <c r="J15" i="34"/>
  <c r="J15" i="33" s="1"/>
  <c r="M32" i="36"/>
  <c r="N18" i="36"/>
  <c r="N32" i="36" s="1"/>
  <c r="O12" i="33"/>
  <c r="D17" i="32" s="1"/>
  <c r="F17" i="32" s="1"/>
  <c r="O17" i="32"/>
  <c r="I93" i="36"/>
  <c r="L63" i="36"/>
  <c r="L90" i="36" s="1"/>
  <c r="E15" i="34"/>
  <c r="E15" i="33" s="1"/>
  <c r="N83" i="36"/>
  <c r="J65" i="36"/>
  <c r="J92" i="36" s="1"/>
  <c r="J82" i="36"/>
  <c r="J66" i="36"/>
  <c r="M13" i="33"/>
  <c r="K38" i="36"/>
  <c r="G14" i="34"/>
  <c r="G14" i="33" s="1"/>
  <c r="K55" i="36"/>
  <c r="D14" i="34"/>
  <c r="D14" i="33" s="1"/>
  <c r="K62" i="36"/>
  <c r="K89" i="36" s="1"/>
  <c r="I66" i="36"/>
  <c r="N21" i="36"/>
  <c r="N35" i="36" s="1"/>
  <c r="M35" i="36"/>
  <c r="A17" i="34"/>
  <c r="A17" i="35" s="1"/>
  <c r="A1" i="35" s="1"/>
  <c r="A16" i="33"/>
  <c r="A22" i="32"/>
  <c r="K21" i="32"/>
  <c r="AC19" i="20"/>
  <c r="BB25" i="20"/>
  <c r="BA13" i="20"/>
  <c r="BA17" i="20" s="1"/>
  <c r="W39" i="20"/>
  <c r="P38" i="20"/>
  <c r="Q38" i="20" s="1"/>
  <c r="Q40" i="20" s="1"/>
  <c r="Q44" i="20" s="1"/>
  <c r="R48" i="20" s="1"/>
  <c r="R54" i="20" s="1"/>
  <c r="R57" i="20" s="1"/>
  <c r="O83" i="31"/>
  <c r="M62" i="31"/>
  <c r="M89" i="31" s="1"/>
  <c r="D16" i="29"/>
  <c r="N60" i="31"/>
  <c r="N87" i="31" s="1"/>
  <c r="C17" i="29"/>
  <c r="C17" i="28" s="1"/>
  <c r="N62" i="31"/>
  <c r="N89" i="31" s="1"/>
  <c r="D17" i="29"/>
  <c r="M64" i="31"/>
  <c r="M91" i="31" s="1"/>
  <c r="L16" i="29"/>
  <c r="L16" i="28" s="1"/>
  <c r="K15" i="28"/>
  <c r="O87" i="31"/>
  <c r="D8" i="27"/>
  <c r="P6" i="28"/>
  <c r="M38" i="31"/>
  <c r="M55" i="31"/>
  <c r="G16" i="29"/>
  <c r="O88" i="31"/>
  <c r="H18" i="28"/>
  <c r="O84" i="31"/>
  <c r="L82" i="31"/>
  <c r="L65" i="31"/>
  <c r="L92" i="31" s="1"/>
  <c r="F16" i="29"/>
  <c r="F16" i="28" s="1"/>
  <c r="F18" i="28" s="1"/>
  <c r="M58" i="31"/>
  <c r="M85" i="31" s="1"/>
  <c r="O85" i="31" s="1"/>
  <c r="N64" i="31"/>
  <c r="N91" i="31" s="1"/>
  <c r="L17" i="29"/>
  <c r="L17" i="28" s="1"/>
  <c r="M59" i="31"/>
  <c r="M86" i="31" s="1"/>
  <c r="J16" i="29"/>
  <c r="J16" i="28" s="1"/>
  <c r="I16" i="29"/>
  <c r="M63" i="31"/>
  <c r="M90" i="31" s="1"/>
  <c r="E16" i="29"/>
  <c r="E16" i="28" s="1"/>
  <c r="J15" i="28"/>
  <c r="J18" i="28" s="1"/>
  <c r="M56" i="31"/>
  <c r="M83" i="31" s="1"/>
  <c r="K16" i="29"/>
  <c r="K16" i="28" s="1"/>
  <c r="N55" i="31"/>
  <c r="G17" i="29"/>
  <c r="G17" i="28" s="1"/>
  <c r="N38" i="31"/>
  <c r="E18" i="29"/>
  <c r="N15" i="29"/>
  <c r="D15" i="28"/>
  <c r="M15" i="28" s="1"/>
  <c r="O15" i="28" s="1"/>
  <c r="P15" i="28" s="1"/>
  <c r="L15" i="28"/>
  <c r="L18" i="29"/>
  <c r="N58" i="31"/>
  <c r="N85" i="31" s="1"/>
  <c r="F17" i="29"/>
  <c r="F17" i="28" s="1"/>
  <c r="K93" i="31"/>
  <c r="K94" i="31" s="1"/>
  <c r="K96" i="31" s="1"/>
  <c r="N59" i="31"/>
  <c r="N86" i="31" s="1"/>
  <c r="O86" i="31" s="1"/>
  <c r="I17" i="29"/>
  <c r="I17" i="28" s="1"/>
  <c r="J17" i="29"/>
  <c r="J17" i="28" s="1"/>
  <c r="F18" i="29"/>
  <c r="E17" i="29"/>
  <c r="E17" i="28" s="1"/>
  <c r="N63" i="31"/>
  <c r="N90" i="31" s="1"/>
  <c r="M14" i="28"/>
  <c r="O14" i="28" s="1"/>
  <c r="P14" i="28" s="1"/>
  <c r="N56" i="31"/>
  <c r="N83" i="31" s="1"/>
  <c r="K17" i="29"/>
  <c r="K17" i="28" s="1"/>
  <c r="M60" i="31"/>
  <c r="M87" i="31" s="1"/>
  <c r="C16" i="29"/>
  <c r="C16" i="28" s="1"/>
  <c r="C18" i="28" s="1"/>
  <c r="H18" i="29"/>
  <c r="E18" i="28"/>
  <c r="A12" i="30"/>
  <c r="A13" i="28"/>
  <c r="D18" i="27" s="1"/>
  <c r="F18" i="27" s="1"/>
  <c r="K18" i="27"/>
  <c r="O18" i="27"/>
  <c r="A19" i="27"/>
  <c r="N12" i="24"/>
  <c r="C12" i="23"/>
  <c r="H14" i="23"/>
  <c r="L82" i="26"/>
  <c r="M11" i="23"/>
  <c r="O11" i="23" s="1"/>
  <c r="L18" i="26"/>
  <c r="K32" i="26"/>
  <c r="E13" i="23"/>
  <c r="F10" i="22"/>
  <c r="D12" i="22"/>
  <c r="H93" i="26"/>
  <c r="J58" i="26"/>
  <c r="J85" i="26" s="1"/>
  <c r="F13" i="24"/>
  <c r="L14" i="26"/>
  <c r="K28" i="26"/>
  <c r="M19" i="26"/>
  <c r="L33" i="26"/>
  <c r="L61" i="26" s="1"/>
  <c r="L88" i="26" s="1"/>
  <c r="I83" i="26"/>
  <c r="I65" i="26"/>
  <c r="I92" i="26" s="1"/>
  <c r="A12" i="24"/>
  <c r="A11" i="25"/>
  <c r="A11" i="23" s="1"/>
  <c r="O16" i="22" s="1"/>
  <c r="M23" i="26"/>
  <c r="L37" i="26"/>
  <c r="H15" i="24" s="1"/>
  <c r="H15" i="23" s="1"/>
  <c r="K59" i="26"/>
  <c r="K86" i="26" s="1"/>
  <c r="I14" i="24"/>
  <c r="I14" i="23" s="1"/>
  <c r="J14" i="24"/>
  <c r="D15" i="22"/>
  <c r="F15" i="22" s="1"/>
  <c r="K63" i="26"/>
  <c r="K90" i="26" s="1"/>
  <c r="E14" i="24"/>
  <c r="E14" i="23" s="1"/>
  <c r="I13" i="23"/>
  <c r="J56" i="26"/>
  <c r="K13" i="24"/>
  <c r="J38" i="26"/>
  <c r="J62" i="26"/>
  <c r="J89" i="26" s="1"/>
  <c r="D13" i="24"/>
  <c r="D13" i="23" s="1"/>
  <c r="M15" i="26"/>
  <c r="L29" i="26"/>
  <c r="L57" i="26" s="1"/>
  <c r="L84" i="26" s="1"/>
  <c r="L16" i="26"/>
  <c r="K30" i="26"/>
  <c r="J64" i="26"/>
  <c r="J91" i="26" s="1"/>
  <c r="L13" i="24"/>
  <c r="G15" i="23"/>
  <c r="G18" i="24"/>
  <c r="M17" i="26"/>
  <c r="L31" i="26"/>
  <c r="M21" i="26"/>
  <c r="L35" i="26"/>
  <c r="G94" i="26"/>
  <c r="G96" i="26" s="1"/>
  <c r="N55" i="26"/>
  <c r="G17" i="24"/>
  <c r="G17" i="23" s="1"/>
  <c r="L20" i="26"/>
  <c r="K34" i="26"/>
  <c r="H66" i="26"/>
  <c r="M55" i="26"/>
  <c r="G16" i="24"/>
  <c r="G16" i="23" s="1"/>
  <c r="L22" i="26"/>
  <c r="K36" i="26"/>
  <c r="J60" i="26"/>
  <c r="J87" i="26" s="1"/>
  <c r="C13" i="24"/>
  <c r="O15" i="22"/>
  <c r="K18" i="22"/>
  <c r="A19" i="22"/>
  <c r="BB52" i="20"/>
  <c r="AC39" i="20"/>
  <c r="AC40" i="20" s="1"/>
  <c r="AC44" i="20" s="1"/>
  <c r="AD48" i="20" s="1"/>
  <c r="AD54" i="20" s="1"/>
  <c r="V38" i="20"/>
  <c r="W38" i="20" s="1"/>
  <c r="W40" i="20" s="1"/>
  <c r="W44" i="20" s="1"/>
  <c r="X48" i="20" s="1"/>
  <c r="X54" i="20" s="1"/>
  <c r="X57" i="20" s="1"/>
  <c r="BB21" i="20"/>
  <c r="BB27" i="20" s="1"/>
  <c r="BB30" i="20" s="1"/>
  <c r="BB48" i="20"/>
  <c r="BB54" i="20" s="1"/>
  <c r="BB57" i="20" s="1"/>
  <c r="AJ25" i="20"/>
  <c r="AB12" i="20" s="1"/>
  <c r="AD25" i="20"/>
  <c r="V12" i="20" s="1"/>
  <c r="AN12" i="20"/>
  <c r="AT39" i="20"/>
  <c r="AT12" i="20"/>
  <c r="AH38" i="20"/>
  <c r="AI38" i="20" s="1"/>
  <c r="AI40" i="20" s="1"/>
  <c r="AI44" i="20" s="1"/>
  <c r="AJ48" i="20" s="1"/>
  <c r="AJ54" i="20" s="1"/>
  <c r="AJ57" i="20" s="1"/>
  <c r="AO39" i="20"/>
  <c r="O22" i="42" l="1"/>
  <c r="O25" i="42" s="1"/>
  <c r="O26" i="42" s="1"/>
  <c r="O35" i="42" s="1"/>
  <c r="D22" i="42"/>
  <c r="K22" i="42"/>
  <c r="B50" i="42" s="1"/>
  <c r="A3" i="42"/>
  <c r="C41" i="42"/>
  <c r="K21" i="43"/>
  <c r="A22" i="43"/>
  <c r="D21" i="43"/>
  <c r="O21" i="43"/>
  <c r="I94" i="41"/>
  <c r="I96" i="41" s="1"/>
  <c r="J92" i="41"/>
  <c r="J93" i="41" s="1"/>
  <c r="H13" i="39"/>
  <c r="D15" i="37"/>
  <c r="F15" i="37" s="1"/>
  <c r="O91" i="41"/>
  <c r="H12" i="38"/>
  <c r="M12" i="38" s="1"/>
  <c r="N12" i="39"/>
  <c r="K16" i="38"/>
  <c r="K18" i="39"/>
  <c r="M11" i="38"/>
  <c r="G14" i="38"/>
  <c r="C18" i="38"/>
  <c r="L18" i="39"/>
  <c r="N83" i="41"/>
  <c r="N66" i="41"/>
  <c r="N65" i="41"/>
  <c r="M38" i="41"/>
  <c r="M55" i="41"/>
  <c r="G16" i="39"/>
  <c r="K65" i="41"/>
  <c r="K66" i="41" s="1"/>
  <c r="K82" i="41"/>
  <c r="K18" i="38"/>
  <c r="L55" i="41"/>
  <c r="L38" i="41"/>
  <c r="G15" i="39"/>
  <c r="A15" i="38"/>
  <c r="A14" i="40"/>
  <c r="A3" i="37"/>
  <c r="K22" i="37"/>
  <c r="C41" i="37"/>
  <c r="J93" i="36"/>
  <c r="J94" i="36" s="1"/>
  <c r="J96" i="36" s="1"/>
  <c r="N60" i="36"/>
  <c r="N87" i="36" s="1"/>
  <c r="C17" i="34"/>
  <c r="M58" i="36"/>
  <c r="M85" i="36" s="1"/>
  <c r="F16" i="34"/>
  <c r="F16" i="33" s="1"/>
  <c r="M55" i="36"/>
  <c r="G16" i="34"/>
  <c r="G16" i="33" s="1"/>
  <c r="N58" i="36"/>
  <c r="N85" i="36" s="1"/>
  <c r="F17" i="34"/>
  <c r="F17" i="33" s="1"/>
  <c r="F18" i="33" s="1"/>
  <c r="F15" i="33"/>
  <c r="I94" i="36"/>
  <c r="I96" i="36" s="1"/>
  <c r="M60" i="36"/>
  <c r="M87" i="36" s="1"/>
  <c r="C16" i="34"/>
  <c r="L62" i="36"/>
  <c r="L89" i="36" s="1"/>
  <c r="D15" i="34"/>
  <c r="D15" i="33" s="1"/>
  <c r="N57" i="36"/>
  <c r="N38" i="36"/>
  <c r="E17" i="34"/>
  <c r="E17" i="33" s="1"/>
  <c r="N63" i="36"/>
  <c r="N90" i="36" s="1"/>
  <c r="K82" i="36"/>
  <c r="K65" i="36"/>
  <c r="K92" i="36" s="1"/>
  <c r="L55" i="36"/>
  <c r="L38" i="36"/>
  <c r="G15" i="34"/>
  <c r="G15" i="33" s="1"/>
  <c r="I17" i="34"/>
  <c r="I17" i="33" s="1"/>
  <c r="N59" i="36"/>
  <c r="N86" i="36" s="1"/>
  <c r="J17" i="34"/>
  <c r="M63" i="36"/>
  <c r="M90" i="36" s="1"/>
  <c r="E16" i="34"/>
  <c r="E16" i="33" s="1"/>
  <c r="O13" i="33"/>
  <c r="D18" i="32" s="1"/>
  <c r="F18" i="32" s="1"/>
  <c r="O18" i="32"/>
  <c r="M34" i="36"/>
  <c r="N20" i="36"/>
  <c r="N34" i="36" s="1"/>
  <c r="M14" i="33"/>
  <c r="C15" i="33"/>
  <c r="N15" i="34"/>
  <c r="M59" i="36"/>
  <c r="M86" i="36" s="1"/>
  <c r="J16" i="34"/>
  <c r="J16" i="33" s="1"/>
  <c r="I16" i="34"/>
  <c r="I16" i="33" s="1"/>
  <c r="D16" i="32"/>
  <c r="F16" i="32" s="1"/>
  <c r="A1" i="34"/>
  <c r="A3" i="32"/>
  <c r="K22" i="32"/>
  <c r="C39" i="32"/>
  <c r="S58" i="20"/>
  <c r="W12" i="20"/>
  <c r="P11" i="20"/>
  <c r="Q11" i="20" s="1"/>
  <c r="Q13" i="20" s="1"/>
  <c r="Q17" i="20" s="1"/>
  <c r="R21" i="20" s="1"/>
  <c r="R27" i="20" s="1"/>
  <c r="R30" i="20" s="1"/>
  <c r="C18" i="29"/>
  <c r="O90" i="31"/>
  <c r="M65" i="31"/>
  <c r="M92" i="31" s="1"/>
  <c r="M82" i="31"/>
  <c r="N16" i="29"/>
  <c r="D16" i="28"/>
  <c r="N82" i="31"/>
  <c r="N66" i="31"/>
  <c r="N65" i="31"/>
  <c r="N92" i="31" s="1"/>
  <c r="O92" i="31" s="1"/>
  <c r="J18" i="29"/>
  <c r="I16" i="28"/>
  <c r="I18" i="28" s="1"/>
  <c r="I18" i="29"/>
  <c r="O91" i="31"/>
  <c r="L66" i="31"/>
  <c r="F8" i="27"/>
  <c r="D12" i="27"/>
  <c r="K18" i="29"/>
  <c r="N17" i="29"/>
  <c r="D17" i="28"/>
  <c r="M17" i="28" s="1"/>
  <c r="O17" i="28" s="1"/>
  <c r="P17" i="28" s="1"/>
  <c r="O89" i="31"/>
  <c r="K18" i="28"/>
  <c r="D18" i="28"/>
  <c r="D18" i="29"/>
  <c r="L18" i="28"/>
  <c r="L93" i="31"/>
  <c r="G16" i="28"/>
  <c r="G18" i="28" s="1"/>
  <c r="G18" i="29"/>
  <c r="A13" i="30"/>
  <c r="A14" i="28"/>
  <c r="D19" i="27" s="1"/>
  <c r="F19" i="27" s="1"/>
  <c r="A20" i="27"/>
  <c r="K19" i="27"/>
  <c r="N82" i="26"/>
  <c r="M82" i="26"/>
  <c r="L34" i="26"/>
  <c r="M20" i="26"/>
  <c r="N17" i="26"/>
  <c r="N31" i="26" s="1"/>
  <c r="M31" i="26"/>
  <c r="L13" i="23"/>
  <c r="M16" i="26"/>
  <c r="L30" i="26"/>
  <c r="K13" i="23"/>
  <c r="N23" i="26"/>
  <c r="N37" i="26" s="1"/>
  <c r="H17" i="24" s="1"/>
  <c r="M37" i="26"/>
  <c r="H16" i="24" s="1"/>
  <c r="H16" i="23" s="1"/>
  <c r="N19" i="26"/>
  <c r="N33" i="26" s="1"/>
  <c r="N61" i="26" s="1"/>
  <c r="N88" i="26" s="1"/>
  <c r="M33" i="26"/>
  <c r="M61" i="26" s="1"/>
  <c r="M88" i="26" s="1"/>
  <c r="K64" i="26"/>
  <c r="K91" i="26" s="1"/>
  <c r="L14" i="24"/>
  <c r="L14" i="23" s="1"/>
  <c r="L63" i="26"/>
  <c r="L90" i="26" s="1"/>
  <c r="E15" i="24"/>
  <c r="E15" i="23" s="1"/>
  <c r="J83" i="26"/>
  <c r="J65" i="26"/>
  <c r="J92" i="26" s="1"/>
  <c r="I93" i="26"/>
  <c r="K56" i="26"/>
  <c r="K14" i="24"/>
  <c r="K14" i="23" s="1"/>
  <c r="K38" i="26"/>
  <c r="H94" i="26"/>
  <c r="H96" i="26" s="1"/>
  <c r="P11" i="23"/>
  <c r="M12" i="23"/>
  <c r="O12" i="23" s="1"/>
  <c r="P12" i="23" s="1"/>
  <c r="L36" i="26"/>
  <c r="M22" i="26"/>
  <c r="A13" i="24"/>
  <c r="A12" i="25"/>
  <c r="A12" i="23" s="1"/>
  <c r="D17" i="22" s="1"/>
  <c r="F17" i="22" s="1"/>
  <c r="L28" i="26"/>
  <c r="M14" i="26"/>
  <c r="C14" i="24"/>
  <c r="K60" i="26"/>
  <c r="K87" i="26" s="1"/>
  <c r="N13" i="24"/>
  <c r="C13" i="23"/>
  <c r="M13" i="23" s="1"/>
  <c r="O13" i="23" s="1"/>
  <c r="P13" i="23" s="1"/>
  <c r="N21" i="26"/>
  <c r="N35" i="26" s="1"/>
  <c r="M35" i="26"/>
  <c r="K62" i="26"/>
  <c r="K89" i="26" s="1"/>
  <c r="D14" i="24"/>
  <c r="D14" i="23" s="1"/>
  <c r="L59" i="26"/>
  <c r="L86" i="26" s="1"/>
  <c r="I15" i="24"/>
  <c r="J15" i="24"/>
  <c r="J15" i="23" s="1"/>
  <c r="G18" i="23"/>
  <c r="K58" i="26"/>
  <c r="K85" i="26" s="1"/>
  <c r="F14" i="24"/>
  <c r="F14" i="23" s="1"/>
  <c r="N15" i="26"/>
  <c r="N29" i="26" s="1"/>
  <c r="N57" i="26" s="1"/>
  <c r="N84" i="26" s="1"/>
  <c r="M29" i="26"/>
  <c r="M57" i="26" s="1"/>
  <c r="M84" i="26" s="1"/>
  <c r="J14" i="23"/>
  <c r="I66" i="26"/>
  <c r="F13" i="23"/>
  <c r="L32" i="26"/>
  <c r="M18" i="26"/>
  <c r="D16" i="22"/>
  <c r="F16" i="22" s="1"/>
  <c r="A20" i="22"/>
  <c r="K19" i="22"/>
  <c r="AC12" i="20"/>
  <c r="AC13" i="20" s="1"/>
  <c r="AC17" i="20" s="1"/>
  <c r="AD21" i="20" s="1"/>
  <c r="AD27" i="20" s="1"/>
  <c r="V11" i="20"/>
  <c r="W11" i="20" s="1"/>
  <c r="AN11" i="20"/>
  <c r="AO11" i="20" s="1"/>
  <c r="AU12" i="20"/>
  <c r="AU13" i="20" s="1"/>
  <c r="AU17" i="20" s="1"/>
  <c r="AV21" i="20" s="1"/>
  <c r="AV27" i="20" s="1"/>
  <c r="AV30" i="20" s="1"/>
  <c r="AU39" i="20"/>
  <c r="AU40" i="20" s="1"/>
  <c r="AU44" i="20" s="1"/>
  <c r="AV48" i="20" s="1"/>
  <c r="AV54" i="20" s="1"/>
  <c r="AV57" i="20" s="1"/>
  <c r="AN38" i="20"/>
  <c r="AO38" i="20" s="1"/>
  <c r="AO40" i="20" s="1"/>
  <c r="AO44" i="20" s="1"/>
  <c r="AP48" i="20" s="1"/>
  <c r="AP54" i="20" s="1"/>
  <c r="AP57" i="20" s="1"/>
  <c r="AO12" i="20"/>
  <c r="AH11" i="20"/>
  <c r="AI11" i="20" s="1"/>
  <c r="AI13" i="20" s="1"/>
  <c r="AI17" i="20" s="1"/>
  <c r="AJ21" i="20" s="1"/>
  <c r="AJ27" i="20" s="1"/>
  <c r="AJ30" i="20" s="1"/>
  <c r="W13" i="20" l="1"/>
  <c r="W17" i="20" s="1"/>
  <c r="X21" i="20" s="1"/>
  <c r="X27" i="20" s="1"/>
  <c r="X30" i="20" s="1"/>
  <c r="F22" i="42"/>
  <c r="D24" i="42"/>
  <c r="D26" i="42" s="1"/>
  <c r="D22" i="43"/>
  <c r="D24" i="43" s="1"/>
  <c r="D26" i="43" s="1"/>
  <c r="A3" i="43"/>
  <c r="O22" i="43"/>
  <c r="O25" i="43" s="1"/>
  <c r="O26" i="43" s="1"/>
  <c r="O33" i="43" s="1"/>
  <c r="K22" i="43"/>
  <c r="G66" i="43" s="1"/>
  <c r="C39" i="43"/>
  <c r="J94" i="41"/>
  <c r="J96" i="41" s="1"/>
  <c r="G15" i="38"/>
  <c r="G16" i="38"/>
  <c r="G18" i="39"/>
  <c r="K93" i="41"/>
  <c r="K94" i="41" s="1"/>
  <c r="K96" i="41" s="1"/>
  <c r="M82" i="41"/>
  <c r="M66" i="41"/>
  <c r="M65" i="41"/>
  <c r="O83" i="41"/>
  <c r="O11" i="38"/>
  <c r="O16" i="37"/>
  <c r="L66" i="41"/>
  <c r="L65" i="41"/>
  <c r="L82" i="41"/>
  <c r="O12" i="38"/>
  <c r="D17" i="37" s="1"/>
  <c r="F17" i="37" s="1"/>
  <c r="O17" i="37"/>
  <c r="K92" i="41"/>
  <c r="H14" i="39"/>
  <c r="N92" i="41"/>
  <c r="H17" i="39"/>
  <c r="H13" i="38"/>
  <c r="N13" i="39"/>
  <c r="A15" i="40"/>
  <c r="A16" i="38"/>
  <c r="B58" i="37"/>
  <c r="G61" i="37"/>
  <c r="G73" i="37"/>
  <c r="B50" i="37"/>
  <c r="B52" i="37"/>
  <c r="M62" i="36"/>
  <c r="M89" i="36" s="1"/>
  <c r="D16" i="34"/>
  <c r="D16" i="33" s="1"/>
  <c r="M15" i="33"/>
  <c r="J17" i="33"/>
  <c r="J18" i="33" s="1"/>
  <c r="J18" i="34"/>
  <c r="K93" i="36"/>
  <c r="N84" i="36"/>
  <c r="N66" i="36"/>
  <c r="N65" i="36"/>
  <c r="N92" i="36" s="1"/>
  <c r="N16" i="34"/>
  <c r="C16" i="33"/>
  <c r="M16" i="33" s="1"/>
  <c r="G18" i="33"/>
  <c r="O14" i="33"/>
  <c r="O19" i="32"/>
  <c r="L65" i="36"/>
  <c r="L92" i="36" s="1"/>
  <c r="L66" i="36"/>
  <c r="L82" i="36"/>
  <c r="L93" i="36" s="1"/>
  <c r="I18" i="34"/>
  <c r="F18" i="34"/>
  <c r="M65" i="36"/>
  <c r="M92" i="36" s="1"/>
  <c r="M82" i="36"/>
  <c r="C17" i="33"/>
  <c r="G18" i="34"/>
  <c r="N62" i="36"/>
  <c r="N89" i="36" s="1"/>
  <c r="D17" i="34"/>
  <c r="I18" i="33"/>
  <c r="K66" i="36"/>
  <c r="E18" i="33"/>
  <c r="E18" i="34"/>
  <c r="M38" i="36"/>
  <c r="C18" i="34"/>
  <c r="A17" i="33"/>
  <c r="B48" i="32"/>
  <c r="B56" i="32"/>
  <c r="G66" i="32"/>
  <c r="G59" i="32"/>
  <c r="B50" i="32"/>
  <c r="M18" i="28"/>
  <c r="M16" i="28"/>
  <c r="O16" i="28" s="1"/>
  <c r="O19" i="27"/>
  <c r="L94" i="31"/>
  <c r="L96" i="31" s="1"/>
  <c r="N18" i="29"/>
  <c r="M93" i="31"/>
  <c r="O82" i="31"/>
  <c r="N93" i="31"/>
  <c r="N94" i="31" s="1"/>
  <c r="N96" i="31" s="1"/>
  <c r="M66" i="31"/>
  <c r="A15" i="28"/>
  <c r="D20" i="27" s="1"/>
  <c r="F20" i="27" s="1"/>
  <c r="A14" i="30"/>
  <c r="K20" i="27"/>
  <c r="O20" i="27"/>
  <c r="A21" i="27"/>
  <c r="C14" i="23"/>
  <c r="M14" i="23" s="1"/>
  <c r="O14" i="23" s="1"/>
  <c r="P14" i="23" s="1"/>
  <c r="N14" i="24"/>
  <c r="A14" i="24"/>
  <c r="A13" i="25"/>
  <c r="A13" i="23" s="1"/>
  <c r="K83" i="26"/>
  <c r="K65" i="26"/>
  <c r="K92" i="26" s="1"/>
  <c r="L62" i="26"/>
  <c r="L89" i="26" s="1"/>
  <c r="D15" i="24"/>
  <c r="D15" i="23" s="1"/>
  <c r="N14" i="26"/>
  <c r="N28" i="26" s="1"/>
  <c r="M28" i="26"/>
  <c r="I94" i="26"/>
  <c r="I96" i="26" s="1"/>
  <c r="J93" i="26"/>
  <c r="L58" i="26"/>
  <c r="L85" i="26" s="1"/>
  <c r="F15" i="24"/>
  <c r="M59" i="26"/>
  <c r="M86" i="26" s="1"/>
  <c r="I16" i="24"/>
  <c r="I16" i="23" s="1"/>
  <c r="J16" i="24"/>
  <c r="L60" i="26"/>
  <c r="L87" i="26" s="1"/>
  <c r="C15" i="24"/>
  <c r="I15" i="23"/>
  <c r="M63" i="26"/>
  <c r="M90" i="26" s="1"/>
  <c r="E16" i="24"/>
  <c r="E16" i="23" s="1"/>
  <c r="L56" i="26"/>
  <c r="K15" i="24"/>
  <c r="K15" i="23" s="1"/>
  <c r="L38" i="26"/>
  <c r="N22" i="26"/>
  <c r="N36" i="26" s="1"/>
  <c r="M36" i="26"/>
  <c r="H17" i="23"/>
  <c r="H18" i="23" s="1"/>
  <c r="H18" i="24"/>
  <c r="N16" i="26"/>
  <c r="N30" i="26" s="1"/>
  <c r="M30" i="26"/>
  <c r="N59" i="26"/>
  <c r="N86" i="26" s="1"/>
  <c r="I17" i="24"/>
  <c r="I17" i="23" s="1"/>
  <c r="I18" i="23" s="1"/>
  <c r="J17" i="24"/>
  <c r="J17" i="23" s="1"/>
  <c r="N18" i="26"/>
  <c r="N32" i="26" s="1"/>
  <c r="M32" i="26"/>
  <c r="N63" i="26"/>
  <c r="N90" i="26" s="1"/>
  <c r="E17" i="24"/>
  <c r="E17" i="23" s="1"/>
  <c r="E18" i="23" s="1"/>
  <c r="O18" i="22"/>
  <c r="O17" i="22"/>
  <c r="D18" i="22"/>
  <c r="F18" i="22" s="1"/>
  <c r="L64" i="26"/>
  <c r="L91" i="26" s="1"/>
  <c r="L15" i="24"/>
  <c r="L15" i="23" s="1"/>
  <c r="J66" i="26"/>
  <c r="N20" i="26"/>
  <c r="N34" i="26" s="1"/>
  <c r="M34" i="26"/>
  <c r="K20" i="22"/>
  <c r="A21" i="22"/>
  <c r="AO13" i="20"/>
  <c r="AO17" i="20" s="1"/>
  <c r="AP21" i="20" s="1"/>
  <c r="AP27" i="20" s="1"/>
  <c r="AP30" i="20" s="1"/>
  <c r="G34" i="42" l="1"/>
  <c r="G47" i="42" s="1"/>
  <c r="G54" i="42" s="1"/>
  <c r="G56" i="42" s="1"/>
  <c r="I56" i="42" s="1"/>
  <c r="F26" i="42"/>
  <c r="D28" i="42"/>
  <c r="G32" i="43"/>
  <c r="G45" i="43" s="1"/>
  <c r="G52" i="43" s="1"/>
  <c r="G54" i="43" s="1"/>
  <c r="I54" i="43" s="1"/>
  <c r="F26" i="43"/>
  <c r="D28" i="43"/>
  <c r="M13" i="38"/>
  <c r="H14" i="38"/>
  <c r="M14" i="38" s="1"/>
  <c r="N14" i="39"/>
  <c r="M92" i="41"/>
  <c r="H16" i="39"/>
  <c r="D16" i="37"/>
  <c r="F16" i="37" s="1"/>
  <c r="O92" i="41"/>
  <c r="N93" i="41"/>
  <c r="H17" i="38"/>
  <c r="M17" i="38" s="1"/>
  <c r="O17" i="38" s="1"/>
  <c r="N17" i="39"/>
  <c r="H18" i="39"/>
  <c r="H15" i="39"/>
  <c r="L92" i="41"/>
  <c r="L93" i="41" s="1"/>
  <c r="L94" i="41" s="1"/>
  <c r="L96" i="41" s="1"/>
  <c r="M93" i="41"/>
  <c r="M94" i="41" s="1"/>
  <c r="M96" i="41" s="1"/>
  <c r="O82" i="41"/>
  <c r="G18" i="38"/>
  <c r="A17" i="38"/>
  <c r="A1" i="40"/>
  <c r="C18" i="33"/>
  <c r="D17" i="33"/>
  <c r="D18" i="33" s="1"/>
  <c r="D18" i="34"/>
  <c r="N17" i="34"/>
  <c r="N18" i="34" s="1"/>
  <c r="O16" i="33"/>
  <c r="D21" i="32" s="1"/>
  <c r="F21" i="32" s="1"/>
  <c r="O21" i="32"/>
  <c r="N93" i="36"/>
  <c r="O15" i="33"/>
  <c r="D20" i="32" s="1"/>
  <c r="F20" i="32" s="1"/>
  <c r="O20" i="32"/>
  <c r="M93" i="36"/>
  <c r="K94" i="36"/>
  <c r="K96" i="36" s="1"/>
  <c r="M66" i="36"/>
  <c r="L94" i="36"/>
  <c r="L96" i="36" s="1"/>
  <c r="D19" i="32"/>
  <c r="F19" i="32" s="1"/>
  <c r="M94" i="31"/>
  <c r="M96" i="31" s="1"/>
  <c r="P16" i="28"/>
  <c r="O18" i="28"/>
  <c r="P18" i="28" s="1"/>
  <c r="O4" i="28" s="1"/>
  <c r="O93" i="31"/>
  <c r="P93" i="31" s="1"/>
  <c r="A15" i="30"/>
  <c r="A16" i="28"/>
  <c r="D21" i="27" s="1"/>
  <c r="F21" i="27" s="1"/>
  <c r="A22" i="27"/>
  <c r="K21" i="27"/>
  <c r="N62" i="26"/>
  <c r="N89" i="26" s="1"/>
  <c r="D17" i="24"/>
  <c r="C17" i="24"/>
  <c r="N60" i="26"/>
  <c r="N87" i="26" s="1"/>
  <c r="M58" i="26"/>
  <c r="M85" i="26" s="1"/>
  <c r="F16" i="24"/>
  <c r="F16" i="23" s="1"/>
  <c r="E18" i="24"/>
  <c r="F15" i="23"/>
  <c r="M56" i="26"/>
  <c r="K16" i="24"/>
  <c r="K16" i="23" s="1"/>
  <c r="M38" i="26"/>
  <c r="A15" i="24"/>
  <c r="A14" i="25"/>
  <c r="A14" i="23" s="1"/>
  <c r="N58" i="26"/>
  <c r="N85" i="26" s="1"/>
  <c r="F17" i="24"/>
  <c r="F17" i="23" s="1"/>
  <c r="F18" i="23" s="1"/>
  <c r="I18" i="24"/>
  <c r="J16" i="23"/>
  <c r="J18" i="23" s="1"/>
  <c r="J18" i="24"/>
  <c r="N56" i="26"/>
  <c r="K17" i="24"/>
  <c r="N38" i="26"/>
  <c r="K93" i="26"/>
  <c r="M64" i="26"/>
  <c r="M91" i="26" s="1"/>
  <c r="L16" i="24"/>
  <c r="L16" i="23" s="1"/>
  <c r="L83" i="26"/>
  <c r="L65" i="26"/>
  <c r="L92" i="26" s="1"/>
  <c r="J94" i="26"/>
  <c r="J96" i="26" s="1"/>
  <c r="M62" i="26"/>
  <c r="M89" i="26" s="1"/>
  <c r="D16" i="24"/>
  <c r="D16" i="23" s="1"/>
  <c r="M60" i="26"/>
  <c r="M87" i="26" s="1"/>
  <c r="C16" i="24"/>
  <c r="N64" i="26"/>
  <c r="N91" i="26" s="1"/>
  <c r="L17" i="24"/>
  <c r="C15" i="23"/>
  <c r="N15" i="24"/>
  <c r="K66" i="26"/>
  <c r="O19" i="22"/>
  <c r="D19" i="22"/>
  <c r="F19" i="22" s="1"/>
  <c r="A22" i="22"/>
  <c r="K21" i="22"/>
  <c r="AA55" i="20"/>
  <c r="AA56" i="20" s="1"/>
  <c r="AD55" i="20" s="1"/>
  <c r="AD57" i="20" s="1"/>
  <c r="F28" i="42" l="1"/>
  <c r="G59" i="42" s="1"/>
  <c r="F28" i="43"/>
  <c r="G57" i="43" s="1"/>
  <c r="O34" i="43" s="1"/>
  <c r="O35" i="43" s="1"/>
  <c r="I59" i="42"/>
  <c r="I61" i="42" s="1"/>
  <c r="O36" i="42"/>
  <c r="O37" i="42" s="1"/>
  <c r="I57" i="43"/>
  <c r="I59" i="43" s="1"/>
  <c r="I66" i="43" s="1"/>
  <c r="O14" i="38"/>
  <c r="D19" i="37" s="1"/>
  <c r="F19" i="37" s="1"/>
  <c r="O19" i="37"/>
  <c r="H16" i="38"/>
  <c r="M16" i="38" s="1"/>
  <c r="N16" i="39"/>
  <c r="O13" i="38"/>
  <c r="O18" i="37"/>
  <c r="H15" i="38"/>
  <c r="M15" i="38" s="1"/>
  <c r="N15" i="39"/>
  <c r="N18" i="39" s="1"/>
  <c r="N94" i="41"/>
  <c r="N96" i="41" s="1"/>
  <c r="O93" i="41"/>
  <c r="P93" i="41" s="1"/>
  <c r="D22" i="37"/>
  <c r="O22" i="37"/>
  <c r="M94" i="36"/>
  <c r="M96" i="36" s="1"/>
  <c r="N94" i="36"/>
  <c r="N96" i="36" s="1"/>
  <c r="O93" i="36"/>
  <c r="M18" i="33"/>
  <c r="M17" i="33"/>
  <c r="O21" i="27"/>
  <c r="A17" i="28"/>
  <c r="A1" i="30"/>
  <c r="A3" i="27"/>
  <c r="K22" i="27"/>
  <c r="D22" i="27"/>
  <c r="O22" i="27"/>
  <c r="O25" i="27" s="1"/>
  <c r="O26" i="27" s="1"/>
  <c r="O32" i="27" s="1"/>
  <c r="C38" i="27"/>
  <c r="L66" i="26"/>
  <c r="K94" i="26"/>
  <c r="K96" i="26" s="1"/>
  <c r="N16" i="24"/>
  <c r="C16" i="23"/>
  <c r="M16" i="23" s="1"/>
  <c r="O16" i="23" s="1"/>
  <c r="P16" i="23" s="1"/>
  <c r="L93" i="26"/>
  <c r="N17" i="24"/>
  <c r="C17" i="23"/>
  <c r="C18" i="24"/>
  <c r="M15" i="23"/>
  <c r="O15" i="23" s="1"/>
  <c r="K17" i="23"/>
  <c r="K18" i="23" s="1"/>
  <c r="K18" i="24"/>
  <c r="M83" i="26"/>
  <c r="M65" i="26"/>
  <c r="M92" i="26" s="1"/>
  <c r="D17" i="23"/>
  <c r="D18" i="23" s="1"/>
  <c r="D18" i="24"/>
  <c r="L17" i="23"/>
  <c r="L18" i="23" s="1"/>
  <c r="L18" i="24"/>
  <c r="N83" i="26"/>
  <c r="N93" i="26" s="1"/>
  <c r="N94" i="26" s="1"/>
  <c r="N96" i="26" s="1"/>
  <c r="N65" i="26"/>
  <c r="N92" i="26" s="1"/>
  <c r="N66" i="26"/>
  <c r="A16" i="24"/>
  <c r="A15" i="25"/>
  <c r="A15" i="23" s="1"/>
  <c r="D20" i="22" s="1"/>
  <c r="F20" i="22" s="1"/>
  <c r="F18" i="24"/>
  <c r="A3" i="22"/>
  <c r="K22" i="22"/>
  <c r="C38" i="22"/>
  <c r="AD60" i="20"/>
  <c r="AD59" i="20"/>
  <c r="AA28" i="20"/>
  <c r="AA29" i="20" s="1"/>
  <c r="AD28" i="20" s="1"/>
  <c r="AD30" i="20" s="1"/>
  <c r="E50" i="20" l="1"/>
  <c r="F52" i="20" s="1"/>
  <c r="F48" i="20"/>
  <c r="F54" i="20" s="1"/>
  <c r="F57" i="20" s="1"/>
  <c r="E23" i="20"/>
  <c r="F25" i="20" s="1"/>
  <c r="F21" i="20"/>
  <c r="F27" i="20" s="1"/>
  <c r="F30" i="20" s="1"/>
  <c r="I64" i="42"/>
  <c r="I73" i="42"/>
  <c r="I63" i="42"/>
  <c r="D18" i="37"/>
  <c r="F18" i="37" s="1"/>
  <c r="O15" i="38"/>
  <c r="D20" i="37" s="1"/>
  <c r="F20" i="37" s="1"/>
  <c r="O20" i="37"/>
  <c r="O25" i="37" s="1"/>
  <c r="O26" i="37" s="1"/>
  <c r="O35" i="37" s="1"/>
  <c r="H18" i="38"/>
  <c r="M18" i="38" s="1"/>
  <c r="O16" i="38"/>
  <c r="D21" i="37" s="1"/>
  <c r="F21" i="37" s="1"/>
  <c r="O21" i="37"/>
  <c r="F22" i="37"/>
  <c r="O17" i="33"/>
  <c r="O22" i="32"/>
  <c r="O25" i="32" s="1"/>
  <c r="O26" i="32" s="1"/>
  <c r="O33" i="32" s="1"/>
  <c r="F22" i="27"/>
  <c r="D24" i="27"/>
  <c r="D26" i="27" s="1"/>
  <c r="B47" i="27"/>
  <c r="G70" i="27"/>
  <c r="B55" i="27"/>
  <c r="G58" i="27"/>
  <c r="B49" i="27"/>
  <c r="M93" i="26"/>
  <c r="M17" i="23"/>
  <c r="O17" i="23" s="1"/>
  <c r="P17" i="23" s="1"/>
  <c r="C18" i="23"/>
  <c r="M18" i="23" s="1"/>
  <c r="N18" i="24"/>
  <c r="A17" i="24"/>
  <c r="A16" i="25"/>
  <c r="A16" i="23" s="1"/>
  <c r="M66" i="26"/>
  <c r="O20" i="22"/>
  <c r="P15" i="23"/>
  <c r="O18" i="23"/>
  <c r="P18" i="23" s="1"/>
  <c r="O4" i="23" s="1"/>
  <c r="L94" i="26"/>
  <c r="L96" i="26" s="1"/>
  <c r="O93" i="26"/>
  <c r="B47" i="22"/>
  <c r="G65" i="22"/>
  <c r="B55" i="22"/>
  <c r="G58" i="22"/>
  <c r="B49" i="22"/>
  <c r="O10" i="17"/>
  <c r="I76" i="42" l="1"/>
  <c r="I75" i="42"/>
  <c r="O18" i="38"/>
  <c r="P18" i="38" s="1"/>
  <c r="O4" i="38" s="1"/>
  <c r="D28" i="37"/>
  <c r="F28" i="37" s="1"/>
  <c r="D24" i="37"/>
  <c r="D26" i="37" s="1"/>
  <c r="F26" i="37" s="1"/>
  <c r="D22" i="32"/>
  <c r="O18" i="33"/>
  <c r="P18" i="33" s="1"/>
  <c r="O4" i="33" s="1"/>
  <c r="F26" i="27"/>
  <c r="G56" i="27" s="1"/>
  <c r="G31" i="27"/>
  <c r="G44" i="27" s="1"/>
  <c r="G51" i="27" s="1"/>
  <c r="G53" i="27" s="1"/>
  <c r="I53" i="27" s="1"/>
  <c r="A17" i="25"/>
  <c r="A1" i="24"/>
  <c r="Q18" i="23"/>
  <c r="O21" i="22"/>
  <c r="D21" i="22"/>
  <c r="M94" i="26"/>
  <c r="M96" i="26" s="1"/>
  <c r="Q18" i="14"/>
  <c r="P93" i="17"/>
  <c r="P93" i="6"/>
  <c r="O93" i="6"/>
  <c r="G34" i="37" l="1"/>
  <c r="G47" i="37" s="1"/>
  <c r="G54" i="37" s="1"/>
  <c r="G56" i="37" s="1"/>
  <c r="I56" i="37" s="1"/>
  <c r="G59" i="37"/>
  <c r="D28" i="32"/>
  <c r="F28" i="32" s="1"/>
  <c r="G57" i="32" s="1"/>
  <c r="F22" i="32"/>
  <c r="D24" i="32"/>
  <c r="D26" i="32" s="1"/>
  <c r="I56" i="27"/>
  <c r="I58" i="27" s="1"/>
  <c r="I70" i="27" s="1"/>
  <c r="O33" i="27"/>
  <c r="O34" i="27" s="1"/>
  <c r="F21" i="22"/>
  <c r="A1" i="25"/>
  <c r="A17" i="23"/>
  <c r="B105" i="17"/>
  <c r="O79" i="17"/>
  <c r="D23" i="17"/>
  <c r="E23" i="17" s="1"/>
  <c r="F23" i="17" s="1"/>
  <c r="G23" i="17" s="1"/>
  <c r="H23" i="17" s="1"/>
  <c r="I23" i="17" s="1"/>
  <c r="J23" i="17" s="1"/>
  <c r="K23" i="17" s="1"/>
  <c r="L23" i="17" s="1"/>
  <c r="M23" i="17" s="1"/>
  <c r="N23" i="17" s="1"/>
  <c r="E22" i="17"/>
  <c r="F22" i="17" s="1"/>
  <c r="G22" i="17" s="1"/>
  <c r="H22" i="17" s="1"/>
  <c r="I22" i="17" s="1"/>
  <c r="J22" i="17" s="1"/>
  <c r="K22" i="17" s="1"/>
  <c r="L22" i="17" s="1"/>
  <c r="M22" i="17" s="1"/>
  <c r="N22" i="17" s="1"/>
  <c r="D22" i="17"/>
  <c r="D21" i="17"/>
  <c r="E21" i="17" s="1"/>
  <c r="F21" i="17" s="1"/>
  <c r="G21" i="17" s="1"/>
  <c r="H21" i="17" s="1"/>
  <c r="I21" i="17" s="1"/>
  <c r="J21" i="17" s="1"/>
  <c r="K21" i="17" s="1"/>
  <c r="L21" i="17" s="1"/>
  <c r="M21" i="17" s="1"/>
  <c r="N21" i="17" s="1"/>
  <c r="D20" i="17"/>
  <c r="E20" i="17" s="1"/>
  <c r="F20" i="17" s="1"/>
  <c r="G20" i="17" s="1"/>
  <c r="H20" i="17" s="1"/>
  <c r="I20" i="17" s="1"/>
  <c r="J20" i="17" s="1"/>
  <c r="K20" i="17" s="1"/>
  <c r="L20" i="17" s="1"/>
  <c r="M20" i="17" s="1"/>
  <c r="N20" i="17" s="1"/>
  <c r="D19" i="17"/>
  <c r="E19" i="17" s="1"/>
  <c r="F19" i="17" s="1"/>
  <c r="G19" i="17" s="1"/>
  <c r="H19" i="17" s="1"/>
  <c r="I19" i="17" s="1"/>
  <c r="J19" i="17" s="1"/>
  <c r="K19" i="17" s="1"/>
  <c r="L19" i="17" s="1"/>
  <c r="M19" i="17" s="1"/>
  <c r="N19" i="17" s="1"/>
  <c r="D18" i="17"/>
  <c r="E18" i="17" s="1"/>
  <c r="F18" i="17" s="1"/>
  <c r="G18" i="17" s="1"/>
  <c r="H18" i="17" s="1"/>
  <c r="I18" i="17" s="1"/>
  <c r="J18" i="17" s="1"/>
  <c r="K18" i="17" s="1"/>
  <c r="L18" i="17" s="1"/>
  <c r="M18" i="17" s="1"/>
  <c r="N18" i="17" s="1"/>
  <c r="D17" i="17"/>
  <c r="E17" i="17" s="1"/>
  <c r="F17" i="17" s="1"/>
  <c r="G17" i="17" s="1"/>
  <c r="H17" i="17" s="1"/>
  <c r="I17" i="17" s="1"/>
  <c r="J17" i="17" s="1"/>
  <c r="K17" i="17" s="1"/>
  <c r="L17" i="17" s="1"/>
  <c r="M17" i="17" s="1"/>
  <c r="N17" i="17" s="1"/>
  <c r="D16" i="17"/>
  <c r="E16" i="17" s="1"/>
  <c r="F16" i="17" s="1"/>
  <c r="G16" i="17" s="1"/>
  <c r="H16" i="17" s="1"/>
  <c r="I16" i="17" s="1"/>
  <c r="J16" i="17" s="1"/>
  <c r="K16" i="17" s="1"/>
  <c r="L16" i="17" s="1"/>
  <c r="M16" i="17" s="1"/>
  <c r="N16" i="17" s="1"/>
  <c r="D15" i="17"/>
  <c r="E15" i="17" s="1"/>
  <c r="F15" i="17" s="1"/>
  <c r="G15" i="17" s="1"/>
  <c r="H15" i="17" s="1"/>
  <c r="I15" i="17" s="1"/>
  <c r="J15" i="17" s="1"/>
  <c r="K15" i="17" s="1"/>
  <c r="L15" i="17" s="1"/>
  <c r="M15" i="17" s="1"/>
  <c r="N15" i="17" s="1"/>
  <c r="D14" i="17"/>
  <c r="E14" i="17" s="1"/>
  <c r="F14" i="17" s="1"/>
  <c r="G14" i="17" s="1"/>
  <c r="H14" i="17" s="1"/>
  <c r="I14" i="17" s="1"/>
  <c r="J14" i="17" s="1"/>
  <c r="K14" i="17" s="1"/>
  <c r="L14" i="17" s="1"/>
  <c r="M14" i="17" s="1"/>
  <c r="N14" i="17" s="1"/>
  <c r="D13" i="17"/>
  <c r="E13" i="17" s="1"/>
  <c r="F13" i="17" s="1"/>
  <c r="G13" i="17" s="1"/>
  <c r="H13" i="17" s="1"/>
  <c r="I13" i="17" s="1"/>
  <c r="J13" i="17" s="1"/>
  <c r="K13" i="17" s="1"/>
  <c r="L13" i="17" s="1"/>
  <c r="M13" i="17" s="1"/>
  <c r="N13" i="17" s="1"/>
  <c r="N9" i="17"/>
  <c r="N10" i="17" s="1"/>
  <c r="M9" i="17"/>
  <c r="M10" i="17" s="1"/>
  <c r="L9" i="17"/>
  <c r="L10" i="17" s="1"/>
  <c r="K9" i="17"/>
  <c r="K10" i="17" s="1"/>
  <c r="J9" i="17"/>
  <c r="J10" i="17" s="1"/>
  <c r="I9" i="17"/>
  <c r="I10" i="17" s="1"/>
  <c r="H9" i="17"/>
  <c r="H10" i="17" s="1"/>
  <c r="G9" i="17"/>
  <c r="G10" i="17" s="1"/>
  <c r="F9" i="17"/>
  <c r="F10" i="17" s="1"/>
  <c r="E9" i="17"/>
  <c r="E10" i="17" s="1"/>
  <c r="D9" i="17"/>
  <c r="D10" i="17" s="1"/>
  <c r="C9" i="17"/>
  <c r="C10" i="17" s="1"/>
  <c r="D6" i="17"/>
  <c r="E6" i="17" s="1"/>
  <c r="F6" i="17" s="1"/>
  <c r="G6" i="17" s="1"/>
  <c r="H6" i="17" s="1"/>
  <c r="I6" i="17" s="1"/>
  <c r="J6" i="17" s="1"/>
  <c r="K6" i="17" s="1"/>
  <c r="L6" i="17" s="1"/>
  <c r="M6" i="17" s="1"/>
  <c r="N6" i="17" s="1"/>
  <c r="L15" i="16"/>
  <c r="K15" i="16"/>
  <c r="J15" i="16"/>
  <c r="I15" i="16"/>
  <c r="H15" i="16"/>
  <c r="G15" i="16"/>
  <c r="F15" i="16"/>
  <c r="E15" i="16"/>
  <c r="D15" i="16"/>
  <c r="C15" i="16"/>
  <c r="L14" i="16"/>
  <c r="K14" i="16"/>
  <c r="J14" i="16"/>
  <c r="I14" i="16"/>
  <c r="H14" i="16"/>
  <c r="G14" i="16"/>
  <c r="F14" i="16"/>
  <c r="E14" i="16"/>
  <c r="D14" i="16"/>
  <c r="C14" i="16"/>
  <c r="L13" i="16"/>
  <c r="K13" i="16"/>
  <c r="J13" i="16"/>
  <c r="I13" i="16"/>
  <c r="H13" i="16"/>
  <c r="G13" i="16"/>
  <c r="F13" i="16"/>
  <c r="E13" i="16"/>
  <c r="D13" i="16"/>
  <c r="C13" i="16"/>
  <c r="L12" i="16"/>
  <c r="K12" i="16"/>
  <c r="J12" i="16"/>
  <c r="I12" i="16"/>
  <c r="H12" i="16"/>
  <c r="G12" i="16"/>
  <c r="F12" i="16"/>
  <c r="E12" i="16"/>
  <c r="D12" i="16"/>
  <c r="C12" i="16"/>
  <c r="L11" i="16"/>
  <c r="K11" i="16"/>
  <c r="J11" i="16"/>
  <c r="I11" i="16"/>
  <c r="H11" i="16"/>
  <c r="G11" i="16"/>
  <c r="F11" i="16"/>
  <c r="E11" i="16"/>
  <c r="D11" i="16"/>
  <c r="C11" i="16"/>
  <c r="L10" i="16"/>
  <c r="K10" i="16"/>
  <c r="J10" i="16"/>
  <c r="I10" i="16"/>
  <c r="H10" i="16"/>
  <c r="G10" i="16"/>
  <c r="F10" i="16"/>
  <c r="E10" i="16"/>
  <c r="D10" i="16"/>
  <c r="C10" i="16"/>
  <c r="L9" i="16"/>
  <c r="K9" i="16"/>
  <c r="J9" i="16"/>
  <c r="I9" i="16"/>
  <c r="H9" i="16"/>
  <c r="G9" i="16"/>
  <c r="F9" i="16"/>
  <c r="E9" i="16"/>
  <c r="D9" i="16"/>
  <c r="C9" i="16"/>
  <c r="L8" i="16"/>
  <c r="K8" i="16"/>
  <c r="J8" i="16"/>
  <c r="I8" i="16"/>
  <c r="H8" i="16"/>
  <c r="G8" i="16"/>
  <c r="F8" i="16"/>
  <c r="E8" i="16"/>
  <c r="D8" i="16"/>
  <c r="C8" i="16"/>
  <c r="L7" i="16"/>
  <c r="K7" i="16"/>
  <c r="J7" i="16"/>
  <c r="I7" i="16"/>
  <c r="H7" i="16"/>
  <c r="G7" i="16"/>
  <c r="F7" i="16"/>
  <c r="E7" i="16"/>
  <c r="D7" i="16"/>
  <c r="C7" i="16"/>
  <c r="L6" i="16"/>
  <c r="K6" i="16"/>
  <c r="J6" i="16"/>
  <c r="I6" i="16"/>
  <c r="H6" i="16"/>
  <c r="G6" i="16"/>
  <c r="F6" i="16"/>
  <c r="E6" i="16"/>
  <c r="D6" i="16"/>
  <c r="C6" i="16"/>
  <c r="L5" i="16"/>
  <c r="K5" i="16"/>
  <c r="J5" i="16"/>
  <c r="I5" i="16"/>
  <c r="H5" i="16"/>
  <c r="G5" i="16"/>
  <c r="F5" i="16"/>
  <c r="E5" i="16"/>
  <c r="D5" i="16"/>
  <c r="C5" i="16"/>
  <c r="L4" i="16"/>
  <c r="K4" i="16"/>
  <c r="J4" i="16"/>
  <c r="I4" i="16"/>
  <c r="H4" i="16"/>
  <c r="G4" i="16"/>
  <c r="F4" i="16"/>
  <c r="E4" i="16"/>
  <c r="D4" i="16"/>
  <c r="C4" i="16"/>
  <c r="A4" i="16"/>
  <c r="A5" i="16" s="1"/>
  <c r="A6" i="16" s="1"/>
  <c r="A7" i="16" s="1"/>
  <c r="A8" i="16" s="1"/>
  <c r="A6" i="15"/>
  <c r="A7" i="15" s="1"/>
  <c r="A8" i="15" s="1"/>
  <c r="A9" i="15" s="1"/>
  <c r="A10" i="15" s="1"/>
  <c r="A11" i="15" s="1"/>
  <c r="A12" i="15" s="1"/>
  <c r="A13" i="15" s="1"/>
  <c r="A14" i="15" s="1"/>
  <c r="A15" i="15" s="1"/>
  <c r="A16" i="15" s="1"/>
  <c r="A17" i="15" s="1"/>
  <c r="A9" i="14"/>
  <c r="A7" i="14"/>
  <c r="A6" i="14"/>
  <c r="A2" i="14"/>
  <c r="I66" i="12"/>
  <c r="L56" i="12"/>
  <c r="B24" i="12"/>
  <c r="J22" i="12"/>
  <c r="O27" i="12" s="1"/>
  <c r="J21" i="12"/>
  <c r="J20" i="12"/>
  <c r="J19" i="12"/>
  <c r="J18" i="12"/>
  <c r="J17" i="12"/>
  <c r="J16" i="12"/>
  <c r="J15" i="12"/>
  <c r="J14" i="12"/>
  <c r="B12" i="12"/>
  <c r="F34" i="12" s="1"/>
  <c r="F35" i="12" s="1"/>
  <c r="J10" i="12"/>
  <c r="J26" i="12" s="1"/>
  <c r="G50" i="12" s="1"/>
  <c r="J9" i="12"/>
  <c r="J8" i="12"/>
  <c r="A8" i="12"/>
  <c r="K8" i="12" s="1"/>
  <c r="O7" i="12"/>
  <c r="O6" i="12"/>
  <c r="O5" i="12"/>
  <c r="C17" i="3"/>
  <c r="D17" i="3"/>
  <c r="F17" i="3"/>
  <c r="G17" i="3"/>
  <c r="H17" i="3"/>
  <c r="I17" i="3"/>
  <c r="J17" i="3"/>
  <c r="K17" i="3"/>
  <c r="K16" i="3"/>
  <c r="J16" i="3"/>
  <c r="I16" i="3"/>
  <c r="H16" i="3"/>
  <c r="G16" i="3"/>
  <c r="F16" i="3"/>
  <c r="E16" i="3"/>
  <c r="D16" i="3"/>
  <c r="C16" i="3"/>
  <c r="E17" i="3"/>
  <c r="C15" i="3"/>
  <c r="C14" i="3"/>
  <c r="K15" i="3"/>
  <c r="J15" i="3"/>
  <c r="I15" i="3"/>
  <c r="H15" i="3"/>
  <c r="G15" i="3"/>
  <c r="F15" i="3"/>
  <c r="E15" i="3"/>
  <c r="D15" i="3"/>
  <c r="D14" i="3"/>
  <c r="E14" i="3"/>
  <c r="F14" i="3"/>
  <c r="F13" i="3"/>
  <c r="G14" i="3"/>
  <c r="H14" i="3"/>
  <c r="I14" i="3"/>
  <c r="K14" i="3"/>
  <c r="L17" i="3"/>
  <c r="A29" i="11"/>
  <c r="L16" i="3"/>
  <c r="L15" i="3"/>
  <c r="D23" i="6"/>
  <c r="E23" i="6" s="1"/>
  <c r="D22" i="6"/>
  <c r="E22" i="6" s="1"/>
  <c r="D21" i="6"/>
  <c r="E21" i="6" s="1"/>
  <c r="D20" i="6"/>
  <c r="E20" i="6"/>
  <c r="F20" i="6" s="1"/>
  <c r="G20" i="6" s="1"/>
  <c r="D19" i="6"/>
  <c r="E19" i="6" s="1"/>
  <c r="E33" i="6" s="1"/>
  <c r="E61" i="6" s="1"/>
  <c r="E88" i="6" s="1"/>
  <c r="D18" i="6"/>
  <c r="D17" i="6"/>
  <c r="E17" i="6"/>
  <c r="D16" i="6"/>
  <c r="E16" i="6"/>
  <c r="D15" i="6"/>
  <c r="E15" i="6" s="1"/>
  <c r="E29" i="6" s="1"/>
  <c r="E57" i="6" s="1"/>
  <c r="E84" i="6" s="1"/>
  <c r="D14" i="6"/>
  <c r="E14" i="6"/>
  <c r="F14" i="6" s="1"/>
  <c r="G14" i="6" s="1"/>
  <c r="G28" i="6" s="1"/>
  <c r="D13" i="6"/>
  <c r="E13" i="6" s="1"/>
  <c r="F13" i="6" s="1"/>
  <c r="G13" i="6" s="1"/>
  <c r="H13" i="6"/>
  <c r="I13" i="6" s="1"/>
  <c r="I27" i="6" s="1"/>
  <c r="N56" i="11"/>
  <c r="B24" i="11"/>
  <c r="F38" i="11"/>
  <c r="F39" i="11" s="1"/>
  <c r="O7" i="11"/>
  <c r="O6" i="11"/>
  <c r="O5" i="11"/>
  <c r="K7" i="3"/>
  <c r="K8" i="3"/>
  <c r="K11" i="3"/>
  <c r="K13" i="3"/>
  <c r="F6" i="3"/>
  <c r="F7" i="3"/>
  <c r="F9" i="3"/>
  <c r="F10" i="3"/>
  <c r="F11" i="3"/>
  <c r="I7" i="3"/>
  <c r="J8" i="3"/>
  <c r="I9" i="3"/>
  <c r="I11" i="3"/>
  <c r="C12" i="3"/>
  <c r="D6" i="3"/>
  <c r="D9" i="3"/>
  <c r="E7" i="3"/>
  <c r="E10" i="3"/>
  <c r="E12" i="3"/>
  <c r="E13" i="3"/>
  <c r="L6" i="3"/>
  <c r="L8" i="3"/>
  <c r="L9" i="3"/>
  <c r="L12" i="3"/>
  <c r="H7" i="3"/>
  <c r="H8" i="3"/>
  <c r="H9" i="3"/>
  <c r="H11" i="3"/>
  <c r="H12" i="3"/>
  <c r="H13" i="3"/>
  <c r="G8" i="3"/>
  <c r="G11" i="3"/>
  <c r="G12" i="3"/>
  <c r="C9" i="6"/>
  <c r="C10" i="6" s="1"/>
  <c r="A8" i="11"/>
  <c r="A9" i="11"/>
  <c r="K9" i="11" s="1"/>
  <c r="A6" i="3"/>
  <c r="A6" i="4" s="1"/>
  <c r="E6" i="3"/>
  <c r="A6" i="2"/>
  <c r="A7" i="2" s="1"/>
  <c r="A8" i="2" s="1"/>
  <c r="D9" i="6"/>
  <c r="D10" i="6" s="1"/>
  <c r="E9" i="6"/>
  <c r="E10" i="6"/>
  <c r="F9" i="6"/>
  <c r="F10" i="6"/>
  <c r="G9" i="6"/>
  <c r="G10" i="6"/>
  <c r="H9" i="6"/>
  <c r="H10" i="6"/>
  <c r="I9" i="6"/>
  <c r="I10" i="6"/>
  <c r="J9" i="6"/>
  <c r="J10" i="6"/>
  <c r="K9" i="6"/>
  <c r="K10" i="6"/>
  <c r="L9" i="6"/>
  <c r="L10" i="6"/>
  <c r="M9" i="6"/>
  <c r="M10" i="6"/>
  <c r="N9" i="6"/>
  <c r="N10" i="6"/>
  <c r="B12" i="11"/>
  <c r="F34" i="11"/>
  <c r="F35" i="11" s="1"/>
  <c r="A2" i="2"/>
  <c r="A2" i="4"/>
  <c r="A2" i="3"/>
  <c r="D6" i="6"/>
  <c r="E6" i="6"/>
  <c r="F6" i="6" s="1"/>
  <c r="G6" i="6" s="1"/>
  <c r="H6" i="6" s="1"/>
  <c r="I6" i="6" s="1"/>
  <c r="J6" i="6" s="1"/>
  <c r="K6" i="6" s="1"/>
  <c r="L6" i="6" s="1"/>
  <c r="M6" i="6" s="1"/>
  <c r="N6" i="6" s="1"/>
  <c r="B105" i="6"/>
  <c r="J8" i="11"/>
  <c r="J9" i="11"/>
  <c r="J10" i="11"/>
  <c r="J22" i="11"/>
  <c r="O27" i="11" s="1"/>
  <c r="J14" i="11"/>
  <c r="J15" i="11"/>
  <c r="J16" i="11"/>
  <c r="J17" i="11"/>
  <c r="J18" i="11"/>
  <c r="J19" i="11"/>
  <c r="J20" i="11"/>
  <c r="J21" i="11"/>
  <c r="B11" i="5"/>
  <c r="B24" i="5"/>
  <c r="F38" i="5"/>
  <c r="F39" i="5" s="1"/>
  <c r="D11" i="5"/>
  <c r="D26" i="5" s="1"/>
  <c r="G31" i="5" s="1"/>
  <c r="D24" i="5"/>
  <c r="J14" i="5"/>
  <c r="F14" i="5"/>
  <c r="J8" i="5"/>
  <c r="J9" i="5"/>
  <c r="J22" i="5"/>
  <c r="J13" i="5"/>
  <c r="J15" i="5"/>
  <c r="J16" i="5"/>
  <c r="J17" i="5"/>
  <c r="J18" i="5"/>
  <c r="J19" i="5"/>
  <c r="J20" i="5"/>
  <c r="J21" i="5"/>
  <c r="F22" i="5"/>
  <c r="F19" i="5"/>
  <c r="F20" i="5"/>
  <c r="F21" i="5"/>
  <c r="F8" i="5"/>
  <c r="F9" i="5"/>
  <c r="F13" i="5"/>
  <c r="F15" i="5"/>
  <c r="F16" i="5"/>
  <c r="F17" i="5"/>
  <c r="F18" i="5"/>
  <c r="F12" i="3"/>
  <c r="K10" i="3"/>
  <c r="G9" i="3"/>
  <c r="L7" i="3"/>
  <c r="E11" i="3"/>
  <c r="C13" i="3"/>
  <c r="D11" i="3"/>
  <c r="J6" i="3"/>
  <c r="E9" i="3"/>
  <c r="C11" i="3"/>
  <c r="G10" i="3"/>
  <c r="G13" i="3"/>
  <c r="C8" i="3"/>
  <c r="L14" i="3"/>
  <c r="D8" i="3"/>
  <c r="F8" i="3"/>
  <c r="J7" i="3"/>
  <c r="D13" i="3"/>
  <c r="I12" i="3"/>
  <c r="I10" i="3"/>
  <c r="H6" i="3"/>
  <c r="J11" i="3"/>
  <c r="J9" i="3"/>
  <c r="C10" i="3"/>
  <c r="G6" i="3"/>
  <c r="E8" i="3"/>
  <c r="I8" i="3"/>
  <c r="D7" i="3"/>
  <c r="K12" i="3"/>
  <c r="I6" i="3"/>
  <c r="C9" i="3"/>
  <c r="C7" i="3"/>
  <c r="C6" i="3"/>
  <c r="D10" i="3"/>
  <c r="G7" i="3"/>
  <c r="J13" i="3"/>
  <c r="I13" i="3"/>
  <c r="L13" i="3"/>
  <c r="J10" i="3"/>
  <c r="H10" i="3"/>
  <c r="K9" i="3"/>
  <c r="K6" i="3"/>
  <c r="L10" i="3"/>
  <c r="D12" i="3"/>
  <c r="J12" i="3"/>
  <c r="E18" i="6"/>
  <c r="O79" i="6"/>
  <c r="L11" i="3"/>
  <c r="C35" i="6"/>
  <c r="E6" i="2" s="1"/>
  <c r="E6" i="4" s="1"/>
  <c r="B26" i="11"/>
  <c r="E34" i="6"/>
  <c r="E62" i="6"/>
  <c r="E89" i="6" s="1"/>
  <c r="D28" i="6"/>
  <c r="G27" i="6"/>
  <c r="G10" i="2" s="1"/>
  <c r="G10" i="4" s="1"/>
  <c r="A10" i="11"/>
  <c r="K8" i="11"/>
  <c r="C34" i="6"/>
  <c r="D33" i="6"/>
  <c r="D61" i="6" s="1"/>
  <c r="D88" i="6" s="1"/>
  <c r="D37" i="6"/>
  <c r="H7" i="2" s="1"/>
  <c r="H7" i="4" s="1"/>
  <c r="D8" i="2"/>
  <c r="I61" i="11"/>
  <c r="D8" i="4"/>
  <c r="K10" i="11"/>
  <c r="A14" i="11"/>
  <c r="C34" i="11"/>
  <c r="G55" i="6"/>
  <c r="C63" i="6"/>
  <c r="C90" i="6" s="1"/>
  <c r="J13" i="6"/>
  <c r="K13" i="6" s="1"/>
  <c r="L13" i="6" s="1"/>
  <c r="M13" i="6" s="1"/>
  <c r="M27" i="6" s="1"/>
  <c r="M55" i="6" s="1"/>
  <c r="F23" i="6"/>
  <c r="E37" i="6"/>
  <c r="H27" i="6"/>
  <c r="F27" i="6"/>
  <c r="G9" i="2" s="1"/>
  <c r="G9" i="4" s="1"/>
  <c r="C30" i="6"/>
  <c r="C58" i="6" s="1"/>
  <c r="D27" i="6"/>
  <c r="D55" i="6" s="1"/>
  <c r="D29" i="6"/>
  <c r="D57" i="6" s="1"/>
  <c r="D84" i="6"/>
  <c r="F41" i="11"/>
  <c r="G41" i="11"/>
  <c r="C32" i="6"/>
  <c r="C37" i="6"/>
  <c r="H6" i="2" s="1"/>
  <c r="G12" i="2"/>
  <c r="G12" i="4" s="1"/>
  <c r="I55" i="6"/>
  <c r="H6" i="4"/>
  <c r="F6" i="2"/>
  <c r="F6" i="4" s="1"/>
  <c r="C85" i="6"/>
  <c r="F55" i="6"/>
  <c r="C6" i="2"/>
  <c r="C60" i="6"/>
  <c r="C87" i="6" s="1"/>
  <c r="G7" i="2"/>
  <c r="H8" i="2"/>
  <c r="H8" i="4"/>
  <c r="K27" i="6"/>
  <c r="K55" i="6" s="1"/>
  <c r="G82" i="6"/>
  <c r="A15" i="11"/>
  <c r="K15" i="11" s="1"/>
  <c r="K14" i="11"/>
  <c r="L27" i="6"/>
  <c r="C6" i="4"/>
  <c r="A16" i="11"/>
  <c r="A17" i="11" s="1"/>
  <c r="I82" i="6"/>
  <c r="G7" i="4"/>
  <c r="G14" i="2"/>
  <c r="G14" i="4" s="1"/>
  <c r="D82" i="6"/>
  <c r="F82" i="6"/>
  <c r="N13" i="6"/>
  <c r="N27" i="6"/>
  <c r="L55" i="6"/>
  <c r="L82" i="6" s="1"/>
  <c r="G15" i="2"/>
  <c r="G15" i="4" s="1"/>
  <c r="G16" i="2"/>
  <c r="A18" i="11"/>
  <c r="A19" i="11" s="1"/>
  <c r="A20" i="11" s="1"/>
  <c r="A21" i="11" s="1"/>
  <c r="K17" i="11"/>
  <c r="M82" i="6"/>
  <c r="G16" i="4"/>
  <c r="K21" i="11"/>
  <c r="I59" i="37" l="1"/>
  <c r="I61" i="37" s="1"/>
  <c r="O36" i="37"/>
  <c r="O37" i="37" s="1"/>
  <c r="G32" i="32"/>
  <c r="G45" i="32" s="1"/>
  <c r="G52" i="32" s="1"/>
  <c r="G54" i="32" s="1"/>
  <c r="I54" i="32" s="1"/>
  <c r="F26" i="32"/>
  <c r="I57" i="32"/>
  <c r="O34" i="32"/>
  <c r="O35" i="32" s="1"/>
  <c r="I60" i="27"/>
  <c r="I61" i="27"/>
  <c r="O22" i="22"/>
  <c r="O25" i="22" s="1"/>
  <c r="O26" i="22" s="1"/>
  <c r="O32" i="22" s="1"/>
  <c r="D22" i="22"/>
  <c r="N55" i="6"/>
  <c r="G17" i="2"/>
  <c r="G17" i="4" s="1"/>
  <c r="A22" i="11"/>
  <c r="K20" i="11"/>
  <c r="K82" i="6"/>
  <c r="H55" i="6"/>
  <c r="G11" i="2"/>
  <c r="G11" i="4" s="1"/>
  <c r="G23" i="6"/>
  <c r="F37" i="6"/>
  <c r="H9" i="2" s="1"/>
  <c r="K19" i="11"/>
  <c r="K18" i="11"/>
  <c r="F34" i="5"/>
  <c r="F35" i="5" s="1"/>
  <c r="F41" i="5" s="1"/>
  <c r="G41" i="5" s="1"/>
  <c r="G44" i="5" s="1"/>
  <c r="G51" i="5" s="1"/>
  <c r="B26" i="5"/>
  <c r="F26" i="5" s="1"/>
  <c r="G56" i="5" s="1"/>
  <c r="I56" i="5" s="1"/>
  <c r="J26" i="11"/>
  <c r="G50" i="11" s="1"/>
  <c r="I63" i="11" s="1"/>
  <c r="F16" i="6"/>
  <c r="G16" i="6" s="1"/>
  <c r="E30" i="6"/>
  <c r="K16" i="11"/>
  <c r="E32" i="6"/>
  <c r="F18" i="6"/>
  <c r="J27" i="6"/>
  <c r="D35" i="6"/>
  <c r="D34" i="6"/>
  <c r="D31" i="6"/>
  <c r="D30" i="6"/>
  <c r="D36" i="6"/>
  <c r="D32" i="6"/>
  <c r="E36" i="6"/>
  <c r="F22" i="6"/>
  <c r="G22" i="6" s="1"/>
  <c r="H20" i="6"/>
  <c r="G34" i="6"/>
  <c r="D6" i="2"/>
  <c r="C62" i="6"/>
  <c r="C89" i="6" s="1"/>
  <c r="K7" i="2"/>
  <c r="K7" i="4" s="1"/>
  <c r="D56" i="6"/>
  <c r="J26" i="5"/>
  <c r="G50" i="5" s="1"/>
  <c r="C29" i="6"/>
  <c r="C57" i="6" s="1"/>
  <c r="C84" i="6" s="1"/>
  <c r="C33" i="6"/>
  <c r="C61" i="6" s="1"/>
  <c r="C88" i="6" s="1"/>
  <c r="C27" i="6"/>
  <c r="O10" i="6"/>
  <c r="C31" i="6"/>
  <c r="C36" i="6"/>
  <c r="C28" i="6"/>
  <c r="H14" i="6"/>
  <c r="I14" i="6" s="1"/>
  <c r="E28" i="6"/>
  <c r="A7" i="3"/>
  <c r="A7" i="4" s="1"/>
  <c r="E27" i="6"/>
  <c r="F15" i="6"/>
  <c r="F19" i="6"/>
  <c r="G19" i="6" s="1"/>
  <c r="A9" i="2"/>
  <c r="A8" i="3"/>
  <c r="A8" i="4" s="1"/>
  <c r="F17" i="6"/>
  <c r="G17" i="6" s="1"/>
  <c r="E31" i="6"/>
  <c r="F21" i="6"/>
  <c r="G21" i="6" s="1"/>
  <c r="E35" i="6"/>
  <c r="H28" i="6"/>
  <c r="F36" i="6"/>
  <c r="F28" i="6"/>
  <c r="F34" i="6"/>
  <c r="F33" i="6"/>
  <c r="F61" i="6" s="1"/>
  <c r="F88" i="6" s="1"/>
  <c r="F30" i="6"/>
  <c r="K10" i="2"/>
  <c r="K10" i="4" s="1"/>
  <c r="G56" i="6"/>
  <c r="A1" i="15"/>
  <c r="A9" i="16"/>
  <c r="A10" i="14"/>
  <c r="F37" i="17"/>
  <c r="H9" i="15" s="1"/>
  <c r="H9" i="14" s="1"/>
  <c r="F36" i="17"/>
  <c r="F35" i="17"/>
  <c r="F34" i="17"/>
  <c r="F33" i="17"/>
  <c r="F61" i="17" s="1"/>
  <c r="F88" i="17" s="1"/>
  <c r="F32" i="17"/>
  <c r="F31" i="17"/>
  <c r="F30" i="17"/>
  <c r="F29" i="17"/>
  <c r="F57" i="17" s="1"/>
  <c r="F84" i="17" s="1"/>
  <c r="F28" i="17"/>
  <c r="F27" i="17"/>
  <c r="J36" i="17"/>
  <c r="J35" i="17"/>
  <c r="J34" i="17"/>
  <c r="J33" i="17"/>
  <c r="J61" i="17" s="1"/>
  <c r="J88" i="17" s="1"/>
  <c r="J32" i="17"/>
  <c r="J31" i="17"/>
  <c r="J30" i="17"/>
  <c r="J29" i="17"/>
  <c r="J57" i="17" s="1"/>
  <c r="J84" i="17" s="1"/>
  <c r="J28" i="17"/>
  <c r="J27" i="17"/>
  <c r="J37" i="17"/>
  <c r="H13" i="15" s="1"/>
  <c r="H13" i="14" s="1"/>
  <c r="N37" i="17"/>
  <c r="H17" i="15" s="1"/>
  <c r="H17" i="14" s="1"/>
  <c r="N36" i="17"/>
  <c r="N35" i="17"/>
  <c r="N34" i="17"/>
  <c r="N33" i="17"/>
  <c r="N61" i="17" s="1"/>
  <c r="N88" i="17" s="1"/>
  <c r="N32" i="17"/>
  <c r="N31" i="17"/>
  <c r="N30" i="17"/>
  <c r="N29" i="17"/>
  <c r="N57" i="17" s="1"/>
  <c r="N84" i="17" s="1"/>
  <c r="N28" i="17"/>
  <c r="N27" i="17"/>
  <c r="C37" i="17"/>
  <c r="H6" i="15" s="1"/>
  <c r="C36" i="17"/>
  <c r="C35" i="17"/>
  <c r="C34" i="17"/>
  <c r="C33" i="17"/>
  <c r="C61" i="17" s="1"/>
  <c r="C88" i="17" s="1"/>
  <c r="C32" i="17"/>
  <c r="C31" i="17"/>
  <c r="C30" i="17"/>
  <c r="C29" i="17"/>
  <c r="C57" i="17" s="1"/>
  <c r="C84" i="17" s="1"/>
  <c r="C28" i="17"/>
  <c r="C27" i="17"/>
  <c r="G37" i="17"/>
  <c r="H10" i="15" s="1"/>
  <c r="H10" i="14" s="1"/>
  <c r="G36" i="17"/>
  <c r="G35" i="17"/>
  <c r="G34" i="17"/>
  <c r="G33" i="17"/>
  <c r="G61" i="17" s="1"/>
  <c r="G88" i="17" s="1"/>
  <c r="G32" i="17"/>
  <c r="G31" i="17"/>
  <c r="G30" i="17"/>
  <c r="G29" i="17"/>
  <c r="G57" i="17" s="1"/>
  <c r="G84" i="17" s="1"/>
  <c r="G28" i="17"/>
  <c r="G27" i="17"/>
  <c r="K36" i="17"/>
  <c r="K35" i="17"/>
  <c r="K34" i="17"/>
  <c r="K33" i="17"/>
  <c r="K61" i="17" s="1"/>
  <c r="K88" i="17" s="1"/>
  <c r="K32" i="17"/>
  <c r="K31" i="17"/>
  <c r="K30" i="17"/>
  <c r="K29" i="17"/>
  <c r="K57" i="17" s="1"/>
  <c r="K84" i="17" s="1"/>
  <c r="K28" i="17"/>
  <c r="K27" i="17"/>
  <c r="K37" i="17"/>
  <c r="H14" i="15" s="1"/>
  <c r="H14" i="14" s="1"/>
  <c r="A8" i="14"/>
  <c r="D37" i="17"/>
  <c r="H7" i="15" s="1"/>
  <c r="H7" i="14" s="1"/>
  <c r="D36" i="17"/>
  <c r="D35" i="17"/>
  <c r="D34" i="17"/>
  <c r="D33" i="17"/>
  <c r="D61" i="17" s="1"/>
  <c r="D88" i="17" s="1"/>
  <c r="D32" i="17"/>
  <c r="D31" i="17"/>
  <c r="D30" i="17"/>
  <c r="D29" i="17"/>
  <c r="D57" i="17" s="1"/>
  <c r="D84" i="17" s="1"/>
  <c r="D28" i="17"/>
  <c r="D27" i="17"/>
  <c r="H37" i="17"/>
  <c r="H11" i="15" s="1"/>
  <c r="H11" i="14" s="1"/>
  <c r="H36" i="17"/>
  <c r="H35" i="17"/>
  <c r="H34" i="17"/>
  <c r="H33" i="17"/>
  <c r="H61" i="17" s="1"/>
  <c r="H88" i="17" s="1"/>
  <c r="H32" i="17"/>
  <c r="H31" i="17"/>
  <c r="H30" i="17"/>
  <c r="H29" i="17"/>
  <c r="H57" i="17" s="1"/>
  <c r="H84" i="17" s="1"/>
  <c r="H28" i="17"/>
  <c r="H27" i="17"/>
  <c r="L37" i="17"/>
  <c r="H15" i="15" s="1"/>
  <c r="H15" i="14" s="1"/>
  <c r="L36" i="17"/>
  <c r="L35" i="17"/>
  <c r="L34" i="17"/>
  <c r="L33" i="17"/>
  <c r="L61" i="17" s="1"/>
  <c r="L88" i="17" s="1"/>
  <c r="L32" i="17"/>
  <c r="L31" i="17"/>
  <c r="L30" i="17"/>
  <c r="L29" i="17"/>
  <c r="L57" i="17" s="1"/>
  <c r="L84" i="17" s="1"/>
  <c r="L28" i="17"/>
  <c r="L27" i="17"/>
  <c r="E37" i="17"/>
  <c r="H8" i="15" s="1"/>
  <c r="H8" i="14" s="1"/>
  <c r="E36" i="17"/>
  <c r="E35" i="17"/>
  <c r="E34" i="17"/>
  <c r="E33" i="17"/>
  <c r="E61" i="17" s="1"/>
  <c r="E88" i="17" s="1"/>
  <c r="E32" i="17"/>
  <c r="E31" i="17"/>
  <c r="E30" i="17"/>
  <c r="E29" i="17"/>
  <c r="E57" i="17" s="1"/>
  <c r="E84" i="17" s="1"/>
  <c r="E28" i="17"/>
  <c r="E27" i="17"/>
  <c r="I37" i="17"/>
  <c r="H12" i="15" s="1"/>
  <c r="H12" i="14" s="1"/>
  <c r="I36" i="17"/>
  <c r="I35" i="17"/>
  <c r="I34" i="17"/>
  <c r="I33" i="17"/>
  <c r="I61" i="17" s="1"/>
  <c r="I32" i="17"/>
  <c r="I31" i="17"/>
  <c r="I30" i="17"/>
  <c r="I29" i="17"/>
  <c r="I57" i="17" s="1"/>
  <c r="I28" i="17"/>
  <c r="I27" i="17"/>
  <c r="M37" i="17"/>
  <c r="H16" i="15" s="1"/>
  <c r="H16" i="14" s="1"/>
  <c r="M36" i="17"/>
  <c r="M35" i="17"/>
  <c r="M34" i="17"/>
  <c r="M33" i="17"/>
  <c r="M61" i="17" s="1"/>
  <c r="M88" i="17" s="1"/>
  <c r="M32" i="17"/>
  <c r="M31" i="17"/>
  <c r="M30" i="17"/>
  <c r="M29" i="17"/>
  <c r="M57" i="17" s="1"/>
  <c r="M84" i="17" s="1"/>
  <c r="M28" i="17"/>
  <c r="M27" i="17"/>
  <c r="I68" i="12"/>
  <c r="D8" i="12"/>
  <c r="O8" i="12"/>
  <c r="B26" i="12"/>
  <c r="F38" i="12" s="1"/>
  <c r="F39" i="12" s="1"/>
  <c r="F41" i="12" s="1"/>
  <c r="G41" i="12" s="1"/>
  <c r="A9" i="12"/>
  <c r="I73" i="37" l="1"/>
  <c r="I63" i="37"/>
  <c r="I64" i="37"/>
  <c r="I59" i="32"/>
  <c r="I66" i="32" s="1"/>
  <c r="I72" i="27"/>
  <c r="I73" i="27"/>
  <c r="F22" i="22"/>
  <c r="D24" i="22"/>
  <c r="D26" i="22" s="1"/>
  <c r="H56" i="6"/>
  <c r="H83" i="6" s="1"/>
  <c r="K11" i="2"/>
  <c r="K11" i="4" s="1"/>
  <c r="G31" i="6"/>
  <c r="H17" i="6"/>
  <c r="G15" i="6"/>
  <c r="F29" i="6"/>
  <c r="F57" i="6" s="1"/>
  <c r="F84" i="6" s="1"/>
  <c r="I6" i="2"/>
  <c r="J6" i="2"/>
  <c r="C59" i="6"/>
  <c r="C86" i="6" s="1"/>
  <c r="I20" i="6"/>
  <c r="H34" i="6"/>
  <c r="D63" i="6"/>
  <c r="D90" i="6" s="1"/>
  <c r="E7" i="2"/>
  <c r="E60" i="6"/>
  <c r="E87" i="6" s="1"/>
  <c r="C8" i="2"/>
  <c r="H23" i="6"/>
  <c r="G37" i="6"/>
  <c r="H10" i="2" s="1"/>
  <c r="H10" i="4" s="1"/>
  <c r="F35" i="6"/>
  <c r="F56" i="6"/>
  <c r="K9" i="2"/>
  <c r="K9" i="4" s="1"/>
  <c r="E63" i="6"/>
  <c r="E90" i="6" s="1"/>
  <c r="E8" i="2"/>
  <c r="E8" i="4" s="1"/>
  <c r="E55" i="6"/>
  <c r="G8" i="2"/>
  <c r="G8" i="4" s="1"/>
  <c r="E38" i="6"/>
  <c r="D6" i="4"/>
  <c r="H22" i="6"/>
  <c r="G36" i="6"/>
  <c r="D58" i="6"/>
  <c r="D85" i="6" s="1"/>
  <c r="F7" i="2"/>
  <c r="D38" i="6"/>
  <c r="F8" i="2"/>
  <c r="F8" i="4" s="1"/>
  <c r="E58" i="6"/>
  <c r="E85" i="6" s="1"/>
  <c r="N82" i="6"/>
  <c r="F58" i="6"/>
  <c r="F85" i="6" s="1"/>
  <c r="F9" i="2"/>
  <c r="F9" i="4" s="1"/>
  <c r="F31" i="6"/>
  <c r="H21" i="6"/>
  <c r="G35" i="6"/>
  <c r="A10" i="2"/>
  <c r="A9" i="3"/>
  <c r="A9" i="4" s="1"/>
  <c r="C56" i="6"/>
  <c r="C83" i="6" s="1"/>
  <c r="K6" i="2"/>
  <c r="C55" i="6"/>
  <c r="G6" i="2"/>
  <c r="C38" i="6"/>
  <c r="D83" i="6"/>
  <c r="F38" i="6"/>
  <c r="L8" i="2"/>
  <c r="L8" i="4" s="1"/>
  <c r="E64" i="6"/>
  <c r="E91" i="6" s="1"/>
  <c r="J7" i="2"/>
  <c r="J7" i="4" s="1"/>
  <c r="I7" i="2"/>
  <c r="I7" i="4" s="1"/>
  <c r="D59" i="6"/>
  <c r="D86" i="6" s="1"/>
  <c r="J55" i="6"/>
  <c r="G13" i="2"/>
  <c r="G13" i="4" s="1"/>
  <c r="H16" i="6"/>
  <c r="G30" i="6"/>
  <c r="D9" i="2"/>
  <c r="D9" i="4" s="1"/>
  <c r="F62" i="6"/>
  <c r="F89" i="6" s="1"/>
  <c r="I28" i="6"/>
  <c r="J14" i="6"/>
  <c r="L7" i="2"/>
  <c r="L7" i="4" s="1"/>
  <c r="D64" i="6"/>
  <c r="D91" i="6" s="1"/>
  <c r="G83" i="6"/>
  <c r="L9" i="2"/>
  <c r="L9" i="4" s="1"/>
  <c r="F64" i="6"/>
  <c r="F91" i="6" s="1"/>
  <c r="J8" i="2"/>
  <c r="J8" i="4" s="1"/>
  <c r="I8" i="2"/>
  <c r="I8" i="4" s="1"/>
  <c r="E59" i="6"/>
  <c r="E86" i="6" s="1"/>
  <c r="H19" i="6"/>
  <c r="G33" i="6"/>
  <c r="G61" i="6" s="1"/>
  <c r="G88" i="6" s="1"/>
  <c r="K8" i="2"/>
  <c r="K8" i="4" s="1"/>
  <c r="E56" i="6"/>
  <c r="E83" i="6" s="1"/>
  <c r="L6" i="2"/>
  <c r="C64" i="6"/>
  <c r="C91" i="6" s="1"/>
  <c r="G62" i="6"/>
  <c r="G89" i="6" s="1"/>
  <c r="D10" i="2"/>
  <c r="D10" i="4" s="1"/>
  <c r="C7" i="2"/>
  <c r="D60" i="6"/>
  <c r="D87" i="6" s="1"/>
  <c r="D7" i="2"/>
  <c r="D7" i="4" s="1"/>
  <c r="D62" i="6"/>
  <c r="D89" i="6" s="1"/>
  <c r="F32" i="6"/>
  <c r="G18" i="6"/>
  <c r="D65" i="6"/>
  <c r="D92" i="6" s="1"/>
  <c r="G53" i="5"/>
  <c r="I53" i="5" s="1"/>
  <c r="I58" i="5" s="1"/>
  <c r="H9" i="4"/>
  <c r="H82" i="6"/>
  <c r="K22" i="11"/>
  <c r="C38" i="11"/>
  <c r="A3" i="11"/>
  <c r="I55" i="17"/>
  <c r="I38" i="17"/>
  <c r="G12" i="15"/>
  <c r="G12" i="14" s="1"/>
  <c r="E56" i="17"/>
  <c r="E83" i="17" s="1"/>
  <c r="K8" i="15"/>
  <c r="K8" i="14" s="1"/>
  <c r="H58" i="17"/>
  <c r="H85" i="17" s="1"/>
  <c r="F11" i="15"/>
  <c r="F11" i="14" s="1"/>
  <c r="G56" i="17"/>
  <c r="G83" i="17" s="1"/>
  <c r="K10" i="15"/>
  <c r="K10" i="14" s="1"/>
  <c r="G60" i="17"/>
  <c r="G87" i="17" s="1"/>
  <c r="C10" i="15"/>
  <c r="O88" i="17"/>
  <c r="J62" i="17"/>
  <c r="J89" i="17" s="1"/>
  <c r="D13" i="15"/>
  <c r="D13" i="14" s="1"/>
  <c r="F56" i="17"/>
  <c r="F83" i="17" s="1"/>
  <c r="K9" i="15"/>
  <c r="K9" i="14" s="1"/>
  <c r="F64" i="17"/>
  <c r="F91" i="17" s="1"/>
  <c r="L9" i="15"/>
  <c r="L9" i="14" s="1"/>
  <c r="M55" i="17"/>
  <c r="M38" i="17"/>
  <c r="G16" i="15"/>
  <c r="G16" i="14" s="1"/>
  <c r="M59" i="17"/>
  <c r="M86" i="17" s="1"/>
  <c r="I16" i="15"/>
  <c r="I16" i="14" s="1"/>
  <c r="J16" i="15"/>
  <c r="J16" i="14" s="1"/>
  <c r="M63" i="17"/>
  <c r="M90" i="17" s="1"/>
  <c r="E16" i="15"/>
  <c r="E16" i="14" s="1"/>
  <c r="I56" i="17"/>
  <c r="I83" i="17" s="1"/>
  <c r="K12" i="15"/>
  <c r="K12" i="14" s="1"/>
  <c r="I60" i="17"/>
  <c r="I87" i="17" s="1"/>
  <c r="C12" i="15"/>
  <c r="I64" i="17"/>
  <c r="I91" i="17" s="1"/>
  <c r="L12" i="15"/>
  <c r="L12" i="14" s="1"/>
  <c r="L58" i="17"/>
  <c r="L85" i="17" s="1"/>
  <c r="F15" i="15"/>
  <c r="F15" i="14" s="1"/>
  <c r="L62" i="17"/>
  <c r="L89" i="17" s="1"/>
  <c r="D15" i="15"/>
  <c r="D15" i="14" s="1"/>
  <c r="H55" i="17"/>
  <c r="H38" i="17"/>
  <c r="G11" i="15"/>
  <c r="G11" i="14" s="1"/>
  <c r="H59" i="17"/>
  <c r="H86" i="17" s="1"/>
  <c r="I11" i="15"/>
  <c r="I11" i="14" s="1"/>
  <c r="J11" i="15"/>
  <c r="J11" i="14" s="1"/>
  <c r="H63" i="17"/>
  <c r="H90" i="17" s="1"/>
  <c r="E11" i="15"/>
  <c r="E11" i="14" s="1"/>
  <c r="D56" i="17"/>
  <c r="D83" i="17" s="1"/>
  <c r="K7" i="15"/>
  <c r="K7" i="14" s="1"/>
  <c r="D60" i="17"/>
  <c r="D87" i="17" s="1"/>
  <c r="C7" i="15"/>
  <c r="D64" i="17"/>
  <c r="D91" i="17" s="1"/>
  <c r="L7" i="15"/>
  <c r="L7" i="14" s="1"/>
  <c r="K55" i="17"/>
  <c r="K38" i="17"/>
  <c r="G14" i="15"/>
  <c r="G14" i="14" s="1"/>
  <c r="K59" i="17"/>
  <c r="K86" i="17" s="1"/>
  <c r="I14" i="15"/>
  <c r="I14" i="14" s="1"/>
  <c r="J14" i="15"/>
  <c r="J14" i="14" s="1"/>
  <c r="K63" i="17"/>
  <c r="K90" i="17" s="1"/>
  <c r="E14" i="15"/>
  <c r="E14" i="14" s="1"/>
  <c r="C58" i="17"/>
  <c r="C85" i="17" s="1"/>
  <c r="F6" i="15"/>
  <c r="C62" i="17"/>
  <c r="C89" i="17" s="1"/>
  <c r="D6" i="15"/>
  <c r="N38" i="17"/>
  <c r="N55" i="17"/>
  <c r="G17" i="15"/>
  <c r="G17" i="14" s="1"/>
  <c r="J17" i="15"/>
  <c r="J17" i="14" s="1"/>
  <c r="I17" i="15"/>
  <c r="I17" i="14" s="1"/>
  <c r="N59" i="17"/>
  <c r="N86" i="17" s="1"/>
  <c r="E17" i="15"/>
  <c r="E17" i="14" s="1"/>
  <c r="N63" i="17"/>
  <c r="N90" i="17" s="1"/>
  <c r="J38" i="17"/>
  <c r="J55" i="17"/>
  <c r="G13" i="15"/>
  <c r="G13" i="14" s="1"/>
  <c r="J59" i="17"/>
  <c r="J86" i="17" s="1"/>
  <c r="I13" i="15"/>
  <c r="I13" i="14" s="1"/>
  <c r="J13" i="15"/>
  <c r="J13" i="14" s="1"/>
  <c r="J63" i="17"/>
  <c r="J90" i="17" s="1"/>
  <c r="E13" i="15"/>
  <c r="E13" i="14" s="1"/>
  <c r="M62" i="17"/>
  <c r="M89" i="17" s="1"/>
  <c r="D16" i="15"/>
  <c r="D16" i="14" s="1"/>
  <c r="I63" i="17"/>
  <c r="I90" i="17" s="1"/>
  <c r="E12" i="15"/>
  <c r="E12" i="14" s="1"/>
  <c r="E64" i="17"/>
  <c r="E91" i="17" s="1"/>
  <c r="L8" i="15"/>
  <c r="L8" i="14" s="1"/>
  <c r="D55" i="17"/>
  <c r="D38" i="17"/>
  <c r="G7" i="15"/>
  <c r="G7" i="14" s="1"/>
  <c r="D63" i="17"/>
  <c r="D90" i="17" s="1"/>
  <c r="E7" i="15"/>
  <c r="E7" i="14" s="1"/>
  <c r="K62" i="17"/>
  <c r="K89" i="17" s="1"/>
  <c r="D14" i="15"/>
  <c r="D14" i="14" s="1"/>
  <c r="G64" i="17"/>
  <c r="G91" i="17" s="1"/>
  <c r="L10" i="15"/>
  <c r="L10" i="14" s="1"/>
  <c r="M56" i="17"/>
  <c r="M83" i="17" s="1"/>
  <c r="K16" i="15"/>
  <c r="K16" i="14" s="1"/>
  <c r="M60" i="17"/>
  <c r="M87" i="17" s="1"/>
  <c r="C16" i="15"/>
  <c r="M64" i="17"/>
  <c r="M91" i="17" s="1"/>
  <c r="L16" i="15"/>
  <c r="L16" i="14" s="1"/>
  <c r="E58" i="17"/>
  <c r="E85" i="17" s="1"/>
  <c r="F8" i="15"/>
  <c r="F8" i="14" s="1"/>
  <c r="E62" i="17"/>
  <c r="E89" i="17" s="1"/>
  <c r="D8" i="15"/>
  <c r="D8" i="14" s="1"/>
  <c r="L55" i="17"/>
  <c r="L38" i="17"/>
  <c r="G15" i="15"/>
  <c r="G15" i="14" s="1"/>
  <c r="L59" i="17"/>
  <c r="L86" i="17" s="1"/>
  <c r="I15" i="15"/>
  <c r="I15" i="14" s="1"/>
  <c r="J15" i="15"/>
  <c r="J15" i="14" s="1"/>
  <c r="L63" i="17"/>
  <c r="L90" i="17" s="1"/>
  <c r="E15" i="15"/>
  <c r="E15" i="14" s="1"/>
  <c r="H56" i="17"/>
  <c r="H83" i="17" s="1"/>
  <c r="K11" i="15"/>
  <c r="K11" i="14" s="1"/>
  <c r="H60" i="17"/>
  <c r="H87" i="17" s="1"/>
  <c r="C11" i="15"/>
  <c r="H64" i="17"/>
  <c r="H91" i="17" s="1"/>
  <c r="L11" i="15"/>
  <c r="L11" i="14" s="1"/>
  <c r="K56" i="17"/>
  <c r="K83" i="17" s="1"/>
  <c r="K14" i="15"/>
  <c r="K14" i="14" s="1"/>
  <c r="K60" i="17"/>
  <c r="K87" i="17" s="1"/>
  <c r="C14" i="15"/>
  <c r="K64" i="17"/>
  <c r="K91" i="17" s="1"/>
  <c r="L14" i="15"/>
  <c r="L14" i="14" s="1"/>
  <c r="G58" i="17"/>
  <c r="G85" i="17" s="1"/>
  <c r="F10" i="15"/>
  <c r="F10" i="14" s="1"/>
  <c r="G62" i="17"/>
  <c r="G89" i="17" s="1"/>
  <c r="D10" i="15"/>
  <c r="D10" i="14" s="1"/>
  <c r="C55" i="17"/>
  <c r="C38" i="17"/>
  <c r="G6" i="15"/>
  <c r="C59" i="17"/>
  <c r="C86" i="17" s="1"/>
  <c r="I6" i="15"/>
  <c r="J6" i="15"/>
  <c r="C63" i="17"/>
  <c r="C90" i="17" s="1"/>
  <c r="E6" i="15"/>
  <c r="N56" i="17"/>
  <c r="N83" i="17" s="1"/>
  <c r="K17" i="15"/>
  <c r="K17" i="14" s="1"/>
  <c r="N60" i="17"/>
  <c r="N87" i="17" s="1"/>
  <c r="C17" i="15"/>
  <c r="N64" i="17"/>
  <c r="N91" i="17" s="1"/>
  <c r="L17" i="15"/>
  <c r="L17" i="14" s="1"/>
  <c r="J56" i="17"/>
  <c r="J83" i="17" s="1"/>
  <c r="K13" i="15"/>
  <c r="K13" i="14" s="1"/>
  <c r="J60" i="17"/>
  <c r="J87" i="17" s="1"/>
  <c r="C13" i="15"/>
  <c r="J64" i="17"/>
  <c r="J91" i="17" s="1"/>
  <c r="L13" i="15"/>
  <c r="L13" i="14" s="1"/>
  <c r="F58" i="17"/>
  <c r="F85" i="17" s="1"/>
  <c r="F9" i="15"/>
  <c r="F9" i="14" s="1"/>
  <c r="F62" i="17"/>
  <c r="F89" i="17" s="1"/>
  <c r="D9" i="15"/>
  <c r="D9" i="14" s="1"/>
  <c r="I58" i="17"/>
  <c r="I85" i="17" s="1"/>
  <c r="F12" i="15"/>
  <c r="F12" i="14" s="1"/>
  <c r="I62" i="17"/>
  <c r="I89" i="17" s="1"/>
  <c r="D12" i="15"/>
  <c r="D12" i="14" s="1"/>
  <c r="E55" i="17"/>
  <c r="E38" i="17"/>
  <c r="G8" i="15"/>
  <c r="G8" i="14" s="1"/>
  <c r="E59" i="17"/>
  <c r="E86" i="17" s="1"/>
  <c r="I8" i="15"/>
  <c r="I8" i="14" s="1"/>
  <c r="J8" i="15"/>
  <c r="J8" i="14" s="1"/>
  <c r="E63" i="17"/>
  <c r="E90" i="17" s="1"/>
  <c r="E8" i="15"/>
  <c r="E8" i="14" s="1"/>
  <c r="L56" i="17"/>
  <c r="L83" i="17" s="1"/>
  <c r="K15" i="15"/>
  <c r="K15" i="14" s="1"/>
  <c r="L60" i="17"/>
  <c r="L87" i="17" s="1"/>
  <c r="C15" i="15"/>
  <c r="L64" i="17"/>
  <c r="L91" i="17" s="1"/>
  <c r="L15" i="15"/>
  <c r="L15" i="14" s="1"/>
  <c r="D58" i="17"/>
  <c r="D85" i="17" s="1"/>
  <c r="F7" i="15"/>
  <c r="F7" i="14" s="1"/>
  <c r="D62" i="17"/>
  <c r="D89" i="17" s="1"/>
  <c r="D7" i="15"/>
  <c r="D7" i="14" s="1"/>
  <c r="G55" i="17"/>
  <c r="G38" i="17"/>
  <c r="G10" i="15"/>
  <c r="G10" i="14" s="1"/>
  <c r="G59" i="17"/>
  <c r="G86" i="17" s="1"/>
  <c r="I10" i="15"/>
  <c r="I10" i="14" s="1"/>
  <c r="J10" i="15"/>
  <c r="J10" i="14" s="1"/>
  <c r="G63" i="17"/>
  <c r="G90" i="17" s="1"/>
  <c r="E10" i="15"/>
  <c r="E10" i="14" s="1"/>
  <c r="C56" i="17"/>
  <c r="C83" i="17" s="1"/>
  <c r="K6" i="15"/>
  <c r="C60" i="17"/>
  <c r="C87" i="17" s="1"/>
  <c r="C6" i="15"/>
  <c r="C64" i="17"/>
  <c r="C91" i="17" s="1"/>
  <c r="L6" i="15"/>
  <c r="F38" i="17"/>
  <c r="F55" i="17"/>
  <c r="G9" i="15"/>
  <c r="G9" i="14" s="1"/>
  <c r="F59" i="17"/>
  <c r="F86" i="17" s="1"/>
  <c r="I9" i="15"/>
  <c r="I9" i="14" s="1"/>
  <c r="J9" i="15"/>
  <c r="J9" i="14" s="1"/>
  <c r="F63" i="17"/>
  <c r="F90" i="17" s="1"/>
  <c r="E9" i="15"/>
  <c r="E9" i="14" s="1"/>
  <c r="A10" i="16"/>
  <c r="A11" i="14"/>
  <c r="M58" i="17"/>
  <c r="M85" i="17" s="1"/>
  <c r="F16" i="15"/>
  <c r="F16" i="14" s="1"/>
  <c r="I59" i="17"/>
  <c r="I86" i="17" s="1"/>
  <c r="I12" i="15"/>
  <c r="I12" i="14" s="1"/>
  <c r="J12" i="15"/>
  <c r="J12" i="14" s="1"/>
  <c r="E60" i="17"/>
  <c r="E87" i="17" s="1"/>
  <c r="C8" i="15"/>
  <c r="H62" i="17"/>
  <c r="H89" i="17" s="1"/>
  <c r="D11" i="15"/>
  <c r="D11" i="14" s="1"/>
  <c r="D59" i="17"/>
  <c r="D86" i="17" s="1"/>
  <c r="I7" i="15"/>
  <c r="I7" i="14" s="1"/>
  <c r="J7" i="15"/>
  <c r="J7" i="14" s="1"/>
  <c r="K58" i="17"/>
  <c r="K85" i="17" s="1"/>
  <c r="F14" i="15"/>
  <c r="F14" i="14" s="1"/>
  <c r="O84" i="17"/>
  <c r="H18" i="15"/>
  <c r="H6" i="14"/>
  <c r="H18" i="14" s="1"/>
  <c r="F17" i="15"/>
  <c r="F17" i="14" s="1"/>
  <c r="N58" i="17"/>
  <c r="N85" i="17" s="1"/>
  <c r="N62" i="17"/>
  <c r="N89" i="17" s="1"/>
  <c r="D17" i="15"/>
  <c r="D17" i="14" s="1"/>
  <c r="J58" i="17"/>
  <c r="J85" i="17" s="1"/>
  <c r="F13" i="15"/>
  <c r="F13" i="14" s="1"/>
  <c r="F60" i="17"/>
  <c r="F87" i="17" s="1"/>
  <c r="C9" i="15"/>
  <c r="F8" i="12"/>
  <c r="O9" i="12"/>
  <c r="D9" i="12"/>
  <c r="F9" i="12" s="1"/>
  <c r="K9" i="12"/>
  <c r="A10" i="12"/>
  <c r="I75" i="37" l="1"/>
  <c r="I76" i="37"/>
  <c r="G31" i="22"/>
  <c r="G44" i="22" s="1"/>
  <c r="G51" i="22" s="1"/>
  <c r="G53" i="22" s="1"/>
  <c r="I53" i="22" s="1"/>
  <c r="F26" i="22"/>
  <c r="G56" i="22" s="1"/>
  <c r="G6" i="4"/>
  <c r="G18" i="4" s="1"/>
  <c r="G18" i="2"/>
  <c r="L10" i="2"/>
  <c r="L10" i="4" s="1"/>
  <c r="G64" i="6"/>
  <c r="G91" i="6" s="1"/>
  <c r="O91" i="17"/>
  <c r="O83" i="17"/>
  <c r="H18" i="6"/>
  <c r="G32" i="6"/>
  <c r="K12" i="2"/>
  <c r="K12" i="4" s="1"/>
  <c r="I56" i="6"/>
  <c r="D66" i="6"/>
  <c r="C82" i="6"/>
  <c r="C65" i="6"/>
  <c r="C66" i="6" s="1"/>
  <c r="G63" i="6"/>
  <c r="G90" i="6" s="1"/>
  <c r="E10" i="2"/>
  <c r="E10" i="4" s="1"/>
  <c r="I22" i="6"/>
  <c r="H36" i="6"/>
  <c r="E7" i="4"/>
  <c r="H15" i="6"/>
  <c r="G29" i="6"/>
  <c r="K14" i="6"/>
  <c r="J28" i="6"/>
  <c r="J20" i="6"/>
  <c r="I34" i="6"/>
  <c r="B55" i="11"/>
  <c r="B49" i="11"/>
  <c r="G58" i="11"/>
  <c r="G65" i="11"/>
  <c r="B47" i="11"/>
  <c r="F60" i="6"/>
  <c r="F87" i="6" s="1"/>
  <c r="C9" i="2"/>
  <c r="C7" i="4"/>
  <c r="N7" i="2"/>
  <c r="L6" i="4"/>
  <c r="M6" i="4" s="1"/>
  <c r="I19" i="6"/>
  <c r="H33" i="6"/>
  <c r="H61" i="6" s="1"/>
  <c r="H88" i="6" s="1"/>
  <c r="G58" i="6"/>
  <c r="G85" i="6" s="1"/>
  <c r="F10" i="2"/>
  <c r="F10" i="4" s="1"/>
  <c r="J82" i="6"/>
  <c r="D93" i="6"/>
  <c r="D94" i="6" s="1"/>
  <c r="D96" i="6" s="1"/>
  <c r="K6" i="4"/>
  <c r="I21" i="6"/>
  <c r="H35" i="6"/>
  <c r="F7" i="4"/>
  <c r="H37" i="6"/>
  <c r="H11" i="2" s="1"/>
  <c r="I23" i="6"/>
  <c r="J6" i="4"/>
  <c r="I17" i="6"/>
  <c r="H31" i="6"/>
  <c r="A11" i="2"/>
  <c r="A10" i="3"/>
  <c r="A10" i="4" s="1"/>
  <c r="E9" i="2"/>
  <c r="E9" i="4" s="1"/>
  <c r="F63" i="6"/>
  <c r="F90" i="6" s="1"/>
  <c r="I16" i="6"/>
  <c r="H30" i="6"/>
  <c r="J9" i="2"/>
  <c r="J9" i="4" s="1"/>
  <c r="I9" i="2"/>
  <c r="I9" i="4" s="1"/>
  <c r="F59" i="6"/>
  <c r="F86" i="6" s="1"/>
  <c r="N6" i="2"/>
  <c r="E65" i="6"/>
  <c r="E92" i="6" s="1"/>
  <c r="E82" i="6"/>
  <c r="E66" i="6"/>
  <c r="F83" i="6"/>
  <c r="C8" i="4"/>
  <c r="M8" i="4" s="1"/>
  <c r="N8" i="2"/>
  <c r="D11" i="2"/>
  <c r="D11" i="4" s="1"/>
  <c r="H62" i="6"/>
  <c r="H89" i="6" s="1"/>
  <c r="I6" i="4"/>
  <c r="I10" i="2"/>
  <c r="I10" i="4" s="1"/>
  <c r="J10" i="2"/>
  <c r="J10" i="4" s="1"/>
  <c r="G59" i="6"/>
  <c r="G86" i="6" s="1"/>
  <c r="N8" i="15"/>
  <c r="C8" i="14"/>
  <c r="M8" i="14" s="1"/>
  <c r="G82" i="17"/>
  <c r="G65" i="17"/>
  <c r="G92" i="17" s="1"/>
  <c r="O90" i="17"/>
  <c r="G18" i="15"/>
  <c r="G6" i="14"/>
  <c r="G18" i="14" s="1"/>
  <c r="O85" i="17"/>
  <c r="K82" i="17"/>
  <c r="K93" i="17" s="1"/>
  <c r="K66" i="17"/>
  <c r="K65" i="17"/>
  <c r="K92" i="17" s="1"/>
  <c r="M82" i="17"/>
  <c r="M65" i="17"/>
  <c r="M92" i="17" s="1"/>
  <c r="N10" i="15"/>
  <c r="C10" i="14"/>
  <c r="M10" i="14" s="1"/>
  <c r="O10" i="14" s="1"/>
  <c r="P10" i="14" s="1"/>
  <c r="F82" i="17"/>
  <c r="F93" i="17" s="1"/>
  <c r="F66" i="17"/>
  <c r="F65" i="17"/>
  <c r="F92" i="17" s="1"/>
  <c r="C18" i="15"/>
  <c r="N6" i="15"/>
  <c r="C6" i="14"/>
  <c r="N13" i="15"/>
  <c r="C13" i="14"/>
  <c r="M13" i="14" s="1"/>
  <c r="O13" i="14" s="1"/>
  <c r="P13" i="14" s="1"/>
  <c r="J18" i="15"/>
  <c r="J6" i="14"/>
  <c r="J18" i="14" s="1"/>
  <c r="N14" i="15"/>
  <c r="C14" i="14"/>
  <c r="M14" i="14" s="1"/>
  <c r="O14" i="14" s="1"/>
  <c r="P14" i="14" s="1"/>
  <c r="N16" i="15"/>
  <c r="C16" i="14"/>
  <c r="M16" i="14" s="1"/>
  <c r="O16" i="14" s="1"/>
  <c r="P16" i="14" s="1"/>
  <c r="D82" i="17"/>
  <c r="D66" i="17"/>
  <c r="D65" i="17"/>
  <c r="D92" i="17" s="1"/>
  <c r="D18" i="15"/>
  <c r="D6" i="14"/>
  <c r="D18" i="14" s="1"/>
  <c r="N12" i="15"/>
  <c r="C12" i="14"/>
  <c r="M12" i="14" s="1"/>
  <c r="O12" i="14" s="1"/>
  <c r="P12" i="14" s="1"/>
  <c r="N9" i="15"/>
  <c r="C9" i="14"/>
  <c r="M9" i="14" s="1"/>
  <c r="A12" i="14"/>
  <c r="A11" i="16"/>
  <c r="O87" i="17"/>
  <c r="E82" i="17"/>
  <c r="E65" i="17"/>
  <c r="E92" i="17" s="1"/>
  <c r="I18" i="15"/>
  <c r="I6" i="14"/>
  <c r="I18" i="14" s="1"/>
  <c r="C82" i="17"/>
  <c r="C66" i="17"/>
  <c r="C65" i="17"/>
  <c r="L82" i="17"/>
  <c r="L65" i="17"/>
  <c r="L92" i="17" s="1"/>
  <c r="O89" i="17"/>
  <c r="H82" i="17"/>
  <c r="H65" i="17"/>
  <c r="H92" i="17" s="1"/>
  <c r="I82" i="17"/>
  <c r="I65" i="17"/>
  <c r="I92" i="17" s="1"/>
  <c r="L18" i="15"/>
  <c r="L6" i="14"/>
  <c r="L18" i="14" s="1"/>
  <c r="K18" i="15"/>
  <c r="K6" i="14"/>
  <c r="K18" i="14" s="1"/>
  <c r="N15" i="15"/>
  <c r="C15" i="14"/>
  <c r="M15" i="14" s="1"/>
  <c r="O15" i="14" s="1"/>
  <c r="P15" i="14" s="1"/>
  <c r="N17" i="15"/>
  <c r="C17" i="14"/>
  <c r="M17" i="14" s="1"/>
  <c r="O17" i="14" s="1"/>
  <c r="P17" i="14" s="1"/>
  <c r="E18" i="15"/>
  <c r="E6" i="14"/>
  <c r="E18" i="14" s="1"/>
  <c r="O86" i="17"/>
  <c r="N11" i="15"/>
  <c r="C11" i="14"/>
  <c r="M11" i="14" s="1"/>
  <c r="O11" i="14" s="1"/>
  <c r="P11" i="14" s="1"/>
  <c r="J82" i="17"/>
  <c r="J93" i="17" s="1"/>
  <c r="J65" i="17"/>
  <c r="J92" i="17" s="1"/>
  <c r="J66" i="17"/>
  <c r="N82" i="17"/>
  <c r="N65" i="17"/>
  <c r="N92" i="17" s="1"/>
  <c r="F18" i="15"/>
  <c r="F6" i="14"/>
  <c r="F18" i="14" s="1"/>
  <c r="N7" i="15"/>
  <c r="C7" i="14"/>
  <c r="M7" i="14" s="1"/>
  <c r="A14" i="12"/>
  <c r="O10" i="12"/>
  <c r="D10" i="12"/>
  <c r="F10" i="12" s="1"/>
  <c r="K10" i="12"/>
  <c r="C34" i="12"/>
  <c r="D12" i="12"/>
  <c r="I56" i="22" l="1"/>
  <c r="I58" i="22" s="1"/>
  <c r="I65" i="22" s="1"/>
  <c r="O33" i="22"/>
  <c r="O34" i="22" s="1"/>
  <c r="R6" i="4"/>
  <c r="O8" i="11"/>
  <c r="O6" i="4"/>
  <c r="J16" i="6"/>
  <c r="I30" i="6"/>
  <c r="C9" i="4"/>
  <c r="M9" i="4" s="1"/>
  <c r="N9" i="2"/>
  <c r="H64" i="6"/>
  <c r="H91" i="6" s="1"/>
  <c r="L11" i="2"/>
  <c r="G93" i="17"/>
  <c r="E93" i="6"/>
  <c r="E94" i="6" s="1"/>
  <c r="E96" i="6" s="1"/>
  <c r="K20" i="6"/>
  <c r="J34" i="6"/>
  <c r="I15" i="6"/>
  <c r="H29" i="6"/>
  <c r="J22" i="6"/>
  <c r="I36" i="6"/>
  <c r="I83" i="6"/>
  <c r="A11" i="3"/>
  <c r="A11" i="4" s="1"/>
  <c r="A12" i="2"/>
  <c r="C92" i="6"/>
  <c r="C52" i="6"/>
  <c r="J94" i="17"/>
  <c r="J96" i="17" s="1"/>
  <c r="I11" i="2"/>
  <c r="H59" i="6"/>
  <c r="H86" i="6" s="1"/>
  <c r="J11" i="2"/>
  <c r="J23" i="6"/>
  <c r="I37" i="6"/>
  <c r="H12" i="2" s="1"/>
  <c r="H12" i="4" s="1"/>
  <c r="I33" i="6"/>
  <c r="I61" i="6" s="1"/>
  <c r="J19" i="6"/>
  <c r="K13" i="2"/>
  <c r="J56" i="6"/>
  <c r="C93" i="6"/>
  <c r="C94" i="6" s="1"/>
  <c r="C96" i="6" s="1"/>
  <c r="O8" i="4"/>
  <c r="R8" i="4"/>
  <c r="O10" i="11"/>
  <c r="J21" i="6"/>
  <c r="I35" i="6"/>
  <c r="I62" i="6"/>
  <c r="I89" i="6" s="1"/>
  <c r="D12" i="2"/>
  <c r="G57" i="6"/>
  <c r="G38" i="6"/>
  <c r="H32" i="6"/>
  <c r="I18" i="6"/>
  <c r="N93" i="17"/>
  <c r="F94" i="17"/>
  <c r="F96" i="17" s="1"/>
  <c r="M66" i="17"/>
  <c r="K94" i="17"/>
  <c r="K96" i="17" s="1"/>
  <c r="F65" i="6"/>
  <c r="F92" i="6" s="1"/>
  <c r="F93" i="6" s="1"/>
  <c r="H58" i="6"/>
  <c r="H85" i="6" s="1"/>
  <c r="F11" i="2"/>
  <c r="F11" i="4" s="1"/>
  <c r="I31" i="6"/>
  <c r="J17" i="6"/>
  <c r="H11" i="4"/>
  <c r="E11" i="2"/>
  <c r="E11" i="4" s="1"/>
  <c r="H63" i="6"/>
  <c r="H90" i="6" s="1"/>
  <c r="M7" i="4"/>
  <c r="K28" i="6"/>
  <c r="L14" i="6"/>
  <c r="C10" i="2"/>
  <c r="G60" i="6"/>
  <c r="G87" i="6" s="1"/>
  <c r="O7" i="14"/>
  <c r="N66" i="17"/>
  <c r="N94" i="17" s="1"/>
  <c r="N96" i="17" s="1"/>
  <c r="I66" i="17"/>
  <c r="H93" i="17"/>
  <c r="L93" i="17"/>
  <c r="E93" i="17"/>
  <c r="O9" i="14"/>
  <c r="D93" i="17"/>
  <c r="D94" i="17" s="1"/>
  <c r="D96" i="17" s="1"/>
  <c r="G66" i="17"/>
  <c r="G94" i="17" s="1"/>
  <c r="G96" i="17" s="1"/>
  <c r="I93" i="17"/>
  <c r="I94" i="17" s="1"/>
  <c r="I96" i="17" s="1"/>
  <c r="C92" i="17"/>
  <c r="O92" i="17" s="1"/>
  <c r="C52" i="17"/>
  <c r="C18" i="14"/>
  <c r="M18" i="14" s="1"/>
  <c r="M6" i="14"/>
  <c r="A12" i="16"/>
  <c r="A13" i="14"/>
  <c r="N18" i="15"/>
  <c r="O8" i="14"/>
  <c r="H66" i="17"/>
  <c r="L66" i="17"/>
  <c r="C93" i="17"/>
  <c r="O82" i="17"/>
  <c r="E66" i="17"/>
  <c r="M93" i="17"/>
  <c r="M94" i="17" s="1"/>
  <c r="M96" i="17" s="1"/>
  <c r="A15" i="12"/>
  <c r="K14" i="12"/>
  <c r="O14" i="12"/>
  <c r="D14" i="12"/>
  <c r="O7" i="4" l="1"/>
  <c r="R7" i="4"/>
  <c r="O9" i="11"/>
  <c r="I64" i="6"/>
  <c r="I91" i="6" s="1"/>
  <c r="L12" i="2"/>
  <c r="L12" i="4" s="1"/>
  <c r="D13" i="2"/>
  <c r="D13" i="4" s="1"/>
  <c r="J62" i="6"/>
  <c r="J89" i="6" s="1"/>
  <c r="I11" i="4"/>
  <c r="K22" i="6"/>
  <c r="J36" i="6"/>
  <c r="K34" i="6"/>
  <c r="L20" i="6"/>
  <c r="R9" i="4"/>
  <c r="O9" i="4"/>
  <c r="O14" i="11"/>
  <c r="P6" i="4"/>
  <c r="D8" i="11"/>
  <c r="K19" i="6"/>
  <c r="J33" i="6"/>
  <c r="J61" i="6" s="1"/>
  <c r="J88" i="6" s="1"/>
  <c r="M14" i="6"/>
  <c r="L28" i="6"/>
  <c r="K17" i="6"/>
  <c r="J31" i="6"/>
  <c r="G84" i="6"/>
  <c r="G93" i="6" s="1"/>
  <c r="G65" i="6"/>
  <c r="G92" i="6" s="1"/>
  <c r="I63" i="6"/>
  <c r="I90" i="6" s="1"/>
  <c r="E12" i="2"/>
  <c r="P8" i="4"/>
  <c r="D10" i="11"/>
  <c r="F10" i="11" s="1"/>
  <c r="J83" i="6"/>
  <c r="K23" i="6"/>
  <c r="J37" i="6"/>
  <c r="H13" i="2" s="1"/>
  <c r="F66" i="6"/>
  <c r="F94" i="6" s="1"/>
  <c r="F96" i="6" s="1"/>
  <c r="H57" i="6"/>
  <c r="H38" i="6"/>
  <c r="L11" i="4"/>
  <c r="F12" i="2"/>
  <c r="F12" i="4" s="1"/>
  <c r="I58" i="6"/>
  <c r="I85" i="6" s="1"/>
  <c r="C10" i="4"/>
  <c r="N10" i="2"/>
  <c r="C11" i="2"/>
  <c r="H60" i="6"/>
  <c r="H87" i="6" s="1"/>
  <c r="K56" i="6"/>
  <c r="K14" i="2"/>
  <c r="K14" i="4" s="1"/>
  <c r="I59" i="6"/>
  <c r="I86" i="6" s="1"/>
  <c r="I12" i="2"/>
  <c r="I12" i="4" s="1"/>
  <c r="J12" i="2"/>
  <c r="J12" i="4" s="1"/>
  <c r="I32" i="6"/>
  <c r="J18" i="6"/>
  <c r="D12" i="4"/>
  <c r="K21" i="6"/>
  <c r="J35" i="6"/>
  <c r="K13" i="4"/>
  <c r="J11" i="4"/>
  <c r="A13" i="2"/>
  <c r="A12" i="3"/>
  <c r="A12" i="4" s="1"/>
  <c r="J15" i="6"/>
  <c r="I29" i="6"/>
  <c r="K16" i="6"/>
  <c r="J30" i="6"/>
  <c r="C94" i="17"/>
  <c r="C96" i="17" s="1"/>
  <c r="O93" i="17"/>
  <c r="A13" i="16"/>
  <c r="A14" i="14"/>
  <c r="E94" i="17"/>
  <c r="E96" i="17" s="1"/>
  <c r="P8" i="14"/>
  <c r="L94" i="17"/>
  <c r="L96" i="17" s="1"/>
  <c r="H94" i="17"/>
  <c r="H96" i="17" s="1"/>
  <c r="P7" i="14"/>
  <c r="O6" i="14"/>
  <c r="P9" i="14"/>
  <c r="F14" i="12"/>
  <c r="O15" i="12"/>
  <c r="D15" i="12"/>
  <c r="F15" i="12" s="1"/>
  <c r="K15" i="12"/>
  <c r="A16" i="12"/>
  <c r="E12" i="4" l="1"/>
  <c r="I57" i="6"/>
  <c r="I38" i="6"/>
  <c r="J63" i="6"/>
  <c r="J90" i="6" s="1"/>
  <c r="E13" i="2"/>
  <c r="E13" i="4" s="1"/>
  <c r="J32" i="6"/>
  <c r="K18" i="6"/>
  <c r="H13" i="4"/>
  <c r="J13" i="2"/>
  <c r="I13" i="2"/>
  <c r="I13" i="4" s="1"/>
  <c r="J59" i="6"/>
  <c r="J86" i="6" s="1"/>
  <c r="M20" i="6"/>
  <c r="L34" i="6"/>
  <c r="A14" i="2"/>
  <c r="A13" i="3"/>
  <c r="A13" i="4" s="1"/>
  <c r="M10" i="4"/>
  <c r="M28" i="6"/>
  <c r="N14" i="6"/>
  <c r="N28" i="6" s="1"/>
  <c r="L22" i="6"/>
  <c r="K36" i="6"/>
  <c r="F13" i="2"/>
  <c r="J58" i="6"/>
  <c r="J85" i="6" s="1"/>
  <c r="J29" i="6"/>
  <c r="K15" i="6"/>
  <c r="L21" i="6"/>
  <c r="K35" i="6"/>
  <c r="C12" i="2"/>
  <c r="I60" i="6"/>
  <c r="I87" i="6" s="1"/>
  <c r="K83" i="6"/>
  <c r="C11" i="4"/>
  <c r="M11" i="4" s="1"/>
  <c r="N11" i="2"/>
  <c r="K37" i="6"/>
  <c r="L23" i="6"/>
  <c r="L17" i="6"/>
  <c r="K31" i="6"/>
  <c r="K33" i="6"/>
  <c r="K61" i="6" s="1"/>
  <c r="K88" i="6" s="1"/>
  <c r="L19" i="6"/>
  <c r="D14" i="2"/>
  <c r="K62" i="6"/>
  <c r="K89" i="6" s="1"/>
  <c r="P7" i="4"/>
  <c r="D9" i="11"/>
  <c r="F9" i="11" s="1"/>
  <c r="D12" i="11"/>
  <c r="F8" i="11"/>
  <c r="K30" i="6"/>
  <c r="L16" i="6"/>
  <c r="H84" i="6"/>
  <c r="H66" i="6"/>
  <c r="H65" i="6"/>
  <c r="H92" i="6" s="1"/>
  <c r="G66" i="6"/>
  <c r="G94" i="6" s="1"/>
  <c r="G96" i="6" s="1"/>
  <c r="L56" i="6"/>
  <c r="K15" i="2"/>
  <c r="P9" i="4"/>
  <c r="D14" i="11"/>
  <c r="J64" i="6"/>
  <c r="J91" i="6" s="1"/>
  <c r="L13" i="2"/>
  <c r="P6" i="14"/>
  <c r="O18" i="14"/>
  <c r="P18" i="14" s="1"/>
  <c r="O4" i="14" s="1"/>
  <c r="A14" i="16"/>
  <c r="A15" i="14"/>
  <c r="A17" i="12"/>
  <c r="K16" i="12"/>
  <c r="O16" i="12"/>
  <c r="D16" i="12"/>
  <c r="F16" i="12" s="1"/>
  <c r="M16" i="6" l="1"/>
  <c r="L30" i="6"/>
  <c r="I14" i="2"/>
  <c r="K59" i="6"/>
  <c r="K86" i="6" s="1"/>
  <c r="J14" i="2"/>
  <c r="H14" i="2"/>
  <c r="J14" i="3"/>
  <c r="K63" i="6"/>
  <c r="K90" i="6" s="1"/>
  <c r="E14" i="2"/>
  <c r="E14" i="4" s="1"/>
  <c r="M22" i="6"/>
  <c r="L36" i="6"/>
  <c r="H93" i="6"/>
  <c r="H94" i="6" s="1"/>
  <c r="H96" i="6" s="1"/>
  <c r="K58" i="6"/>
  <c r="K85" i="6" s="1"/>
  <c r="F14" i="2"/>
  <c r="F14" i="4" s="1"/>
  <c r="D14" i="4"/>
  <c r="M17" i="6"/>
  <c r="L31" i="6"/>
  <c r="M21" i="6"/>
  <c r="L35" i="6"/>
  <c r="K17" i="2"/>
  <c r="K17" i="4" s="1"/>
  <c r="N56" i="6"/>
  <c r="R10" i="4"/>
  <c r="O10" i="4"/>
  <c r="M34" i="6"/>
  <c r="N20" i="6"/>
  <c r="N34" i="6" s="1"/>
  <c r="F14" i="11"/>
  <c r="J57" i="6"/>
  <c r="J38" i="6"/>
  <c r="L62" i="6"/>
  <c r="L89" i="6" s="1"/>
  <c r="D15" i="2"/>
  <c r="D15" i="4" s="1"/>
  <c r="J13" i="4"/>
  <c r="L13" i="4"/>
  <c r="M19" i="6"/>
  <c r="L33" i="6"/>
  <c r="L61" i="6" s="1"/>
  <c r="L88" i="6" s="1"/>
  <c r="O11" i="4"/>
  <c r="R11" i="4"/>
  <c r="O16" i="11"/>
  <c r="F13" i="4"/>
  <c r="K16" i="2"/>
  <c r="K16" i="4" s="1"/>
  <c r="M56" i="6"/>
  <c r="K32" i="6"/>
  <c r="L18" i="6"/>
  <c r="L83" i="6"/>
  <c r="K15" i="4"/>
  <c r="K18" i="4" s="1"/>
  <c r="M23" i="6"/>
  <c r="L37" i="6"/>
  <c r="H15" i="2" s="1"/>
  <c r="H15" i="4" s="1"/>
  <c r="C12" i="4"/>
  <c r="N12" i="2"/>
  <c r="K29" i="6"/>
  <c r="L15" i="6"/>
  <c r="K64" i="6"/>
  <c r="K91" i="6" s="1"/>
  <c r="L14" i="2"/>
  <c r="L14" i="4" s="1"/>
  <c r="A15" i="2"/>
  <c r="A14" i="3"/>
  <c r="A14" i="4" s="1"/>
  <c r="J60" i="6"/>
  <c r="J87" i="6" s="1"/>
  <c r="C13" i="2"/>
  <c r="I65" i="6"/>
  <c r="I92" i="6" s="1"/>
  <c r="I93" i="6" s="1"/>
  <c r="I94" i="6" s="1"/>
  <c r="I96" i="6" s="1"/>
  <c r="I66" i="6"/>
  <c r="A16" i="14"/>
  <c r="A15" i="16"/>
  <c r="O17" i="12"/>
  <c r="D17" i="12"/>
  <c r="F17" i="12" s="1"/>
  <c r="A18" i="12"/>
  <c r="K17" i="12"/>
  <c r="I14" i="4" l="1"/>
  <c r="A16" i="2"/>
  <c r="A15" i="3"/>
  <c r="A15" i="4" s="1"/>
  <c r="K57" i="6"/>
  <c r="K38" i="6"/>
  <c r="N23" i="6"/>
  <c r="N37" i="6" s="1"/>
  <c r="H17" i="2" s="1"/>
  <c r="H17" i="4" s="1"/>
  <c r="M37" i="6"/>
  <c r="H16" i="2" s="1"/>
  <c r="H16" i="4" s="1"/>
  <c r="K60" i="6"/>
  <c r="K87" i="6" s="1"/>
  <c r="C14" i="2"/>
  <c r="M83" i="6"/>
  <c r="N19" i="6"/>
  <c r="N33" i="6" s="1"/>
  <c r="N61" i="6" s="1"/>
  <c r="N88" i="6" s="1"/>
  <c r="M33" i="6"/>
  <c r="M61" i="6" s="1"/>
  <c r="M88" i="6" s="1"/>
  <c r="L63" i="6"/>
  <c r="L90" i="6" s="1"/>
  <c r="E15" i="2"/>
  <c r="M31" i="6"/>
  <c r="N17" i="6"/>
  <c r="N31" i="6" s="1"/>
  <c r="N22" i="6"/>
  <c r="N36" i="6" s="1"/>
  <c r="M36" i="6"/>
  <c r="H14" i="4"/>
  <c r="F15" i="2"/>
  <c r="F15" i="4" s="1"/>
  <c r="L58" i="6"/>
  <c r="L85" i="6" s="1"/>
  <c r="L29" i="6"/>
  <c r="M15" i="6"/>
  <c r="P10" i="4"/>
  <c r="D15" i="11"/>
  <c r="L64" i="6"/>
  <c r="L91" i="6" s="1"/>
  <c r="L15" i="2"/>
  <c r="L15" i="4" s="1"/>
  <c r="C13" i="4"/>
  <c r="M13" i="4" s="1"/>
  <c r="N13" i="2"/>
  <c r="J84" i="6"/>
  <c r="J93" i="6" s="1"/>
  <c r="J94" i="6" s="1"/>
  <c r="J96" i="6" s="1"/>
  <c r="J65" i="6"/>
  <c r="J92" i="6" s="1"/>
  <c r="J66" i="6"/>
  <c r="D17" i="2"/>
  <c r="D17" i="4" s="1"/>
  <c r="D18" i="4" s="1"/>
  <c r="N62" i="6"/>
  <c r="N89" i="6" s="1"/>
  <c r="N21" i="6"/>
  <c r="N35" i="6" s="1"/>
  <c r="M35" i="6"/>
  <c r="D18" i="2"/>
  <c r="J14" i="4"/>
  <c r="N16" i="6"/>
  <c r="N30" i="6" s="1"/>
  <c r="M30" i="6"/>
  <c r="M18" i="6"/>
  <c r="L32" i="6"/>
  <c r="J15" i="2"/>
  <c r="L59" i="6"/>
  <c r="L86" i="6" s="1"/>
  <c r="I15" i="2"/>
  <c r="I15" i="4" s="1"/>
  <c r="M12" i="4"/>
  <c r="K18" i="2"/>
  <c r="P11" i="4"/>
  <c r="D16" i="11"/>
  <c r="F16" i="11" s="1"/>
  <c r="M62" i="6"/>
  <c r="M89" i="6" s="1"/>
  <c r="D16" i="2"/>
  <c r="D16" i="4" s="1"/>
  <c r="N83" i="6"/>
  <c r="A17" i="14"/>
  <c r="A1" i="16"/>
  <c r="A19" i="12"/>
  <c r="K18" i="12"/>
  <c r="O18" i="12"/>
  <c r="D18" i="12"/>
  <c r="O12" i="4" l="1"/>
  <c r="R12" i="4"/>
  <c r="O17" i="11"/>
  <c r="C15" i="2"/>
  <c r="L60" i="6"/>
  <c r="L87" i="6" s="1"/>
  <c r="N64" i="6"/>
  <c r="N91" i="6" s="1"/>
  <c r="L17" i="2"/>
  <c r="L17" i="4" s="1"/>
  <c r="N18" i="6"/>
  <c r="N32" i="6" s="1"/>
  <c r="M32" i="6"/>
  <c r="R13" i="4"/>
  <c r="O13" i="4"/>
  <c r="O18" i="11"/>
  <c r="F15" i="11"/>
  <c r="L57" i="6"/>
  <c r="L38" i="6"/>
  <c r="H18" i="2"/>
  <c r="I17" i="2"/>
  <c r="I17" i="4" s="1"/>
  <c r="J17" i="2"/>
  <c r="J17" i="4" s="1"/>
  <c r="N59" i="6"/>
  <c r="N86" i="6" s="1"/>
  <c r="H18" i="4"/>
  <c r="A16" i="3"/>
  <c r="A16" i="4" s="1"/>
  <c r="A17" i="2"/>
  <c r="M58" i="6"/>
  <c r="M85" i="6" s="1"/>
  <c r="F16" i="2"/>
  <c r="F16" i="4" s="1"/>
  <c r="E16" i="2"/>
  <c r="E16" i="4" s="1"/>
  <c r="M63" i="6"/>
  <c r="M90" i="6" s="1"/>
  <c r="I16" i="2"/>
  <c r="I16" i="4" s="1"/>
  <c r="M59" i="6"/>
  <c r="M86" i="6" s="1"/>
  <c r="J16" i="2"/>
  <c r="J16" i="4" s="1"/>
  <c r="C14" i="4"/>
  <c r="N14" i="2"/>
  <c r="N15" i="6"/>
  <c r="N29" i="6" s="1"/>
  <c r="M29" i="6"/>
  <c r="J15" i="4"/>
  <c r="J18" i="2"/>
  <c r="F17" i="2"/>
  <c r="N58" i="6"/>
  <c r="N85" i="6" s="1"/>
  <c r="E17" i="2"/>
  <c r="E17" i="4" s="1"/>
  <c r="N63" i="6"/>
  <c r="N90" i="6" s="1"/>
  <c r="M64" i="6"/>
  <c r="M91" i="6" s="1"/>
  <c r="L16" i="2"/>
  <c r="E15" i="4"/>
  <c r="E18" i="2"/>
  <c r="K84" i="6"/>
  <c r="K65" i="6"/>
  <c r="K92" i="6" s="1"/>
  <c r="K66" i="6"/>
  <c r="I18" i="4"/>
  <c r="F18" i="12"/>
  <c r="O19" i="12"/>
  <c r="D19" i="12"/>
  <c r="F19" i="12" s="1"/>
  <c r="A20" i="12"/>
  <c r="K19" i="12"/>
  <c r="E18" i="4" l="1"/>
  <c r="I18" i="2"/>
  <c r="J18" i="4"/>
  <c r="L84" i="6"/>
  <c r="L66" i="6"/>
  <c r="L65" i="6"/>
  <c r="L92" i="6" s="1"/>
  <c r="P13" i="4"/>
  <c r="D18" i="11"/>
  <c r="F18" i="11" s="1"/>
  <c r="L18" i="4"/>
  <c r="L16" i="4"/>
  <c r="L18" i="2"/>
  <c r="K93" i="6"/>
  <c r="K94" i="6" s="1"/>
  <c r="K96" i="6" s="1"/>
  <c r="F17" i="4"/>
  <c r="F18" i="4" s="1"/>
  <c r="F18" i="2"/>
  <c r="M57" i="6"/>
  <c r="M38" i="6"/>
  <c r="M14" i="4"/>
  <c r="C16" i="2"/>
  <c r="M60" i="6"/>
  <c r="M87" i="6" s="1"/>
  <c r="P12" i="4"/>
  <c r="N57" i="6"/>
  <c r="N38" i="6"/>
  <c r="A1" i="2"/>
  <c r="A17" i="3"/>
  <c r="N60" i="6"/>
  <c r="N87" i="6" s="1"/>
  <c r="C17" i="2"/>
  <c r="C15" i="4"/>
  <c r="M15" i="4" s="1"/>
  <c r="N15" i="2"/>
  <c r="K20" i="12"/>
  <c r="A21" i="12"/>
  <c r="O20" i="12"/>
  <c r="D20" i="12"/>
  <c r="F20" i="12" s="1"/>
  <c r="C17" i="4" l="1"/>
  <c r="M17" i="4" s="1"/>
  <c r="N17" i="2"/>
  <c r="C18" i="2"/>
  <c r="L93" i="6"/>
  <c r="L94" i="6" s="1"/>
  <c r="L96" i="6" s="1"/>
  <c r="C16" i="4"/>
  <c r="M16" i="4" s="1"/>
  <c r="N16" i="2"/>
  <c r="M84" i="6"/>
  <c r="M65" i="6"/>
  <c r="M92" i="6" s="1"/>
  <c r="N84" i="6"/>
  <c r="N93" i="6" s="1"/>
  <c r="N65" i="6"/>
  <c r="N92" i="6" s="1"/>
  <c r="N66" i="6"/>
  <c r="A17" i="4"/>
  <c r="A1" i="3"/>
  <c r="C18" i="4"/>
  <c r="M18" i="4" s="1"/>
  <c r="R15" i="4"/>
  <c r="O15" i="4"/>
  <c r="P15" i="4" s="1"/>
  <c r="O14" i="4"/>
  <c r="R14" i="4"/>
  <c r="O21" i="12"/>
  <c r="D21" i="12"/>
  <c r="F21" i="12" s="1"/>
  <c r="K21" i="12"/>
  <c r="A22" i="12"/>
  <c r="M93" i="6" l="1"/>
  <c r="N94" i="6"/>
  <c r="N96" i="6" s="1"/>
  <c r="N18" i="2"/>
  <c r="P14" i="4"/>
  <c r="M66" i="6"/>
  <c r="O16" i="4"/>
  <c r="P16" i="4" s="1"/>
  <c r="R16" i="4"/>
  <c r="R17" i="4"/>
  <c r="O17" i="4"/>
  <c r="A3" i="12"/>
  <c r="O22" i="12"/>
  <c r="O25" i="12" s="1"/>
  <c r="O26" i="12" s="1"/>
  <c r="O32" i="12" s="1"/>
  <c r="D22" i="12"/>
  <c r="K22" i="12"/>
  <c r="C38" i="12"/>
  <c r="P17" i="4" l="1"/>
  <c r="O15" i="11"/>
  <c r="O19" i="11"/>
  <c r="O21" i="11"/>
  <c r="D17" i="11"/>
  <c r="O22" i="11"/>
  <c r="D19" i="11"/>
  <c r="F19" i="11" s="1"/>
  <c r="O20" i="11"/>
  <c r="D20" i="11"/>
  <c r="F20" i="11" s="1"/>
  <c r="D22" i="11"/>
  <c r="F22" i="11" s="1"/>
  <c r="D21" i="11"/>
  <c r="F21" i="11" s="1"/>
  <c r="O18" i="4"/>
  <c r="M94" i="6"/>
  <c r="M96" i="6" s="1"/>
  <c r="B47" i="12"/>
  <c r="G58" i="12"/>
  <c r="B55" i="12"/>
  <c r="G70" i="12"/>
  <c r="B49" i="12"/>
  <c r="F22" i="12"/>
  <c r="D24" i="12"/>
  <c r="D26" i="12" s="1"/>
  <c r="P18" i="4" l="1"/>
  <c r="O4" i="4" s="1"/>
  <c r="Q18" i="4"/>
  <c r="O25" i="11"/>
  <c r="O26" i="11" s="1"/>
  <c r="O32" i="11" s="1"/>
  <c r="F17" i="11"/>
  <c r="D24" i="11"/>
  <c r="D26" i="11" s="1"/>
  <c r="G31" i="12"/>
  <c r="G44" i="12" s="1"/>
  <c r="G51" i="12" s="1"/>
  <c r="G53" i="12" s="1"/>
  <c r="I53" i="12" s="1"/>
  <c r="F26" i="12"/>
  <c r="G56" i="12" s="1"/>
  <c r="G31" i="11" l="1"/>
  <c r="G44" i="11" s="1"/>
  <c r="G51" i="11" s="1"/>
  <c r="G53" i="11" s="1"/>
  <c r="I53" i="11" s="1"/>
  <c r="F26" i="11"/>
  <c r="G56" i="11" s="1"/>
  <c r="I56" i="12"/>
  <c r="I58" i="12" s="1"/>
  <c r="O33" i="12"/>
  <c r="O34" i="12" s="1"/>
  <c r="O33" i="11" l="1"/>
  <c r="O34" i="11" s="1"/>
  <c r="I56" i="11"/>
  <c r="I58" i="11" s="1"/>
  <c r="I65" i="11" s="1"/>
  <c r="I60" i="12"/>
  <c r="I70" i="12"/>
  <c r="I61" i="12"/>
  <c r="I73" i="12" l="1"/>
  <c r="I72" i="12"/>
</calcChain>
</file>

<file path=xl/comments1.xml><?xml version="1.0" encoding="utf-8"?>
<comments xmlns="http://schemas.openxmlformats.org/spreadsheetml/2006/main">
  <authors>
    <author>MG00005</author>
  </authors>
  <commentList>
    <comment ref="F33" authorId="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10.xml><?xml version="1.0" encoding="utf-8"?>
<comments xmlns="http://schemas.openxmlformats.org/spreadsheetml/2006/main">
  <authors>
    <author>Vander Zalm, Connor</author>
    <author>Alex Brenner</author>
  </authors>
  <commentList>
    <comment ref="C7" author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1">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11.xml><?xml version="1.0" encoding="utf-8"?>
<comments xmlns="http://schemas.openxmlformats.org/spreadsheetml/2006/main">
  <authors>
    <author>Vander Zalm, Connor</author>
    <author>Alex Brenner</author>
  </authors>
  <commentList>
    <comment ref="B8" author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3" authorId="1">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7" authorId="1">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12.xml><?xml version="1.0" encoding="utf-8"?>
<comments xmlns="http://schemas.openxmlformats.org/spreadsheetml/2006/main">
  <authors>
    <author>Alex Brenner</author>
    <author>Vander Zalm, Connor</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C7" authorId="1">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13.xml><?xml version="1.0" encoding="utf-8"?>
<comments xmlns="http://schemas.openxmlformats.org/spreadsheetml/2006/main">
  <authors>
    <author>Vander Zalm, Connor</author>
    <author>Alex Brenner</author>
  </authors>
  <commentList>
    <comment ref="B8" author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3" authorId="1">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7" authorId="1">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14.xml><?xml version="1.0" encoding="utf-8"?>
<comments xmlns="http://schemas.openxmlformats.org/spreadsheetml/2006/main">
  <authors>
    <author>Alex Brenner</author>
    <author>Vander Zalm, Connor</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C7" authorId="1">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15.xml><?xml version="1.0" encoding="utf-8"?>
<comments xmlns="http://schemas.openxmlformats.org/spreadsheetml/2006/main">
  <authors>
    <author>Christensen, Abby Rose</author>
    <author>Vander Zalm, Connor</author>
  </authors>
  <commentList>
    <comment ref="B8" authorId="0">
      <text>
        <r>
          <rPr>
            <b/>
            <sz val="9"/>
            <color indexed="81"/>
            <rFont val="Tahoma"/>
            <family val="2"/>
          </rPr>
          <t>Christensen, Abby Rose:</t>
        </r>
        <r>
          <rPr>
            <sz val="9"/>
            <color indexed="81"/>
            <rFont val="Tahoma"/>
            <family val="2"/>
          </rPr>
          <t xml:space="preserve">
Only includes Kenmore and Unincorp. County.  No MF in Beaux Arts, Hunts Point, Medina, or Yarrow Point</t>
        </r>
      </text>
    </comment>
    <comment ref="B9" authorId="1">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List>
</comments>
</file>

<file path=xl/comments16.xml><?xml version="1.0" encoding="utf-8"?>
<comments xmlns="http://schemas.openxmlformats.org/spreadsheetml/2006/main">
  <authors>
    <author>Young, Mike (UTC)</author>
  </authors>
  <commentList>
    <comment ref="P17" authorId="0">
      <text>
        <r>
          <rPr>
            <b/>
            <sz val="9"/>
            <color indexed="81"/>
            <rFont val="Tahoma"/>
            <family val="2"/>
          </rPr>
          <t>Young, Mike (UTC):</t>
        </r>
        <r>
          <rPr>
            <sz val="9"/>
            <color indexed="81"/>
            <rFont val="Tahoma"/>
            <family val="2"/>
          </rPr>
          <t xml:space="preserve">
company cannot retain more than 50%</t>
        </r>
      </text>
    </comment>
  </commentList>
</comments>
</file>

<file path=xl/comments17.xml><?xml version="1.0" encoding="utf-8"?>
<comments xmlns="http://schemas.openxmlformats.org/spreadsheetml/2006/main">
  <authors>
    <author>Vander Zalm, Connor</author>
    <author>Alex Brenner</author>
  </authors>
  <commentList>
    <comment ref="C7" author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1">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2.xml><?xml version="1.0" encoding="utf-8"?>
<comments xmlns="http://schemas.openxmlformats.org/spreadsheetml/2006/main">
  <authors>
    <author>Mike Young</author>
  </authors>
  <commentList>
    <comment ref="AO13" authorId="0">
      <text>
        <r>
          <rPr>
            <b/>
            <sz val="9"/>
            <color indexed="81"/>
            <rFont val="Tahoma"/>
            <family val="2"/>
          </rPr>
          <t>Mike Young:</t>
        </r>
        <r>
          <rPr>
            <sz val="9"/>
            <color indexed="81"/>
            <rFont val="Tahoma"/>
            <family val="2"/>
          </rPr>
          <t xml:space="preserve">
for 2013 projection the company used only 7 months of data so projection was not very accurate.</t>
        </r>
      </text>
    </comment>
    <comment ref="AV25" authorId="0">
      <text>
        <r>
          <rPr>
            <b/>
            <sz val="9"/>
            <color indexed="81"/>
            <rFont val="Tahoma"/>
            <family val="2"/>
          </rPr>
          <t>Mike Young:</t>
        </r>
        <r>
          <rPr>
            <sz val="9"/>
            <color indexed="81"/>
            <rFont val="Tahoma"/>
            <family val="2"/>
          </rPr>
          <t xml:space="preserve">
forced to match company spreadsheet</t>
        </r>
      </text>
    </comment>
  </commentList>
</comments>
</file>

<file path=xl/comments3.xml><?xml version="1.0" encoding="utf-8"?>
<comments xmlns="http://schemas.openxmlformats.org/spreadsheetml/2006/main">
  <authors>
    <author>Christensen, Abby Rose</author>
    <author>Johnson, Carla</author>
  </authors>
  <commentList>
    <comment ref="B8" authorId="0">
      <text>
        <r>
          <rPr>
            <b/>
            <sz val="9"/>
            <color indexed="81"/>
            <rFont val="Tahoma"/>
            <family val="2"/>
          </rPr>
          <t>Christensen, Abby Rose:</t>
        </r>
        <r>
          <rPr>
            <sz val="9"/>
            <color indexed="81"/>
            <rFont val="Tahoma"/>
            <family val="2"/>
          </rPr>
          <t xml:space="preserve">
Only includes Kenmore and Unincorp. County.  No MF in Beaux Arts, Hunts Point, Medina, or Yarrow Point</t>
        </r>
      </text>
    </comment>
    <comment ref="B9" authorId="1">
      <text>
        <r>
          <rPr>
            <b/>
            <sz val="9"/>
            <color indexed="81"/>
            <rFont val="Tahoma"/>
            <family val="2"/>
          </rPr>
          <t>Johnson, Carla:</t>
        </r>
        <r>
          <rPr>
            <sz val="9"/>
            <color indexed="81"/>
            <rFont val="Tahoma"/>
            <family val="2"/>
          </rPr>
          <t xml:space="preserve">
RSA Workbook/Multi Family/4172 Yards column B</t>
        </r>
      </text>
    </comment>
  </commentList>
</comments>
</file>

<file path=xl/comments4.xml><?xml version="1.0" encoding="utf-8"?>
<comments xmlns="http://schemas.openxmlformats.org/spreadsheetml/2006/main">
  <authors>
    <author>Alex Brenner</author>
  </authors>
  <commentList>
    <comment ref="F34" author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8" author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5.xml><?xml version="1.0" encoding="utf-8"?>
<comments xmlns="http://schemas.openxmlformats.org/spreadsheetml/2006/main">
  <authors>
    <author>Johnson, Carla</author>
    <author>Alex Brenner</author>
  </authors>
  <commentList>
    <comment ref="B8" authorId="0">
      <text>
        <r>
          <rPr>
            <b/>
            <sz val="9"/>
            <color indexed="81"/>
            <rFont val="Tahoma"/>
            <family val="2"/>
          </rPr>
          <t>Johnson, Carla:</t>
        </r>
        <r>
          <rPr>
            <sz val="9"/>
            <color indexed="81"/>
            <rFont val="Tahoma"/>
            <family val="2"/>
          </rPr>
          <t xml:space="preserve">
RSA Workbook/Single Family/4172 # of Customers column D</t>
        </r>
      </text>
    </comment>
    <comment ref="F34" authorId="1">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8" authorId="1">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6.xml><?xml version="1.0" encoding="utf-8"?>
<comments xmlns="http://schemas.openxmlformats.org/spreadsheetml/2006/main">
  <authors>
    <author>Alex Brenner</author>
    <author>Johnson, Carla</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C7" authorId="1">
      <text>
        <r>
          <rPr>
            <b/>
            <sz val="9"/>
            <color indexed="81"/>
            <rFont val="Tahoma"/>
            <family val="2"/>
          </rPr>
          <t>Johnson, Carla:</t>
        </r>
        <r>
          <rPr>
            <sz val="9"/>
            <color indexed="81"/>
            <rFont val="Tahoma"/>
            <family val="2"/>
          </rPr>
          <t xml:space="preserve">
RSA Workbook/Single Family/4172 Tons column E</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7.xml><?xml version="1.0" encoding="utf-8"?>
<comments xmlns="http://schemas.openxmlformats.org/spreadsheetml/2006/main">
  <authors>
    <author>Christensen, Abby Rose</author>
    <author>Johnson, Carla</author>
  </authors>
  <commentList>
    <comment ref="B8" authorId="0">
      <text>
        <r>
          <rPr>
            <b/>
            <sz val="9"/>
            <color indexed="81"/>
            <rFont val="Tahoma"/>
            <family val="2"/>
          </rPr>
          <t>Christensen, Abby Rose:</t>
        </r>
        <r>
          <rPr>
            <sz val="9"/>
            <color indexed="81"/>
            <rFont val="Tahoma"/>
            <family val="2"/>
          </rPr>
          <t xml:space="preserve">
Only includes Kenmore and Unincorp. County.  No MF in Beaux Arts, Hunts Point, Medina, or Yarrow Point</t>
        </r>
      </text>
    </comment>
    <comment ref="B9" authorId="1">
      <text>
        <r>
          <rPr>
            <b/>
            <sz val="9"/>
            <color indexed="81"/>
            <rFont val="Tahoma"/>
            <family val="2"/>
          </rPr>
          <t>Johnson, Carla:</t>
        </r>
        <r>
          <rPr>
            <sz val="9"/>
            <color indexed="81"/>
            <rFont val="Tahoma"/>
            <family val="2"/>
          </rPr>
          <t xml:space="preserve">
RSA Workbook/Multi Family/4172 Yards column B</t>
        </r>
      </text>
    </comment>
  </commentList>
</comments>
</file>

<file path=xl/comments8.xml><?xml version="1.0" encoding="utf-8"?>
<comments xmlns="http://schemas.openxmlformats.org/spreadsheetml/2006/main">
  <authors>
    <author>Vander Zalm, Connor</author>
    <author>Alex Brenner</author>
  </authors>
  <commentList>
    <comment ref="C7" author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1">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9.xml><?xml version="1.0" encoding="utf-8"?>
<comments xmlns="http://schemas.openxmlformats.org/spreadsheetml/2006/main">
  <authors>
    <author>Christensen, Abby Rose</author>
    <author>Vander Zalm, Connor</author>
  </authors>
  <commentList>
    <comment ref="B8" authorId="0">
      <text>
        <r>
          <rPr>
            <b/>
            <sz val="9"/>
            <color indexed="81"/>
            <rFont val="Tahoma"/>
            <family val="2"/>
          </rPr>
          <t>Christensen, Abby Rose:</t>
        </r>
        <r>
          <rPr>
            <sz val="9"/>
            <color indexed="81"/>
            <rFont val="Tahoma"/>
            <family val="2"/>
          </rPr>
          <t xml:space="preserve">
Only includes Kenmore and Unincorp. County.  No MF in Beaux Arts, Hunts Point, Medina, or Yarrow Point</t>
        </r>
      </text>
    </comment>
    <comment ref="B9" authorId="1">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I70" authorId="0">
      <text>
        <r>
          <rPr>
            <b/>
            <sz val="9"/>
            <color indexed="81"/>
            <rFont val="Tahoma"/>
            <family val="2"/>
          </rPr>
          <t>Christensen, Abby Rose:</t>
        </r>
        <r>
          <rPr>
            <sz val="9"/>
            <color indexed="81"/>
            <rFont val="Tahoma"/>
            <family val="2"/>
          </rPr>
          <t xml:space="preserve">
I58+I68
</t>
        </r>
      </text>
    </comment>
  </commentList>
</comments>
</file>

<file path=xl/sharedStrings.xml><?xml version="1.0" encoding="utf-8"?>
<sst xmlns="http://schemas.openxmlformats.org/spreadsheetml/2006/main" count="1819" uniqueCount="242">
  <si>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</si>
  <si>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</si>
  <si>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</si>
  <si>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</si>
  <si>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</si>
  <si>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</si>
  <si>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</si>
  <si>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</si>
  <si>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</si>
  <si>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</si>
  <si>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</si>
  <si>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</si>
  <si>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</si>
  <si>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</si>
  <si>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</si>
  <si>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</si>
  <si>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</si>
  <si>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</si>
  <si>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</si>
  <si>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</si>
  <si>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</si>
  <si>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</si>
  <si>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</si>
  <si>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Tin/Iron</t>
  </si>
  <si>
    <t>ONP</t>
  </si>
  <si>
    <t>MWP</t>
  </si>
  <si>
    <t>Pet</t>
  </si>
  <si>
    <t>HDPE</t>
  </si>
  <si>
    <t>OCC</t>
  </si>
  <si>
    <t>Other</t>
  </si>
  <si>
    <t>Total</t>
  </si>
  <si>
    <t xml:space="preserve"> </t>
  </si>
  <si>
    <t xml:space="preserve">Total </t>
  </si>
  <si>
    <t>Glass (Cont)</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</si>
  <si>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</si>
  <si>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</si>
  <si>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</si>
  <si>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</si>
  <si>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</si>
  <si>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</si>
  <si>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</si>
  <si>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</si>
  <si>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</si>
  <si>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</si>
  <si>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</si>
  <si>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</si>
  <si>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</si>
  <si>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</si>
  <si>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</si>
  <si>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</si>
  <si>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</si>
  <si>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</si>
  <si>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</si>
  <si>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</si>
  <si>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</si>
  <si>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</si>
  <si>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</si>
  <si>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Glass Contamination</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</si>
  <si>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</si>
  <si>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</si>
  <si>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</si>
  <si>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</si>
  <si>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</si>
  <si>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</si>
  <si>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</si>
  <si>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</si>
  <si>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</si>
  <si>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</si>
  <si>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</si>
  <si>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</si>
  <si>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</si>
  <si>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</si>
  <si>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</si>
  <si>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</si>
  <si>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</si>
  <si>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</si>
  <si>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</si>
  <si>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</si>
  <si>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</si>
  <si>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 xml:space="preserve">12 month running average "BASE CREDIT" </t>
  </si>
  <si>
    <t>East Side</t>
  </si>
  <si>
    <t>2008/2009 Monthly True-up Charge</t>
  </si>
  <si>
    <t>70% of per Ton Value</t>
  </si>
  <si>
    <t>Rabanco Ltd (dba Allied Waste of Bellevue)</t>
  </si>
  <si>
    <t>Total Additional Passback</t>
  </si>
  <si>
    <t>Single-Family Additional Credit</t>
  </si>
  <si>
    <t>TG-12______</t>
  </si>
  <si>
    <t>For use in Budget Calculation</t>
  </si>
  <si>
    <t>Total Trailing 12 Mo. Commodity Value / Customer</t>
  </si>
  <si>
    <t>Most recent Total # of Customers</t>
  </si>
  <si>
    <t>Base Credit to be Passed Back</t>
  </si>
  <si>
    <t>Budget total Revenue</t>
  </si>
  <si>
    <t>Budget Revenue Passed Back</t>
  </si>
  <si>
    <t>% of Revenue Passed Back</t>
  </si>
  <si>
    <t>Prior Plan Part B Total</t>
  </si>
  <si>
    <t>Current Plan Part A Total</t>
  </si>
  <si>
    <t>% Passed Back</t>
  </si>
  <si>
    <t>Retained</t>
  </si>
  <si>
    <t>-</t>
  </si>
  <si>
    <t>Multi-Family</t>
  </si>
  <si>
    <t>Yards</t>
  </si>
  <si>
    <t>per Yard</t>
  </si>
  <si>
    <t>Total yards</t>
  </si>
  <si>
    <t>Prior Plan B Total</t>
  </si>
  <si>
    <t>Current Plan A Total</t>
  </si>
  <si>
    <t>Monthly Base Credit per Yard</t>
  </si>
  <si>
    <t>Deficient Commodity Credits</t>
  </si>
  <si>
    <t>12 month running average "BASE CREDIT"</t>
  </si>
  <si>
    <t>3.5x Compaction</t>
  </si>
  <si>
    <t>5x Compaction</t>
  </si>
  <si>
    <t>TG-111991 Additional Passback</t>
  </si>
  <si>
    <t>Multi-Family Additional Passback</t>
  </si>
  <si>
    <t>Multi-Family Additional Credit</t>
  </si>
  <si>
    <t>EastSide Disposal</t>
  </si>
  <si>
    <t>East Side Disposal</t>
  </si>
  <si>
    <t>EastSide - Multi Family</t>
  </si>
  <si>
    <t>.</t>
  </si>
  <si>
    <t>Republic Services of Bellevue (Eastside) commodity adjustment</t>
  </si>
  <si>
    <t>Based on previous UTC Staff analyses</t>
  </si>
  <si>
    <t>Do not use cumulative method</t>
  </si>
  <si>
    <t>per docket TG-131157</t>
  </si>
  <si>
    <t>per docket TG-121059</t>
  </si>
  <si>
    <t>per docket TG-111991</t>
  </si>
  <si>
    <t>2013-2014</t>
  </si>
  <si>
    <t>2012-2013</t>
  </si>
  <si>
    <t>2011-2012</t>
  </si>
  <si>
    <t>Residential</t>
  </si>
  <si>
    <t>Credit</t>
  </si>
  <si>
    <t>Credits</t>
  </si>
  <si>
    <t>Projected Revenue May 2013-April 2014</t>
  </si>
  <si>
    <t>Projected Revenue May 2012-April 2013</t>
  </si>
  <si>
    <t>Projected Revenue October 2011-April 2012</t>
  </si>
  <si>
    <t>Projected Revenue October 2010-September 2011</t>
  </si>
  <si>
    <t>May-Jul projected value without adjustment factor</t>
  </si>
  <si>
    <t>Oct-Dec projected value without adjustment factor</t>
  </si>
  <si>
    <t>Aug-April projected value without adjustment factor</t>
  </si>
  <si>
    <t>Jan-Apr projected value without adjustment factor</t>
  </si>
  <si>
    <t>Jan-Sep projected value without adjustment factor</t>
  </si>
  <si>
    <t>Actual Commodity Revenue</t>
  </si>
  <si>
    <t>Actual Commodity Revenue (adj. to reflect current customers)</t>
  </si>
  <si>
    <t>Owe Customer (company)</t>
  </si>
  <si>
    <t>Total Customers</t>
  </si>
  <si>
    <t>Commodity Adjustment</t>
  </si>
  <si>
    <t>Projected Revenue October 2011-September 2012</t>
  </si>
  <si>
    <t>Projected Value</t>
  </si>
  <si>
    <t>Residential Commodity Adjustment</t>
  </si>
  <si>
    <t>Additional credit</t>
  </si>
  <si>
    <t>Adjusted Credit</t>
  </si>
  <si>
    <t>Multi-family</t>
  </si>
  <si>
    <t>Multi-family Commodity Adjustment</t>
  </si>
  <si>
    <t>per docket TG-151227</t>
  </si>
  <si>
    <t>2015-2016</t>
  </si>
  <si>
    <t>Projected Revenue May 2014-April 2015</t>
  </si>
  <si>
    <t>Projected Revenue May 2015-April 2016</t>
  </si>
  <si>
    <t>where did this come from?</t>
  </si>
  <si>
    <t>per docket TG-141294</t>
  </si>
  <si>
    <t>2014-2015</t>
  </si>
  <si>
    <t>2016-2017</t>
  </si>
  <si>
    <t>per docket TG-160806</t>
  </si>
  <si>
    <t>* All hardcode values come from company worksheets and support papers</t>
  </si>
  <si>
    <t>Commodity Value</t>
  </si>
  <si>
    <t>2016 Rev Cap 50%</t>
  </si>
  <si>
    <t>2016 Allocated Company Portion of Commodity Revenue</t>
  </si>
  <si>
    <t>2016 Customer portion of Commodity Value</t>
  </si>
  <si>
    <t>Eastside</t>
  </si>
  <si>
    <t>Fiorito</t>
  </si>
  <si>
    <t>SeaTac</t>
  </si>
  <si>
    <t>Lynnwood</t>
  </si>
  <si>
    <t>King</t>
  </si>
  <si>
    <t>Sno</t>
  </si>
  <si>
    <t>MF Family</t>
  </si>
  <si>
    <t>2016 Rev Cap</t>
  </si>
  <si>
    <t>Grand Total</t>
  </si>
  <si>
    <t>King Rev Share Plan</t>
  </si>
  <si>
    <t>Commodity Budget</t>
  </si>
  <si>
    <t>2016 Actual</t>
  </si>
  <si>
    <t>Remaining for 2017</t>
  </si>
  <si>
    <t>Task 1</t>
  </si>
  <si>
    <t>Project Management</t>
  </si>
  <si>
    <t>Task 2</t>
  </si>
  <si>
    <t>Data reporting</t>
  </si>
  <si>
    <t>Task 3</t>
  </si>
  <si>
    <t>MF Outreach</t>
  </si>
  <si>
    <t>Task 4</t>
  </si>
  <si>
    <t>Customer Communication</t>
  </si>
  <si>
    <t>Task 5</t>
  </si>
  <si>
    <t>Yard/Food container Pilot</t>
  </si>
  <si>
    <t>Task 6</t>
  </si>
  <si>
    <t>Contamination Reduction</t>
  </si>
  <si>
    <t>5% bonus</t>
  </si>
  <si>
    <t>Gand total</t>
  </si>
  <si>
    <t>Sno Rev Share Plan</t>
  </si>
  <si>
    <t>Annual Mailer</t>
  </si>
  <si>
    <t>School Recycling</t>
  </si>
  <si>
    <t>Task 7</t>
  </si>
  <si>
    <t>Recycle Right</t>
  </si>
  <si>
    <t>Single Family Customers</t>
  </si>
  <si>
    <t>Docket</t>
  </si>
  <si>
    <t>DBA</t>
  </si>
  <si>
    <t>Lynwood</t>
  </si>
  <si>
    <t xml:space="preserve">May </t>
  </si>
  <si>
    <t>June</t>
  </si>
  <si>
    <t>July</t>
  </si>
  <si>
    <t>August</t>
  </si>
  <si>
    <t>September</t>
  </si>
  <si>
    <t>October</t>
  </si>
  <si>
    <t>November</t>
  </si>
  <si>
    <t>December</t>
  </si>
  <si>
    <t>January</t>
  </si>
  <si>
    <t>February</t>
  </si>
  <si>
    <t>March</t>
  </si>
  <si>
    <t>April</t>
  </si>
  <si>
    <t>Multi Family Yards</t>
  </si>
  <si>
    <t>Projected Revenue May 2016-April 2017</t>
  </si>
  <si>
    <t>2017-2018</t>
  </si>
  <si>
    <t>per docket TG-170707</t>
  </si>
  <si>
    <t>Projected Revenue May 2017-April 2018</t>
  </si>
  <si>
    <t>Check and change values</t>
  </si>
  <si>
    <t>per docket TG-180484</t>
  </si>
  <si>
    <t>Projected Revenue November 2017-April 2018</t>
  </si>
  <si>
    <t>2018-2018.5</t>
  </si>
  <si>
    <t>Total Passback at end of 2 year plan year 2019</t>
  </si>
  <si>
    <t>2017/2018 Monthly True-up Charge</t>
  </si>
  <si>
    <t>November 2017 - April 2018</t>
  </si>
  <si>
    <t>Avg of last 6 months plan year</t>
  </si>
  <si>
    <t>Ferrous Metal</t>
  </si>
  <si>
    <t>Rabanco Ltd (dba Republic Services)</t>
  </si>
  <si>
    <t xml:space="preserve"> Recycle Adjustment Calculation</t>
  </si>
  <si>
    <t xml:space="preserve"> True-up Computation</t>
  </si>
  <si>
    <t>Total Bi-Annual Customers</t>
  </si>
  <si>
    <t>2017/2018 Monthly True-up Amount</t>
  </si>
  <si>
    <t xml:space="preserve"> Projected Credit</t>
  </si>
  <si>
    <t xml:space="preserve">6 month running average "BASE CREDIT" </t>
  </si>
  <si>
    <t>11/18-4/19 Adjusted Debit</t>
  </si>
  <si>
    <t>May 2018-Oct 2018</t>
  </si>
  <si>
    <t>2018/2019 Monthly True-up Amount</t>
  </si>
  <si>
    <t>6 month running average "BASE CREDIT"</t>
  </si>
  <si>
    <t>2018.5-2019</t>
  </si>
  <si>
    <t>Projected Revenue November 2018-April 2018</t>
  </si>
  <si>
    <t>Projected Revenue May 2018-Oct 2018</t>
  </si>
  <si>
    <t>company retained</t>
  </si>
  <si>
    <t>Total Yards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</si>
</sst>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_(&quot;$&quot;* #,##0_);_(&quot;$&quot;* \(#,##0\);_(&quot;$&quot;* &quot;-&quot;??_);_(@_)"/>
    <numFmt numFmtId="173" formatCode="mmmm\-yy"/>
  </numFmts>
  <fonts count="37"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b/>
      <sz val="9"/>
      <color indexed="81"/>
      <name val="Tahoma"/>
      <family val="2"/>
    </font>
    <font>
      <sz val="9"/>
      <color indexed="81"/>
      <name val="Tahoma"/>
      <family val="2"/>
    </font>
    <font>
      <sz val="8"/>
      <color rgb="FF0000FF"/>
      <name val="Arial"/>
      <family val="2"/>
    </font>
    <font>
      <sz val="12"/>
      <name val="Comic Sans MS"/>
      <family val="4"/>
    </font>
    <font>
      <b/>
      <sz val="11"/>
      <color indexed="10"/>
      <name val="Comic Sans MS"/>
      <family val="4"/>
    </font>
    <font>
      <b/>
      <sz val="16"/>
      <name val="Arial"/>
      <family val="2"/>
    </font>
    <font>
      <i/>
      <u/>
      <sz val="12"/>
      <name val="Comic Sans MS"/>
      <family val="4"/>
    </font>
    <font>
      <b/>
      <u/>
      <sz val="10"/>
      <name val="Arial"/>
      <family val="2"/>
    </font>
    <font>
      <b/>
      <sz val="10"/>
      <name val="Comic Sans MS"/>
      <family val="4"/>
    </font>
    <font>
      <b/>
      <sz val="10"/>
      <color indexed="12"/>
      <name val="Arial"/>
      <family val="2"/>
    </font>
    <font>
      <sz val="9"/>
      <name val="Arial"/>
      <family val="2"/>
    </font>
    <font>
      <u val="singleAccounting"/>
      <sz val="10"/>
      <name val="Arial"/>
      <family val="2"/>
    </font>
    <font>
      <b/>
      <sz val="11"/>
      <name val="Comic Sans MS"/>
      <family val="4"/>
    </font>
    <font>
      <b/>
      <u val="doubleAccounting"/>
      <sz val="10"/>
      <name val="Arial"/>
      <family val="2"/>
    </font>
    <font>
      <sz val="8"/>
      <color rgb="FF0070C0"/>
      <name val="Arial"/>
      <family val="2"/>
    </font>
    <font>
      <sz val="8"/>
      <color rgb="FF00B0F0"/>
      <name val="Arial"/>
      <family val="2"/>
    </font>
    <font>
      <i/>
      <sz val="8"/>
      <color rgb="FF00B0F0"/>
      <name val="Arial"/>
      <family val="2"/>
    </font>
    <font>
      <b/>
      <sz val="11"/>
      <color theme="1"/>
      <name val="Calibri"/>
      <family val="2"/>
      <scheme val="minor"/>
    </font>
    <font>
      <sz val="10"/>
      <color rgb="FF0000FF"/>
      <name val="Arial"/>
      <family val="2"/>
    </font>
    <font>
      <sz val="8"/>
      <color rgb="FFFF0000"/>
      <name val="Arial"/>
      <family val="2"/>
    </font>
  </fonts>
  <fills count="15">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rgb="FF00B0F0"/>
        <bgColor indexed="64"/>
      </patternFill>
    </fill>
    <fill>
      <patternFill patternType="solid">
        <fgColor rgb="FFCCFFCC"/>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63">
    <xf numFmtId="0" fontId="0" fillId="0" borderId="0" xfId="0"/>
    <xf numFmtId="0" fontId="3" fillId="0" borderId="0" xfId="3" applyFont="1"/>
    <xf numFmtId="0" fontId="4" fillId="0" borderId="0" xfId="3" applyFont="1"/>
    <xf numFmtId="0" fontId="4" fillId="0" borderId="0" xfId="3" applyFont="1" applyAlignment="1">
      <alignment horizontal="center"/>
    </xf>
    <xf numFmtId="0" fontId="5" fillId="0" borderId="0" xfId="3" applyFont="1" applyAlignment="1">
      <alignment horizontal="center"/>
    </xf>
    <xf numFmtId="0" fontId="2" fillId="0" borderId="0" xfId="3"/>
    <xf numFmtId="0" fontId="6" fillId="0" borderId="0" xfId="3" applyFont="1"/>
    <xf numFmtId="14" fontId="4" fillId="0" borderId="0" xfId="3" applyNumberFormat="1" applyFont="1" applyAlignment="1">
      <alignment horizontal="center"/>
    </xf>
    <xf numFmtId="0" fontId="7" fillId="0" borderId="0" xfId="3" applyFont="1"/>
    <xf numFmtId="0" fontId="8" fillId="0" borderId="0" xfId="3" applyFont="1"/>
    <xf numFmtId="0" fontId="8" fillId="0" borderId="0" xfId="3" applyFont="1" applyAlignment="1">
      <alignment horizontal="center"/>
    </xf>
    <xf numFmtId="0" fontId="6" fillId="0" borderId="0" xfId="3" applyFont="1" applyAlignment="1">
      <alignment horizontal="center"/>
    </xf>
    <xf numFmtId="167" fontId="6" fillId="0" borderId="0" xfId="3" applyNumberFormat="1" applyFont="1" applyAlignment="1">
      <alignment horizontal="center"/>
    </xf>
    <xf numFmtId="1" fontId="4" fillId="0" borderId="0" xfId="3" applyNumberFormat="1" applyFont="1"/>
    <xf numFmtId="41" fontId="4" fillId="0" borderId="0" xfId="3" applyNumberFormat="1" applyFont="1"/>
    <xf numFmtId="167" fontId="6" fillId="0" borderId="0" xfId="3" applyNumberFormat="1" applyFont="1"/>
    <xf numFmtId="167" fontId="4" fillId="0" borderId="0" xfId="3" applyNumberFormat="1" applyFont="1"/>
    <xf numFmtId="169" fontId="4" fillId="0" borderId="0" xfId="3" applyNumberFormat="1" applyFont="1" applyAlignment="1">
      <alignment horizontal="right"/>
    </xf>
    <xf numFmtId="167" fontId="4" fillId="0" borderId="0" xfId="3" applyNumberFormat="1" applyFont="1" applyFill="1" applyAlignment="1">
      <alignment horizontal="center"/>
    </xf>
    <xf numFmtId="41" fontId="9" fillId="0" borderId="0" xfId="3" applyNumberFormat="1" applyFont="1"/>
    <xf numFmtId="41" fontId="10" fillId="0" borderId="0" xfId="3" applyNumberFormat="1" applyFont="1" applyAlignment="1">
      <alignment horizontal="left"/>
    </xf>
    <xf numFmtId="41" fontId="4" fillId="0" borderId="1" xfId="3" applyNumberFormat="1" applyFont="1" applyBorder="1"/>
    <xf numFmtId="167" fontId="4" fillId="0" borderId="1" xfId="3" applyNumberFormat="1" applyFont="1" applyBorder="1"/>
    <xf numFmtId="168" fontId="4" fillId="0" borderId="0" xfId="3" applyNumberFormat="1" applyFont="1"/>
    <xf numFmtId="17" fontId="4" fillId="0" borderId="0" xfId="3" applyNumberFormat="1" applyFont="1" applyAlignment="1">
      <alignment horizontal="right"/>
    </xf>
    <xf numFmtId="167" fontId="2" fillId="0" borderId="0" xfId="3" applyNumberFormat="1"/>
    <xf numFmtId="169" fontId="4" fillId="0" borderId="0" xfId="3" applyNumberFormat="1" applyFont="1"/>
    <xf numFmtId="41" fontId="4" fillId="0" borderId="2" xfId="3" applyNumberFormat="1" applyFont="1" applyBorder="1"/>
    <xf numFmtId="167" fontId="4" fillId="0" borderId="2" xfId="3" applyNumberFormat="1" applyFont="1" applyBorder="1"/>
    <xf numFmtId="41" fontId="6" fillId="0" borderId="3" xfId="3" applyNumberFormat="1" applyFont="1" applyBorder="1"/>
    <xf numFmtId="41" fontId="4" fillId="0" borderId="3" xfId="3" applyNumberFormat="1" applyFont="1" applyBorder="1"/>
    <xf numFmtId="41" fontId="7" fillId="0" borderId="0" xfId="3" applyNumberFormat="1" applyFont="1"/>
    <xf numFmtId="41" fontId="4" fillId="0" borderId="0" xfId="3" applyNumberFormat="1" applyFont="1" applyAlignment="1">
      <alignment horizontal="right"/>
    </xf>
    <xf numFmtId="1" fontId="7" fillId="0" borderId="0" xfId="3" applyNumberFormat="1" applyFont="1"/>
    <xf numFmtId="168" fontId="9" fillId="0" borderId="0" xfId="3" applyNumberFormat="1" applyFont="1"/>
    <xf numFmtId="41" fontId="4" fillId="0" borderId="0" xfId="3" applyNumberFormat="1" applyFont="1" applyBorder="1"/>
    <xf numFmtId="41" fontId="4" fillId="0" borderId="4" xfId="3" applyNumberFormat="1" applyFont="1" applyBorder="1"/>
    <xf numFmtId="41" fontId="4" fillId="0" borderId="5" xfId="3" applyNumberFormat="1" applyFont="1" applyBorder="1"/>
    <xf numFmtId="41" fontId="4" fillId="0" borderId="6" xfId="3" applyNumberFormat="1" applyFont="1" applyBorder="1"/>
    <xf numFmtId="168" fontId="4" fillId="0" borderId="2" xfId="3" applyNumberFormat="1" applyFont="1" applyBorder="1"/>
    <xf numFmtId="168" fontId="4" fillId="0" borderId="6" xfId="3" applyNumberFormat="1" applyFont="1" applyBorder="1"/>
    <xf numFmtId="167" fontId="4" fillId="0" borderId="0" xfId="3" applyNumberFormat="1" applyFont="1" applyFill="1" applyBorder="1"/>
    <xf numFmtId="167" fontId="11" fillId="0" borderId="0" xfId="3" applyNumberFormat="1" applyFont="1" applyFill="1" applyBorder="1" applyAlignment="1">
      <alignment horizontal="centerContinuous"/>
    </xf>
    <xf numFmtId="167" fontId="4" fillId="0" borderId="0" xfId="3" applyNumberFormat="1" applyFont="1" applyFill="1" applyBorder="1" applyAlignment="1">
      <alignment horizontal="centerContinuous"/>
    </xf>
    <xf numFmtId="167" fontId="4" fillId="0" borderId="0" xfId="3" applyNumberFormat="1" applyFont="1" applyAlignment="1">
      <alignment horizontal="centerContinuous"/>
    </xf>
    <xf numFmtId="169" fontId="4" fillId="0" borderId="0" xfId="3" applyNumberFormat="1" applyFont="1" applyFill="1" applyBorder="1" applyAlignment="1">
      <alignment horizontal="right"/>
    </xf>
    <xf numFmtId="41" fontId="9" fillId="0" borderId="0" xfId="3" applyNumberFormat="1" applyFont="1" applyFill="1" applyBorder="1" applyAlignment="1">
      <alignment horizontal="center"/>
    </xf>
    <xf numFmtId="167" fontId="4" fillId="0" borderId="0" xfId="3" applyNumberFormat="1" applyFont="1" applyFill="1" applyBorder="1" applyAlignment="1">
      <alignment horizontal="center"/>
    </xf>
    <xf numFmtId="41" fontId="10" fillId="0" borderId="0" xfId="3" applyNumberFormat="1" applyFont="1" applyFill="1" applyBorder="1" applyAlignment="1">
      <alignment horizontal="left"/>
    </xf>
    <xf numFmtId="41" fontId="4" fillId="0" borderId="0" xfId="3" applyNumberFormat="1" applyFont="1" applyFill="1" applyBorder="1"/>
    <xf numFmtId="41" fontId="9" fillId="0" borderId="0" xfId="3" applyNumberFormat="1" applyFont="1" applyFill="1" applyBorder="1"/>
    <xf numFmtId="1" fontId="4" fillId="0" borderId="0" xfId="3" applyNumberFormat="1" applyFont="1" applyFill="1" applyBorder="1"/>
    <xf numFmtId="0" fontId="2" fillId="0" borderId="0" xfId="3" applyFill="1" applyBorder="1"/>
    <xf numFmtId="167" fontId="2" fillId="0" borderId="0" xfId="3" applyNumberFormat="1" applyFill="1" applyBorder="1"/>
    <xf numFmtId="169" fontId="4" fillId="0" borderId="0" xfId="3" applyNumberFormat="1" applyFont="1" applyFill="1" applyBorder="1"/>
    <xf numFmtId="168" fontId="4" fillId="0" borderId="0" xfId="3" applyNumberFormat="1" applyFont="1" applyFill="1" applyBorder="1"/>
    <xf numFmtId="167" fontId="4" fillId="0" borderId="4" xfId="3" applyNumberFormat="1" applyFont="1" applyBorder="1"/>
    <xf numFmtId="167" fontId="4" fillId="0" borderId="6" xfId="3" applyNumberFormat="1" applyFont="1" applyBorder="1"/>
    <xf numFmtId="2" fontId="2" fillId="0" borderId="0" xfId="3"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3" fontId="4" fillId="0" borderId="0" xfId="3" applyNumberFormat="1" applyFont="1" applyAlignment="1">
      <alignment horizontal="right"/>
    </xf>
    <xf numFmtId="169" fontId="4" fillId="0" borderId="0" xfId="3" applyNumberFormat="1" applyFont="1" applyAlignment="1">
      <alignment horizontal="right" wrapText="1"/>
    </xf>
    <xf numFmtId="17" fontId="4" fillId="0" borderId="0" xfId="3" applyNumberFormat="1" applyFont="1" applyFill="1" applyBorder="1" applyAlignment="1">
      <alignment horizontal="right"/>
    </xf>
    <xf numFmtId="169" fontId="4" fillId="0" borderId="0" xfId="3"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5"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5"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5" applyNumberFormat="1" applyFont="1"/>
    <xf numFmtId="10" fontId="14" fillId="2" borderId="0" xfId="5" applyNumberFormat="1" applyFont="1" applyFill="1"/>
    <xf numFmtId="9" fontId="4" fillId="0" borderId="0" xfId="5" applyFont="1"/>
    <xf numFmtId="43" fontId="4" fillId="0" borderId="0" xfId="1" applyNumberFormat="1" applyFont="1"/>
    <xf numFmtId="0" fontId="14" fillId="0" borderId="0" xfId="0" quotePrefix="1" applyFont="1" applyAlignment="1">
      <alignment horizontal="left"/>
    </xf>
    <xf numFmtId="44" fontId="4" fillId="0" borderId="0" xfId="2" applyFont="1"/>
    <xf numFmtId="44" fontId="4" fillId="0" borderId="5" xfId="2" applyFont="1" applyBorder="1"/>
    <xf numFmtId="44" fontId="14" fillId="0" borderId="0" xfId="2" applyFont="1" applyBorder="1"/>
    <xf numFmtId="43" fontId="14" fillId="0" borderId="0" xfId="1" applyFont="1" applyBorder="1"/>
    <xf numFmtId="44" fontId="4" fillId="0" borderId="0" xfId="2" applyFont="1" applyBorder="1"/>
    <xf numFmtId="0" fontId="4" fillId="0" borderId="0" xfId="0" applyFont="1" applyBorder="1"/>
    <xf numFmtId="44" fontId="14" fillId="0" borderId="0" xfId="0" applyNumberFormat="1" applyFont="1" applyBorder="1"/>
    <xf numFmtId="44" fontId="4" fillId="0" borderId="0" xfId="2"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41" fontId="9" fillId="0" borderId="0" xfId="3" applyNumberFormat="1" applyFont="1" applyAlignment="1">
      <alignment horizontal="center"/>
    </xf>
    <xf numFmtId="167" fontId="4" fillId="0" borderId="0" xfId="3" applyNumberFormat="1" applyFont="1" applyBorder="1"/>
    <xf numFmtId="167" fontId="4" fillId="0" borderId="0" xfId="3" applyNumberFormat="1" applyFont="1" applyAlignment="1">
      <alignment horizontal="center"/>
    </xf>
    <xf numFmtId="167" fontId="9" fillId="0" borderId="0" xfId="3" applyNumberFormat="1" applyFont="1" applyFill="1" applyAlignment="1">
      <alignment horizontal="center"/>
    </xf>
    <xf numFmtId="169" fontId="4" fillId="0" borderId="0" xfId="3" applyNumberFormat="1" applyFont="1" applyBorder="1" applyAlignment="1">
      <alignment horizontal="right"/>
    </xf>
    <xf numFmtId="41" fontId="9" fillId="0" borderId="0" xfId="3" applyNumberFormat="1" applyFont="1" applyBorder="1"/>
    <xf numFmtId="41" fontId="10" fillId="0" borderId="0" xfId="3" applyNumberFormat="1" applyFont="1" applyBorder="1" applyAlignment="1">
      <alignment horizontal="left"/>
    </xf>
    <xf numFmtId="1" fontId="4" fillId="0" borderId="0" xfId="3" applyNumberFormat="1" applyFont="1" applyBorder="1"/>
    <xf numFmtId="0" fontId="2" fillId="0" borderId="0" xfId="3" applyBorder="1"/>
    <xf numFmtId="167" fontId="2" fillId="0" borderId="0" xfId="3" applyNumberFormat="1" applyBorder="1"/>
    <xf numFmtId="169" fontId="4" fillId="0" borderId="0" xfId="3" applyNumberFormat="1" applyFont="1" applyBorder="1"/>
    <xf numFmtId="168" fontId="4" fillId="0" borderId="0" xfId="3" applyNumberFormat="1" applyFont="1" applyBorder="1"/>
    <xf numFmtId="10" fontId="4" fillId="3" borderId="0" xfId="0" applyNumberFormat="1" applyFont="1" applyFill="1"/>
    <xf numFmtId="10" fontId="4" fillId="3" borderId="0" xfId="5"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44" fontId="4" fillId="3" borderId="7" xfId="2" applyFont="1" applyFill="1" applyBorder="1"/>
    <xf numFmtId="169" fontId="4" fillId="0" borderId="0" xfId="3" applyNumberFormat="1" applyFont="1" applyFill="1" applyAlignment="1">
      <alignment horizontal="right"/>
    </xf>
    <xf numFmtId="17" fontId="4" fillId="0" borderId="0" xfId="0" applyNumberFormat="1" applyFont="1" applyFill="1"/>
    <xf numFmtId="40" fontId="14" fillId="0" borderId="0" xfId="0" applyNumberFormat="1" applyFont="1"/>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4" fillId="0" borderId="1" xfId="1" applyNumberFormat="1" applyFont="1" applyBorder="1"/>
    <xf numFmtId="43" fontId="14" fillId="0" borderId="0" xfId="1" applyFont="1"/>
    <xf numFmtId="43" fontId="4" fillId="0" borderId="1" xfId="1" applyFont="1" applyBorder="1"/>
    <xf numFmtId="43" fontId="14" fillId="0" borderId="1" xfId="1" applyFont="1" applyBorder="1"/>
    <xf numFmtId="167" fontId="4" fillId="0" borderId="0" xfId="3" applyNumberFormat="1" applyFont="1" applyAlignment="1">
      <alignment horizontal="right"/>
    </xf>
    <xf numFmtId="172" fontId="4" fillId="0" borderId="0" xfId="2" applyNumberFormat="1" applyFont="1"/>
    <xf numFmtId="165" fontId="3" fillId="0" borderId="0" xfId="5" applyNumberFormat="1" applyFont="1"/>
    <xf numFmtId="0" fontId="15" fillId="0" borderId="8" xfId="3" applyFont="1" applyBorder="1" applyAlignment="1">
      <alignment horizontal="center"/>
    </xf>
    <xf numFmtId="0" fontId="4" fillId="0" borderId="0" xfId="3" applyFont="1" applyBorder="1"/>
    <xf numFmtId="167" fontId="15" fillId="0" borderId="9" xfId="3" applyNumberFormat="1" applyFont="1" applyBorder="1" applyAlignment="1">
      <alignment horizontal="center"/>
    </xf>
    <xf numFmtId="167" fontId="16" fillId="0" borderId="9" xfId="3" applyNumberFormat="1" applyFont="1" applyFill="1" applyBorder="1" applyAlignment="1">
      <alignment horizontal="center"/>
    </xf>
    <xf numFmtId="41" fontId="10" fillId="0" borderId="9" xfId="3" applyNumberFormat="1" applyFont="1" applyBorder="1"/>
    <xf numFmtId="167" fontId="6" fillId="0" borderId="0" xfId="3" applyNumberFormat="1" applyFont="1" applyBorder="1"/>
    <xf numFmtId="168" fontId="6" fillId="0" borderId="9" xfId="3" applyNumberFormat="1" applyFont="1" applyBorder="1"/>
    <xf numFmtId="41" fontId="4" fillId="0" borderId="10" xfId="3" applyNumberFormat="1" applyFont="1" applyBorder="1"/>
    <xf numFmtId="165" fontId="4" fillId="0" borderId="0" xfId="5" applyNumberFormat="1" applyFont="1"/>
    <xf numFmtId="167" fontId="4" fillId="5" borderId="0" xfId="3" applyNumberFormat="1" applyFont="1" applyFill="1"/>
    <xf numFmtId="9" fontId="4" fillId="5" borderId="7" xfId="5" applyFont="1" applyFill="1" applyBorder="1"/>
    <xf numFmtId="168" fontId="4" fillId="6" borderId="2" xfId="3" applyNumberFormat="1" applyFont="1" applyFill="1" applyBorder="1"/>
    <xf numFmtId="17" fontId="3" fillId="0" borderId="0" xfId="0" applyNumberFormat="1" applyFont="1" applyAlignment="1">
      <alignment horizontal="right"/>
    </xf>
    <xf numFmtId="165" fontId="1" fillId="0" borderId="0" xfId="5" applyNumberFormat="1" applyAlignment="1">
      <alignment horizontal="center"/>
    </xf>
    <xf numFmtId="4" fontId="4" fillId="4" borderId="11" xfId="4" applyNumberFormat="1" applyFont="1"/>
    <xf numFmtId="164" fontId="1" fillId="0" borderId="0" xfId="1" applyNumberFormat="1" applyBorder="1"/>
    <xf numFmtId="7" fontId="1" fillId="0" borderId="0" xfId="2" applyNumberFormat="1" applyBorder="1"/>
    <xf numFmtId="44" fontId="1" fillId="0" borderId="0" xfId="2"/>
    <xf numFmtId="0" fontId="0" fillId="0" borderId="0" xfId="0" applyFill="1" applyBorder="1"/>
    <xf numFmtId="43" fontId="9" fillId="0" borderId="0" xfId="1" applyFont="1" applyAlignment="1">
      <alignment horizontal="center"/>
    </xf>
    <xf numFmtId="167" fontId="19" fillId="0" borderId="0" xfId="3" applyNumberFormat="1" applyFont="1"/>
    <xf numFmtId="168" fontId="4" fillId="5" borderId="6" xfId="3" applyNumberFormat="1" applyFont="1" applyFill="1" applyBorder="1"/>
    <xf numFmtId="165" fontId="4" fillId="5" borderId="7" xfId="5" applyNumberFormat="1" applyFont="1" applyFill="1" applyBorder="1"/>
    <xf numFmtId="0" fontId="8" fillId="0" borderId="0" xfId="3" applyFont="1" applyBorder="1"/>
    <xf numFmtId="0" fontId="8" fillId="0" borderId="0" xfId="3" applyFont="1" applyBorder="1" applyAlignment="1">
      <alignment horizontal="center"/>
    </xf>
    <xf numFmtId="0" fontId="6" fillId="0" borderId="0" xfId="3" applyFont="1" applyBorder="1" applyAlignment="1">
      <alignment horizontal="center"/>
    </xf>
    <xf numFmtId="167" fontId="6" fillId="0" borderId="0" xfId="3" applyNumberFormat="1" applyFont="1" applyBorder="1" applyAlignment="1">
      <alignment horizontal="center"/>
    </xf>
    <xf numFmtId="40" fontId="6" fillId="0" borderId="0" xfId="0" applyNumberFormat="1" applyFont="1"/>
    <xf numFmtId="9" fontId="1" fillId="0" borderId="0" xfId="5"/>
    <xf numFmtId="4" fontId="6" fillId="0" borderId="1" xfId="0" applyNumberFormat="1" applyFont="1" applyBorder="1"/>
    <xf numFmtId="165" fontId="3" fillId="0" borderId="0" xfId="5" applyNumberFormat="1" applyFont="1" applyAlignment="1">
      <alignment horizontal="center"/>
    </xf>
    <xf numFmtId="170" fontId="0" fillId="0" borderId="0" xfId="0" applyNumberFormat="1" applyBorder="1"/>
    <xf numFmtId="170" fontId="3" fillId="0" borderId="0" xfId="0" applyNumberFormat="1" applyFont="1" applyAlignment="1">
      <alignment horizontal="center"/>
    </xf>
    <xf numFmtId="43" fontId="6" fillId="0" borderId="0" xfId="1" applyFont="1"/>
    <xf numFmtId="43" fontId="6" fillId="0" borderId="1" xfId="1" applyFont="1" applyBorder="1"/>
    <xf numFmtId="0" fontId="6" fillId="0" borderId="0" xfId="0" applyFont="1" applyFill="1" applyBorder="1"/>
    <xf numFmtId="8" fontId="4" fillId="0" borderId="0" xfId="2" quotePrefix="1" applyNumberFormat="1" applyFont="1"/>
    <xf numFmtId="8" fontId="4" fillId="0" borderId="0" xfId="2" quotePrefix="1" applyNumberFormat="1" applyFont="1" applyFill="1"/>
    <xf numFmtId="0" fontId="6" fillId="0" borderId="0" xfId="0" applyFont="1"/>
    <xf numFmtId="0" fontId="6" fillId="0" borderId="0" xfId="0" applyFont="1" applyAlignment="1">
      <alignment horizontal="center"/>
    </xf>
    <xf numFmtId="0" fontId="6" fillId="0" borderId="0" xfId="0" applyFont="1" applyAlignment="1">
      <alignment horizontal="centerContinuous"/>
    </xf>
    <xf numFmtId="2" fontId="6" fillId="0" borderId="0" xfId="0" applyNumberFormat="1" applyFont="1"/>
    <xf numFmtId="2" fontId="6" fillId="3" borderId="0" xfId="0" applyNumberFormat="1" applyFont="1" applyFill="1" applyBorder="1"/>
    <xf numFmtId="10" fontId="6" fillId="2" borderId="0" xfId="5" applyNumberFormat="1" applyFont="1" applyFill="1"/>
    <xf numFmtId="0" fontId="6" fillId="0" borderId="0" xfId="0" quotePrefix="1" applyFont="1" applyAlignment="1">
      <alignment horizontal="left"/>
    </xf>
    <xf numFmtId="44" fontId="6" fillId="0" borderId="0" xfId="2" applyFont="1" applyBorder="1"/>
    <xf numFmtId="43" fontId="6" fillId="0" borderId="0" xfId="1" applyFont="1" applyBorder="1"/>
    <xf numFmtId="43" fontId="6" fillId="0" borderId="4" xfId="1" applyFont="1" applyBorder="1"/>
    <xf numFmtId="44" fontId="6" fillId="0" borderId="0" xfId="0" applyNumberFormat="1" applyFont="1" applyBorder="1"/>
    <xf numFmtId="0" fontId="20" fillId="7" borderId="12" xfId="6" applyFont="1" applyFill="1" applyBorder="1"/>
    <xf numFmtId="0" fontId="20" fillId="7" borderId="13" xfId="6" applyFont="1" applyFill="1" applyBorder="1"/>
    <xf numFmtId="0" fontId="1" fillId="7" borderId="13" xfId="6" applyFill="1" applyBorder="1"/>
    <xf numFmtId="0" fontId="1" fillId="7" borderId="14" xfId="6" applyFill="1" applyBorder="1"/>
    <xf numFmtId="0" fontId="1" fillId="0" borderId="0" xfId="6"/>
    <xf numFmtId="0" fontId="3" fillId="7" borderId="15" xfId="6" applyFont="1" applyFill="1" applyBorder="1"/>
    <xf numFmtId="0" fontId="3" fillId="7" borderId="0" xfId="6" applyFont="1" applyFill="1" applyBorder="1"/>
    <xf numFmtId="0" fontId="21" fillId="7" borderId="0" xfId="6" applyFont="1" applyFill="1" applyBorder="1"/>
    <xf numFmtId="0" fontId="1" fillId="7" borderId="0" xfId="6" applyFill="1" applyBorder="1"/>
    <xf numFmtId="0" fontId="1" fillId="7" borderId="16" xfId="6" applyFill="1" applyBorder="1"/>
    <xf numFmtId="15" fontId="3" fillId="7" borderId="15" xfId="6" applyNumberFormat="1" applyFont="1" applyFill="1" applyBorder="1"/>
    <xf numFmtId="15" fontId="3" fillId="7" borderId="0" xfId="6" applyNumberFormat="1" applyFont="1" applyFill="1" applyBorder="1"/>
    <xf numFmtId="0" fontId="1" fillId="7" borderId="15" xfId="6" applyFill="1" applyBorder="1"/>
    <xf numFmtId="0" fontId="3" fillId="7" borderId="0" xfId="6" applyFont="1" applyFill="1" applyBorder="1" applyAlignment="1">
      <alignment horizontal="center"/>
    </xf>
    <xf numFmtId="0" fontId="24" fillId="7" borderId="0" xfId="6" applyFont="1" applyFill="1" applyBorder="1" applyAlignment="1">
      <alignment horizontal="center"/>
    </xf>
    <xf numFmtId="0" fontId="25" fillId="7" borderId="17" xfId="6" applyFont="1" applyFill="1" applyBorder="1"/>
    <xf numFmtId="0" fontId="25" fillId="7" borderId="0" xfId="6" applyFont="1" applyFill="1" applyBorder="1"/>
    <xf numFmtId="0" fontId="1" fillId="7" borderId="0" xfId="6" applyFill="1" applyBorder="1" applyAlignment="1">
      <alignment horizontal="center"/>
    </xf>
    <xf numFmtId="0" fontId="0" fillId="7" borderId="15" xfId="6" applyFont="1" applyFill="1" applyBorder="1"/>
    <xf numFmtId="41" fontId="1" fillId="7" borderId="0" xfId="6" applyNumberFormat="1" applyFill="1" applyBorder="1"/>
    <xf numFmtId="44" fontId="26" fillId="7" borderId="0" xfId="7" applyFont="1" applyFill="1" applyBorder="1"/>
    <xf numFmtId="0" fontId="1" fillId="7" borderId="15" xfId="6" applyFont="1" applyFill="1" applyBorder="1"/>
    <xf numFmtId="0" fontId="27" fillId="7" borderId="0" xfId="6" applyFont="1" applyFill="1" applyBorder="1"/>
    <xf numFmtId="41" fontId="28" fillId="7" borderId="0" xfId="6" applyNumberFormat="1" applyFont="1" applyFill="1" applyBorder="1"/>
    <xf numFmtId="44" fontId="1" fillId="7" borderId="16" xfId="7" applyFont="1" applyFill="1" applyBorder="1"/>
    <xf numFmtId="172" fontId="1" fillId="7" borderId="0" xfId="7" applyNumberFormat="1" applyFont="1" applyFill="1" applyBorder="1"/>
    <xf numFmtId="164" fontId="1" fillId="7" borderId="0" xfId="8" applyNumberFormat="1" applyFont="1" applyFill="1" applyBorder="1"/>
    <xf numFmtId="164" fontId="1" fillId="7" borderId="0" xfId="6" applyNumberFormat="1" applyFill="1" applyBorder="1"/>
    <xf numFmtId="44" fontId="28" fillId="7" borderId="16" xfId="7" applyNumberFormat="1" applyFont="1" applyFill="1" applyBorder="1"/>
    <xf numFmtId="44" fontId="28" fillId="7" borderId="16" xfId="7" applyFont="1" applyFill="1" applyBorder="1"/>
    <xf numFmtId="44" fontId="29" fillId="7" borderId="18" xfId="7" applyNumberFormat="1" applyFont="1" applyFill="1" applyBorder="1"/>
    <xf numFmtId="44" fontId="29" fillId="7" borderId="18" xfId="7" applyFont="1" applyFill="1" applyBorder="1"/>
    <xf numFmtId="164" fontId="1" fillId="7" borderId="0" xfId="1" applyNumberFormat="1" applyFill="1" applyBorder="1"/>
    <xf numFmtId="44" fontId="29" fillId="7" borderId="19" xfId="7" applyNumberFormat="1" applyFont="1" applyFill="1" applyBorder="1"/>
    <xf numFmtId="44" fontId="3" fillId="7" borderId="16" xfId="7" applyFont="1" applyFill="1" applyBorder="1"/>
    <xf numFmtId="43" fontId="1" fillId="7" borderId="0" xfId="1" applyFill="1" applyBorder="1"/>
    <xf numFmtId="44" fontId="29" fillId="7" borderId="16" xfId="7" applyNumberFormat="1" applyFont="1" applyFill="1" applyBorder="1"/>
    <xf numFmtId="0" fontId="1" fillId="7" borderId="0" xfId="6" applyFont="1" applyFill="1" applyBorder="1" applyAlignment="1">
      <alignment horizontal="right"/>
    </xf>
    <xf numFmtId="0" fontId="3" fillId="7" borderId="16" xfId="6" applyFont="1" applyFill="1" applyBorder="1"/>
    <xf numFmtId="44" fontId="1" fillId="7" borderId="0" xfId="6" applyNumberFormat="1" applyFill="1" applyBorder="1"/>
    <xf numFmtId="44" fontId="3" fillId="7" borderId="20" xfId="6" applyNumberFormat="1" applyFont="1" applyFill="1" applyBorder="1"/>
    <xf numFmtId="0" fontId="1" fillId="7" borderId="0" xfId="6" applyFont="1" applyFill="1" applyBorder="1"/>
    <xf numFmtId="44" fontId="1" fillId="7" borderId="16" xfId="6" applyNumberFormat="1" applyFill="1" applyBorder="1"/>
    <xf numFmtId="0" fontId="3" fillId="7" borderId="5" xfId="6" applyFont="1" applyFill="1" applyBorder="1" applyAlignment="1">
      <alignment horizontal="center"/>
    </xf>
    <xf numFmtId="44" fontId="1" fillId="7" borderId="16" xfId="7" applyNumberFormat="1" applyFont="1" applyFill="1" applyBorder="1"/>
    <xf numFmtId="43" fontId="28" fillId="7" borderId="16" xfId="6" applyNumberFormat="1" applyFont="1" applyFill="1" applyBorder="1"/>
    <xf numFmtId="44" fontId="29" fillId="7" borderId="16" xfId="7" applyFont="1" applyFill="1" applyBorder="1"/>
    <xf numFmtId="43" fontId="1" fillId="7" borderId="0" xfId="1" applyNumberFormat="1" applyFill="1" applyBorder="1"/>
    <xf numFmtId="44" fontId="30" fillId="7" borderId="16" xfId="6" applyNumberFormat="1" applyFont="1" applyFill="1" applyBorder="1"/>
    <xf numFmtId="0" fontId="0" fillId="7" borderId="17" xfId="6" applyFont="1" applyFill="1" applyBorder="1"/>
    <xf numFmtId="0" fontId="1" fillId="7" borderId="5" xfId="6" applyFill="1" applyBorder="1"/>
    <xf numFmtId="44" fontId="29" fillId="7" borderId="20" xfId="7" applyNumberFormat="1" applyFont="1" applyFill="1" applyBorder="1"/>
    <xf numFmtId="0" fontId="1" fillId="7" borderId="21" xfId="6" applyFill="1" applyBorder="1"/>
    <xf numFmtId="44" fontId="29" fillId="7" borderId="20" xfId="7" applyFont="1" applyFill="1" applyBorder="1"/>
    <xf numFmtId="0" fontId="1" fillId="7" borderId="5" xfId="6" applyFont="1" applyFill="1" applyBorder="1" applyAlignment="1">
      <alignment horizontal="right"/>
    </xf>
    <xf numFmtId="44" fontId="31" fillId="0" borderId="0" xfId="0" applyNumberFormat="1" applyFont="1"/>
    <xf numFmtId="43" fontId="31" fillId="0" borderId="1" xfId="1" applyNumberFormat="1" applyFont="1" applyBorder="1"/>
    <xf numFmtId="168" fontId="9" fillId="6" borderId="0" xfId="3" applyNumberFormat="1" applyFont="1" applyFill="1"/>
    <xf numFmtId="41" fontId="32" fillId="0" borderId="0" xfId="3" applyNumberFormat="1" applyFont="1"/>
    <xf numFmtId="165" fontId="1" fillId="6" borderId="0" xfId="5" applyNumberFormat="1" applyFill="1" applyAlignment="1">
      <alignment horizontal="center"/>
    </xf>
    <xf numFmtId="41" fontId="4" fillId="6" borderId="1" xfId="3" applyNumberFormat="1" applyFont="1" applyFill="1" applyBorder="1"/>
    <xf numFmtId="43" fontId="32" fillId="0" borderId="0" xfId="1" applyFont="1"/>
    <xf numFmtId="167" fontId="32" fillId="0" borderId="0" xfId="3" applyNumberFormat="1" applyFont="1"/>
    <xf numFmtId="167" fontId="32" fillId="0" borderId="0" xfId="3" applyNumberFormat="1" applyFont="1" applyAlignment="1">
      <alignment horizontal="centerContinuous"/>
    </xf>
    <xf numFmtId="167" fontId="33" fillId="0" borderId="0" xfId="3" applyNumberFormat="1" applyFont="1" applyAlignment="1">
      <alignment horizontal="left"/>
    </xf>
    <xf numFmtId="44" fontId="1" fillId="0" borderId="0" xfId="6" applyNumberFormat="1"/>
    <xf numFmtId="0" fontId="34" fillId="0" borderId="0" xfId="0" applyFont="1"/>
    <xf numFmtId="0" fontId="34" fillId="0" borderId="0" xfId="0" applyFont="1" applyAlignment="1">
      <alignment wrapText="1"/>
    </xf>
    <xf numFmtId="0" fontId="0" fillId="8" borderId="0" xfId="0" applyFill="1"/>
    <xf numFmtId="44" fontId="0" fillId="8" borderId="0" xfId="2" applyFont="1" applyFill="1"/>
    <xf numFmtId="44" fontId="0" fillId="8" borderId="0" xfId="0" applyNumberFormat="1" applyFill="1"/>
    <xf numFmtId="44" fontId="0" fillId="8" borderId="4" xfId="0" applyNumberFormat="1" applyFill="1" applyBorder="1"/>
    <xf numFmtId="44" fontId="0" fillId="0" borderId="0" xfId="0" applyNumberFormat="1"/>
    <xf numFmtId="0" fontId="34" fillId="0" borderId="22" xfId="0" applyFont="1" applyBorder="1"/>
    <xf numFmtId="44" fontId="0" fillId="0" borderId="22" xfId="0" applyNumberFormat="1" applyBorder="1"/>
    <xf numFmtId="0" fontId="34" fillId="8" borderId="0" xfId="0" applyFont="1" applyFill="1"/>
    <xf numFmtId="44" fontId="0" fillId="0" borderId="2" xfId="0" applyNumberFormat="1" applyBorder="1"/>
    <xf numFmtId="0" fontId="34" fillId="8" borderId="0" xfId="0" applyFont="1" applyFill="1" applyAlignment="1">
      <alignment horizontal="center"/>
    </xf>
    <xf numFmtId="0" fontId="34" fillId="9" borderId="0" xfId="0" applyFont="1" applyFill="1" applyAlignment="1">
      <alignment horizontal="center"/>
    </xf>
    <xf numFmtId="0" fontId="0" fillId="0" borderId="5" xfId="0" applyBorder="1"/>
    <xf numFmtId="0" fontId="34" fillId="8" borderId="5" xfId="0" applyFont="1" applyFill="1" applyBorder="1" applyAlignment="1">
      <alignment horizontal="center"/>
    </xf>
    <xf numFmtId="0" fontId="34" fillId="9" borderId="5" xfId="0" applyFont="1" applyFill="1" applyBorder="1" applyAlignment="1">
      <alignment horizontal="center"/>
    </xf>
    <xf numFmtId="0" fontId="0" fillId="10" borderId="0" xfId="0" applyFill="1"/>
    <xf numFmtId="164" fontId="0" fillId="10" borderId="0" xfId="1" applyNumberFormat="1" applyFont="1" applyFill="1"/>
    <xf numFmtId="1" fontId="0" fillId="10" borderId="0" xfId="0" applyNumberFormat="1" applyFill="1"/>
    <xf numFmtId="1" fontId="0" fillId="0" borderId="0" xfId="0" applyNumberFormat="1"/>
    <xf numFmtId="0" fontId="0" fillId="11" borderId="0" xfId="0" applyFill="1"/>
    <xf numFmtId="44" fontId="0" fillId="11" borderId="0" xfId="2" applyFont="1" applyFill="1"/>
    <xf numFmtId="44" fontId="0" fillId="11" borderId="0" xfId="0" applyNumberFormat="1" applyFill="1"/>
    <xf numFmtId="44" fontId="0" fillId="11" borderId="4" xfId="0" applyNumberFormat="1" applyFill="1" applyBorder="1"/>
    <xf numFmtId="0" fontId="34" fillId="11" borderId="0" xfId="0" applyFont="1" applyFill="1"/>
    <xf numFmtId="44" fontId="0" fillId="8" borderId="0" xfId="0" applyNumberFormat="1" applyFill="1" applyBorder="1"/>
    <xf numFmtId="0" fontId="34" fillId="11" borderId="0" xfId="0" applyFont="1" applyFill="1" applyAlignment="1">
      <alignment horizontal="center"/>
    </xf>
    <xf numFmtId="0" fontId="34" fillId="11" borderId="5" xfId="0" applyFont="1" applyFill="1" applyBorder="1" applyAlignment="1">
      <alignment horizontal="center"/>
    </xf>
    <xf numFmtId="0" fontId="0" fillId="0" borderId="0" xfId="0" applyFill="1"/>
    <xf numFmtId="44" fontId="4" fillId="0" borderId="0" xfId="2" applyNumberFormat="1" applyFont="1"/>
    <xf numFmtId="4" fontId="1" fillId="0" borderId="0" xfId="6" applyNumberFormat="1"/>
    <xf numFmtId="0" fontId="4" fillId="0" borderId="0" xfId="6" applyFont="1"/>
    <xf numFmtId="2" fontId="4" fillId="0" borderId="0" xfId="6" applyNumberFormat="1" applyFont="1"/>
    <xf numFmtId="171" fontId="1" fillId="0" borderId="0" xfId="6" applyNumberFormat="1"/>
    <xf numFmtId="4" fontId="4" fillId="0" borderId="0" xfId="6" applyNumberFormat="1" applyFont="1"/>
    <xf numFmtId="4" fontId="6" fillId="0" borderId="1" xfId="6" applyNumberFormat="1" applyFont="1" applyBorder="1"/>
    <xf numFmtId="40" fontId="4" fillId="0" borderId="1" xfId="6" applyNumberFormat="1" applyFont="1" applyBorder="1"/>
    <xf numFmtId="4" fontId="4" fillId="0" borderId="1" xfId="6" applyNumberFormat="1" applyFont="1" applyBorder="1"/>
    <xf numFmtId="0" fontId="4" fillId="0" borderId="0" xfId="6" applyFont="1" applyAlignment="1">
      <alignment horizontal="center"/>
    </xf>
    <xf numFmtId="40" fontId="6" fillId="0" borderId="0" xfId="6" applyNumberFormat="1" applyFont="1"/>
    <xf numFmtId="40" fontId="4" fillId="0" borderId="0" xfId="6" applyNumberFormat="1" applyFont="1"/>
    <xf numFmtId="17" fontId="4" fillId="0" borderId="0" xfId="6" applyNumberFormat="1" applyFont="1"/>
    <xf numFmtId="17" fontId="3" fillId="0" borderId="0" xfId="6" applyNumberFormat="1" applyFont="1" applyAlignment="1">
      <alignment horizontal="right"/>
    </xf>
    <xf numFmtId="17" fontId="3" fillId="0" borderId="0" xfId="6" applyNumberFormat="1" applyFont="1" applyAlignment="1">
      <alignment horizontal="center"/>
    </xf>
    <xf numFmtId="4" fontId="3" fillId="0" borderId="0" xfId="6" applyNumberFormat="1" applyFont="1" applyAlignment="1">
      <alignment horizontal="center"/>
    </xf>
    <xf numFmtId="17" fontId="1" fillId="0" borderId="0" xfId="6" applyNumberFormat="1"/>
    <xf numFmtId="0" fontId="3" fillId="0" borderId="0" xfId="6" applyFont="1" applyFill="1" applyBorder="1"/>
    <xf numFmtId="0" fontId="1" fillId="0" borderId="0" xfId="6" applyBorder="1"/>
    <xf numFmtId="0" fontId="3" fillId="0" borderId="0" xfId="6" applyFont="1" applyBorder="1"/>
    <xf numFmtId="170" fontId="1" fillId="0" borderId="0" xfId="6" applyNumberFormat="1"/>
    <xf numFmtId="2" fontId="1" fillId="0" borderId="0" xfId="6" applyNumberFormat="1"/>
    <xf numFmtId="17" fontId="4" fillId="0" borderId="0" xfId="6" applyNumberFormat="1" applyFont="1" applyFill="1"/>
    <xf numFmtId="17" fontId="1" fillId="0" borderId="0" xfId="6" applyNumberFormat="1" applyBorder="1"/>
    <xf numFmtId="40" fontId="4" fillId="0" borderId="0" xfId="6" quotePrefix="1" applyNumberFormat="1" applyFont="1"/>
    <xf numFmtId="4" fontId="4" fillId="0" borderId="0" xfId="6" quotePrefix="1" applyNumberFormat="1" applyFont="1"/>
    <xf numFmtId="0" fontId="6" fillId="0" borderId="0" xfId="6" applyFont="1"/>
    <xf numFmtId="0" fontId="4" fillId="0" borderId="0" xfId="6" applyFont="1" applyBorder="1"/>
    <xf numFmtId="44" fontId="6" fillId="0" borderId="0" xfId="6" applyNumberFormat="1" applyFont="1" applyBorder="1"/>
    <xf numFmtId="44" fontId="4" fillId="0" borderId="0" xfId="6" applyNumberFormat="1" applyFont="1"/>
    <xf numFmtId="7" fontId="1" fillId="0" borderId="0" xfId="9" applyNumberFormat="1" applyBorder="1"/>
    <xf numFmtId="44" fontId="4" fillId="3" borderId="7" xfId="2" applyFont="1" applyFill="1" applyBorder="1" applyAlignment="1">
      <alignment horizontal="center"/>
    </xf>
    <xf numFmtId="0" fontId="6" fillId="0" borderId="0" xfId="6" quotePrefix="1" applyFont="1" applyAlignment="1">
      <alignment horizontal="left"/>
    </xf>
    <xf numFmtId="0" fontId="4" fillId="0" borderId="0" xfId="6" applyFont="1" applyFill="1"/>
    <xf numFmtId="10" fontId="4" fillId="3" borderId="0" xfId="6" applyNumberFormat="1" applyFont="1" applyFill="1"/>
    <xf numFmtId="43" fontId="4" fillId="0" borderId="0" xfId="6" applyNumberFormat="1" applyFont="1"/>
    <xf numFmtId="2" fontId="6" fillId="3" borderId="0" xfId="6" applyNumberFormat="1" applyFont="1" applyFill="1" applyBorder="1"/>
    <xf numFmtId="2" fontId="6" fillId="0" borderId="0" xfId="6" applyNumberFormat="1" applyFont="1"/>
    <xf numFmtId="17" fontId="4" fillId="0" borderId="0" xfId="6" applyNumberFormat="1" applyFont="1" applyFill="1" applyBorder="1" applyAlignment="1">
      <alignment horizontal="center"/>
    </xf>
    <xf numFmtId="17" fontId="4" fillId="3" borderId="0" xfId="6" applyNumberFormat="1" applyFont="1" applyFill="1" applyBorder="1" applyAlignment="1">
      <alignment horizontal="center"/>
    </xf>
    <xf numFmtId="0" fontId="6" fillId="0" borderId="0" xfId="6" applyFont="1" applyAlignment="1">
      <alignment horizontal="center"/>
    </xf>
    <xf numFmtId="0" fontId="6" fillId="0" borderId="0" xfId="6" applyFont="1" applyAlignment="1">
      <alignment horizontal="centerContinuous"/>
    </xf>
    <xf numFmtId="0" fontId="4" fillId="0" borderId="0" xfId="6" applyFont="1" applyFill="1" applyBorder="1" applyAlignment="1">
      <alignment horizontal="center"/>
    </xf>
    <xf numFmtId="167" fontId="4" fillId="6" borderId="2" xfId="3" applyNumberFormat="1" applyFont="1" applyFill="1" applyBorder="1"/>
    <xf numFmtId="168" fontId="4" fillId="0" borderId="1" xfId="3" applyNumberFormat="1" applyFont="1" applyBorder="1"/>
    <xf numFmtId="167" fontId="4" fillId="0" borderId="5" xfId="3" applyNumberFormat="1" applyFont="1" applyBorder="1"/>
    <xf numFmtId="170" fontId="3" fillId="0" borderId="0" xfId="6" applyNumberFormat="1" applyFont="1" applyAlignment="1">
      <alignment horizontal="center"/>
    </xf>
    <xf numFmtId="170" fontId="1" fillId="0" borderId="0" xfId="6" applyNumberFormat="1" applyBorder="1"/>
    <xf numFmtId="44" fontId="4" fillId="0" borderId="0" xfId="2" quotePrefix="1" applyNumberFormat="1" applyFont="1"/>
    <xf numFmtId="0" fontId="6" fillId="0" borderId="0" xfId="6" applyFont="1" applyFill="1" applyBorder="1"/>
    <xf numFmtId="168" fontId="19" fillId="12" borderId="23" xfId="3" applyNumberFormat="1" applyFont="1" applyFill="1" applyBorder="1"/>
    <xf numFmtId="41" fontId="19" fillId="12" borderId="23" xfId="3" applyNumberFormat="1" applyFont="1" applyFill="1" applyBorder="1"/>
    <xf numFmtId="41" fontId="19" fillId="12" borderId="23" xfId="3" applyNumberFormat="1" applyFont="1" applyFill="1" applyBorder="1" applyAlignment="1">
      <alignment horizontal="center"/>
    </xf>
    <xf numFmtId="165" fontId="35" fillId="12" borderId="23" xfId="5" applyNumberFormat="1" applyFont="1" applyFill="1" applyBorder="1" applyAlignment="1">
      <alignment horizontal="center"/>
    </xf>
    <xf numFmtId="44" fontId="36" fillId="3" borderId="7" xfId="2" applyNumberFormat="1" applyFont="1" applyFill="1" applyBorder="1"/>
    <xf numFmtId="44" fontId="4" fillId="3" borderId="7" xfId="2" applyNumberFormat="1" applyFont="1" applyFill="1" applyBorder="1"/>
    <xf numFmtId="44" fontId="4" fillId="3" borderId="7" xfId="2" applyNumberFormat="1" applyFont="1" applyFill="1" applyBorder="1" applyAlignment="1">
      <alignment horizontal="center"/>
    </xf>
    <xf numFmtId="44" fontId="36" fillId="3" borderId="7" xfId="2" applyNumberFormat="1" applyFont="1" applyFill="1" applyBorder="1" applyAlignment="1">
      <alignment horizontal="center"/>
    </xf>
    <xf numFmtId="41" fontId="4" fillId="0" borderId="0" xfId="3" applyNumberFormat="1" applyFont="1" applyFill="1"/>
    <xf numFmtId="165" fontId="4" fillId="13" borderId="7" xfId="5" applyNumberFormat="1" applyFont="1" applyFill="1" applyBorder="1"/>
    <xf numFmtId="168" fontId="4" fillId="13" borderId="6" xfId="3" applyNumberFormat="1" applyFont="1" applyFill="1" applyBorder="1"/>
    <xf numFmtId="167" fontId="4" fillId="13" borderId="0" xfId="3" applyNumberFormat="1" applyFont="1" applyFill="1"/>
    <xf numFmtId="167" fontId="19" fillId="12" borderId="23" xfId="3" applyNumberFormat="1" applyFont="1" applyFill="1" applyBorder="1"/>
    <xf numFmtId="43" fontId="19" fillId="14" borderId="23" xfId="1" applyFont="1" applyFill="1" applyBorder="1" applyAlignment="1">
      <alignment horizontal="center"/>
    </xf>
    <xf numFmtId="43" fontId="4" fillId="0" borderId="0" xfId="1" quotePrefix="1" applyFont="1" applyFill="1"/>
    <xf numFmtId="8" fontId="4" fillId="3" borderId="7" xfId="2" applyNumberFormat="1" applyFont="1" applyFill="1" applyBorder="1"/>
    <xf numFmtId="43" fontId="1" fillId="7" borderId="0" xfId="6" applyNumberFormat="1" applyFill="1" applyBorder="1"/>
    <xf numFmtId="0" fontId="23" fillId="7" borderId="15" xfId="6" applyFont="1" applyFill="1" applyBorder="1" applyAlignment="1">
      <alignment horizontal="center"/>
    </xf>
    <xf numFmtId="0" fontId="23" fillId="7" borderId="0" xfId="6" applyFont="1" applyFill="1" applyBorder="1" applyAlignment="1">
      <alignment horizontal="center"/>
    </xf>
    <xf numFmtId="0" fontId="23" fillId="7" borderId="16" xfId="6" applyFont="1" applyFill="1" applyBorder="1" applyAlignment="1">
      <alignment horizontal="center"/>
    </xf>
    <xf numFmtId="0" fontId="22" fillId="7" borderId="15" xfId="6" applyFont="1" applyFill="1" applyBorder="1" applyAlignment="1">
      <alignment horizontal="center"/>
    </xf>
    <xf numFmtId="0" fontId="22" fillId="7" borderId="0" xfId="6" applyFont="1" applyFill="1" applyBorder="1" applyAlignment="1">
      <alignment horizontal="center"/>
    </xf>
    <xf numFmtId="0" fontId="22" fillId="7" borderId="16" xfId="6" applyFont="1" applyFill="1" applyBorder="1" applyAlignment="1">
      <alignment horizontal="center"/>
    </xf>
    <xf numFmtId="0" fontId="0" fillId="0" borderId="0" xfId="0" applyAlignment="1">
      <alignment horizontal="center"/>
    </xf>
    <xf numFmtId="0" fontId="34" fillId="0" borderId="0" xfId="0" applyFont="1" applyAlignment="1">
      <alignment horizontal="center"/>
    </xf>
    <xf numFmtId="0" fontId="34" fillId="11" borderId="0" xfId="0" applyFont="1" applyFill="1" applyAlignment="1">
      <alignment horizontal="center"/>
    </xf>
    <xf numFmtId="0" fontId="34" fillId="8" borderId="0" xfId="0" applyFont="1" applyFill="1" applyAlignment="1">
      <alignment horizontal="center"/>
    </xf>
  </cellXfs>
  <cellStyles count="10">
    <cellStyle name="Comma" xfId="1" builtinId="3"/>
    <cellStyle name="Comma 3 2" xfId="8"/>
    <cellStyle name="Currency" xfId="2" builtinId="4"/>
    <cellStyle name="Currency 2" xfId="9"/>
    <cellStyle name="Currency 3 2" xfId="7"/>
    <cellStyle name="Normal" xfId="0" builtinId="0"/>
    <cellStyle name="Normal 2 3" xfId="6"/>
    <cellStyle name="Normal_98REC_CR" xfId="3"/>
    <cellStyle name="Note" xfId="4" builtinId="1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externalLink" Target="externalLinks/externalLink16.xml"/><Relationship Id="rId58"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theme" Target="theme/theme1.xml"/><Relationship Id="rId62"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95250</xdr:colOff>
      <xdr:row>33</xdr:row>
      <xdr:rowOff>114300</xdr:rowOff>
    </xdr:from>
    <xdr:to>
      <xdr:col>7</xdr:col>
      <xdr:colOff>28575</xdr:colOff>
      <xdr:row>35</xdr:row>
      <xdr:rowOff>123825</xdr:rowOff>
    </xdr:to>
    <xdr:cxnSp macro="">
      <xdr:nvCxnSpPr>
        <xdr:cNvPr id="2" name="Straight Arrow Connector 2"/>
        <xdr:cNvCxnSpPr>
          <a:cxnSpLocks noChangeShapeType="1"/>
        </xdr:cNvCxnSpPr>
      </xdr:nvCxnSpPr>
      <xdr:spPr bwMode="auto">
        <a:xfrm flipH="1" flipV="1">
          <a:off x="4791075" y="4981575"/>
          <a:ext cx="514350" cy="295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47625</xdr:colOff>
      <xdr:row>36</xdr:row>
      <xdr:rowOff>76200</xdr:rowOff>
    </xdr:from>
    <xdr:to>
      <xdr:col>7</xdr:col>
      <xdr:colOff>9525</xdr:colOff>
      <xdr:row>37</xdr:row>
      <xdr:rowOff>76200</xdr:rowOff>
    </xdr:to>
    <xdr:cxnSp macro="">
      <xdr:nvCxnSpPr>
        <xdr:cNvPr id="3" name="Straight Arrow Connector 4"/>
        <xdr:cNvCxnSpPr>
          <a:cxnSpLocks noChangeShapeType="1"/>
        </xdr:cNvCxnSpPr>
      </xdr:nvCxnSpPr>
      <xdr:spPr bwMode="auto">
        <a:xfrm flipH="1">
          <a:off x="4743450" y="5372100"/>
          <a:ext cx="542925" cy="1428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33</xdr:row>
      <xdr:rowOff>114300</xdr:rowOff>
    </xdr:from>
    <xdr:to>
      <xdr:col>7</xdr:col>
      <xdr:colOff>28575</xdr:colOff>
      <xdr:row>35</xdr:row>
      <xdr:rowOff>123825</xdr:rowOff>
    </xdr:to>
    <xdr:cxnSp macro="">
      <xdr:nvCxnSpPr>
        <xdr:cNvPr id="2" name="Straight Arrow Connector 2"/>
        <xdr:cNvCxnSpPr>
          <a:cxnSpLocks noChangeShapeType="1"/>
        </xdr:cNvCxnSpPr>
      </xdr:nvCxnSpPr>
      <xdr:spPr bwMode="auto">
        <a:xfrm flipH="1" flipV="1">
          <a:off x="3752850" y="5457825"/>
          <a:ext cx="542925"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47625</xdr:colOff>
      <xdr:row>36</xdr:row>
      <xdr:rowOff>76200</xdr:rowOff>
    </xdr:from>
    <xdr:to>
      <xdr:col>7</xdr:col>
      <xdr:colOff>9525</xdr:colOff>
      <xdr:row>37</xdr:row>
      <xdr:rowOff>76200</xdr:rowOff>
    </xdr:to>
    <xdr:cxnSp macro="">
      <xdr:nvCxnSpPr>
        <xdr:cNvPr id="3" name="Straight Arrow Connector 4"/>
        <xdr:cNvCxnSpPr>
          <a:cxnSpLocks noChangeShapeType="1"/>
        </xdr:cNvCxnSpPr>
      </xdr:nvCxnSpPr>
      <xdr:spPr bwMode="auto">
        <a:xfrm flipH="1">
          <a:off x="3705225" y="5905500"/>
          <a:ext cx="571500" cy="1619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552450</xdr:colOff>
      <xdr:row>28</xdr:row>
      <xdr:rowOff>0</xdr:rowOff>
    </xdr:from>
    <xdr:to>
      <xdr:col>15</xdr:col>
      <xdr:colOff>28575</xdr:colOff>
      <xdr:row>55</xdr:row>
      <xdr:rowOff>0</xdr:rowOff>
    </xdr:to>
    <xdr:cxnSp macro="">
      <xdr:nvCxnSpPr>
        <xdr:cNvPr id="2" name="Straight Arrow Connector 2"/>
        <xdr:cNvCxnSpPr>
          <a:cxnSpLocks noChangeShapeType="1"/>
        </xdr:cNvCxnSpPr>
      </xdr:nvCxnSpPr>
      <xdr:spPr bwMode="auto">
        <a:xfrm flipH="1">
          <a:off x="4210050" y="4533900"/>
          <a:ext cx="4962525" cy="43719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32</xdr:row>
      <xdr:rowOff>114300</xdr:rowOff>
    </xdr:from>
    <xdr:to>
      <xdr:col>7</xdr:col>
      <xdr:colOff>28575</xdr:colOff>
      <xdr:row>34</xdr:row>
      <xdr:rowOff>123825</xdr:rowOff>
    </xdr:to>
    <xdr:cxnSp macro="">
      <xdr:nvCxnSpPr>
        <xdr:cNvPr id="2" name="Straight Arrow Connector 2"/>
        <xdr:cNvCxnSpPr>
          <a:cxnSpLocks noChangeShapeType="1"/>
        </xdr:cNvCxnSpPr>
      </xdr:nvCxnSpPr>
      <xdr:spPr bwMode="auto">
        <a:xfrm flipH="1" flipV="1">
          <a:off x="3752850" y="5295900"/>
          <a:ext cx="542925"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47625</xdr:colOff>
      <xdr:row>35</xdr:row>
      <xdr:rowOff>76200</xdr:rowOff>
    </xdr:from>
    <xdr:to>
      <xdr:col>7</xdr:col>
      <xdr:colOff>9525</xdr:colOff>
      <xdr:row>36</xdr:row>
      <xdr:rowOff>76200</xdr:rowOff>
    </xdr:to>
    <xdr:cxnSp macro="">
      <xdr:nvCxnSpPr>
        <xdr:cNvPr id="3" name="Straight Arrow Connector 4"/>
        <xdr:cNvCxnSpPr>
          <a:cxnSpLocks noChangeShapeType="1"/>
        </xdr:cNvCxnSpPr>
      </xdr:nvCxnSpPr>
      <xdr:spPr bwMode="auto">
        <a:xfrm flipH="1">
          <a:off x="3705225" y="5743575"/>
          <a:ext cx="571500" cy="1619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563880</xdr:colOff>
      <xdr:row>28</xdr:row>
      <xdr:rowOff>0</xdr:rowOff>
    </xdr:from>
    <xdr:to>
      <xdr:col>15</xdr:col>
      <xdr:colOff>30480</xdr:colOff>
      <xdr:row>55</xdr:row>
      <xdr:rowOff>0</xdr:rowOff>
    </xdr:to>
    <xdr:cxnSp macro="">
      <xdr:nvCxnSpPr>
        <xdr:cNvPr id="2" name="Straight Arrow Connector 2"/>
        <xdr:cNvCxnSpPr>
          <a:cxnSpLocks noChangeShapeType="1"/>
        </xdr:cNvCxnSpPr>
      </xdr:nvCxnSpPr>
      <xdr:spPr bwMode="auto">
        <a:xfrm flipH="1">
          <a:off x="4572000" y="3855720"/>
          <a:ext cx="5212080" cy="357378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4/TG-141294%20EastSide%20Single%20Family%20Commodity%20Credit%20Template%20-%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172-01\Share\District\Accounting\WUTC%20Files\RSA\2013-14%20Plan%20Year\WUTC%20Filing%20Working%20Documents\SeaTac%20Multi%20Family%20Commodity%20Credit%20Template%20-%20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rwaldren\AppData\Local\Microsoft\Windows\Temporary%20Internet%20Files\Content.Outlook\4RO9G3TQ\181020%20-%20EastSide%20Single%20Family%20Commodity%20Credit%20Template%20-%20Dec%20201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172-01\Share\District\~WUTC%20Files~\1.%20RSA\2015-2017%20Plan%20Year\Commodity%20Credit%20Templates%202015-2016\2015-2016%20Additional%20passback%20to%20customer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apps.utc.wa.gov/District/Accounting/WUTC%20Files/RSA/2013-14%20Plan%20Year/WUTC%20Filing%20Working%20Documents/SeaTac%20Multi%20Family%20Commodity%20Credit%20Template%20-%202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apps.utc.wa.gov/District/Accounting/WUTC%20Files/RSA/2015-2017%20Plan%20Year/2014-2015%20Additional%20passback%20to%20customer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apps.utc.wa.gov/Users/chrisab/AppData/Local/Microsoft/Windows/Temporary%20Internet%20Files/Content.Outlook/5QUKZ49W/4172%20Eastside%20Recycle%20Credits%2004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apps.utc.wa.gov/apps/cases/2015/151227/Filed%20Documents/00002/TG-151227%20EastSide%20Multi%20Family%20Commodity%20Credit%20Template%20-%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TIL\TRANS\Dave%20G\2012%20Filings\TG-121059\EastSide%20Single%20Family%20Commodity%20Credit%20Template%20-%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TIL\TRANS\Dave%20G\2011%20Filings\TG-111991\111991%20EastSide%20Single%20Family%20Commodity%20Credit%20Template%20-%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ome.utc.wa.gov/sites/TransportationPvt/SolidWaste/TG-151215%20Staff%20comm%20C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4/TG-141294%20Breakdown%20of%20additional%20revenue%20passback%20to%20custome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4/TG-141294%20EastSide%20MFamily%20Comm%20Cr%20Template%20Revised-%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TIL\TRANS\Dave%20G\2012%20Filings\TG-121059\EastSide%20Multi%20Family%20Commodity%20Credit%20Template%20-%20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UTIL\TRANS\Dave%20G\2011%20Filings\TG-111991\EastSide%20Multi%20Family%20Commodity%20Credit%20Template%20-%202012%20(adj).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rwaldren\AppData\Local\Microsoft\Windows\Temporary%20Internet%20Files\Content.Outlook\4RO9G3TQ\181020%20-%20EastSide%20Multi%20Family%20Commodity%20Credit%20Template%20-%20Dec%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Staff Analysis"/>
      <sheetName val="WUTC_AW of Bellevue_SF"/>
      <sheetName val="Value"/>
      <sheetName val="Commodity Tonnages"/>
      <sheetName val="Pricing"/>
      <sheetName val="Single Family"/>
    </sheetNames>
    <sheetDataSet>
      <sheetData sheetId="0"/>
      <sheetData sheetId="1"/>
      <sheetData sheetId="2">
        <row r="8">
          <cell r="B8">
            <v>10390</v>
          </cell>
        </row>
        <row r="9">
          <cell r="B9">
            <v>10383</v>
          </cell>
        </row>
        <row r="10">
          <cell r="B10">
            <v>10370</v>
          </cell>
        </row>
        <row r="14">
          <cell r="B14">
            <v>10363</v>
          </cell>
        </row>
        <row r="15">
          <cell r="B15">
            <v>10056</v>
          </cell>
        </row>
        <row r="16">
          <cell r="B16">
            <v>10457</v>
          </cell>
        </row>
        <row r="17">
          <cell r="B17">
            <v>10398</v>
          </cell>
        </row>
        <row r="18">
          <cell r="B18">
            <v>10452</v>
          </cell>
        </row>
        <row r="19">
          <cell r="B19">
            <v>10419</v>
          </cell>
        </row>
        <row r="20">
          <cell r="B20">
            <v>10439</v>
          </cell>
        </row>
        <row r="21">
          <cell r="B21">
            <v>10423</v>
          </cell>
        </row>
        <row r="22">
          <cell r="B22">
            <v>10488</v>
          </cell>
        </row>
        <row r="56">
          <cell r="N56">
            <v>0.5</v>
          </cell>
        </row>
      </sheetData>
      <sheetData sheetId="3">
        <row r="18">
          <cell r="M18">
            <v>250353.85452144311</v>
          </cell>
          <cell r="O18">
            <v>137247.90547064302</v>
          </cell>
        </row>
      </sheetData>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efreshError="1">
        <row r="56">
          <cell r="O56">
            <v>0.5</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sheetData sheetId="1">
        <row r="1">
          <cell r="A1" t="str">
            <v>Rabanco Ltd (dba Republic Services)</v>
          </cell>
        </row>
      </sheetData>
      <sheetData sheetId="2">
        <row r="6">
          <cell r="A6">
            <v>43221</v>
          </cell>
          <cell r="C6">
            <v>2799.6003899999996</v>
          </cell>
          <cell r="D6">
            <v>-1539.5084889600002</v>
          </cell>
          <cell r="E6">
            <v>0</v>
          </cell>
          <cell r="F6">
            <v>515.54944320000004</v>
          </cell>
          <cell r="G6">
            <v>0</v>
          </cell>
          <cell r="H6">
            <v>-2549.3450457600002</v>
          </cell>
          <cell r="I6">
            <v>777.5337130800001</v>
          </cell>
          <cell r="J6">
            <v>777.5337130800001</v>
          </cell>
          <cell r="K6">
            <v>2673.3946060799999</v>
          </cell>
          <cell r="L6">
            <v>-2751.2747826400064</v>
          </cell>
          <cell r="M6">
            <v>703.48354807999294</v>
          </cell>
          <cell r="O6">
            <v>351.74177403999647</v>
          </cell>
        </row>
        <row r="7">
          <cell r="A7">
            <v>43281</v>
          </cell>
          <cell r="C7">
            <v>2574.5778149999996</v>
          </cell>
          <cell r="D7">
            <v>-1037.3158328</v>
          </cell>
          <cell r="E7">
            <v>0</v>
          </cell>
          <cell r="F7">
            <v>470.9853885</v>
          </cell>
          <cell r="G7">
            <v>0</v>
          </cell>
          <cell r="H7">
            <v>317.00512000000003</v>
          </cell>
          <cell r="I7">
            <v>605.64110339999991</v>
          </cell>
          <cell r="J7">
            <v>605.64110339999991</v>
          </cell>
          <cell r="K7">
            <v>3285.2483333999999</v>
          </cell>
          <cell r="L7">
            <v>-2447.8300529000053</v>
          </cell>
          <cell r="M7">
            <v>4373.9529779999939</v>
          </cell>
          <cell r="O7">
            <v>2186.9764889999969</v>
          </cell>
        </row>
        <row r="8">
          <cell r="A8">
            <v>43312</v>
          </cell>
          <cell r="C8">
            <v>2717.3596560000005</v>
          </cell>
          <cell r="D8">
            <v>-214.70082816000004</v>
          </cell>
          <cell r="E8">
            <v>0</v>
          </cell>
          <cell r="F8">
            <v>511.08699840000008</v>
          </cell>
          <cell r="G8">
            <v>0</v>
          </cell>
          <cell r="H8">
            <v>736.57974272000024</v>
          </cell>
          <cell r="I8">
            <v>834.14494416000014</v>
          </cell>
          <cell r="J8">
            <v>834.14494416000014</v>
          </cell>
          <cell r="K8">
            <v>4144.9570905599994</v>
          </cell>
          <cell r="L8">
            <v>-2714.8805699200061</v>
          </cell>
          <cell r="M8">
            <v>6848.6919779199943</v>
          </cell>
          <cell r="O8">
            <v>3424.3459889599972</v>
          </cell>
        </row>
        <row r="9">
          <cell r="A9">
            <v>43343</v>
          </cell>
          <cell r="C9">
            <v>2816.1770917499998</v>
          </cell>
          <cell r="D9">
            <v>46.122204959999998</v>
          </cell>
          <cell r="E9">
            <v>0</v>
          </cell>
          <cell r="F9">
            <v>359.76567825000001</v>
          </cell>
          <cell r="G9">
            <v>0</v>
          </cell>
          <cell r="H9">
            <v>1534.0187836799998</v>
          </cell>
          <cell r="I9">
            <v>1333.5592972500001</v>
          </cell>
          <cell r="J9">
            <v>1333.5592972500001</v>
          </cell>
          <cell r="K9">
            <v>3809.4561014399997</v>
          </cell>
          <cell r="L9">
            <v>-2813.6078531100061</v>
          </cell>
          <cell r="M9">
            <v>8419.0506014699931</v>
          </cell>
          <cell r="O9">
            <v>4209.5253007349966</v>
          </cell>
        </row>
        <row r="10">
          <cell r="A10">
            <v>43373</v>
          </cell>
          <cell r="C10">
            <v>2192.4214365000003</v>
          </cell>
          <cell r="D10">
            <v>-803.8844413600001</v>
          </cell>
          <cell r="E10">
            <v>0</v>
          </cell>
          <cell r="F10">
            <v>357.1676377500001</v>
          </cell>
          <cell r="G10">
            <v>0</v>
          </cell>
          <cell r="H10">
            <v>4320.5777168000004</v>
          </cell>
          <cell r="I10">
            <v>550.01547446500001</v>
          </cell>
          <cell r="J10">
            <v>550.01547446500001</v>
          </cell>
          <cell r="K10">
            <v>3536.1903753000001</v>
          </cell>
          <cell r="L10">
            <v>-2480.4731077300057</v>
          </cell>
          <cell r="M10">
            <v>8222.0305661899947</v>
          </cell>
          <cell r="O10">
            <v>4111.0152830949974</v>
          </cell>
        </row>
        <row r="11">
          <cell r="A11">
            <v>43404</v>
          </cell>
          <cell r="C11">
            <v>2061.5411287500001</v>
          </cell>
          <cell r="D11">
            <v>-882.26108360000023</v>
          </cell>
          <cell r="E11">
            <v>0</v>
          </cell>
          <cell r="F11">
            <v>386.15251950000004</v>
          </cell>
          <cell r="G11">
            <v>0</v>
          </cell>
          <cell r="H11">
            <v>3986.7241416000006</v>
          </cell>
          <cell r="I11">
            <v>505.77786845000014</v>
          </cell>
          <cell r="J11">
            <v>505.77786845000014</v>
          </cell>
          <cell r="K11">
            <v>3823.7101056000006</v>
          </cell>
          <cell r="L11">
            <v>-2389.1683284500054</v>
          </cell>
          <cell r="M11">
            <v>7998.2542202999957</v>
          </cell>
          <cell r="O11">
            <v>3999.1271101499979</v>
          </cell>
        </row>
        <row r="12">
          <cell r="A12">
            <v>43434</v>
          </cell>
          <cell r="C12">
            <v>0</v>
          </cell>
          <cell r="D12">
            <v>0</v>
          </cell>
          <cell r="E12">
            <v>0</v>
          </cell>
          <cell r="F12">
            <v>0</v>
          </cell>
          <cell r="G12">
            <v>0</v>
          </cell>
          <cell r="H12">
            <v>0</v>
          </cell>
          <cell r="I12">
            <v>0</v>
          </cell>
          <cell r="J12">
            <v>0</v>
          </cell>
          <cell r="K12">
            <v>0</v>
          </cell>
          <cell r="L12">
            <v>0</v>
          </cell>
          <cell r="M12">
            <v>0</v>
          </cell>
          <cell r="O12">
            <v>0</v>
          </cell>
        </row>
        <row r="13">
          <cell r="A13">
            <v>43465</v>
          </cell>
          <cell r="C13">
            <v>0</v>
          </cell>
          <cell r="D13">
            <v>0</v>
          </cell>
          <cell r="E13">
            <v>0</v>
          </cell>
          <cell r="F13">
            <v>0</v>
          </cell>
          <cell r="G13">
            <v>0</v>
          </cell>
          <cell r="H13">
            <v>0</v>
          </cell>
          <cell r="I13">
            <v>0</v>
          </cell>
          <cell r="J13">
            <v>0</v>
          </cell>
          <cell r="K13">
            <v>0</v>
          </cell>
          <cell r="L13">
            <v>0</v>
          </cell>
          <cell r="M13">
            <v>0</v>
          </cell>
          <cell r="O13">
            <v>0</v>
          </cell>
        </row>
        <row r="14">
          <cell r="A14">
            <v>43496</v>
          </cell>
          <cell r="C14">
            <v>0</v>
          </cell>
          <cell r="D14">
            <v>0</v>
          </cell>
          <cell r="E14">
            <v>0</v>
          </cell>
          <cell r="F14">
            <v>0</v>
          </cell>
          <cell r="G14">
            <v>0</v>
          </cell>
          <cell r="H14">
            <v>0</v>
          </cell>
          <cell r="I14">
            <v>0</v>
          </cell>
          <cell r="J14">
            <v>0</v>
          </cell>
          <cell r="K14">
            <v>0</v>
          </cell>
          <cell r="L14">
            <v>0</v>
          </cell>
          <cell r="M14">
            <v>0</v>
          </cell>
          <cell r="O14">
            <v>0</v>
          </cell>
        </row>
        <row r="15">
          <cell r="A15">
            <v>43524</v>
          </cell>
          <cell r="C15">
            <v>0</v>
          </cell>
          <cell r="D15">
            <v>0</v>
          </cell>
          <cell r="E15">
            <v>0</v>
          </cell>
          <cell r="F15">
            <v>0</v>
          </cell>
          <cell r="G15">
            <v>0</v>
          </cell>
          <cell r="H15">
            <v>0</v>
          </cell>
          <cell r="I15">
            <v>0</v>
          </cell>
          <cell r="J15">
            <v>0</v>
          </cell>
          <cell r="K15">
            <v>0</v>
          </cell>
          <cell r="L15">
            <v>0</v>
          </cell>
          <cell r="M15">
            <v>0</v>
          </cell>
          <cell r="O15">
            <v>0</v>
          </cell>
        </row>
        <row r="16">
          <cell r="A16">
            <v>43555</v>
          </cell>
          <cell r="C16">
            <v>0</v>
          </cell>
          <cell r="D16">
            <v>0</v>
          </cell>
          <cell r="E16">
            <v>0</v>
          </cell>
          <cell r="F16">
            <v>0</v>
          </cell>
          <cell r="G16">
            <v>0</v>
          </cell>
          <cell r="H16">
            <v>0</v>
          </cell>
          <cell r="I16">
            <v>0</v>
          </cell>
          <cell r="J16">
            <v>0</v>
          </cell>
          <cell r="K16">
            <v>0</v>
          </cell>
          <cell r="L16">
            <v>0</v>
          </cell>
          <cell r="M16">
            <v>0</v>
          </cell>
          <cell r="O16">
            <v>0</v>
          </cell>
        </row>
        <row r="17">
          <cell r="A17">
            <v>43585</v>
          </cell>
          <cell r="C17">
            <v>0</v>
          </cell>
          <cell r="D17">
            <v>0</v>
          </cell>
          <cell r="E17">
            <v>0</v>
          </cell>
          <cell r="F17">
            <v>0</v>
          </cell>
          <cell r="G17">
            <v>0</v>
          </cell>
          <cell r="H17">
            <v>0</v>
          </cell>
          <cell r="I17">
            <v>0</v>
          </cell>
          <cell r="J17">
            <v>0</v>
          </cell>
          <cell r="K17">
            <v>0</v>
          </cell>
          <cell r="L17">
            <v>0</v>
          </cell>
          <cell r="M17">
            <v>0</v>
          </cell>
          <cell r="O17">
            <v>0</v>
          </cell>
        </row>
        <row r="18">
          <cell r="P18">
            <v>0.5</v>
          </cell>
        </row>
      </sheetData>
      <sheetData sheetId="3">
        <row r="6">
          <cell r="C6">
            <v>2.5853999999999999</v>
          </cell>
          <cell r="D6">
            <v>60.94649600000001</v>
          </cell>
          <cell r="E6">
            <v>0</v>
          </cell>
          <cell r="F6">
            <v>5.6878800000000007</v>
          </cell>
          <cell r="G6">
            <v>0</v>
          </cell>
          <cell r="H6">
            <v>178.15129600000003</v>
          </cell>
          <cell r="I6">
            <v>7.7389640000000011</v>
          </cell>
          <cell r="J6">
            <v>7.7389640000000011</v>
          </cell>
          <cell r="K6">
            <v>61.429104000000002</v>
          </cell>
          <cell r="L6">
            <v>20.441896000000046</v>
          </cell>
        </row>
        <row r="7">
          <cell r="C7">
            <v>2.3002499999999997</v>
          </cell>
          <cell r="D7">
            <v>54.224560000000004</v>
          </cell>
          <cell r="E7">
            <v>0</v>
          </cell>
          <cell r="F7">
            <v>5.0605500000000001</v>
          </cell>
          <cell r="G7">
            <v>0</v>
          </cell>
          <cell r="H7">
            <v>158.50256000000002</v>
          </cell>
          <cell r="I7">
            <v>6.8854150000000001</v>
          </cell>
          <cell r="J7">
            <v>6.8854150000000001</v>
          </cell>
          <cell r="K7">
            <v>54.653939999999999</v>
          </cell>
          <cell r="L7">
            <v>18.187310000000039</v>
          </cell>
        </row>
        <row r="8">
          <cell r="C8">
            <v>2.5512000000000001</v>
          </cell>
          <cell r="D8">
            <v>60.140288000000005</v>
          </cell>
          <cell r="E8">
            <v>0</v>
          </cell>
          <cell r="F8">
            <v>5.6126400000000007</v>
          </cell>
          <cell r="G8">
            <v>0</v>
          </cell>
          <cell r="H8">
            <v>175.79468800000004</v>
          </cell>
          <cell r="I8">
            <v>7.6365920000000012</v>
          </cell>
          <cell r="J8">
            <v>7.6365920000000012</v>
          </cell>
          <cell r="K8">
            <v>60.616512</v>
          </cell>
          <cell r="L8">
            <v>20.171488000000046</v>
          </cell>
        </row>
        <row r="9">
          <cell r="C9">
            <v>2.6439749999999997</v>
          </cell>
          <cell r="D9">
            <v>62.327303999999998</v>
          </cell>
          <cell r="E9">
            <v>0</v>
          </cell>
          <cell r="F9">
            <v>5.8167450000000001</v>
          </cell>
          <cell r="G9">
            <v>0</v>
          </cell>
          <cell r="H9">
            <v>182.18750399999999</v>
          </cell>
          <cell r="I9">
            <v>7.9142985000000001</v>
          </cell>
          <cell r="J9">
            <v>7.9142985000000001</v>
          </cell>
          <cell r="K9">
            <v>62.820845999999996</v>
          </cell>
          <cell r="L9">
            <v>20.905029000000045</v>
          </cell>
        </row>
        <row r="10">
          <cell r="C10">
            <v>2.3309250000000001</v>
          </cell>
          <cell r="D10">
            <v>54.947672000000004</v>
          </cell>
          <cell r="E10">
            <v>0</v>
          </cell>
          <cell r="F10">
            <v>5.1280350000000006</v>
          </cell>
          <cell r="G10">
            <v>0</v>
          </cell>
          <cell r="H10">
            <v>160.61627200000001</v>
          </cell>
          <cell r="I10">
            <v>6.9772355000000008</v>
          </cell>
          <cell r="J10">
            <v>6.9772355000000008</v>
          </cell>
          <cell r="K10">
            <v>55.382778000000002</v>
          </cell>
          <cell r="L10">
            <v>18.429847000000041</v>
          </cell>
        </row>
        <row r="11">
          <cell r="C11">
            <v>2.2451250000000003</v>
          </cell>
          <cell r="D11">
            <v>52.925080000000008</v>
          </cell>
          <cell r="E11">
            <v>0</v>
          </cell>
          <cell r="F11">
            <v>4.9392750000000003</v>
          </cell>
          <cell r="G11">
            <v>0</v>
          </cell>
          <cell r="H11">
            <v>154.70408000000003</v>
          </cell>
          <cell r="I11">
            <v>6.7204075000000012</v>
          </cell>
          <cell r="J11">
            <v>6.7204075000000012</v>
          </cell>
          <cell r="K11">
            <v>53.344170000000005</v>
          </cell>
          <cell r="L11">
            <v>17.751455000000039</v>
          </cell>
        </row>
        <row r="12">
          <cell r="C12">
            <v>0</v>
          </cell>
          <cell r="D12">
            <v>0</v>
          </cell>
          <cell r="E12">
            <v>0</v>
          </cell>
          <cell r="F12">
            <v>0</v>
          </cell>
          <cell r="G12">
            <v>0</v>
          </cell>
          <cell r="H12">
            <v>0</v>
          </cell>
          <cell r="I12">
            <v>0</v>
          </cell>
          <cell r="J12">
            <v>0</v>
          </cell>
          <cell r="K12">
            <v>0</v>
          </cell>
          <cell r="L12">
            <v>0</v>
          </cell>
        </row>
        <row r="13">
          <cell r="C13">
            <v>0</v>
          </cell>
          <cell r="D13">
            <v>0</v>
          </cell>
          <cell r="E13">
            <v>0</v>
          </cell>
          <cell r="F13">
            <v>0</v>
          </cell>
          <cell r="G13">
            <v>0</v>
          </cell>
          <cell r="H13">
            <v>0</v>
          </cell>
          <cell r="I13">
            <v>0</v>
          </cell>
          <cell r="J13">
            <v>0</v>
          </cell>
          <cell r="K13">
            <v>0</v>
          </cell>
          <cell r="L13">
            <v>0</v>
          </cell>
        </row>
        <row r="14">
          <cell r="C14">
            <v>0</v>
          </cell>
          <cell r="D14">
            <v>0</v>
          </cell>
          <cell r="E14">
            <v>0</v>
          </cell>
          <cell r="F14">
            <v>0</v>
          </cell>
          <cell r="G14">
            <v>0</v>
          </cell>
          <cell r="H14">
            <v>0</v>
          </cell>
          <cell r="I14">
            <v>0</v>
          </cell>
          <cell r="J14">
            <v>0</v>
          </cell>
          <cell r="K14">
            <v>0</v>
          </cell>
          <cell r="L14">
            <v>0</v>
          </cell>
        </row>
        <row r="15">
          <cell r="C15">
            <v>0</v>
          </cell>
          <cell r="D15">
            <v>0</v>
          </cell>
          <cell r="E15">
            <v>0</v>
          </cell>
          <cell r="F15">
            <v>0</v>
          </cell>
          <cell r="G15">
            <v>0</v>
          </cell>
          <cell r="H15">
            <v>0</v>
          </cell>
          <cell r="I15">
            <v>0</v>
          </cell>
          <cell r="J15">
            <v>0</v>
          </cell>
          <cell r="K15">
            <v>0</v>
          </cell>
          <cell r="L15">
            <v>0</v>
          </cell>
        </row>
        <row r="16">
          <cell r="C16">
            <v>0</v>
          </cell>
          <cell r="D16">
            <v>0</v>
          </cell>
          <cell r="E16">
            <v>0</v>
          </cell>
          <cell r="F16">
            <v>0</v>
          </cell>
          <cell r="G16">
            <v>0</v>
          </cell>
          <cell r="H16">
            <v>0</v>
          </cell>
          <cell r="I16">
            <v>0</v>
          </cell>
          <cell r="J16">
            <v>0</v>
          </cell>
          <cell r="K16">
            <v>0</v>
          </cell>
          <cell r="L16">
            <v>0</v>
          </cell>
        </row>
        <row r="17">
          <cell r="C17">
            <v>0</v>
          </cell>
          <cell r="D17">
            <v>0</v>
          </cell>
          <cell r="E17">
            <v>0</v>
          </cell>
          <cell r="F17">
            <v>0</v>
          </cell>
          <cell r="G17">
            <v>0</v>
          </cell>
          <cell r="H17">
            <v>0</v>
          </cell>
          <cell r="I17">
            <v>0</v>
          </cell>
          <cell r="J17">
            <v>0</v>
          </cell>
          <cell r="K17">
            <v>0</v>
          </cell>
          <cell r="L17">
            <v>0</v>
          </cell>
        </row>
      </sheetData>
      <sheetData sheetId="4">
        <row r="6">
          <cell r="A6">
            <v>43221</v>
          </cell>
          <cell r="C6">
            <v>1082.8499999999999</v>
          </cell>
          <cell r="D6">
            <v>-25.26</v>
          </cell>
          <cell r="E6">
            <v>0</v>
          </cell>
          <cell r="F6">
            <v>90.64</v>
          </cell>
          <cell r="G6">
            <v>0</v>
          </cell>
          <cell r="H6">
            <v>-14.309999999999999</v>
          </cell>
          <cell r="I6">
            <v>100.47</v>
          </cell>
          <cell r="J6">
            <v>100.47</v>
          </cell>
          <cell r="K6">
            <v>43.519999999999996</v>
          </cell>
          <cell r="L6">
            <v>-134.59</v>
          </cell>
        </row>
        <row r="7">
          <cell r="A7">
            <v>43281</v>
          </cell>
          <cell r="C7">
            <v>1119.26</v>
          </cell>
          <cell r="D7">
            <v>-19.13</v>
          </cell>
          <cell r="E7">
            <v>0</v>
          </cell>
          <cell r="F7">
            <v>93.07</v>
          </cell>
          <cell r="G7">
            <v>0</v>
          </cell>
          <cell r="H7">
            <v>2</v>
          </cell>
          <cell r="I7">
            <v>87.96</v>
          </cell>
          <cell r="J7">
            <v>87.96</v>
          </cell>
          <cell r="K7">
            <v>60.11</v>
          </cell>
          <cell r="L7">
            <v>-134.59</v>
          </cell>
        </row>
        <row r="8">
          <cell r="A8">
            <v>43312</v>
          </cell>
          <cell r="C8">
            <v>1065.1300000000001</v>
          </cell>
          <cell r="D8">
            <v>-3.5700000000000003</v>
          </cell>
          <cell r="E8">
            <v>0</v>
          </cell>
          <cell r="F8">
            <v>91.06</v>
          </cell>
          <cell r="G8">
            <v>0</v>
          </cell>
          <cell r="H8">
            <v>4.1900000000000004</v>
          </cell>
          <cell r="I8">
            <v>109.23</v>
          </cell>
          <cell r="J8">
            <v>109.23</v>
          </cell>
          <cell r="K8">
            <v>68.38</v>
          </cell>
          <cell r="L8">
            <v>-134.59</v>
          </cell>
        </row>
        <row r="9">
          <cell r="A9">
            <v>43343</v>
          </cell>
          <cell r="C9">
            <v>1065.1300000000001</v>
          </cell>
          <cell r="D9">
            <v>0.74</v>
          </cell>
          <cell r="E9">
            <v>0</v>
          </cell>
          <cell r="F9">
            <v>61.85</v>
          </cell>
          <cell r="G9">
            <v>0</v>
          </cell>
          <cell r="H9">
            <v>8.42</v>
          </cell>
          <cell r="I9">
            <v>168.5</v>
          </cell>
          <cell r="J9">
            <v>168.5</v>
          </cell>
          <cell r="K9">
            <v>60.64</v>
          </cell>
          <cell r="L9">
            <v>-134.59</v>
          </cell>
        </row>
        <row r="10">
          <cell r="A10">
            <v>43373</v>
          </cell>
          <cell r="C10">
            <v>940.58</v>
          </cell>
          <cell r="D10">
            <v>-14.63</v>
          </cell>
          <cell r="E10">
            <v>0</v>
          </cell>
          <cell r="F10">
            <v>69.650000000000006</v>
          </cell>
          <cell r="G10">
            <v>0</v>
          </cell>
          <cell r="H10">
            <v>26.9</v>
          </cell>
          <cell r="I10">
            <v>78.83</v>
          </cell>
          <cell r="J10">
            <v>78.83</v>
          </cell>
          <cell r="K10">
            <v>63.85</v>
          </cell>
          <cell r="L10">
            <v>-134.59</v>
          </cell>
        </row>
        <row r="11">
          <cell r="A11">
            <v>43404</v>
          </cell>
          <cell r="C11">
            <v>918.23</v>
          </cell>
          <cell r="D11">
            <v>-16.670000000000002</v>
          </cell>
          <cell r="E11">
            <v>0</v>
          </cell>
          <cell r="F11">
            <v>78.180000000000007</v>
          </cell>
          <cell r="G11">
            <v>0</v>
          </cell>
          <cell r="H11">
            <v>25.77</v>
          </cell>
          <cell r="I11">
            <v>75.260000000000005</v>
          </cell>
          <cell r="J11">
            <v>75.260000000000005</v>
          </cell>
          <cell r="K11">
            <v>71.680000000000007</v>
          </cell>
          <cell r="L11">
            <v>-134.59</v>
          </cell>
        </row>
        <row r="12">
          <cell r="A12">
            <v>43434</v>
          </cell>
          <cell r="C12">
            <v>0</v>
          </cell>
          <cell r="D12">
            <v>0</v>
          </cell>
          <cell r="E12">
            <v>0</v>
          </cell>
          <cell r="F12">
            <v>0</v>
          </cell>
          <cell r="G12">
            <v>0</v>
          </cell>
          <cell r="H12">
            <v>0</v>
          </cell>
          <cell r="I12">
            <v>0</v>
          </cell>
          <cell r="J12">
            <v>0</v>
          </cell>
          <cell r="K12">
            <v>0</v>
          </cell>
          <cell r="L12">
            <v>0</v>
          </cell>
        </row>
        <row r="13">
          <cell r="A13">
            <v>43465</v>
          </cell>
          <cell r="C13">
            <v>0</v>
          </cell>
          <cell r="D13">
            <v>0</v>
          </cell>
          <cell r="E13">
            <v>0</v>
          </cell>
          <cell r="F13">
            <v>0</v>
          </cell>
          <cell r="G13">
            <v>0</v>
          </cell>
          <cell r="H13">
            <v>0</v>
          </cell>
          <cell r="I13">
            <v>0</v>
          </cell>
          <cell r="J13">
            <v>0</v>
          </cell>
          <cell r="K13">
            <v>0</v>
          </cell>
          <cell r="L13">
            <v>0</v>
          </cell>
        </row>
        <row r="14">
          <cell r="A14">
            <v>43496</v>
          </cell>
          <cell r="C14">
            <v>0</v>
          </cell>
          <cell r="D14">
            <v>0</v>
          </cell>
          <cell r="E14">
            <v>0</v>
          </cell>
          <cell r="F14">
            <v>0</v>
          </cell>
          <cell r="G14">
            <v>0</v>
          </cell>
          <cell r="H14">
            <v>0</v>
          </cell>
          <cell r="I14">
            <v>0</v>
          </cell>
          <cell r="J14">
            <v>0</v>
          </cell>
          <cell r="K14">
            <v>0</v>
          </cell>
          <cell r="L14">
            <v>0</v>
          </cell>
        </row>
        <row r="15">
          <cell r="A15">
            <v>43524</v>
          </cell>
          <cell r="C15">
            <v>0</v>
          </cell>
          <cell r="D15">
            <v>0</v>
          </cell>
          <cell r="E15">
            <v>0</v>
          </cell>
          <cell r="F15">
            <v>0</v>
          </cell>
          <cell r="G15">
            <v>0</v>
          </cell>
          <cell r="H15">
            <v>0</v>
          </cell>
          <cell r="I15">
            <v>0</v>
          </cell>
          <cell r="J15">
            <v>0</v>
          </cell>
          <cell r="K15">
            <v>0</v>
          </cell>
          <cell r="L15">
            <v>0</v>
          </cell>
        </row>
        <row r="16">
          <cell r="A16">
            <v>43555</v>
          </cell>
          <cell r="C16">
            <v>0</v>
          </cell>
          <cell r="D16">
            <v>0</v>
          </cell>
          <cell r="E16">
            <v>0</v>
          </cell>
          <cell r="F16">
            <v>0</v>
          </cell>
          <cell r="G16">
            <v>0</v>
          </cell>
          <cell r="H16">
            <v>0</v>
          </cell>
          <cell r="I16">
            <v>0</v>
          </cell>
          <cell r="J16">
            <v>0</v>
          </cell>
          <cell r="K16">
            <v>0</v>
          </cell>
          <cell r="L16">
            <v>0</v>
          </cell>
        </row>
        <row r="17">
          <cell r="A17">
            <v>43585</v>
          </cell>
          <cell r="C17">
            <v>0</v>
          </cell>
          <cell r="D17">
            <v>0</v>
          </cell>
          <cell r="E17">
            <v>0</v>
          </cell>
          <cell r="F17">
            <v>0</v>
          </cell>
          <cell r="G17">
            <v>0</v>
          </cell>
          <cell r="H17">
            <v>0</v>
          </cell>
          <cell r="I17">
            <v>0</v>
          </cell>
          <cell r="J17">
            <v>0</v>
          </cell>
          <cell r="K17">
            <v>0</v>
          </cell>
          <cell r="L17">
            <v>0</v>
          </cell>
        </row>
      </sheetData>
      <sheetData sheetId="5">
        <row r="6">
          <cell r="C6">
            <v>43221</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2015-2016"/>
      <sheetName val="2014-2015"/>
      <sheetName val="2013-2014"/>
    </sheetNames>
    <sheetDataSet>
      <sheetData sheetId="0">
        <row r="6">
          <cell r="E6">
            <v>7058.1480000000001</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2015"/>
      <sheetName val="2013-2014"/>
      <sheetName val="Sheet3"/>
    </sheetNames>
    <sheetDataSet>
      <sheetData sheetId="0">
        <row r="6">
          <cell r="C6">
            <v>1777.3063396774123</v>
          </cell>
          <cell r="E6">
            <v>298.37989644219329</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comp"/>
      <sheetName val="Accrual"/>
      <sheetName val="Summary"/>
      <sheetName val="RSA Spend"/>
      <sheetName val="Eastside SF Recycle Credits"/>
      <sheetName val="Eastside MF Recycle Credits"/>
      <sheetName val="SF Annual Report"/>
      <sheetName val="MF Annual Report"/>
      <sheetName val="PY SF Annual Report"/>
      <sheetName val="PY MF Annual Report"/>
      <sheetName val="Accruals"/>
      <sheetName val="Eastside MF Yards"/>
      <sheetName val="Notes to WP Package"/>
      <sheetName val="T Account Example"/>
    </sheetNames>
    <sheetDataSet>
      <sheetData sheetId="0" refreshError="1"/>
      <sheetData sheetId="1" refreshError="1"/>
      <sheetData sheetId="2" refreshError="1"/>
      <sheetData sheetId="3" refreshError="1"/>
      <sheetData sheetId="4">
        <row r="223">
          <cell r="D223">
            <v>367.07</v>
          </cell>
        </row>
        <row r="224">
          <cell r="D224">
            <v>328.09</v>
          </cell>
        </row>
        <row r="225">
          <cell r="D225">
            <v>329.54</v>
          </cell>
        </row>
        <row r="226">
          <cell r="D226">
            <v>352.68</v>
          </cell>
        </row>
        <row r="227">
          <cell r="D227">
            <v>340.36</v>
          </cell>
        </row>
        <row r="228">
          <cell r="D228">
            <v>377.2</v>
          </cell>
        </row>
        <row r="229">
          <cell r="D229">
            <v>325.10000000000002</v>
          </cell>
        </row>
        <row r="230">
          <cell r="D230">
            <v>364.38</v>
          </cell>
        </row>
        <row r="231">
          <cell r="D231">
            <v>417.95</v>
          </cell>
        </row>
        <row r="232">
          <cell r="D232">
            <v>307</v>
          </cell>
        </row>
        <row r="233">
          <cell r="D233">
            <v>331.66</v>
          </cell>
        </row>
        <row r="234">
          <cell r="D234">
            <v>320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sheetData sheetId="1">
        <row r="6">
          <cell r="A6">
            <v>41760</v>
          </cell>
          <cell r="C6">
            <v>285.08080229999996</v>
          </cell>
          <cell r="D6">
            <v>-94.631634239999997</v>
          </cell>
          <cell r="E6">
            <v>0</v>
          </cell>
          <cell r="F6">
            <v>46.650831149999995</v>
          </cell>
          <cell r="G6">
            <v>516.33756719999997</v>
          </cell>
          <cell r="H6">
            <v>795.06102675999989</v>
          </cell>
          <cell r="I6">
            <v>149.68197741699998</v>
          </cell>
          <cell r="J6">
            <v>149.68197741699998</v>
          </cell>
          <cell r="K6">
            <v>625.43038803827949</v>
          </cell>
          <cell r="L6">
            <v>-251.26561606000053</v>
          </cell>
          <cell r="M6">
            <v>2222.0273199822786</v>
          </cell>
          <cell r="O6">
            <v>1110.9847199822786</v>
          </cell>
        </row>
        <row r="7">
          <cell r="A7">
            <v>41820</v>
          </cell>
          <cell r="C7">
            <v>273.95162077499998</v>
          </cell>
          <cell r="D7">
            <v>-42.982449120000005</v>
          </cell>
          <cell r="E7">
            <v>0</v>
          </cell>
          <cell r="F7">
            <v>42.638346134999992</v>
          </cell>
          <cell r="G7">
            <v>501.48303659999999</v>
          </cell>
          <cell r="H7">
            <v>766.22139442799983</v>
          </cell>
          <cell r="I7">
            <v>149.044344435</v>
          </cell>
          <cell r="J7">
            <v>149.044344435</v>
          </cell>
          <cell r="K7">
            <v>593.6590154879998</v>
          </cell>
          <cell r="L7">
            <v>-248.20140123000053</v>
          </cell>
          <cell r="M7">
            <v>2184.8582519459992</v>
          </cell>
          <cell r="O7">
            <v>1098.0610019459994</v>
          </cell>
        </row>
        <row r="8">
          <cell r="A8">
            <v>41851</v>
          </cell>
          <cell r="C8">
            <v>266.06200582499997</v>
          </cell>
          <cell r="D8">
            <v>-44.032393600000006</v>
          </cell>
          <cell r="E8">
            <v>0</v>
          </cell>
          <cell r="F8">
            <v>39.878075160000002</v>
          </cell>
          <cell r="G8">
            <v>475.71471675000004</v>
          </cell>
          <cell r="H8">
            <v>721.494219348</v>
          </cell>
          <cell r="I8">
            <v>157.29565919200002</v>
          </cell>
          <cell r="J8">
            <v>157.29565919200002</v>
          </cell>
          <cell r="K8">
            <v>593.53836695999996</v>
          </cell>
          <cell r="L8">
            <v>-233.52167437000054</v>
          </cell>
          <cell r="M8">
            <v>2133.7246344569994</v>
          </cell>
          <cell r="O8">
            <v>1070.1527844569994</v>
          </cell>
        </row>
        <row r="9">
          <cell r="A9">
            <v>41882</v>
          </cell>
          <cell r="C9">
            <v>288.10333124999994</v>
          </cell>
          <cell r="D9">
            <v>-51.972570000000012</v>
          </cell>
          <cell r="E9">
            <v>0</v>
          </cell>
          <cell r="F9">
            <v>40.793878124999999</v>
          </cell>
          <cell r="G9">
            <v>485.01179999999999</v>
          </cell>
          <cell r="H9">
            <v>738.73735424999984</v>
          </cell>
          <cell r="I9">
            <v>163.94084437500001</v>
          </cell>
          <cell r="J9">
            <v>163.94084437500001</v>
          </cell>
          <cell r="K9">
            <v>595.37466449999988</v>
          </cell>
          <cell r="L9">
            <v>-240.50523375000051</v>
          </cell>
          <cell r="M9">
            <v>2183.4249131249994</v>
          </cell>
          <cell r="O9">
            <v>1091.7811631249995</v>
          </cell>
        </row>
        <row r="10">
          <cell r="A10">
            <v>41912</v>
          </cell>
          <cell r="C10">
            <v>333.43175459999992</v>
          </cell>
          <cell r="D10">
            <v>17.757438400000002</v>
          </cell>
          <cell r="E10">
            <v>0</v>
          </cell>
          <cell r="F10">
            <v>48.892020869999996</v>
          </cell>
          <cell r="G10">
            <v>504.73108139999999</v>
          </cell>
          <cell r="H10">
            <v>780.81195767400004</v>
          </cell>
          <cell r="I10">
            <v>206.54964990799999</v>
          </cell>
          <cell r="J10">
            <v>206.54964990799999</v>
          </cell>
          <cell r="K10">
            <v>629.708526216</v>
          </cell>
          <cell r="L10">
            <v>-275.28050903000064</v>
          </cell>
          <cell r="M10">
            <v>2453.1515699459992</v>
          </cell>
          <cell r="O10">
            <v>1226.6490699459991</v>
          </cell>
        </row>
        <row r="11">
          <cell r="A11">
            <v>41943</v>
          </cell>
          <cell r="C11">
            <v>327.64739962499999</v>
          </cell>
          <cell r="D11">
            <v>6.8274679199999992</v>
          </cell>
          <cell r="E11">
            <v>0</v>
          </cell>
          <cell r="F11">
            <v>39.711498750000004</v>
          </cell>
          <cell r="G11">
            <v>518.58281475000001</v>
          </cell>
          <cell r="H11">
            <v>759.09218573999988</v>
          </cell>
          <cell r="I11">
            <v>200.71099781249998</v>
          </cell>
          <cell r="J11">
            <v>200.71099781249998</v>
          </cell>
          <cell r="K11">
            <v>659.99703231000001</v>
          </cell>
          <cell r="L11">
            <v>-276.84824685000058</v>
          </cell>
          <cell r="M11">
            <v>2436.4321478699994</v>
          </cell>
          <cell r="O11">
            <v>1218.2903978699994</v>
          </cell>
        </row>
        <row r="12">
          <cell r="A12">
            <v>41973</v>
          </cell>
          <cell r="C12">
            <v>338.18400000000003</v>
          </cell>
          <cell r="D12">
            <v>-19.114979520000002</v>
          </cell>
          <cell r="E12">
            <v>0</v>
          </cell>
          <cell r="F12">
            <v>31.920342300000005</v>
          </cell>
          <cell r="G12">
            <v>455.02657199999999</v>
          </cell>
          <cell r="H12">
            <v>663.93087347999995</v>
          </cell>
          <cell r="I12">
            <v>172.03879959000002</v>
          </cell>
          <cell r="J12">
            <v>172.03879959000002</v>
          </cell>
          <cell r="K12">
            <v>607.20937200000003</v>
          </cell>
          <cell r="L12">
            <v>-260.81456460000055</v>
          </cell>
          <cell r="M12">
            <v>2160.4192148399993</v>
          </cell>
          <cell r="O12">
            <v>1080.1702148399993</v>
          </cell>
        </row>
        <row r="13">
          <cell r="A13">
            <v>42004</v>
          </cell>
          <cell r="C13">
            <v>360.39150000000001</v>
          </cell>
          <cell r="D13">
            <v>-34.032490127999999</v>
          </cell>
          <cell r="E13">
            <v>0</v>
          </cell>
          <cell r="F13">
            <v>35.510858460000001</v>
          </cell>
          <cell r="G13">
            <v>478.5956721</v>
          </cell>
          <cell r="H13">
            <v>698.02694791199997</v>
          </cell>
          <cell r="I13">
            <v>155.53352367000002</v>
          </cell>
          <cell r="J13">
            <v>155.53352367000002</v>
          </cell>
          <cell r="K13">
            <v>637.88583196799993</v>
          </cell>
          <cell r="L13">
            <v>-287.75115078000067</v>
          </cell>
          <cell r="M13">
            <v>2199.6942168719988</v>
          </cell>
          <cell r="O13">
            <v>1099.6725668719989</v>
          </cell>
        </row>
        <row r="14">
          <cell r="A14">
            <v>42035</v>
          </cell>
          <cell r="C14">
            <v>335.03505000000001</v>
          </cell>
          <cell r="D14">
            <v>-28.092505167999999</v>
          </cell>
          <cell r="E14">
            <v>0</v>
          </cell>
          <cell r="F14">
            <v>35.337715875000001</v>
          </cell>
          <cell r="G14">
            <v>465.48243105</v>
          </cell>
          <cell r="H14">
            <v>692.19496651199984</v>
          </cell>
          <cell r="I14">
            <v>118.32615221699999</v>
          </cell>
          <cell r="J14">
            <v>118.32615221699999</v>
          </cell>
          <cell r="K14">
            <v>616.42971621000004</v>
          </cell>
          <cell r="L14">
            <v>-287.82241159000063</v>
          </cell>
          <cell r="M14">
            <v>2065.2172673229993</v>
          </cell>
          <cell r="O14">
            <v>1032.3912673229993</v>
          </cell>
        </row>
        <row r="15">
          <cell r="A15">
            <v>42063</v>
          </cell>
          <cell r="C15">
            <v>302.08641697499996</v>
          </cell>
          <cell r="D15">
            <v>-59.249530704000001</v>
          </cell>
          <cell r="E15">
            <v>0</v>
          </cell>
          <cell r="F15">
            <v>23.719131975</v>
          </cell>
          <cell r="G15">
            <v>419.59717799999993</v>
          </cell>
          <cell r="H15">
            <v>614.91582924800002</v>
          </cell>
          <cell r="I15">
            <v>86.046236300500013</v>
          </cell>
          <cell r="J15">
            <v>86.046236300500013</v>
          </cell>
          <cell r="K15">
            <v>481.23549381600009</v>
          </cell>
          <cell r="L15">
            <v>-262.02599837000059</v>
          </cell>
          <cell r="M15">
            <v>1692.3709935409993</v>
          </cell>
          <cell r="O15">
            <v>846.10944354099922</v>
          </cell>
        </row>
        <row r="16">
          <cell r="A16">
            <v>42094</v>
          </cell>
          <cell r="C16">
            <v>322.43175194999998</v>
          </cell>
          <cell r="D16">
            <v>-37.916573968000002</v>
          </cell>
          <cell r="E16">
            <v>0</v>
          </cell>
          <cell r="F16">
            <v>27.083122605</v>
          </cell>
          <cell r="G16">
            <v>482.44887599999998</v>
          </cell>
          <cell r="H16">
            <v>745.00893053999982</v>
          </cell>
          <cell r="I16">
            <v>110.55487099299999</v>
          </cell>
          <cell r="J16">
            <v>110.55487099299999</v>
          </cell>
          <cell r="K16">
            <v>527.87624135399994</v>
          </cell>
          <cell r="L16">
            <v>-294.23588449000067</v>
          </cell>
          <cell r="M16">
            <v>1993.8062059769989</v>
          </cell>
          <cell r="O16">
            <v>996.85915597699886</v>
          </cell>
        </row>
        <row r="17">
          <cell r="A17">
            <v>42124</v>
          </cell>
          <cell r="C17">
            <v>282.00302812499996</v>
          </cell>
          <cell r="D17">
            <v>-95.434430000000006</v>
          </cell>
          <cell r="E17">
            <v>0</v>
          </cell>
          <cell r="F17">
            <v>25.10825625</v>
          </cell>
          <cell r="G17">
            <v>463.08478124999999</v>
          </cell>
          <cell r="H17">
            <v>699.17888249999987</v>
          </cell>
          <cell r="I17">
            <v>124.53764268749998</v>
          </cell>
          <cell r="J17">
            <v>124.53764268749998</v>
          </cell>
          <cell r="K17">
            <v>552.73073624999984</v>
          </cell>
          <cell r="L17">
            <v>-276.13563875000062</v>
          </cell>
          <cell r="M17">
            <v>1899.6109009999993</v>
          </cell>
          <cell r="O17">
            <v>894.70090099999925</v>
          </cell>
        </row>
        <row r="18">
          <cell r="P18">
            <v>0.49818354699977985</v>
          </cell>
        </row>
      </sheetData>
      <sheetData sheetId="2" refreshError="1"/>
      <sheetData sheetId="3"/>
      <sheetData sheetId="4">
        <row r="6">
          <cell r="C6">
            <v>41760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refreshError="1"/>
      <sheetData sheetId="1">
        <row r="8">
          <cell r="B8">
            <v>11695</v>
          </cell>
        </row>
        <row r="9">
          <cell r="B9">
            <v>11719</v>
          </cell>
        </row>
        <row r="10">
          <cell r="B10">
            <v>11707</v>
          </cell>
        </row>
        <row r="14">
          <cell r="B14">
            <v>11656</v>
          </cell>
        </row>
        <row r="15">
          <cell r="B15">
            <v>11687</v>
          </cell>
        </row>
        <row r="16">
          <cell r="B16">
            <v>11735</v>
          </cell>
        </row>
        <row r="17">
          <cell r="B17">
            <v>11747</v>
          </cell>
        </row>
        <row r="31">
          <cell r="G31">
            <v>103258</v>
          </cell>
        </row>
        <row r="50">
          <cell r="G50">
            <v>140478.85714285716</v>
          </cell>
        </row>
        <row r="69">
          <cell r="I69">
            <v>0.32778110562594148</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refreshError="1"/>
      <sheetData sheetId="1">
        <row r="8">
          <cell r="B8">
            <v>20177</v>
          </cell>
        </row>
        <row r="9">
          <cell r="B9">
            <v>20007</v>
          </cell>
        </row>
        <row r="10">
          <cell r="B10">
            <v>20029</v>
          </cell>
        </row>
        <row r="14">
          <cell r="B14">
            <v>20058</v>
          </cell>
        </row>
        <row r="15">
          <cell r="B15">
            <v>19978</v>
          </cell>
        </row>
        <row r="16">
          <cell r="B16">
            <v>20058</v>
          </cell>
        </row>
        <row r="17">
          <cell r="B17">
            <v>20046</v>
          </cell>
        </row>
        <row r="18">
          <cell r="B18">
            <v>20074</v>
          </cell>
        </row>
        <row r="19">
          <cell r="B19">
            <v>20043</v>
          </cell>
        </row>
        <row r="20">
          <cell r="B20">
            <v>11608</v>
          </cell>
        </row>
        <row r="21">
          <cell r="B21">
            <v>11656</v>
          </cell>
        </row>
        <row r="22">
          <cell r="B22">
            <v>11687</v>
          </cell>
        </row>
        <row r="31">
          <cell r="G31">
            <v>300849</v>
          </cell>
        </row>
        <row r="33">
          <cell r="F33">
            <v>0.84499999999999997</v>
          </cell>
        </row>
        <row r="37">
          <cell r="F37">
            <v>0.80500000000000005</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Staff Analysis"/>
      <sheetName val="2014-2015"/>
      <sheetName val="14-15 budget"/>
      <sheetName val="WUTC_AW of Kent (SeaTac)_SF"/>
      <sheetName val="Renton Cust"/>
      <sheetName val="Value"/>
      <sheetName val="Commodity Tonnages"/>
      <sheetName val="Pricing"/>
      <sheetName val="Single Family"/>
      <sheetName val="WUTC_AW of Kent (SeaTac)_MF"/>
      <sheetName val="MFValue"/>
      <sheetName val="MF Commodity Tonnages"/>
      <sheetName val="MF Pricing"/>
      <sheetName val="Multi_Family"/>
    </sheetNames>
    <sheetDataSet>
      <sheetData sheetId="0"/>
      <sheetData sheetId="1"/>
      <sheetData sheetId="2">
        <row r="6">
          <cell r="C6">
            <v>1777.3063396774123</v>
          </cell>
          <cell r="E6">
            <v>298.37989644219329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C"/>
      <sheetName val="Sheet2"/>
      <sheetName val="Sheet3"/>
    </sheetNames>
    <sheetDataSet>
      <sheetData sheetId="0">
        <row r="6">
          <cell r="C6">
            <v>47764.269</v>
          </cell>
          <cell r="E6">
            <v>5763.366</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row r="8">
          <cell r="B8">
            <v>2400.44</v>
          </cell>
        </row>
        <row r="9">
          <cell r="B9">
            <v>2196.9900000000002</v>
          </cell>
        </row>
        <row r="10">
          <cell r="B10">
            <v>2129</v>
          </cell>
        </row>
        <row r="14">
          <cell r="B14">
            <v>2128.71</v>
          </cell>
        </row>
        <row r="15">
          <cell r="B15">
            <v>2076.75</v>
          </cell>
        </row>
        <row r="16">
          <cell r="B16">
            <v>2076.75</v>
          </cell>
        </row>
        <row r="17">
          <cell r="B17">
            <v>2081.08</v>
          </cell>
        </row>
        <row r="18">
          <cell r="B18">
            <v>2085.41</v>
          </cell>
        </row>
        <row r="19">
          <cell r="B19">
            <v>2112.0499999999997</v>
          </cell>
        </row>
        <row r="20">
          <cell r="B20">
            <v>2085</v>
          </cell>
        </row>
        <row r="21">
          <cell r="B21">
            <v>2102.73</v>
          </cell>
        </row>
        <row r="22">
          <cell r="B22">
            <v>2094</v>
          </cell>
        </row>
        <row r="56">
          <cell r="L56">
            <v>0.5</v>
          </cell>
        </row>
      </sheetData>
      <sheetData sheetId="1">
        <row r="18">
          <cell r="M18">
            <v>26971.027103812532</v>
          </cell>
          <cell r="O18">
            <v>14738.704503412531</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row r="8">
          <cell r="B8">
            <v>2340.54</v>
          </cell>
        </row>
        <row r="9">
          <cell r="B9">
            <v>2408.35</v>
          </cell>
        </row>
        <row r="10">
          <cell r="B10">
            <v>2425.09</v>
          </cell>
        </row>
        <row r="14">
          <cell r="B14">
            <v>2313</v>
          </cell>
        </row>
        <row r="15">
          <cell r="B15">
            <v>2313</v>
          </cell>
        </row>
        <row r="16">
          <cell r="B16">
            <v>2313</v>
          </cell>
        </row>
        <row r="17">
          <cell r="B17">
            <v>2313</v>
          </cell>
        </row>
        <row r="31">
          <cell r="G31">
            <v>9204.6877604181154</v>
          </cell>
        </row>
        <row r="50">
          <cell r="G50">
            <v>28158.822857142855</v>
          </cell>
        </row>
        <row r="71">
          <cell r="I71">
            <v>0.14576867937994886</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row r="8">
          <cell r="B8">
            <v>5332.1399999999994</v>
          </cell>
        </row>
        <row r="9">
          <cell r="B9">
            <v>6020.5</v>
          </cell>
        </row>
        <row r="10">
          <cell r="B10">
            <v>5271.89</v>
          </cell>
        </row>
        <row r="14">
          <cell r="B14">
            <v>5270.985999999999</v>
          </cell>
        </row>
        <row r="15">
          <cell r="B15">
            <v>5265.610999999999</v>
          </cell>
        </row>
        <row r="16">
          <cell r="B16">
            <v>5265.610999999999</v>
          </cell>
        </row>
        <row r="17">
          <cell r="B17">
            <v>5248.4109999999991</v>
          </cell>
        </row>
        <row r="18">
          <cell r="B18">
            <v>5248.4109999999991</v>
          </cell>
        </row>
        <row r="19">
          <cell r="B19">
            <v>5360.2150000000001</v>
          </cell>
        </row>
        <row r="20">
          <cell r="B20">
            <v>2357.7350000000001</v>
          </cell>
        </row>
        <row r="21">
          <cell r="B21">
            <v>2357.7350000000001</v>
          </cell>
        </row>
        <row r="22">
          <cell r="B22">
            <v>2340.5349999999999</v>
          </cell>
        </row>
        <row r="31">
          <cell r="G31">
            <v>22317.315841802083</v>
          </cell>
        </row>
        <row r="33">
          <cell r="F33">
            <v>0.16900000000000001</v>
          </cell>
        </row>
        <row r="37">
          <cell r="F37">
            <v>0.18571428571428572</v>
          </cell>
        </row>
        <row r="70">
          <cell r="I70">
            <v>0.5245247597075805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row r="1">
          <cell r="A1" t="str">
            <v>Rabanco Ltd (dba Republic Services)</v>
          </cell>
        </row>
      </sheetData>
      <sheetData sheetId="1">
        <row r="6">
          <cell r="A6">
            <v>43221</v>
          </cell>
          <cell r="C6">
            <v>299.92237874999995</v>
          </cell>
          <cell r="D6">
            <v>-164.92819824</v>
          </cell>
          <cell r="E6">
            <v>0</v>
          </cell>
          <cell r="F6">
            <v>55.231030799999999</v>
          </cell>
          <cell r="G6">
            <v>0</v>
          </cell>
          <cell r="H6">
            <v>-273.11241743999989</v>
          </cell>
          <cell r="I6">
            <v>83.297516895000001</v>
          </cell>
          <cell r="J6">
            <v>83.297516895000001</v>
          </cell>
          <cell r="K6">
            <v>286.40189951999997</v>
          </cell>
          <cell r="L6">
            <v>-294.74523591000064</v>
          </cell>
          <cell r="M6">
            <v>75.364491269999405</v>
          </cell>
          <cell r="O6">
            <v>37.682245634999703</v>
          </cell>
        </row>
        <row r="7">
          <cell r="A7">
            <v>43281</v>
          </cell>
          <cell r="C7">
            <v>163.60783049999998</v>
          </cell>
          <cell r="D7">
            <v>-65.91876615999999</v>
          </cell>
          <cell r="E7">
            <v>0</v>
          </cell>
          <cell r="F7">
            <v>29.929915949999998</v>
          </cell>
          <cell r="G7">
            <v>0</v>
          </cell>
          <cell r="H7">
            <v>20.144863999999991</v>
          </cell>
          <cell r="I7">
            <v>38.486941979999997</v>
          </cell>
          <cell r="J7">
            <v>38.486941979999997</v>
          </cell>
          <cell r="K7">
            <v>208.76912297999996</v>
          </cell>
          <cell r="L7">
            <v>-155.55333463000034</v>
          </cell>
          <cell r="M7">
            <v>277.9535165999996</v>
          </cell>
          <cell r="O7">
            <v>138.9767582999998</v>
          </cell>
        </row>
        <row r="8">
          <cell r="A8">
            <v>43312</v>
          </cell>
          <cell r="C8">
            <v>267.85356675000003</v>
          </cell>
          <cell r="D8">
            <v>-21.163331280000001</v>
          </cell>
          <cell r="E8">
            <v>0</v>
          </cell>
          <cell r="F8">
            <v>50.37848970000001</v>
          </cell>
          <cell r="G8">
            <v>0</v>
          </cell>
          <cell r="H8">
            <v>72.605593759999991</v>
          </cell>
          <cell r="I8">
            <v>82.222718655000008</v>
          </cell>
          <cell r="J8">
            <v>82.222718655000008</v>
          </cell>
          <cell r="K8">
            <v>408.57364547999998</v>
          </cell>
          <cell r="L8">
            <v>-267.60920011000059</v>
          </cell>
          <cell r="M8">
            <v>675.08420160999935</v>
          </cell>
          <cell r="O8">
            <v>337.54210080499968</v>
          </cell>
        </row>
        <row r="9">
          <cell r="A9">
            <v>43343</v>
          </cell>
          <cell r="C9">
            <v>215.20951650000003</v>
          </cell>
          <cell r="D9">
            <v>3.5246140800000005</v>
          </cell>
          <cell r="E9">
            <v>0</v>
          </cell>
          <cell r="F9">
            <v>27.492943500000003</v>
          </cell>
          <cell r="G9">
            <v>0</v>
          </cell>
          <cell r="H9">
            <v>117.22822463999997</v>
          </cell>
          <cell r="I9">
            <v>101.90930550000002</v>
          </cell>
          <cell r="J9">
            <v>101.90930550000002</v>
          </cell>
          <cell r="K9">
            <v>291.11493311999999</v>
          </cell>
          <cell r="L9">
            <v>-215.01317778000049</v>
          </cell>
          <cell r="M9">
            <v>643.37566505999962</v>
          </cell>
          <cell r="O9">
            <v>321.68783252999981</v>
          </cell>
        </row>
        <row r="10">
          <cell r="A10">
            <v>43373</v>
          </cell>
          <cell r="C10">
            <v>180.80299049999999</v>
          </cell>
          <cell r="D10">
            <v>-66.29414792</v>
          </cell>
          <cell r="E10">
            <v>0</v>
          </cell>
          <cell r="F10">
            <v>29.454636750000002</v>
          </cell>
          <cell r="G10">
            <v>0</v>
          </cell>
          <cell r="H10">
            <v>356.30620959999982</v>
          </cell>
          <cell r="I10">
            <v>45.358269604999997</v>
          </cell>
          <cell r="J10">
            <v>45.358269604999997</v>
          </cell>
          <cell r="K10">
            <v>291.61993410000002</v>
          </cell>
          <cell r="L10">
            <v>-204.55782281000043</v>
          </cell>
          <cell r="M10">
            <v>678.04833942999949</v>
          </cell>
          <cell r="O10">
            <v>339.02416971499974</v>
          </cell>
        </row>
        <row r="11">
          <cell r="A11">
            <v>43404</v>
          </cell>
          <cell r="C11">
            <v>182.63594699999999</v>
          </cell>
          <cell r="D11">
            <v>-78.161229120000016</v>
          </cell>
          <cell r="E11">
            <v>0</v>
          </cell>
          <cell r="F11">
            <v>34.210004400000003</v>
          </cell>
          <cell r="G11">
            <v>0</v>
          </cell>
          <cell r="H11">
            <v>353.1916627199999</v>
          </cell>
          <cell r="I11">
            <v>44.807847240000008</v>
          </cell>
          <cell r="J11">
            <v>44.807847240000008</v>
          </cell>
          <cell r="K11">
            <v>338.74993152000002</v>
          </cell>
          <cell r="L11">
            <v>-211.66107924000048</v>
          </cell>
          <cell r="M11">
            <v>708.58093175999943</v>
          </cell>
          <cell r="O11">
            <v>354.29046587999972</v>
          </cell>
        </row>
        <row r="12">
          <cell r="A12">
            <v>43434</v>
          </cell>
          <cell r="C12">
            <v>0</v>
          </cell>
          <cell r="D12">
            <v>0</v>
          </cell>
          <cell r="E12">
            <v>0</v>
          </cell>
          <cell r="F12">
            <v>0</v>
          </cell>
          <cell r="G12">
            <v>0</v>
          </cell>
          <cell r="H12">
            <v>0</v>
          </cell>
          <cell r="I12">
            <v>0</v>
          </cell>
          <cell r="J12">
            <v>0</v>
          </cell>
          <cell r="K12">
            <v>0</v>
          </cell>
          <cell r="L12">
            <v>0</v>
          </cell>
          <cell r="M12">
            <v>0</v>
          </cell>
          <cell r="O12">
            <v>0</v>
          </cell>
        </row>
        <row r="13">
          <cell r="A13">
            <v>43465</v>
          </cell>
          <cell r="C13">
            <v>0</v>
          </cell>
          <cell r="D13">
            <v>0</v>
          </cell>
          <cell r="E13">
            <v>0</v>
          </cell>
          <cell r="F13">
            <v>0</v>
          </cell>
          <cell r="G13">
            <v>0</v>
          </cell>
          <cell r="H13">
            <v>0</v>
          </cell>
          <cell r="I13">
            <v>0</v>
          </cell>
          <cell r="J13">
            <v>0</v>
          </cell>
          <cell r="K13">
            <v>0</v>
          </cell>
          <cell r="L13">
            <v>0</v>
          </cell>
          <cell r="M13">
            <v>0</v>
          </cell>
          <cell r="O13">
            <v>0</v>
          </cell>
        </row>
        <row r="14">
          <cell r="A14">
            <v>43496</v>
          </cell>
          <cell r="C14">
            <v>0</v>
          </cell>
          <cell r="D14">
            <v>0</v>
          </cell>
          <cell r="E14">
            <v>0</v>
          </cell>
          <cell r="F14">
            <v>0</v>
          </cell>
          <cell r="G14">
            <v>0</v>
          </cell>
          <cell r="H14">
            <v>0</v>
          </cell>
          <cell r="I14">
            <v>0</v>
          </cell>
          <cell r="J14">
            <v>0</v>
          </cell>
          <cell r="K14">
            <v>0</v>
          </cell>
          <cell r="L14">
            <v>0</v>
          </cell>
          <cell r="M14">
            <v>0</v>
          </cell>
          <cell r="O14">
            <v>0</v>
          </cell>
        </row>
        <row r="15">
          <cell r="A15">
            <v>43524</v>
          </cell>
          <cell r="C15">
            <v>0</v>
          </cell>
          <cell r="D15">
            <v>0</v>
          </cell>
          <cell r="E15">
            <v>0</v>
          </cell>
          <cell r="F15">
            <v>0</v>
          </cell>
          <cell r="G15">
            <v>0</v>
          </cell>
          <cell r="H15">
            <v>0</v>
          </cell>
          <cell r="I15">
            <v>0</v>
          </cell>
          <cell r="J15">
            <v>0</v>
          </cell>
          <cell r="K15">
            <v>0</v>
          </cell>
          <cell r="L15">
            <v>0</v>
          </cell>
          <cell r="M15">
            <v>0</v>
          </cell>
          <cell r="O15">
            <v>0</v>
          </cell>
        </row>
        <row r="16">
          <cell r="A16">
            <v>43555</v>
          </cell>
          <cell r="C16">
            <v>0</v>
          </cell>
          <cell r="D16">
            <v>0</v>
          </cell>
          <cell r="E16">
            <v>0</v>
          </cell>
          <cell r="F16">
            <v>0</v>
          </cell>
          <cell r="G16">
            <v>0</v>
          </cell>
          <cell r="H16">
            <v>0</v>
          </cell>
          <cell r="I16">
            <v>0</v>
          </cell>
          <cell r="J16">
            <v>0</v>
          </cell>
          <cell r="K16">
            <v>0</v>
          </cell>
          <cell r="L16">
            <v>0</v>
          </cell>
          <cell r="M16">
            <v>0</v>
          </cell>
          <cell r="O16">
            <v>0</v>
          </cell>
        </row>
        <row r="17">
          <cell r="A17">
            <v>43585</v>
          </cell>
          <cell r="C17">
            <v>0</v>
          </cell>
          <cell r="D17">
            <v>0</v>
          </cell>
          <cell r="E17">
            <v>0</v>
          </cell>
          <cell r="F17">
            <v>0</v>
          </cell>
          <cell r="G17">
            <v>0</v>
          </cell>
          <cell r="H17">
            <v>0</v>
          </cell>
          <cell r="I17">
            <v>0</v>
          </cell>
          <cell r="J17">
            <v>0</v>
          </cell>
          <cell r="K17">
            <v>0</v>
          </cell>
          <cell r="L17">
            <v>0</v>
          </cell>
          <cell r="M17">
            <v>0</v>
          </cell>
          <cell r="O17">
            <v>0</v>
          </cell>
        </row>
        <row r="18">
          <cell r="P18">
            <v>0.5</v>
          </cell>
        </row>
      </sheetData>
      <sheetData sheetId="2">
        <row r="6">
          <cell r="C6">
            <v>0.27697499999999997</v>
          </cell>
          <cell r="D6">
            <v>6.5292240000000001</v>
          </cell>
          <cell r="E6">
            <v>0</v>
          </cell>
          <cell r="F6">
            <v>0.60934500000000003</v>
          </cell>
          <cell r="G6">
            <v>0</v>
          </cell>
          <cell r="H6">
            <v>19.085423999999993</v>
          </cell>
          <cell r="I6">
            <v>0.82907850000000005</v>
          </cell>
          <cell r="J6">
            <v>0.82907850000000005</v>
          </cell>
          <cell r="K6">
            <v>6.5809259999999998</v>
          </cell>
          <cell r="L6">
            <v>2.1899490000000048</v>
          </cell>
        </row>
        <row r="7">
          <cell r="C7">
            <v>0.14617499999999997</v>
          </cell>
          <cell r="D7">
            <v>3.4458319999999998</v>
          </cell>
          <cell r="E7">
            <v>0</v>
          </cell>
          <cell r="F7">
            <v>0.32158500000000001</v>
          </cell>
          <cell r="G7">
            <v>0</v>
          </cell>
          <cell r="H7">
            <v>10.072431999999996</v>
          </cell>
          <cell r="I7">
            <v>0.43755050000000001</v>
          </cell>
          <cell r="J7">
            <v>0.43755050000000001</v>
          </cell>
          <cell r="K7">
            <v>3.4731179999999995</v>
          </cell>
          <cell r="L7">
            <v>1.1557570000000024</v>
          </cell>
        </row>
        <row r="8">
          <cell r="C8">
            <v>0.251475</v>
          </cell>
          <cell r="D8">
            <v>5.9281040000000003</v>
          </cell>
          <cell r="E8">
            <v>0</v>
          </cell>
          <cell r="F8">
            <v>0.5532450000000001</v>
          </cell>
          <cell r="G8">
            <v>0</v>
          </cell>
          <cell r="H8">
            <v>17.328303999999996</v>
          </cell>
          <cell r="I8">
            <v>0.75274850000000004</v>
          </cell>
          <cell r="J8">
            <v>0.75274850000000004</v>
          </cell>
          <cell r="K8">
            <v>5.9750459999999999</v>
          </cell>
          <cell r="L8">
            <v>1.9883290000000045</v>
          </cell>
        </row>
        <row r="9">
          <cell r="C9">
            <v>0.20205000000000001</v>
          </cell>
          <cell r="D9">
            <v>4.7629920000000006</v>
          </cell>
          <cell r="E9">
            <v>0</v>
          </cell>
          <cell r="F9">
            <v>0.44451000000000002</v>
          </cell>
          <cell r="G9">
            <v>0</v>
          </cell>
          <cell r="H9">
            <v>13.922591999999996</v>
          </cell>
          <cell r="I9">
            <v>0.60480300000000009</v>
          </cell>
          <cell r="J9">
            <v>0.60480300000000009</v>
          </cell>
          <cell r="K9">
            <v>4.8007080000000002</v>
          </cell>
          <cell r="L9">
            <v>1.5975420000000036</v>
          </cell>
        </row>
        <row r="10">
          <cell r="C10">
            <v>0.19222499999999998</v>
          </cell>
          <cell r="D10">
            <v>4.5313840000000001</v>
          </cell>
          <cell r="E10">
            <v>0</v>
          </cell>
          <cell r="F10">
            <v>0.42289500000000002</v>
          </cell>
          <cell r="G10">
            <v>0</v>
          </cell>
          <cell r="H10">
            <v>13.245583999999994</v>
          </cell>
          <cell r="I10">
            <v>0.5753935</v>
          </cell>
          <cell r="J10">
            <v>0.5753935</v>
          </cell>
          <cell r="K10">
            <v>4.567266</v>
          </cell>
          <cell r="L10">
            <v>1.5198590000000032</v>
          </cell>
        </row>
        <row r="11">
          <cell r="C11">
            <v>0.19889999999999999</v>
          </cell>
          <cell r="D11">
            <v>4.6887360000000005</v>
          </cell>
          <cell r="E11">
            <v>0</v>
          </cell>
          <cell r="F11">
            <v>0.43758000000000002</v>
          </cell>
          <cell r="G11">
            <v>0</v>
          </cell>
          <cell r="H11">
            <v>13.705535999999997</v>
          </cell>
          <cell r="I11">
            <v>0.59537400000000007</v>
          </cell>
          <cell r="J11">
            <v>0.59537400000000007</v>
          </cell>
          <cell r="K11">
            <v>4.7258639999999996</v>
          </cell>
          <cell r="L11">
            <v>1.5726360000000035</v>
          </cell>
        </row>
        <row r="12">
          <cell r="C12">
            <v>0</v>
          </cell>
          <cell r="D12">
            <v>0</v>
          </cell>
          <cell r="E12">
            <v>0</v>
          </cell>
          <cell r="F12">
            <v>0</v>
          </cell>
          <cell r="G12">
            <v>0</v>
          </cell>
          <cell r="H12">
            <v>0</v>
          </cell>
          <cell r="I12">
            <v>0</v>
          </cell>
          <cell r="J12">
            <v>0</v>
          </cell>
          <cell r="K12">
            <v>0</v>
          </cell>
          <cell r="L12">
            <v>0</v>
          </cell>
        </row>
        <row r="13">
          <cell r="C13">
            <v>0</v>
          </cell>
          <cell r="D13">
            <v>0</v>
          </cell>
          <cell r="E13">
            <v>0</v>
          </cell>
          <cell r="F13">
            <v>0</v>
          </cell>
          <cell r="G13">
            <v>0</v>
          </cell>
          <cell r="H13">
            <v>0</v>
          </cell>
          <cell r="I13">
            <v>0</v>
          </cell>
          <cell r="J13">
            <v>0</v>
          </cell>
          <cell r="K13">
            <v>0</v>
          </cell>
          <cell r="L13">
            <v>0</v>
          </cell>
        </row>
        <row r="14">
          <cell r="C14">
            <v>0</v>
          </cell>
          <cell r="D14">
            <v>0</v>
          </cell>
          <cell r="E14">
            <v>0</v>
          </cell>
          <cell r="F14">
            <v>0</v>
          </cell>
          <cell r="G14">
            <v>0</v>
          </cell>
          <cell r="H14">
            <v>0</v>
          </cell>
          <cell r="I14">
            <v>0</v>
          </cell>
          <cell r="J14">
            <v>0</v>
          </cell>
          <cell r="K14">
            <v>0</v>
          </cell>
          <cell r="L14">
            <v>0</v>
          </cell>
        </row>
        <row r="15">
          <cell r="C15">
            <v>0</v>
          </cell>
          <cell r="D15">
            <v>0</v>
          </cell>
          <cell r="E15">
            <v>0</v>
          </cell>
          <cell r="F15">
            <v>0</v>
          </cell>
          <cell r="G15">
            <v>0</v>
          </cell>
          <cell r="H15">
            <v>0</v>
          </cell>
          <cell r="I15">
            <v>0</v>
          </cell>
          <cell r="J15">
            <v>0</v>
          </cell>
          <cell r="K15">
            <v>0</v>
          </cell>
          <cell r="L15">
            <v>0</v>
          </cell>
        </row>
        <row r="16">
          <cell r="C16">
            <v>0</v>
          </cell>
          <cell r="D16">
            <v>0</v>
          </cell>
          <cell r="E16">
            <v>0</v>
          </cell>
          <cell r="F16">
            <v>0</v>
          </cell>
          <cell r="G16">
            <v>0</v>
          </cell>
          <cell r="H16">
            <v>0</v>
          </cell>
          <cell r="I16">
            <v>0</v>
          </cell>
          <cell r="J16">
            <v>0</v>
          </cell>
          <cell r="K16">
            <v>0</v>
          </cell>
          <cell r="L16">
            <v>0</v>
          </cell>
        </row>
        <row r="17">
          <cell r="C17">
            <v>0</v>
          </cell>
          <cell r="D17">
            <v>0</v>
          </cell>
          <cell r="E17">
            <v>0</v>
          </cell>
          <cell r="F17">
            <v>0</v>
          </cell>
          <cell r="G17">
            <v>0</v>
          </cell>
          <cell r="H17">
            <v>0</v>
          </cell>
          <cell r="I17">
            <v>0</v>
          </cell>
          <cell r="J17">
            <v>0</v>
          </cell>
          <cell r="K17">
            <v>0</v>
          </cell>
          <cell r="L17">
            <v>0</v>
          </cell>
        </row>
      </sheetData>
      <sheetData sheetId="3">
        <row r="4">
          <cell r="A4">
            <v>43221</v>
          </cell>
          <cell r="C4">
            <v>1082.8499999999999</v>
          </cell>
          <cell r="D4">
            <v>-25.26</v>
          </cell>
          <cell r="E4">
            <v>0</v>
          </cell>
          <cell r="F4">
            <v>90.64</v>
          </cell>
          <cell r="G4">
            <v>0</v>
          </cell>
          <cell r="H4">
            <v>-14.309999999999999</v>
          </cell>
          <cell r="I4">
            <v>100.47</v>
          </cell>
          <cell r="J4">
            <v>100.47</v>
          </cell>
          <cell r="K4">
            <v>43.519999999999996</v>
          </cell>
          <cell r="L4">
            <v>-134.59</v>
          </cell>
        </row>
        <row r="5">
          <cell r="A5">
            <v>43281</v>
          </cell>
          <cell r="C5">
            <v>1119.26</v>
          </cell>
          <cell r="D5">
            <v>-19.13</v>
          </cell>
          <cell r="E5">
            <v>0</v>
          </cell>
          <cell r="F5">
            <v>93.07</v>
          </cell>
          <cell r="G5">
            <v>0</v>
          </cell>
          <cell r="H5">
            <v>2</v>
          </cell>
          <cell r="I5">
            <v>87.96</v>
          </cell>
          <cell r="J5">
            <v>87.96</v>
          </cell>
          <cell r="K5">
            <v>60.11</v>
          </cell>
          <cell r="L5">
            <v>-134.59</v>
          </cell>
        </row>
        <row r="6">
          <cell r="A6">
            <v>43312</v>
          </cell>
          <cell r="C6">
            <v>1065.1300000000001</v>
          </cell>
          <cell r="D6">
            <v>-3.5700000000000003</v>
          </cell>
          <cell r="E6">
            <v>0</v>
          </cell>
          <cell r="F6">
            <v>91.06</v>
          </cell>
          <cell r="G6">
            <v>0</v>
          </cell>
          <cell r="H6">
            <v>4.1900000000000004</v>
          </cell>
          <cell r="I6">
            <v>109.23</v>
          </cell>
          <cell r="J6">
            <v>109.23</v>
          </cell>
          <cell r="K6">
            <v>68.38</v>
          </cell>
          <cell r="L6">
            <v>-134.59</v>
          </cell>
        </row>
        <row r="7">
          <cell r="A7">
            <v>43343</v>
          </cell>
          <cell r="C7">
            <v>1065.1300000000001</v>
          </cell>
          <cell r="D7">
            <v>0.74</v>
          </cell>
          <cell r="E7">
            <v>0</v>
          </cell>
          <cell r="F7">
            <v>61.85</v>
          </cell>
          <cell r="G7">
            <v>0</v>
          </cell>
          <cell r="H7">
            <v>8.42</v>
          </cell>
          <cell r="I7">
            <v>168.5</v>
          </cell>
          <cell r="J7">
            <v>168.5</v>
          </cell>
          <cell r="K7">
            <v>60.64</v>
          </cell>
          <cell r="L7">
            <v>-134.59</v>
          </cell>
        </row>
        <row r="8">
          <cell r="A8">
            <v>43373</v>
          </cell>
          <cell r="C8">
            <v>940.58</v>
          </cell>
          <cell r="D8">
            <v>-14.63</v>
          </cell>
          <cell r="E8">
            <v>0</v>
          </cell>
          <cell r="F8">
            <v>69.650000000000006</v>
          </cell>
          <cell r="G8">
            <v>0</v>
          </cell>
          <cell r="H8">
            <v>26.9</v>
          </cell>
          <cell r="I8">
            <v>78.83</v>
          </cell>
          <cell r="J8">
            <v>78.83</v>
          </cell>
          <cell r="K8">
            <v>63.85</v>
          </cell>
          <cell r="L8">
            <v>-134.59</v>
          </cell>
        </row>
        <row r="9">
          <cell r="A9">
            <v>43404</v>
          </cell>
          <cell r="C9">
            <v>918.23</v>
          </cell>
          <cell r="D9">
            <v>-16.670000000000002</v>
          </cell>
          <cell r="E9">
            <v>0</v>
          </cell>
          <cell r="F9">
            <v>78.180000000000007</v>
          </cell>
          <cell r="G9">
            <v>0</v>
          </cell>
          <cell r="H9">
            <v>25.77</v>
          </cell>
          <cell r="I9">
            <v>75.260000000000005</v>
          </cell>
          <cell r="J9">
            <v>75.260000000000005</v>
          </cell>
          <cell r="K9">
            <v>71.680000000000007</v>
          </cell>
          <cell r="L9">
            <v>-134.59</v>
          </cell>
        </row>
        <row r="10">
          <cell r="A10">
            <v>43434</v>
          </cell>
          <cell r="C10">
            <v>0</v>
          </cell>
          <cell r="D10">
            <v>0</v>
          </cell>
          <cell r="E10">
            <v>0</v>
          </cell>
          <cell r="F10">
            <v>0</v>
          </cell>
          <cell r="G10">
            <v>0</v>
          </cell>
          <cell r="H10">
            <v>0</v>
          </cell>
          <cell r="I10">
            <v>0</v>
          </cell>
          <cell r="J10">
            <v>0</v>
          </cell>
          <cell r="K10">
            <v>0</v>
          </cell>
          <cell r="L10">
            <v>0</v>
          </cell>
        </row>
        <row r="11">
          <cell r="A11">
            <v>43465</v>
          </cell>
          <cell r="C11">
            <v>0</v>
          </cell>
          <cell r="D11">
            <v>0</v>
          </cell>
          <cell r="E11">
            <v>0</v>
          </cell>
          <cell r="F11">
            <v>0</v>
          </cell>
          <cell r="G11">
            <v>0</v>
          </cell>
          <cell r="H11">
            <v>0</v>
          </cell>
          <cell r="I11">
            <v>0</v>
          </cell>
          <cell r="J11">
            <v>0</v>
          </cell>
          <cell r="K11">
            <v>0</v>
          </cell>
          <cell r="L11">
            <v>0</v>
          </cell>
        </row>
        <row r="12">
          <cell r="A12">
            <v>43496</v>
          </cell>
          <cell r="C12">
            <v>0</v>
          </cell>
          <cell r="D12">
            <v>0</v>
          </cell>
          <cell r="E12">
            <v>0</v>
          </cell>
          <cell r="F12">
            <v>0</v>
          </cell>
          <cell r="G12">
            <v>0</v>
          </cell>
          <cell r="H12">
            <v>0</v>
          </cell>
          <cell r="I12">
            <v>0</v>
          </cell>
          <cell r="J12">
            <v>0</v>
          </cell>
          <cell r="K12">
            <v>0</v>
          </cell>
          <cell r="L12">
            <v>0</v>
          </cell>
        </row>
        <row r="13">
          <cell r="A13">
            <v>43524</v>
          </cell>
          <cell r="C13">
            <v>0</v>
          </cell>
          <cell r="D13">
            <v>0</v>
          </cell>
          <cell r="E13">
            <v>0</v>
          </cell>
          <cell r="F13">
            <v>0</v>
          </cell>
          <cell r="G13">
            <v>0</v>
          </cell>
          <cell r="H13">
            <v>0</v>
          </cell>
          <cell r="I13">
            <v>0</v>
          </cell>
          <cell r="J13">
            <v>0</v>
          </cell>
          <cell r="K13">
            <v>0</v>
          </cell>
          <cell r="L13">
            <v>0</v>
          </cell>
        </row>
        <row r="14">
          <cell r="A14">
            <v>43555</v>
          </cell>
          <cell r="C14">
            <v>0</v>
          </cell>
          <cell r="D14">
            <v>0</v>
          </cell>
          <cell r="E14">
            <v>0</v>
          </cell>
          <cell r="F14">
            <v>0</v>
          </cell>
          <cell r="G14">
            <v>0</v>
          </cell>
          <cell r="H14">
            <v>0</v>
          </cell>
          <cell r="I14">
            <v>0</v>
          </cell>
          <cell r="J14">
            <v>0</v>
          </cell>
          <cell r="K14">
            <v>0</v>
          </cell>
          <cell r="L14">
            <v>0</v>
          </cell>
        </row>
        <row r="15">
          <cell r="A15">
            <v>43585</v>
          </cell>
          <cell r="C15">
            <v>0</v>
          </cell>
          <cell r="D15">
            <v>0</v>
          </cell>
          <cell r="E15">
            <v>0</v>
          </cell>
          <cell r="F15">
            <v>0</v>
          </cell>
          <cell r="G15">
            <v>0</v>
          </cell>
          <cell r="H15">
            <v>0</v>
          </cell>
          <cell r="I15">
            <v>0</v>
          </cell>
          <cell r="J15">
            <v>0</v>
          </cell>
          <cell r="K15">
            <v>0</v>
          </cell>
          <cell r="L15">
            <v>0</v>
          </cell>
        </row>
      </sheetData>
      <sheetData sheetId="4">
        <row r="6">
          <cell r="C6">
            <v>43221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9.bin"/><Relationship Id="rId4" Type="http://schemas.openxmlformats.org/officeDocument/2006/relationships/comments" Target="../comments1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29.bin"/><Relationship Id="rId4" Type="http://schemas.openxmlformats.org/officeDocument/2006/relationships/comments" Target="../comments15.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6"/>
  <sheetViews>
    <sheetView zoomScaleNormal="100" workbookViewId="0">
      <pane ySplit="4" topLeftCell="A20" activePane="bottomLeft" state="frozenSplit"/>
      <selection activeCell="G25" sqref="G25"/>
      <selection pane="bottomLeft" activeCell="K65" sqref="K65"/>
    </sheetView>
  </sheetViews>
  <sheetFormatPr defaultColWidth="9.140625"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34</v>
      </c>
      <c r="B1" s="2"/>
      <c r="C1" s="2"/>
      <c r="D1" s="2"/>
      <c r="E1" s="2"/>
      <c r="F1" s="2"/>
      <c r="G1" s="3"/>
      <c r="H1" s="2"/>
      <c r="I1" s="2"/>
      <c r="J1" s="1" t="s">
        <v>35</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36</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37</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38</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39</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40</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41</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42</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44</v>
      </c>
      <c r="C55" s="14"/>
      <c r="D55" s="14"/>
      <c r="E55" s="14"/>
      <c r="F55" s="32"/>
      <c r="G55" s="14"/>
      <c r="H55" s="14"/>
      <c r="I55" s="23"/>
      <c r="J55" s="14"/>
      <c r="K55" s="14"/>
    </row>
    <row r="56" spans="1:25" s="16" customFormat="1" ht="12" thickBot="1" x14ac:dyDescent="0.25">
      <c r="B56" s="31"/>
      <c r="C56" s="14"/>
      <c r="D56" s="14"/>
      <c r="E56" s="14"/>
      <c r="F56" s="32" t="s">
        <v>43</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45</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120"/>
  <sheetViews>
    <sheetView showGridLines="0" zoomScaleNormal="100" zoomScaleSheetLayoutView="100" workbookViewId="0">
      <selection activeCell="I40" sqref="I40"/>
    </sheetView>
  </sheetViews>
  <sheetFormatPr defaultRowHeight="12.75" x14ac:dyDescent="0.2"/>
  <cols>
    <col min="1" max="1" width="9.140625" style="195"/>
    <col min="2" max="2" width="2.28515625" style="195" bestFit="1" customWidth="1"/>
    <col min="3" max="12" width="11.7109375" style="195" customWidth="1"/>
    <col min="13" max="16384" width="9.140625" style="195"/>
  </cols>
  <sheetData>
    <row r="1" spans="1:13" x14ac:dyDescent="0.2">
      <c r="A1" s="305" t="str">
        <f>"Commodity Pricing ("&amp;TEXT(A6,"mmmm yyyy")&amp;" through "&amp;TEXT(A17,"mmmm yyyy")&amp;")"</f>
        <v>Commodity Pricing (May 2017 through April 2018)</v>
      </c>
      <c r="B1" s="304"/>
    </row>
    <row r="2" spans="1:13" x14ac:dyDescent="0.2">
      <c r="A2" s="303" t="str">
        <f>'Value 2018'!A2</f>
        <v>Rabanco Ltd (dba Allied Waste of Bellevue)</v>
      </c>
      <c r="B2" s="303"/>
    </row>
    <row r="3" spans="1:13" x14ac:dyDescent="0.2">
      <c r="A3" s="303"/>
      <c r="B3" s="303"/>
    </row>
    <row r="4" spans="1:13" x14ac:dyDescent="0.2">
      <c r="A4" s="303"/>
      <c r="B4" s="303"/>
    </row>
    <row r="5" spans="1:13" x14ac:dyDescent="0.2">
      <c r="B5" s="302"/>
      <c r="C5" s="300" t="s">
        <v>21</v>
      </c>
      <c r="D5" s="300" t="s">
        <v>22</v>
      </c>
      <c r="E5" s="300" t="s">
        <v>33</v>
      </c>
      <c r="F5" s="300" t="s">
        <v>23</v>
      </c>
      <c r="G5" s="300" t="s">
        <v>24</v>
      </c>
      <c r="H5" s="300" t="s">
        <v>25</v>
      </c>
      <c r="I5" s="300" t="s">
        <v>26</v>
      </c>
      <c r="J5" s="300" t="s">
        <v>27</v>
      </c>
      <c r="K5" s="300" t="s">
        <v>28</v>
      </c>
      <c r="L5" s="300" t="s">
        <v>29</v>
      </c>
      <c r="M5" s="300"/>
    </row>
    <row r="6" spans="1:13" ht="15.75" customHeight="1" x14ac:dyDescent="0.2">
      <c r="A6" s="308">
        <f>'Single Family 2018'!$C$6</f>
        <v>42856</v>
      </c>
      <c r="B6" s="288" t="s">
        <v>67</v>
      </c>
      <c r="C6" s="311">
        <f>'Single Family 2018'!C74</f>
        <v>905.35</v>
      </c>
      <c r="D6" s="310">
        <f>'Single Family 2018'!C76</f>
        <v>-15.91</v>
      </c>
      <c r="E6" s="310">
        <f>'Single Family 2018'!C77</f>
        <v>0</v>
      </c>
      <c r="F6" s="108">
        <f>'Single Family 2018'!C72</f>
        <v>71.989999999999995</v>
      </c>
      <c r="G6" s="311">
        <f>'Single Family 2018'!C69</f>
        <v>65.3</v>
      </c>
      <c r="H6" s="311">
        <f>'Single Family 2018'!C79</f>
        <v>60.14</v>
      </c>
      <c r="I6" s="311">
        <f>'Single Family 2018'!C73</f>
        <v>92.51</v>
      </c>
      <c r="J6" s="311">
        <f>'Single Family 2018'!C73</f>
        <v>92.51</v>
      </c>
      <c r="K6" s="311">
        <f>'Single Family 2018'!C70</f>
        <v>132.68</v>
      </c>
      <c r="L6" s="310">
        <f>'Single Family 2018'!C78</f>
        <v>-134.59</v>
      </c>
      <c r="M6" s="302"/>
    </row>
    <row r="7" spans="1:13" ht="15.75" customHeight="1" x14ac:dyDescent="0.2">
      <c r="A7" s="298">
        <f>+'Commodity Tonnages 2018'!A7</f>
        <v>42916</v>
      </c>
      <c r="B7" s="288" t="s">
        <v>68</v>
      </c>
      <c r="C7" s="311">
        <f>'Single Family 2018'!D74</f>
        <v>894.34</v>
      </c>
      <c r="D7" s="310">
        <f>'Single Family 2018'!D76</f>
        <v>-6.4</v>
      </c>
      <c r="E7" s="310">
        <f>'Single Family 2018'!D77</f>
        <v>0</v>
      </c>
      <c r="F7" s="108">
        <f>'Single Family 2018'!D72</f>
        <v>69.08</v>
      </c>
      <c r="G7" s="311">
        <f>'Single Family 2018'!D69</f>
        <v>85.06</v>
      </c>
      <c r="H7" s="311">
        <f>'Single Family 2018'!D79</f>
        <v>78.88</v>
      </c>
      <c r="I7" s="311">
        <f>'Single Family 2018'!D73</f>
        <v>70.599999999999994</v>
      </c>
      <c r="J7" s="311">
        <f>'Single Family 2018'!D73</f>
        <v>70.599999999999994</v>
      </c>
      <c r="K7" s="311">
        <f>'Single Family 2018'!D70</f>
        <v>159.52000000000001</v>
      </c>
      <c r="L7" s="310">
        <f>'Single Family 2018'!D78</f>
        <v>-134.59</v>
      </c>
      <c r="M7" s="302"/>
    </row>
    <row r="8" spans="1:13" ht="15.75" customHeight="1" x14ac:dyDescent="0.2">
      <c r="A8" s="298">
        <f>+'Commodity Tonnages 2018'!A8</f>
        <v>42947</v>
      </c>
      <c r="B8" s="288" t="s">
        <v>69</v>
      </c>
      <c r="C8" s="311">
        <f>'Single Family 2018'!E74</f>
        <v>871.1</v>
      </c>
      <c r="D8" s="310">
        <f>'Single Family 2018'!E76</f>
        <v>-6.61</v>
      </c>
      <c r="E8" s="310">
        <f>'Single Family 2018'!E77</f>
        <v>0</v>
      </c>
      <c r="F8" s="108">
        <f>'Single Family 2018'!E72</f>
        <v>67.63</v>
      </c>
      <c r="G8" s="311">
        <f>'Single Family 2018'!E69</f>
        <v>98.56</v>
      </c>
      <c r="H8" s="311">
        <f>'Single Family 2018'!E79</f>
        <v>93.44</v>
      </c>
      <c r="I8" s="311">
        <f>'Single Family 2018'!E73</f>
        <v>62.55</v>
      </c>
      <c r="J8" s="311">
        <f>'Single Family 2018'!E73</f>
        <v>62.55</v>
      </c>
      <c r="K8" s="311">
        <f>'Single Family 2018'!E70</f>
        <v>163.29</v>
      </c>
      <c r="L8" s="310">
        <f>'Single Family 2018'!E78</f>
        <v>-134.59</v>
      </c>
      <c r="M8" s="289"/>
    </row>
    <row r="9" spans="1:13" ht="15.75" customHeight="1" x14ac:dyDescent="0.2">
      <c r="A9" s="298">
        <f>+'Commodity Tonnages 2018'!A9</f>
        <v>42978</v>
      </c>
      <c r="B9" s="288" t="s">
        <v>70</v>
      </c>
      <c r="C9" s="311">
        <f>'Single Family 2018'!F74</f>
        <v>905.36</v>
      </c>
      <c r="D9" s="310">
        <f>'Single Family 2018'!F76</f>
        <v>-4.34</v>
      </c>
      <c r="E9" s="310">
        <f>'Single Family 2018'!F77</f>
        <v>0</v>
      </c>
      <c r="F9" s="108">
        <f>'Single Family 2018'!F72</f>
        <v>78.11</v>
      </c>
      <c r="G9" s="311">
        <f>'Single Family 2018'!F69</f>
        <v>81.63</v>
      </c>
      <c r="H9" s="311">
        <f>'Single Family 2018'!F79</f>
        <v>77.209999999999994</v>
      </c>
      <c r="I9" s="311">
        <f>'Single Family 2018'!F73</f>
        <v>83.03</v>
      </c>
      <c r="J9" s="311">
        <f>'Single Family 2018'!F73</f>
        <v>83.03</v>
      </c>
      <c r="K9" s="311">
        <f>'Single Family 2018'!F70</f>
        <v>145.72999999999999</v>
      </c>
      <c r="L9" s="310">
        <f>'Single Family 2018'!F78</f>
        <v>-134.59</v>
      </c>
      <c r="M9" s="289"/>
    </row>
    <row r="10" spans="1:13" ht="15.75" customHeight="1" x14ac:dyDescent="0.2">
      <c r="A10" s="298">
        <f>+'Commodity Tonnages 2018'!A10</f>
        <v>43008</v>
      </c>
      <c r="B10" s="288" t="s">
        <v>71</v>
      </c>
      <c r="C10" s="311">
        <f>'Single Family 2018'!G74</f>
        <v>953.11</v>
      </c>
      <c r="D10" s="310">
        <f>'Single Family 2018'!G76</f>
        <v>-5.61</v>
      </c>
      <c r="E10" s="310">
        <f>'Single Family 2018'!G77</f>
        <v>0</v>
      </c>
      <c r="F10" s="108">
        <f>'Single Family 2018'!G72</f>
        <v>86.53</v>
      </c>
      <c r="G10" s="311">
        <f>'Single Family 2018'!G69</f>
        <v>63.02</v>
      </c>
      <c r="H10" s="311">
        <f>'Single Family 2018'!G79</f>
        <v>57.85</v>
      </c>
      <c r="I10" s="311">
        <f>'Single Family 2018'!G73</f>
        <v>72.099999999999994</v>
      </c>
      <c r="J10" s="311">
        <f>'Single Family 2018'!G73</f>
        <v>72.099999999999994</v>
      </c>
      <c r="K10" s="311">
        <f>'Single Family 2018'!G70</f>
        <v>110.68</v>
      </c>
      <c r="L10" s="310">
        <f>'Single Family 2018'!G78</f>
        <v>-134.59</v>
      </c>
      <c r="M10" s="289"/>
    </row>
    <row r="11" spans="1:13" ht="15.75" customHeight="1" x14ac:dyDescent="0.2">
      <c r="A11" s="298">
        <f>+'Commodity Tonnages 2018'!A11</f>
        <v>43039</v>
      </c>
      <c r="B11" s="288" t="s">
        <v>72</v>
      </c>
      <c r="C11" s="311">
        <f>'Single Family 2018'!H74</f>
        <v>980.71</v>
      </c>
      <c r="D11" s="310">
        <f>'Single Family 2018'!H76</f>
        <v>-8.7799999999999994</v>
      </c>
      <c r="E11" s="310">
        <f>'Single Family 2018'!H77</f>
        <v>0</v>
      </c>
      <c r="F11" s="108">
        <f>'Single Family 2018'!H72</f>
        <v>76.06</v>
      </c>
      <c r="G11" s="311">
        <f>'Single Family 2018'!H69</f>
        <v>60.33</v>
      </c>
      <c r="H11" s="311">
        <f>'Single Family 2018'!H79</f>
        <v>55.22</v>
      </c>
      <c r="I11" s="311">
        <f>'Single Family 2018'!H73</f>
        <v>48.29</v>
      </c>
      <c r="J11" s="311">
        <f>'Single Family 2018'!H73</f>
        <v>48.29</v>
      </c>
      <c r="K11" s="311">
        <f>'Single Family 2018'!H70</f>
        <v>81.77</v>
      </c>
      <c r="L11" s="310">
        <f>'Single Family 2018'!H78</f>
        <v>-134.59</v>
      </c>
      <c r="M11" s="289"/>
    </row>
    <row r="12" spans="1:13" ht="15.75" customHeight="1" x14ac:dyDescent="0.2">
      <c r="A12" s="298">
        <f>+'Commodity Tonnages 2018'!A12</f>
        <v>43069</v>
      </c>
      <c r="B12" s="288" t="s">
        <v>73</v>
      </c>
      <c r="C12" s="311">
        <f>'Single Family 2018'!I74</f>
        <v>971.66</v>
      </c>
      <c r="D12" s="310">
        <f>'Single Family 2018'!I76</f>
        <v>-2.5099999999999998</v>
      </c>
      <c r="E12" s="310">
        <f>'Single Family 2018'!I77</f>
        <v>0</v>
      </c>
      <c r="F12" s="108">
        <f>'Single Family 2018'!I72</f>
        <v>78.08</v>
      </c>
      <c r="G12" s="311">
        <f>'Single Family 2018'!I69</f>
        <v>65.930000000000007</v>
      </c>
      <c r="H12" s="311">
        <f>'Single Family 2018'!I79</f>
        <v>52.85</v>
      </c>
      <c r="I12" s="311">
        <f>'Single Family 2018'!I73</f>
        <v>50.05</v>
      </c>
      <c r="J12" s="311">
        <f>'Single Family 2018'!I73</f>
        <v>50.05</v>
      </c>
      <c r="K12" s="311">
        <f>'Single Family 2018'!I70</f>
        <v>114.18</v>
      </c>
      <c r="L12" s="310">
        <f>'Single Family 2018'!I78</f>
        <v>-134.59</v>
      </c>
      <c r="M12" s="289"/>
    </row>
    <row r="13" spans="1:13" ht="15.75" customHeight="1" x14ac:dyDescent="0.2">
      <c r="A13" s="298">
        <f>+'Commodity Tonnages 2018'!A13</f>
        <v>43100</v>
      </c>
      <c r="B13" s="288" t="s">
        <v>74</v>
      </c>
      <c r="C13" s="311">
        <f>'Single Family 2018'!J74</f>
        <v>973.36</v>
      </c>
      <c r="D13" s="310">
        <f>'Single Family 2018'!J76</f>
        <v>-9.4600000000000009</v>
      </c>
      <c r="E13" s="310">
        <f>'Single Family 2018'!J77</f>
        <v>0</v>
      </c>
      <c r="F13" s="108">
        <f>'Single Family 2018'!J72</f>
        <v>88.61</v>
      </c>
      <c r="G13" s="311">
        <f>'Single Family 2018'!J69</f>
        <v>63.69</v>
      </c>
      <c r="H13" s="311">
        <f>'Single Family 2018'!J79</f>
        <v>49.88</v>
      </c>
      <c r="I13" s="311">
        <f>'Single Family 2018'!J73</f>
        <v>51.67</v>
      </c>
      <c r="J13" s="311">
        <f>'Single Family 2018'!J73</f>
        <v>51.67</v>
      </c>
      <c r="K13" s="311">
        <f>'Single Family 2018'!J70</f>
        <v>107.57</v>
      </c>
      <c r="L13" s="310">
        <f>'Single Family 2018'!J78</f>
        <v>-134.59</v>
      </c>
      <c r="M13" s="289"/>
    </row>
    <row r="14" spans="1:13" ht="15.75" customHeight="1" x14ac:dyDescent="0.2">
      <c r="A14" s="298">
        <f>+'Commodity Tonnages 2018'!A14</f>
        <v>43131</v>
      </c>
      <c r="B14" s="288" t="s">
        <v>75</v>
      </c>
      <c r="C14" s="311">
        <f>'Single Family 2018'!K74</f>
        <v>1013.02</v>
      </c>
      <c r="D14" s="310">
        <f>'Single Family 2018'!K76</f>
        <v>-9.98</v>
      </c>
      <c r="E14" s="310">
        <f>'Single Family 2018'!K77</f>
        <v>0</v>
      </c>
      <c r="F14" s="108">
        <f>'Single Family 2018'!K72</f>
        <v>102.96</v>
      </c>
      <c r="G14" s="311">
        <f>'Single Family 2018'!K69</f>
        <v>39.799999999999997</v>
      </c>
      <c r="H14" s="311">
        <f>'Single Family 2018'!K79</f>
        <v>40.17</v>
      </c>
      <c r="I14" s="311">
        <f>'Single Family 2018'!K73</f>
        <v>53.44</v>
      </c>
      <c r="J14" s="311">
        <f>'Single Family 2018'!K73</f>
        <v>53.44</v>
      </c>
      <c r="K14" s="311">
        <f>'Single Family 2018'!K70</f>
        <v>105.09</v>
      </c>
      <c r="L14" s="310">
        <f>'Single Family 2018'!K78</f>
        <v>-134.59</v>
      </c>
      <c r="M14" s="289"/>
    </row>
    <row r="15" spans="1:13" ht="15.75" customHeight="1" x14ac:dyDescent="0.2">
      <c r="A15" s="298">
        <f>+'Commodity Tonnages 2018'!A15</f>
        <v>43159</v>
      </c>
      <c r="B15" s="288" t="s">
        <v>76</v>
      </c>
      <c r="C15" s="311">
        <f>'Single Family 2018'!L74</f>
        <v>988.19</v>
      </c>
      <c r="D15" s="310">
        <f>'Single Family 2018'!L76</f>
        <v>-8.01</v>
      </c>
      <c r="E15" s="310">
        <f>'Single Family 2018'!L77</f>
        <v>0</v>
      </c>
      <c r="F15" s="108">
        <f>'Single Family 2018'!L72</f>
        <v>92.72</v>
      </c>
      <c r="G15" s="311">
        <f>'Single Family 2018'!L69</f>
        <v>-18.13</v>
      </c>
      <c r="H15" s="311">
        <f>'Single Family 2018'!L79</f>
        <v>-21.81</v>
      </c>
      <c r="I15" s="311">
        <f>'Single Family 2018'!L73</f>
        <v>85.33</v>
      </c>
      <c r="J15" s="311">
        <f>'Single Family 2018'!L73</f>
        <v>85.33</v>
      </c>
      <c r="K15" s="311">
        <f>'Single Family 2018'!L70</f>
        <v>62.76</v>
      </c>
      <c r="L15" s="310">
        <f>'Single Family 2018'!$L$78</f>
        <v>-134.59</v>
      </c>
      <c r="M15" s="289"/>
    </row>
    <row r="16" spans="1:13" ht="15.75" customHeight="1" x14ac:dyDescent="0.2">
      <c r="A16" s="298">
        <f>+'Commodity Tonnages 2018'!A16</f>
        <v>43190</v>
      </c>
      <c r="B16" s="288" t="s">
        <v>77</v>
      </c>
      <c r="C16" s="311">
        <f>'Single Family 2018'!M74</f>
        <v>977.91</v>
      </c>
      <c r="D16" s="310">
        <f>'Single Family 2018'!M76</f>
        <v>-9</v>
      </c>
      <c r="E16" s="310">
        <f>'Single Family 2018'!M77</f>
        <v>0</v>
      </c>
      <c r="F16" s="108">
        <f>'Single Family 2018'!M72</f>
        <v>106.7</v>
      </c>
      <c r="G16" s="311">
        <f>'Single Family 2018'!M69</f>
        <v>-16.23</v>
      </c>
      <c r="H16" s="311">
        <f>'Single Family 2018'!M79</f>
        <v>-21.39</v>
      </c>
      <c r="I16" s="311">
        <f>'Single Family 2018'!M73</f>
        <v>105.24</v>
      </c>
      <c r="J16" s="311">
        <f>'Single Family 2018'!M73</f>
        <v>105.24</v>
      </c>
      <c r="K16" s="311">
        <f>'Single Family 2018'!M70</f>
        <v>56.69</v>
      </c>
      <c r="L16" s="310">
        <f>'Single Family 2018'!$M$78</f>
        <v>-134.59</v>
      </c>
      <c r="M16" s="289"/>
    </row>
    <row r="17" spans="1:14" ht="15.75" customHeight="1" x14ac:dyDescent="0.2">
      <c r="A17" s="298">
        <f>+'Commodity Tonnages 2018'!A17</f>
        <v>43220</v>
      </c>
      <c r="B17" s="288" t="s">
        <v>78</v>
      </c>
      <c r="C17" s="311">
        <f>'Single Family 2018'!N74</f>
        <v>989.87</v>
      </c>
      <c r="D17" s="310">
        <f>'Single Family 2018'!N76</f>
        <v>-10.23</v>
      </c>
      <c r="E17" s="310">
        <f>'Single Family 2018'!N77</f>
        <v>0</v>
      </c>
      <c r="F17" s="108">
        <f>'Single Family 2018'!N72</f>
        <v>109.51</v>
      </c>
      <c r="G17" s="311">
        <f>'Single Family 2018'!N69</f>
        <v>0</v>
      </c>
      <c r="H17" s="311">
        <f>'Single Family 2018'!N79</f>
        <v>-20.59</v>
      </c>
      <c r="I17" s="311">
        <f>'Single Family 2018'!N73</f>
        <v>107.91</v>
      </c>
      <c r="J17" s="311">
        <f>'Single Family 2018'!N73</f>
        <v>107.91</v>
      </c>
      <c r="K17" s="311">
        <f>'Single Family 2018'!N70</f>
        <v>57.61</v>
      </c>
      <c r="L17" s="310">
        <f>'Single Family 2018'!$M$78</f>
        <v>-134.59</v>
      </c>
      <c r="M17" s="289"/>
    </row>
    <row r="18" spans="1:14" x14ac:dyDescent="0.2">
      <c r="A18" s="288"/>
      <c r="B18" s="288"/>
      <c r="C18" s="289"/>
      <c r="D18" s="289"/>
      <c r="E18" s="289"/>
      <c r="F18" s="289"/>
      <c r="G18" s="289"/>
      <c r="H18" s="289"/>
      <c r="I18" s="289"/>
      <c r="J18" s="289"/>
      <c r="K18" s="289"/>
      <c r="L18" s="288"/>
      <c r="M18" s="289"/>
    </row>
    <row r="19" spans="1:14" x14ac:dyDescent="0.2">
      <c r="A19" s="295"/>
      <c r="B19" s="288"/>
      <c r="C19" s="289"/>
      <c r="D19" s="289"/>
      <c r="E19" s="289"/>
      <c r="F19" s="289"/>
      <c r="G19" s="289"/>
      <c r="H19" s="289"/>
      <c r="I19" s="289"/>
      <c r="J19" s="289"/>
      <c r="K19" s="289"/>
      <c r="L19" s="289"/>
      <c r="M19" s="289"/>
      <c r="N19" s="289" t="s">
        <v>31</v>
      </c>
    </row>
    <row r="20" spans="1:14" x14ac:dyDescent="0.2">
      <c r="A20" s="288"/>
      <c r="B20" s="288"/>
      <c r="C20" s="288"/>
      <c r="D20" s="288"/>
      <c r="E20" s="288"/>
      <c r="F20" s="288"/>
      <c r="G20" s="288"/>
      <c r="H20" s="288"/>
      <c r="I20" s="288"/>
      <c r="J20" s="288"/>
      <c r="K20" s="288"/>
      <c r="L20" s="288"/>
      <c r="M20" s="289"/>
    </row>
    <row r="21" spans="1:14" x14ac:dyDescent="0.2">
      <c r="A21" s="288"/>
      <c r="B21" s="288"/>
      <c r="C21" s="288"/>
      <c r="D21" s="288"/>
      <c r="E21" s="288"/>
      <c r="F21" s="288"/>
      <c r="G21" s="288"/>
      <c r="H21" s="288"/>
      <c r="I21" s="288"/>
      <c r="J21" s="288"/>
      <c r="K21" s="288"/>
      <c r="L21" s="288"/>
      <c r="M21" s="289"/>
    </row>
    <row r="22" spans="1:14" x14ac:dyDescent="0.2">
      <c r="A22" s="288"/>
      <c r="B22" s="288"/>
      <c r="C22" s="288"/>
      <c r="D22" s="288"/>
      <c r="F22" s="288"/>
      <c r="G22" s="288"/>
      <c r="H22" s="288"/>
      <c r="I22" s="288"/>
      <c r="J22" s="288"/>
      <c r="K22" s="288"/>
      <c r="L22" s="288"/>
      <c r="M22" s="289"/>
    </row>
    <row r="23" spans="1:14" x14ac:dyDescent="0.2">
      <c r="A23" s="288"/>
      <c r="B23" s="288"/>
      <c r="C23" s="288"/>
      <c r="D23" s="288"/>
      <c r="F23" s="288"/>
      <c r="G23" s="288"/>
      <c r="H23" s="288"/>
      <c r="I23" s="288"/>
      <c r="J23" s="288"/>
      <c r="K23" s="288"/>
      <c r="L23" s="288"/>
      <c r="M23" s="289"/>
    </row>
    <row r="24" spans="1:14" x14ac:dyDescent="0.2">
      <c r="A24" s="288"/>
      <c r="B24" s="288"/>
      <c r="C24" s="288"/>
      <c r="D24" s="288"/>
      <c r="G24" s="288"/>
      <c r="H24" s="288"/>
      <c r="I24" s="288"/>
      <c r="J24" s="288"/>
      <c r="K24" s="288"/>
      <c r="L24" s="288"/>
      <c r="M24" s="289"/>
    </row>
    <row r="25" spans="1:14" x14ac:dyDescent="0.2">
      <c r="A25" s="288"/>
      <c r="B25" s="288"/>
      <c r="C25" s="288"/>
      <c r="D25" s="288"/>
      <c r="F25" s="288"/>
      <c r="G25" s="288"/>
      <c r="H25" s="288"/>
      <c r="I25" s="288"/>
      <c r="J25" s="288"/>
      <c r="K25" s="288"/>
      <c r="L25" s="288"/>
      <c r="M25" s="289"/>
    </row>
    <row r="26" spans="1:14" x14ac:dyDescent="0.2">
      <c r="A26" s="288"/>
      <c r="B26" s="288"/>
      <c r="C26" s="288"/>
      <c r="D26" s="288"/>
      <c r="F26" s="288"/>
      <c r="G26" s="288"/>
      <c r="H26" s="288"/>
      <c r="I26" s="288"/>
      <c r="J26" s="288"/>
      <c r="K26" s="288"/>
      <c r="L26" s="288"/>
      <c r="M26" s="289"/>
    </row>
    <row r="27" spans="1:14" x14ac:dyDescent="0.2">
      <c r="A27" s="288"/>
      <c r="B27" s="288"/>
      <c r="C27" s="288"/>
      <c r="D27" s="288"/>
      <c r="F27" s="288"/>
      <c r="G27" s="288"/>
      <c r="H27" s="288"/>
      <c r="I27" s="288"/>
      <c r="J27" s="288"/>
      <c r="K27" s="288"/>
      <c r="L27" s="288"/>
      <c r="M27" s="289"/>
    </row>
    <row r="28" spans="1:14" x14ac:dyDescent="0.2">
      <c r="A28" s="288"/>
      <c r="B28" s="288"/>
      <c r="C28" s="288"/>
      <c r="D28" s="288"/>
      <c r="F28" s="288"/>
      <c r="G28" s="288"/>
      <c r="H28" s="288"/>
      <c r="I28" s="288"/>
      <c r="J28" s="288"/>
      <c r="K28" s="288"/>
      <c r="L28" s="288"/>
      <c r="M28" s="289"/>
    </row>
    <row r="29" spans="1:14" x14ac:dyDescent="0.2">
      <c r="A29" s="288"/>
      <c r="B29" s="288"/>
      <c r="C29" s="288"/>
      <c r="D29" s="288"/>
      <c r="F29" s="288"/>
      <c r="G29" s="288"/>
      <c r="H29" s="288"/>
      <c r="I29" s="288"/>
      <c r="J29" s="288"/>
      <c r="K29" s="288"/>
      <c r="L29" s="288"/>
      <c r="M29" s="289"/>
    </row>
    <row r="30" spans="1:14" x14ac:dyDescent="0.2">
      <c r="A30" s="288"/>
      <c r="B30" s="288"/>
      <c r="C30" s="288"/>
      <c r="D30" s="288"/>
      <c r="F30" s="288"/>
      <c r="G30" s="288"/>
      <c r="H30" s="288"/>
      <c r="I30" s="288"/>
      <c r="J30" s="288"/>
      <c r="K30" s="288"/>
      <c r="L30" s="288"/>
      <c r="M30" s="288"/>
    </row>
    <row r="31" spans="1:14" x14ac:dyDescent="0.2">
      <c r="A31" s="288"/>
      <c r="B31" s="288"/>
      <c r="C31" s="288"/>
      <c r="D31" s="288"/>
      <c r="F31" s="288"/>
      <c r="G31" s="288"/>
      <c r="H31" s="288"/>
      <c r="I31" s="288"/>
      <c r="J31" s="288"/>
      <c r="K31" s="288"/>
      <c r="L31" s="288"/>
      <c r="M31" s="288"/>
    </row>
    <row r="32" spans="1:14" x14ac:dyDescent="0.2">
      <c r="A32" s="288"/>
      <c r="B32" s="288"/>
      <c r="C32" s="288"/>
      <c r="D32" s="288"/>
      <c r="F32" s="288"/>
      <c r="G32" s="288"/>
      <c r="H32" s="288"/>
      <c r="I32" s="288"/>
      <c r="J32" s="288"/>
      <c r="K32" s="288"/>
      <c r="L32" s="288"/>
      <c r="M32" s="288"/>
    </row>
    <row r="33" spans="1:13" x14ac:dyDescent="0.2">
      <c r="A33" s="288"/>
      <c r="B33" s="288"/>
      <c r="C33" s="288"/>
      <c r="D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row r="119" spans="1:13" x14ac:dyDescent="0.2">
      <c r="A119" s="288"/>
      <c r="B119" s="288"/>
      <c r="C119" s="288"/>
      <c r="D119" s="288"/>
      <c r="E119" s="288"/>
      <c r="F119" s="288"/>
      <c r="G119" s="288"/>
      <c r="H119" s="288"/>
      <c r="I119" s="288"/>
      <c r="J119" s="288"/>
      <c r="K119" s="288"/>
      <c r="L119" s="288"/>
      <c r="M119" s="288"/>
    </row>
    <row r="120" spans="1:13" x14ac:dyDescent="0.2">
      <c r="A120" s="288"/>
      <c r="B120" s="288"/>
      <c r="C120" s="288"/>
      <c r="D120" s="288"/>
      <c r="E120" s="288"/>
      <c r="F120" s="288"/>
      <c r="G120" s="288"/>
      <c r="H120" s="288"/>
      <c r="I120" s="288"/>
      <c r="J120" s="288"/>
      <c r="K120" s="288"/>
      <c r="L120" s="288"/>
      <c r="M120" s="288"/>
    </row>
  </sheetData>
  <pageMargins left="0.5" right="0.5" top="0.75" bottom="0.75"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2:U105"/>
  <sheetViews>
    <sheetView showGridLines="0" zoomScaleNormal="100" zoomScaleSheetLayoutView="100" workbookViewId="0">
      <pane xSplit="2" ySplit="6" topLeftCell="C7" activePane="bottomRight" state="frozen"/>
      <selection activeCell="I58" sqref="I58"/>
      <selection pane="topRight" activeCell="I58" sqref="I58"/>
      <selection pane="bottomLeft" activeCell="I58" sqref="I58"/>
      <selection pane="bottomRight" activeCell="P77" sqref="P77"/>
    </sheetView>
  </sheetViews>
  <sheetFormatPr defaultRowHeight="11.25" x14ac:dyDescent="0.2"/>
  <cols>
    <col min="1" max="1" width="6" style="288" customWidth="1"/>
    <col min="2" max="2" width="17.85546875" style="288" customWidth="1"/>
    <col min="3" max="4" width="9.85546875" style="288" customWidth="1"/>
    <col min="5" max="5" width="11.28515625" style="288" customWidth="1"/>
    <col min="6" max="7" width="9.5703125" style="288" customWidth="1"/>
    <col min="8" max="8" width="9.85546875" style="288" customWidth="1"/>
    <col min="9" max="9" width="10.42578125" style="288" customWidth="1"/>
    <col min="10" max="10" width="10.7109375" style="288" customWidth="1"/>
    <col min="11" max="14" width="11.140625" style="288" bestFit="1" customWidth="1"/>
    <col min="15" max="15" width="10.7109375" style="288" bestFit="1" customWidth="1"/>
    <col min="16" max="17" width="9.140625" style="288"/>
    <col min="18" max="19" width="9.7109375" style="288" bestFit="1" customWidth="1"/>
    <col min="20" max="16384" width="9.140625" style="288"/>
  </cols>
  <sheetData>
    <row r="2" spans="1:14" x14ac:dyDescent="0.2">
      <c r="B2" s="312" t="s">
        <v>80</v>
      </c>
      <c r="C2" s="328"/>
    </row>
    <row r="3" spans="1:14" x14ac:dyDescent="0.2">
      <c r="C3" s="328"/>
    </row>
    <row r="4" spans="1:14" x14ac:dyDescent="0.2">
      <c r="C4" s="326"/>
      <c r="D4" s="326"/>
      <c r="E4" s="326"/>
      <c r="F4" s="326"/>
      <c r="G4" s="326"/>
      <c r="H4" s="327"/>
      <c r="I4" s="327"/>
      <c r="J4" s="312"/>
    </row>
    <row r="5" spans="1:14" x14ac:dyDescent="0.2">
      <c r="C5" s="326"/>
      <c r="D5" s="326"/>
      <c r="E5" s="326"/>
      <c r="F5" s="326"/>
      <c r="G5" s="326"/>
      <c r="H5" s="327"/>
      <c r="I5" s="327"/>
      <c r="J5" s="326"/>
    </row>
    <row r="6" spans="1:14" ht="9.9499999999999993" customHeight="1" x14ac:dyDescent="0.2">
      <c r="C6" s="325">
        <v>42856</v>
      </c>
      <c r="D6" s="324">
        <f t="shared" ref="D6:N6" si="0">EOMONTH(C6,1)</f>
        <v>42916</v>
      </c>
      <c r="E6" s="324">
        <f t="shared" si="0"/>
        <v>42947</v>
      </c>
      <c r="F6" s="324">
        <f t="shared" si="0"/>
        <v>42978</v>
      </c>
      <c r="G6" s="324">
        <f t="shared" si="0"/>
        <v>43008</v>
      </c>
      <c r="H6" s="324">
        <f t="shared" si="0"/>
        <v>43039</v>
      </c>
      <c r="I6" s="324">
        <f t="shared" si="0"/>
        <v>43069</v>
      </c>
      <c r="J6" s="324">
        <f t="shared" si="0"/>
        <v>43100</v>
      </c>
      <c r="K6" s="324">
        <f t="shared" si="0"/>
        <v>43131</v>
      </c>
      <c r="L6" s="324">
        <f t="shared" si="0"/>
        <v>43159</v>
      </c>
      <c r="M6" s="324">
        <f t="shared" si="0"/>
        <v>43190</v>
      </c>
      <c r="N6" s="324">
        <f t="shared" si="0"/>
        <v>43220</v>
      </c>
    </row>
    <row r="7" spans="1:14" s="289" customFormat="1" x14ac:dyDescent="0.2">
      <c r="A7" s="323" t="s">
        <v>47</v>
      </c>
      <c r="C7" s="322">
        <v>326.74</v>
      </c>
      <c r="D7" s="322">
        <v>386.41</v>
      </c>
      <c r="E7" s="322">
        <v>358.7</v>
      </c>
      <c r="F7" s="322">
        <v>396.63</v>
      </c>
      <c r="G7" s="322">
        <v>351.15</v>
      </c>
      <c r="H7" s="322">
        <v>320.20999999999998</v>
      </c>
      <c r="I7" s="322">
        <v>400.91</v>
      </c>
      <c r="J7" s="322">
        <v>391.35</v>
      </c>
      <c r="K7" s="322">
        <v>436.71</v>
      </c>
      <c r="L7" s="322">
        <v>297.14999999999998</v>
      </c>
      <c r="M7" s="322">
        <v>312.88</v>
      </c>
      <c r="N7" s="322">
        <v>286.69</v>
      </c>
    </row>
    <row r="8" spans="1:14" x14ac:dyDescent="0.2">
      <c r="A8" s="288" t="s">
        <v>48</v>
      </c>
      <c r="C8" s="89">
        <v>0</v>
      </c>
      <c r="D8" s="89">
        <v>0</v>
      </c>
      <c r="E8" s="89">
        <v>0</v>
      </c>
      <c r="F8" s="89">
        <v>0</v>
      </c>
      <c r="G8" s="89">
        <v>0</v>
      </c>
      <c r="H8" s="89">
        <v>0</v>
      </c>
      <c r="I8" s="89">
        <v>0</v>
      </c>
      <c r="J8" s="89">
        <v>0</v>
      </c>
      <c r="K8" s="89">
        <v>0</v>
      </c>
      <c r="L8" s="89">
        <v>0</v>
      </c>
      <c r="M8" s="89">
        <v>0</v>
      </c>
      <c r="N8" s="89">
        <v>0</v>
      </c>
    </row>
    <row r="9" spans="1:14" x14ac:dyDescent="0.2">
      <c r="A9" s="288"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4" x14ac:dyDescent="0.2">
      <c r="A10" s="312" t="s">
        <v>50</v>
      </c>
      <c r="C10" s="321">
        <f t="shared" ref="C10:N10" si="2">+C7-C9</f>
        <v>326.74</v>
      </c>
      <c r="D10" s="321">
        <f t="shared" si="2"/>
        <v>386.41</v>
      </c>
      <c r="E10" s="321">
        <f t="shared" si="2"/>
        <v>358.7</v>
      </c>
      <c r="F10" s="321">
        <f t="shared" si="2"/>
        <v>396.63</v>
      </c>
      <c r="G10" s="321">
        <f t="shared" si="2"/>
        <v>351.15</v>
      </c>
      <c r="H10" s="321">
        <f t="shared" si="2"/>
        <v>320.20999999999998</v>
      </c>
      <c r="I10" s="321">
        <f t="shared" si="2"/>
        <v>400.91</v>
      </c>
      <c r="J10" s="321">
        <f t="shared" si="2"/>
        <v>391.35</v>
      </c>
      <c r="K10" s="321">
        <f t="shared" si="2"/>
        <v>436.71</v>
      </c>
      <c r="L10" s="321">
        <f t="shared" si="2"/>
        <v>297.14999999999998</v>
      </c>
      <c r="M10" s="321">
        <f t="shared" si="2"/>
        <v>312.88</v>
      </c>
      <c r="N10" s="321">
        <f t="shared" si="2"/>
        <v>286.69</v>
      </c>
    </row>
    <row r="12" spans="1:14" x14ac:dyDescent="0.2">
      <c r="A12" s="312" t="s">
        <v>51</v>
      </c>
    </row>
    <row r="13" spans="1:14" s="319" customFormat="1" x14ac:dyDescent="0.2">
      <c r="B13" s="319" t="s">
        <v>24</v>
      </c>
      <c r="C13" s="320">
        <v>0.19500000000000001</v>
      </c>
      <c r="D13" s="320">
        <f t="shared" ref="D13:M13" si="3">+C13</f>
        <v>0.19500000000000001</v>
      </c>
      <c r="E13" s="320">
        <f t="shared" si="3"/>
        <v>0.19500000000000001</v>
      </c>
      <c r="F13" s="320">
        <f t="shared" si="3"/>
        <v>0.19500000000000001</v>
      </c>
      <c r="G13" s="320">
        <f t="shared" si="3"/>
        <v>0.19500000000000001</v>
      </c>
      <c r="H13" s="320">
        <f t="shared" si="3"/>
        <v>0.19500000000000001</v>
      </c>
      <c r="I13" s="320">
        <f t="shared" si="3"/>
        <v>0.19500000000000001</v>
      </c>
      <c r="J13" s="320">
        <f t="shared" si="3"/>
        <v>0.19500000000000001</v>
      </c>
      <c r="K13" s="320">
        <f t="shared" si="3"/>
        <v>0.19500000000000001</v>
      </c>
      <c r="L13" s="320">
        <f t="shared" si="3"/>
        <v>0.19500000000000001</v>
      </c>
      <c r="M13" s="320">
        <f t="shared" si="3"/>
        <v>0.19500000000000001</v>
      </c>
      <c r="N13" s="320">
        <v>0</v>
      </c>
    </row>
    <row r="14" spans="1:14" s="319" customFormat="1" x14ac:dyDescent="0.2">
      <c r="B14" s="319" t="s">
        <v>28</v>
      </c>
      <c r="C14" s="320">
        <v>0.1782</v>
      </c>
      <c r="D14" s="320">
        <f t="shared" ref="D14:M14" si="4">+C14</f>
        <v>0.1782</v>
      </c>
      <c r="E14" s="320">
        <f t="shared" si="4"/>
        <v>0.1782</v>
      </c>
      <c r="F14" s="320">
        <f t="shared" si="4"/>
        <v>0.1782</v>
      </c>
      <c r="G14" s="320">
        <f t="shared" si="4"/>
        <v>0.1782</v>
      </c>
      <c r="H14" s="320">
        <f t="shared" si="4"/>
        <v>0.1782</v>
      </c>
      <c r="I14" s="320">
        <f t="shared" si="4"/>
        <v>0.1782</v>
      </c>
      <c r="J14" s="320">
        <f t="shared" si="4"/>
        <v>0.1782</v>
      </c>
      <c r="K14" s="320">
        <f t="shared" si="4"/>
        <v>0.1782</v>
      </c>
      <c r="L14" s="320">
        <f t="shared" si="4"/>
        <v>0.1782</v>
      </c>
      <c r="M14" s="320">
        <f t="shared" si="4"/>
        <v>0.1782</v>
      </c>
      <c r="N14" s="320">
        <f t="shared" ref="N14:N22" si="5">+M14</f>
        <v>0.1782</v>
      </c>
    </row>
    <row r="15" spans="1:14" s="319" customFormat="1" x14ac:dyDescent="0.2">
      <c r="B15" s="319" t="s">
        <v>52</v>
      </c>
      <c r="C15" s="320">
        <v>0</v>
      </c>
      <c r="D15" s="320">
        <f t="shared" ref="D15:M15" si="6">+C15</f>
        <v>0</v>
      </c>
      <c r="E15" s="320">
        <f t="shared" si="6"/>
        <v>0</v>
      </c>
      <c r="F15" s="320">
        <f t="shared" si="6"/>
        <v>0</v>
      </c>
      <c r="G15" s="320">
        <f t="shared" si="6"/>
        <v>0</v>
      </c>
      <c r="H15" s="320">
        <f t="shared" si="6"/>
        <v>0</v>
      </c>
      <c r="I15" s="320">
        <f t="shared" si="6"/>
        <v>0</v>
      </c>
      <c r="J15" s="320">
        <f t="shared" si="6"/>
        <v>0</v>
      </c>
      <c r="K15" s="320">
        <f t="shared" si="6"/>
        <v>0</v>
      </c>
      <c r="L15" s="320">
        <f t="shared" si="6"/>
        <v>0</v>
      </c>
      <c r="M15" s="320">
        <f t="shared" si="6"/>
        <v>0</v>
      </c>
      <c r="N15" s="320">
        <f t="shared" si="5"/>
        <v>0</v>
      </c>
    </row>
    <row r="16" spans="1:14" s="319" customFormat="1" x14ac:dyDescent="0.2">
      <c r="B16" s="319" t="s">
        <v>53</v>
      </c>
      <c r="C16" s="320">
        <v>1.6500000000000001E-2</v>
      </c>
      <c r="D16" s="320">
        <f t="shared" ref="D16:M16" si="7">+C16</f>
        <v>1.6500000000000001E-2</v>
      </c>
      <c r="E16" s="320">
        <f t="shared" si="7"/>
        <v>1.6500000000000001E-2</v>
      </c>
      <c r="F16" s="320">
        <f t="shared" si="7"/>
        <v>1.6500000000000001E-2</v>
      </c>
      <c r="G16" s="320">
        <f t="shared" si="7"/>
        <v>1.6500000000000001E-2</v>
      </c>
      <c r="H16" s="320">
        <f t="shared" si="7"/>
        <v>1.6500000000000001E-2</v>
      </c>
      <c r="I16" s="320">
        <f t="shared" si="7"/>
        <v>1.6500000000000001E-2</v>
      </c>
      <c r="J16" s="320">
        <f t="shared" si="7"/>
        <v>1.6500000000000001E-2</v>
      </c>
      <c r="K16" s="320">
        <f t="shared" si="7"/>
        <v>1.6500000000000001E-2</v>
      </c>
      <c r="L16" s="320">
        <f t="shared" si="7"/>
        <v>1.6500000000000001E-2</v>
      </c>
      <c r="M16" s="320">
        <f t="shared" si="7"/>
        <v>1.6500000000000001E-2</v>
      </c>
      <c r="N16" s="320">
        <f t="shared" si="5"/>
        <v>1.6500000000000001E-2</v>
      </c>
    </row>
    <row r="17" spans="1:16" s="319" customFormat="1" x14ac:dyDescent="0.2">
      <c r="B17" s="319" t="s">
        <v>54</v>
      </c>
      <c r="C17" s="320">
        <v>4.4900000000000002E-2</v>
      </c>
      <c r="D17" s="320">
        <f t="shared" ref="D17:M17" si="8">+C17</f>
        <v>4.4900000000000002E-2</v>
      </c>
      <c r="E17" s="320">
        <f t="shared" si="8"/>
        <v>4.4900000000000002E-2</v>
      </c>
      <c r="F17" s="320">
        <f t="shared" si="8"/>
        <v>4.4900000000000002E-2</v>
      </c>
      <c r="G17" s="320">
        <f t="shared" si="8"/>
        <v>4.4900000000000002E-2</v>
      </c>
      <c r="H17" s="320">
        <f t="shared" si="8"/>
        <v>4.4900000000000002E-2</v>
      </c>
      <c r="I17" s="320">
        <f t="shared" si="8"/>
        <v>4.4900000000000002E-2</v>
      </c>
      <c r="J17" s="320">
        <f t="shared" si="8"/>
        <v>4.4900000000000002E-2</v>
      </c>
      <c r="K17" s="320">
        <f t="shared" si="8"/>
        <v>4.4900000000000002E-2</v>
      </c>
      <c r="L17" s="320">
        <f t="shared" si="8"/>
        <v>4.4900000000000002E-2</v>
      </c>
      <c r="M17" s="320">
        <f t="shared" si="8"/>
        <v>4.4900000000000002E-2</v>
      </c>
      <c r="N17" s="320">
        <f t="shared" si="5"/>
        <v>4.4900000000000002E-2</v>
      </c>
    </row>
    <row r="18" spans="1:16" s="319" customFormat="1" x14ac:dyDescent="0.2">
      <c r="B18" s="319" t="s">
        <v>55</v>
      </c>
      <c r="C18" s="320">
        <v>7.4999999999999997E-3</v>
      </c>
      <c r="D18" s="320">
        <f t="shared" ref="D18:M18" si="9">+C18</f>
        <v>7.4999999999999997E-3</v>
      </c>
      <c r="E18" s="320">
        <f t="shared" si="9"/>
        <v>7.4999999999999997E-3</v>
      </c>
      <c r="F18" s="320">
        <f t="shared" si="9"/>
        <v>7.4999999999999997E-3</v>
      </c>
      <c r="G18" s="320">
        <f t="shared" si="9"/>
        <v>7.4999999999999997E-3</v>
      </c>
      <c r="H18" s="320">
        <f t="shared" si="9"/>
        <v>7.4999999999999997E-3</v>
      </c>
      <c r="I18" s="320">
        <f t="shared" si="9"/>
        <v>7.4999999999999997E-3</v>
      </c>
      <c r="J18" s="320">
        <f t="shared" si="9"/>
        <v>7.4999999999999997E-3</v>
      </c>
      <c r="K18" s="320">
        <f t="shared" si="9"/>
        <v>7.4999999999999997E-3</v>
      </c>
      <c r="L18" s="320">
        <f t="shared" si="9"/>
        <v>7.4999999999999997E-3</v>
      </c>
      <c r="M18" s="320">
        <f t="shared" si="9"/>
        <v>7.4999999999999997E-3</v>
      </c>
      <c r="N18" s="320">
        <f t="shared" si="5"/>
        <v>7.4999999999999997E-3</v>
      </c>
    </row>
    <row r="19" spans="1:16" s="319" customFormat="1" x14ac:dyDescent="0.2">
      <c r="B19" s="288" t="s">
        <v>56</v>
      </c>
      <c r="C19" s="320">
        <v>0</v>
      </c>
      <c r="D19" s="320">
        <f t="shared" ref="D19:M19" si="10">+C19</f>
        <v>0</v>
      </c>
      <c r="E19" s="320">
        <f t="shared" si="10"/>
        <v>0</v>
      </c>
      <c r="F19" s="320">
        <f t="shared" si="10"/>
        <v>0</v>
      </c>
      <c r="G19" s="320">
        <f t="shared" si="10"/>
        <v>0</v>
      </c>
      <c r="H19" s="320">
        <f t="shared" si="10"/>
        <v>0</v>
      </c>
      <c r="I19" s="320">
        <f t="shared" si="10"/>
        <v>0</v>
      </c>
      <c r="J19" s="320">
        <f t="shared" si="10"/>
        <v>0</v>
      </c>
      <c r="K19" s="320">
        <f t="shared" si="10"/>
        <v>0</v>
      </c>
      <c r="L19" s="320">
        <f t="shared" si="10"/>
        <v>0</v>
      </c>
      <c r="M19" s="320">
        <f t="shared" si="10"/>
        <v>0</v>
      </c>
      <c r="N19" s="320">
        <f t="shared" si="5"/>
        <v>0</v>
      </c>
    </row>
    <row r="20" spans="1:16" s="319" customFormat="1" x14ac:dyDescent="0.2">
      <c r="B20" s="288" t="s">
        <v>22</v>
      </c>
      <c r="C20" s="320">
        <v>0.17680000000000001</v>
      </c>
      <c r="D20" s="320">
        <f t="shared" ref="D20:M20" si="11">+C20</f>
        <v>0.17680000000000001</v>
      </c>
      <c r="E20" s="320">
        <f t="shared" si="11"/>
        <v>0.17680000000000001</v>
      </c>
      <c r="F20" s="320">
        <f t="shared" si="11"/>
        <v>0.17680000000000001</v>
      </c>
      <c r="G20" s="320">
        <f t="shared" si="11"/>
        <v>0.17680000000000001</v>
      </c>
      <c r="H20" s="320">
        <f t="shared" si="11"/>
        <v>0.17680000000000001</v>
      </c>
      <c r="I20" s="320">
        <f t="shared" si="11"/>
        <v>0.17680000000000001</v>
      </c>
      <c r="J20" s="320">
        <f t="shared" si="11"/>
        <v>0.17680000000000001</v>
      </c>
      <c r="K20" s="320">
        <f t="shared" si="11"/>
        <v>0.17680000000000001</v>
      </c>
      <c r="L20" s="320">
        <f t="shared" si="11"/>
        <v>0.17680000000000001</v>
      </c>
      <c r="M20" s="320">
        <f t="shared" si="11"/>
        <v>0.17680000000000001</v>
      </c>
      <c r="N20" s="320">
        <f t="shared" si="5"/>
        <v>0.17680000000000001</v>
      </c>
    </row>
    <row r="21" spans="1:16" s="319" customFormat="1" x14ac:dyDescent="0.2">
      <c r="B21" s="319" t="s">
        <v>57</v>
      </c>
      <c r="C21" s="320">
        <v>0</v>
      </c>
      <c r="D21" s="320">
        <f t="shared" ref="D21:M21" si="12">+C21</f>
        <v>0</v>
      </c>
      <c r="E21" s="320">
        <f t="shared" si="12"/>
        <v>0</v>
      </c>
      <c r="F21" s="320">
        <f t="shared" si="12"/>
        <v>0</v>
      </c>
      <c r="G21" s="320">
        <f t="shared" si="12"/>
        <v>0</v>
      </c>
      <c r="H21" s="320">
        <f t="shared" si="12"/>
        <v>0</v>
      </c>
      <c r="I21" s="320">
        <f t="shared" si="12"/>
        <v>0</v>
      </c>
      <c r="J21" s="320">
        <f t="shared" si="12"/>
        <v>0</v>
      </c>
      <c r="K21" s="320">
        <f t="shared" si="12"/>
        <v>0</v>
      </c>
      <c r="L21" s="320">
        <f t="shared" si="12"/>
        <v>0</v>
      </c>
      <c r="M21" s="320">
        <f t="shared" si="12"/>
        <v>0</v>
      </c>
      <c r="N21" s="320">
        <f t="shared" si="5"/>
        <v>0</v>
      </c>
    </row>
    <row r="22" spans="1:16" s="319" customFormat="1" x14ac:dyDescent="0.2">
      <c r="B22" s="319" t="s">
        <v>58</v>
      </c>
      <c r="C22" s="320">
        <v>5.930000000000013E-2</v>
      </c>
      <c r="D22" s="320">
        <f t="shared" ref="D22:M22" si="13">+C22</f>
        <v>5.930000000000013E-2</v>
      </c>
      <c r="E22" s="320">
        <f t="shared" si="13"/>
        <v>5.930000000000013E-2</v>
      </c>
      <c r="F22" s="320">
        <f t="shared" si="13"/>
        <v>5.930000000000013E-2</v>
      </c>
      <c r="G22" s="320">
        <f t="shared" si="13"/>
        <v>5.930000000000013E-2</v>
      </c>
      <c r="H22" s="320">
        <f t="shared" si="13"/>
        <v>5.930000000000013E-2</v>
      </c>
      <c r="I22" s="320">
        <f t="shared" si="13"/>
        <v>5.930000000000013E-2</v>
      </c>
      <c r="J22" s="320">
        <f t="shared" si="13"/>
        <v>5.930000000000013E-2</v>
      </c>
      <c r="K22" s="320">
        <f t="shared" si="13"/>
        <v>5.930000000000013E-2</v>
      </c>
      <c r="L22" s="320">
        <f t="shared" si="13"/>
        <v>5.930000000000013E-2</v>
      </c>
      <c r="M22" s="320">
        <f t="shared" si="13"/>
        <v>5.930000000000013E-2</v>
      </c>
      <c r="N22" s="320">
        <f t="shared" si="5"/>
        <v>5.930000000000013E-2</v>
      </c>
    </row>
    <row r="23" spans="1:16" s="319" customFormat="1" x14ac:dyDescent="0.2">
      <c r="B23" s="319" t="s">
        <v>59</v>
      </c>
      <c r="C23" s="125">
        <v>0.32179999999999997</v>
      </c>
      <c r="D23" s="320">
        <f t="shared" ref="D23:M23" si="14">+C23</f>
        <v>0.32179999999999997</v>
      </c>
      <c r="E23" s="320">
        <f t="shared" si="14"/>
        <v>0.32179999999999997</v>
      </c>
      <c r="F23" s="320">
        <f t="shared" si="14"/>
        <v>0.32179999999999997</v>
      </c>
      <c r="G23" s="320">
        <f t="shared" si="14"/>
        <v>0.32179999999999997</v>
      </c>
      <c r="H23" s="320">
        <f t="shared" si="14"/>
        <v>0.32179999999999997</v>
      </c>
      <c r="I23" s="320">
        <f t="shared" si="14"/>
        <v>0.32179999999999997</v>
      </c>
      <c r="J23" s="320">
        <f t="shared" si="14"/>
        <v>0.32179999999999997</v>
      </c>
      <c r="K23" s="320">
        <f t="shared" si="14"/>
        <v>0.32179999999999997</v>
      </c>
      <c r="L23" s="320">
        <f t="shared" si="14"/>
        <v>0.32179999999999997</v>
      </c>
      <c r="M23" s="320">
        <f t="shared" si="14"/>
        <v>0.32179999999999997</v>
      </c>
      <c r="N23" s="320">
        <v>0.51680000000000004</v>
      </c>
    </row>
    <row r="24" spans="1:16" x14ac:dyDescent="0.2">
      <c r="C24" s="93">
        <v>1</v>
      </c>
      <c r="D24" s="93">
        <v>1</v>
      </c>
      <c r="E24" s="93">
        <v>1</v>
      </c>
      <c r="F24" s="93">
        <v>1</v>
      </c>
      <c r="G24" s="93">
        <v>1</v>
      </c>
      <c r="H24" s="93">
        <v>1</v>
      </c>
      <c r="I24" s="93">
        <v>1</v>
      </c>
      <c r="J24" s="93">
        <v>1</v>
      </c>
      <c r="K24" s="93">
        <v>1</v>
      </c>
      <c r="L24" s="93">
        <v>1</v>
      </c>
      <c r="M24" s="93">
        <v>1</v>
      </c>
      <c r="N24" s="93">
        <v>1</v>
      </c>
    </row>
    <row r="26" spans="1:16" x14ac:dyDescent="0.2">
      <c r="A26" s="312" t="s">
        <v>60</v>
      </c>
    </row>
    <row r="27" spans="1:16" x14ac:dyDescent="0.2">
      <c r="B27" s="288" t="s">
        <v>24</v>
      </c>
      <c r="C27" s="75">
        <f t="shared" ref="C27:N27" si="15">+C$10*C13</f>
        <v>63.714300000000001</v>
      </c>
      <c r="D27" s="75">
        <f t="shared" si="15"/>
        <v>75.349950000000007</v>
      </c>
      <c r="E27" s="75">
        <f t="shared" si="15"/>
        <v>69.9465</v>
      </c>
      <c r="F27" s="75">
        <f t="shared" si="15"/>
        <v>77.342849999999999</v>
      </c>
      <c r="G27" s="75">
        <f t="shared" si="15"/>
        <v>68.474249999999998</v>
      </c>
      <c r="H27" s="75">
        <f t="shared" si="15"/>
        <v>62.440950000000001</v>
      </c>
      <c r="I27" s="75">
        <f t="shared" si="15"/>
        <v>78.177450000000007</v>
      </c>
      <c r="J27" s="75">
        <f t="shared" si="15"/>
        <v>76.313250000000011</v>
      </c>
      <c r="K27" s="75">
        <f t="shared" si="15"/>
        <v>85.158450000000002</v>
      </c>
      <c r="L27" s="75">
        <f t="shared" si="15"/>
        <v>57.944249999999997</v>
      </c>
      <c r="M27" s="75">
        <f t="shared" si="15"/>
        <v>61.011600000000001</v>
      </c>
      <c r="N27" s="75">
        <f t="shared" si="15"/>
        <v>0</v>
      </c>
    </row>
    <row r="28" spans="1:16" x14ac:dyDescent="0.2">
      <c r="B28" s="288" t="s">
        <v>28</v>
      </c>
      <c r="C28" s="75">
        <f t="shared" ref="C28:N28" si="16">+C$10*C14</f>
        <v>58.225068</v>
      </c>
      <c r="D28" s="75">
        <f t="shared" si="16"/>
        <v>68.858261999999996</v>
      </c>
      <c r="E28" s="75">
        <f t="shared" si="16"/>
        <v>63.920339999999996</v>
      </c>
      <c r="F28" s="75">
        <f t="shared" si="16"/>
        <v>70.679466000000005</v>
      </c>
      <c r="G28" s="75">
        <f t="shared" si="16"/>
        <v>62.574929999999995</v>
      </c>
      <c r="H28" s="75">
        <f t="shared" si="16"/>
        <v>57.061421999999993</v>
      </c>
      <c r="I28" s="75">
        <f t="shared" si="16"/>
        <v>71.44216200000001</v>
      </c>
      <c r="J28" s="75">
        <f t="shared" si="16"/>
        <v>69.73857000000001</v>
      </c>
      <c r="K28" s="75">
        <f t="shared" si="16"/>
        <v>77.821721999999994</v>
      </c>
      <c r="L28" s="75">
        <f t="shared" si="16"/>
        <v>52.952129999999997</v>
      </c>
      <c r="M28" s="75">
        <f t="shared" si="16"/>
        <v>55.755215999999997</v>
      </c>
      <c r="N28" s="75">
        <f t="shared" si="16"/>
        <v>51.088158</v>
      </c>
    </row>
    <row r="29" spans="1:16" x14ac:dyDescent="0.2">
      <c r="B29" s="288" t="s">
        <v>52</v>
      </c>
      <c r="C29" s="75">
        <f t="shared" ref="C29:N29" si="17">+C$10*C15</f>
        <v>0</v>
      </c>
      <c r="D29" s="75">
        <f t="shared" si="17"/>
        <v>0</v>
      </c>
      <c r="E29" s="75">
        <f t="shared" si="17"/>
        <v>0</v>
      </c>
      <c r="F29" s="75">
        <f t="shared" si="17"/>
        <v>0</v>
      </c>
      <c r="G29" s="75">
        <f t="shared" si="17"/>
        <v>0</v>
      </c>
      <c r="H29" s="75">
        <f t="shared" si="17"/>
        <v>0</v>
      </c>
      <c r="I29" s="75">
        <f t="shared" si="17"/>
        <v>0</v>
      </c>
      <c r="J29" s="75">
        <f t="shared" si="17"/>
        <v>0</v>
      </c>
      <c r="K29" s="75">
        <f t="shared" si="17"/>
        <v>0</v>
      </c>
      <c r="L29" s="75">
        <f t="shared" si="17"/>
        <v>0</v>
      </c>
      <c r="M29" s="75">
        <f t="shared" si="17"/>
        <v>0</v>
      </c>
      <c r="N29" s="75">
        <f t="shared" si="17"/>
        <v>0</v>
      </c>
    </row>
    <row r="30" spans="1:16" x14ac:dyDescent="0.2">
      <c r="B30" s="288" t="s">
        <v>53</v>
      </c>
      <c r="C30" s="75">
        <f t="shared" ref="C30:N30" si="18">+C$10*C16</f>
        <v>5.3912100000000001</v>
      </c>
      <c r="D30" s="75">
        <f t="shared" si="18"/>
        <v>6.3757650000000003</v>
      </c>
      <c r="E30" s="75">
        <f t="shared" si="18"/>
        <v>5.9185499999999998</v>
      </c>
      <c r="F30" s="75">
        <f t="shared" si="18"/>
        <v>6.5443950000000006</v>
      </c>
      <c r="G30" s="75">
        <f t="shared" si="18"/>
        <v>5.7939749999999997</v>
      </c>
      <c r="H30" s="75">
        <f t="shared" si="18"/>
        <v>5.2834649999999996</v>
      </c>
      <c r="I30" s="75">
        <f t="shared" si="18"/>
        <v>6.6150150000000005</v>
      </c>
      <c r="J30" s="75">
        <f t="shared" si="18"/>
        <v>6.457275000000001</v>
      </c>
      <c r="K30" s="75">
        <f t="shared" si="18"/>
        <v>7.2057149999999996</v>
      </c>
      <c r="L30" s="75">
        <f t="shared" si="18"/>
        <v>4.9029749999999996</v>
      </c>
      <c r="M30" s="75">
        <f t="shared" si="18"/>
        <v>5.1625199999999998</v>
      </c>
      <c r="N30" s="75">
        <f t="shared" si="18"/>
        <v>4.7303850000000001</v>
      </c>
      <c r="P30" s="313"/>
    </row>
    <row r="31" spans="1:16" ht="12.75" x14ac:dyDescent="0.2">
      <c r="B31" s="288" t="s">
        <v>54</v>
      </c>
      <c r="C31" s="75">
        <f t="shared" ref="C31:N31" si="19">+C$10*C17</f>
        <v>14.670626</v>
      </c>
      <c r="D31" s="75">
        <f t="shared" si="19"/>
        <v>17.349809</v>
      </c>
      <c r="E31" s="75">
        <f t="shared" si="19"/>
        <v>16.105630000000001</v>
      </c>
      <c r="F31" s="75">
        <f t="shared" si="19"/>
        <v>17.808686999999999</v>
      </c>
      <c r="G31" s="75">
        <f t="shared" si="19"/>
        <v>15.766634999999999</v>
      </c>
      <c r="H31" s="75">
        <f t="shared" si="19"/>
        <v>14.377428999999999</v>
      </c>
      <c r="I31" s="75">
        <f t="shared" si="19"/>
        <v>18.000859000000002</v>
      </c>
      <c r="J31" s="75">
        <f t="shared" si="19"/>
        <v>17.571615000000001</v>
      </c>
      <c r="K31" s="75">
        <f t="shared" si="19"/>
        <v>19.608279</v>
      </c>
      <c r="L31" s="75">
        <f t="shared" si="19"/>
        <v>13.342034999999999</v>
      </c>
      <c r="M31" s="75">
        <f t="shared" si="19"/>
        <v>14.048312000000001</v>
      </c>
      <c r="N31" s="75">
        <f t="shared" si="19"/>
        <v>12.872381000000001</v>
      </c>
      <c r="P31" s="304"/>
    </row>
    <row r="32" spans="1:16" ht="12.75" x14ac:dyDescent="0.2">
      <c r="B32" s="288" t="s">
        <v>55</v>
      </c>
      <c r="C32" s="75">
        <f t="shared" ref="C32:N32" si="20">+C$10*C18</f>
        <v>2.4505499999999998</v>
      </c>
      <c r="D32" s="75">
        <f t="shared" si="20"/>
        <v>2.898075</v>
      </c>
      <c r="E32" s="75">
        <f t="shared" si="20"/>
        <v>2.6902499999999998</v>
      </c>
      <c r="F32" s="75">
        <f t="shared" si="20"/>
        <v>2.9747249999999998</v>
      </c>
      <c r="G32" s="75">
        <f t="shared" si="20"/>
        <v>2.6336249999999999</v>
      </c>
      <c r="H32" s="75">
        <f t="shared" si="20"/>
        <v>2.4015749999999998</v>
      </c>
      <c r="I32" s="75">
        <f t="shared" si="20"/>
        <v>3.0068250000000001</v>
      </c>
      <c r="J32" s="75">
        <f t="shared" si="20"/>
        <v>2.9351250000000002</v>
      </c>
      <c r="K32" s="75">
        <f t="shared" si="20"/>
        <v>3.2753249999999996</v>
      </c>
      <c r="L32" s="75">
        <f t="shared" si="20"/>
        <v>2.2286249999999996</v>
      </c>
      <c r="M32" s="75">
        <f t="shared" si="20"/>
        <v>2.3466</v>
      </c>
      <c r="N32" s="75">
        <f t="shared" si="20"/>
        <v>2.1501749999999999</v>
      </c>
      <c r="P32" s="304"/>
    </row>
    <row r="33" spans="1:16" ht="12.75" x14ac:dyDescent="0.2">
      <c r="B33" s="288" t="s">
        <v>56</v>
      </c>
      <c r="C33" s="75">
        <f t="shared" ref="C33:N33" si="21">+C$10*C19</f>
        <v>0</v>
      </c>
      <c r="D33" s="75">
        <f t="shared" si="21"/>
        <v>0</v>
      </c>
      <c r="E33" s="75">
        <f t="shared" si="21"/>
        <v>0</v>
      </c>
      <c r="F33" s="75">
        <f t="shared" si="21"/>
        <v>0</v>
      </c>
      <c r="G33" s="75">
        <f t="shared" si="21"/>
        <v>0</v>
      </c>
      <c r="H33" s="75">
        <f t="shared" si="21"/>
        <v>0</v>
      </c>
      <c r="I33" s="75">
        <f t="shared" si="21"/>
        <v>0</v>
      </c>
      <c r="J33" s="75">
        <f t="shared" si="21"/>
        <v>0</v>
      </c>
      <c r="K33" s="75">
        <f t="shared" si="21"/>
        <v>0</v>
      </c>
      <c r="L33" s="75">
        <f t="shared" si="21"/>
        <v>0</v>
      </c>
      <c r="M33" s="75">
        <f t="shared" si="21"/>
        <v>0</v>
      </c>
      <c r="N33" s="75">
        <f t="shared" si="21"/>
        <v>0</v>
      </c>
      <c r="P33" s="304"/>
    </row>
    <row r="34" spans="1:16" ht="12.75" x14ac:dyDescent="0.2">
      <c r="B34" s="288" t="s">
        <v>22</v>
      </c>
      <c r="C34" s="75">
        <f t="shared" ref="C34:N34" si="22">+C$10*C20</f>
        <v>57.767632000000006</v>
      </c>
      <c r="D34" s="75">
        <f t="shared" si="22"/>
        <v>68.317288000000005</v>
      </c>
      <c r="E34" s="75">
        <f t="shared" si="22"/>
        <v>63.41816</v>
      </c>
      <c r="F34" s="75">
        <f t="shared" si="22"/>
        <v>70.124184</v>
      </c>
      <c r="G34" s="75">
        <f t="shared" si="22"/>
        <v>62.083320000000001</v>
      </c>
      <c r="H34" s="75">
        <f t="shared" si="22"/>
        <v>56.613128000000003</v>
      </c>
      <c r="I34" s="75">
        <f t="shared" si="22"/>
        <v>70.880888000000013</v>
      </c>
      <c r="J34" s="75">
        <f t="shared" si="22"/>
        <v>69.190680000000015</v>
      </c>
      <c r="K34" s="75">
        <f t="shared" si="22"/>
        <v>77.210328000000004</v>
      </c>
      <c r="L34" s="75">
        <f t="shared" si="22"/>
        <v>52.536119999999997</v>
      </c>
      <c r="M34" s="75">
        <f t="shared" si="22"/>
        <v>55.317184000000005</v>
      </c>
      <c r="N34" s="75">
        <f t="shared" si="22"/>
        <v>50.686792000000004</v>
      </c>
      <c r="P34" s="304"/>
    </row>
    <row r="35" spans="1:16" ht="12.75" x14ac:dyDescent="0.2">
      <c r="B35" s="288" t="s">
        <v>57</v>
      </c>
      <c r="C35" s="75">
        <f t="shared" ref="C35:N35" si="23">+C$10*C21</f>
        <v>0</v>
      </c>
      <c r="D35" s="75">
        <f t="shared" si="23"/>
        <v>0</v>
      </c>
      <c r="E35" s="75">
        <f t="shared" si="23"/>
        <v>0</v>
      </c>
      <c r="F35" s="75">
        <f t="shared" si="23"/>
        <v>0</v>
      </c>
      <c r="G35" s="75">
        <f t="shared" si="23"/>
        <v>0</v>
      </c>
      <c r="H35" s="75">
        <f t="shared" si="23"/>
        <v>0</v>
      </c>
      <c r="I35" s="75">
        <f t="shared" si="23"/>
        <v>0</v>
      </c>
      <c r="J35" s="75">
        <f t="shared" si="23"/>
        <v>0</v>
      </c>
      <c r="K35" s="75">
        <f t="shared" si="23"/>
        <v>0</v>
      </c>
      <c r="L35" s="75">
        <f t="shared" si="23"/>
        <v>0</v>
      </c>
      <c r="M35" s="75">
        <f t="shared" si="23"/>
        <v>0</v>
      </c>
      <c r="N35" s="75">
        <f t="shared" si="23"/>
        <v>0</v>
      </c>
      <c r="P35" s="304"/>
    </row>
    <row r="36" spans="1:16" ht="12.75" x14ac:dyDescent="0.2">
      <c r="B36" s="288" t="s">
        <v>58</v>
      </c>
      <c r="C36" s="75">
        <f t="shared" ref="C36:N36" si="24">+C$10*C22</f>
        <v>19.375682000000044</v>
      </c>
      <c r="D36" s="75">
        <f t="shared" si="24"/>
        <v>22.91411300000005</v>
      </c>
      <c r="E36" s="75">
        <f t="shared" si="24"/>
        <v>21.270910000000047</v>
      </c>
      <c r="F36" s="75">
        <f t="shared" si="24"/>
        <v>23.520159000000053</v>
      </c>
      <c r="G36" s="75">
        <f t="shared" si="24"/>
        <v>20.823195000000045</v>
      </c>
      <c r="H36" s="75">
        <f t="shared" si="24"/>
        <v>18.988453000000039</v>
      </c>
      <c r="I36" s="75">
        <f t="shared" si="24"/>
        <v>23.773963000000055</v>
      </c>
      <c r="J36" s="75">
        <f t="shared" si="24"/>
        <v>23.207055000000054</v>
      </c>
      <c r="K36" s="75">
        <f t="shared" si="24"/>
        <v>25.896903000000055</v>
      </c>
      <c r="L36" s="75">
        <f t="shared" si="24"/>
        <v>17.620995000000036</v>
      </c>
      <c r="M36" s="75">
        <f t="shared" si="24"/>
        <v>18.553784000000039</v>
      </c>
      <c r="N36" s="75">
        <f t="shared" si="24"/>
        <v>17.000717000000037</v>
      </c>
      <c r="P36" s="304"/>
    </row>
    <row r="37" spans="1:16" ht="12.75" x14ac:dyDescent="0.2">
      <c r="B37" s="288" t="s">
        <v>59</v>
      </c>
      <c r="C37" s="90">
        <f t="shared" ref="C37:N37" si="25">+C$10*C23</f>
        <v>105.144932</v>
      </c>
      <c r="D37" s="90">
        <f t="shared" si="25"/>
        <v>124.346738</v>
      </c>
      <c r="E37" s="90">
        <f t="shared" si="25"/>
        <v>115.42965999999998</v>
      </c>
      <c r="F37" s="90">
        <f t="shared" si="25"/>
        <v>127.63553399999999</v>
      </c>
      <c r="G37" s="90">
        <f t="shared" si="25"/>
        <v>113.00006999999998</v>
      </c>
      <c r="H37" s="90">
        <f t="shared" si="25"/>
        <v>103.04357799999998</v>
      </c>
      <c r="I37" s="90">
        <f t="shared" si="25"/>
        <v>129.01283799999999</v>
      </c>
      <c r="J37" s="90">
        <f t="shared" si="25"/>
        <v>125.93643</v>
      </c>
      <c r="K37" s="90">
        <f t="shared" si="25"/>
        <v>140.533278</v>
      </c>
      <c r="L37" s="90">
        <f t="shared" si="25"/>
        <v>95.622869999999992</v>
      </c>
      <c r="M37" s="90">
        <f t="shared" si="25"/>
        <v>100.68478399999999</v>
      </c>
      <c r="N37" s="90">
        <f t="shared" si="25"/>
        <v>148.16139200000001</v>
      </c>
      <c r="P37" s="304"/>
    </row>
    <row r="38" spans="1:16" ht="12.75" x14ac:dyDescent="0.2">
      <c r="C38" s="75">
        <f t="shared" ref="C38:N38" si="26">SUM(C27:C37)</f>
        <v>326.74</v>
      </c>
      <c r="D38" s="75">
        <f t="shared" si="26"/>
        <v>386.41000000000008</v>
      </c>
      <c r="E38" s="75">
        <f t="shared" si="26"/>
        <v>358.70000000000005</v>
      </c>
      <c r="F38" s="75">
        <f t="shared" si="26"/>
        <v>396.63000000000005</v>
      </c>
      <c r="G38" s="75">
        <f t="shared" si="26"/>
        <v>351.15000000000003</v>
      </c>
      <c r="H38" s="75">
        <f t="shared" si="26"/>
        <v>320.21000000000004</v>
      </c>
      <c r="I38" s="75">
        <f t="shared" si="26"/>
        <v>400.91</v>
      </c>
      <c r="J38" s="75">
        <f t="shared" si="26"/>
        <v>391.35000000000014</v>
      </c>
      <c r="K38" s="75">
        <f t="shared" si="26"/>
        <v>436.71000000000004</v>
      </c>
      <c r="L38" s="75">
        <f t="shared" si="26"/>
        <v>297.15000000000003</v>
      </c>
      <c r="M38" s="75">
        <f t="shared" si="26"/>
        <v>312.88000000000005</v>
      </c>
      <c r="N38" s="75">
        <f t="shared" si="26"/>
        <v>286.69000000000005</v>
      </c>
      <c r="P38" s="304"/>
    </row>
    <row r="39" spans="1:16" x14ac:dyDescent="0.2">
      <c r="P39" s="313"/>
    </row>
    <row r="40" spans="1:16" x14ac:dyDescent="0.2">
      <c r="A40" s="312" t="s">
        <v>61</v>
      </c>
    </row>
    <row r="41" spans="1:16" x14ac:dyDescent="0.2">
      <c r="B41" s="288" t="s">
        <v>24</v>
      </c>
      <c r="C41" s="185">
        <v>1</v>
      </c>
      <c r="D41" s="95">
        <v>1</v>
      </c>
      <c r="E41" s="95">
        <v>1</v>
      </c>
      <c r="F41" s="95">
        <v>1</v>
      </c>
      <c r="G41" s="95">
        <v>1</v>
      </c>
      <c r="H41" s="95">
        <v>1</v>
      </c>
      <c r="I41" s="95">
        <v>1</v>
      </c>
      <c r="J41" s="95">
        <v>1</v>
      </c>
      <c r="K41" s="95">
        <v>1</v>
      </c>
      <c r="L41" s="95">
        <v>1</v>
      </c>
      <c r="M41" s="95">
        <v>1</v>
      </c>
      <c r="N41" s="95">
        <v>1</v>
      </c>
    </row>
    <row r="42" spans="1:16" x14ac:dyDescent="0.2">
      <c r="B42" s="288" t="s">
        <v>28</v>
      </c>
      <c r="C42" s="185">
        <v>1</v>
      </c>
      <c r="D42" s="95">
        <v>1</v>
      </c>
      <c r="E42" s="95">
        <v>1</v>
      </c>
      <c r="F42" s="95">
        <v>1</v>
      </c>
      <c r="G42" s="95">
        <v>1</v>
      </c>
      <c r="H42" s="95">
        <v>1</v>
      </c>
      <c r="I42" s="95">
        <v>1</v>
      </c>
      <c r="J42" s="95">
        <v>1</v>
      </c>
      <c r="K42" s="95">
        <v>1</v>
      </c>
      <c r="L42" s="95">
        <v>1</v>
      </c>
      <c r="M42" s="95">
        <v>1</v>
      </c>
      <c r="N42" s="95">
        <v>1</v>
      </c>
    </row>
    <row r="43" spans="1:16" x14ac:dyDescent="0.2">
      <c r="B43" s="288" t="s">
        <v>52</v>
      </c>
      <c r="C43" s="185">
        <v>1</v>
      </c>
      <c r="D43" s="95">
        <v>1</v>
      </c>
      <c r="E43" s="95">
        <v>1</v>
      </c>
      <c r="F43" s="95">
        <v>1</v>
      </c>
      <c r="G43" s="95">
        <v>1</v>
      </c>
      <c r="H43" s="95">
        <v>1</v>
      </c>
      <c r="I43" s="95">
        <v>1</v>
      </c>
      <c r="J43" s="95">
        <v>1</v>
      </c>
      <c r="K43" s="95">
        <v>1</v>
      </c>
      <c r="L43" s="95">
        <v>1</v>
      </c>
      <c r="M43" s="95">
        <v>1</v>
      </c>
      <c r="N43" s="95">
        <v>1</v>
      </c>
    </row>
    <row r="44" spans="1:16" x14ac:dyDescent="0.2">
      <c r="B44" s="288" t="s">
        <v>53</v>
      </c>
      <c r="C44" s="185">
        <v>1</v>
      </c>
      <c r="D44" s="95">
        <v>1</v>
      </c>
      <c r="E44" s="95">
        <v>1</v>
      </c>
      <c r="F44" s="95">
        <v>1</v>
      </c>
      <c r="G44" s="95">
        <v>1</v>
      </c>
      <c r="H44" s="95">
        <v>1</v>
      </c>
      <c r="I44" s="95">
        <v>1</v>
      </c>
      <c r="J44" s="95">
        <v>1</v>
      </c>
      <c r="K44" s="95">
        <v>1</v>
      </c>
      <c r="L44" s="95">
        <v>1</v>
      </c>
      <c r="M44" s="95">
        <v>1</v>
      </c>
      <c r="N44" s="95">
        <v>1</v>
      </c>
    </row>
    <row r="45" spans="1:16" x14ac:dyDescent="0.2">
      <c r="B45" s="288" t="s">
        <v>54</v>
      </c>
      <c r="C45" s="185">
        <v>1</v>
      </c>
      <c r="D45" s="95">
        <v>1</v>
      </c>
      <c r="E45" s="95">
        <v>1</v>
      </c>
      <c r="F45" s="95">
        <v>1</v>
      </c>
      <c r="G45" s="95">
        <v>1</v>
      </c>
      <c r="H45" s="95">
        <v>1</v>
      </c>
      <c r="I45" s="95">
        <v>1</v>
      </c>
      <c r="J45" s="95">
        <v>1</v>
      </c>
      <c r="K45" s="95">
        <v>1</v>
      </c>
      <c r="L45" s="95">
        <v>1</v>
      </c>
      <c r="M45" s="95">
        <v>1</v>
      </c>
      <c r="N45" s="95">
        <v>1</v>
      </c>
    </row>
    <row r="46" spans="1:16" x14ac:dyDescent="0.2">
      <c r="B46" s="288" t="s">
        <v>55</v>
      </c>
      <c r="C46" s="185">
        <v>1</v>
      </c>
      <c r="D46" s="95">
        <v>1</v>
      </c>
      <c r="E46" s="95">
        <v>1</v>
      </c>
      <c r="F46" s="95">
        <v>1</v>
      </c>
      <c r="G46" s="95">
        <v>1</v>
      </c>
      <c r="H46" s="95">
        <v>1</v>
      </c>
      <c r="I46" s="95">
        <v>1</v>
      </c>
      <c r="J46" s="95">
        <v>1</v>
      </c>
      <c r="K46" s="95">
        <v>1</v>
      </c>
      <c r="L46" s="95">
        <v>1</v>
      </c>
      <c r="M46" s="95">
        <v>1</v>
      </c>
      <c r="N46" s="95">
        <v>1</v>
      </c>
    </row>
    <row r="47" spans="1:16" x14ac:dyDescent="0.2">
      <c r="B47" s="288" t="s">
        <v>56</v>
      </c>
      <c r="C47" s="185">
        <v>1</v>
      </c>
      <c r="D47" s="95">
        <v>1</v>
      </c>
      <c r="E47" s="95">
        <v>1</v>
      </c>
      <c r="F47" s="95">
        <v>1</v>
      </c>
      <c r="G47" s="95">
        <v>1</v>
      </c>
      <c r="H47" s="95">
        <v>1</v>
      </c>
      <c r="I47" s="95">
        <v>1</v>
      </c>
      <c r="J47" s="95">
        <v>1</v>
      </c>
      <c r="K47" s="95">
        <v>1</v>
      </c>
      <c r="L47" s="95">
        <v>1</v>
      </c>
      <c r="M47" s="95">
        <v>1</v>
      </c>
      <c r="N47" s="95">
        <v>1</v>
      </c>
    </row>
    <row r="48" spans="1:16" x14ac:dyDescent="0.2">
      <c r="B48" s="288" t="s">
        <v>22</v>
      </c>
      <c r="C48" s="185">
        <v>1</v>
      </c>
      <c r="D48" s="95">
        <v>1</v>
      </c>
      <c r="E48" s="95">
        <v>1</v>
      </c>
      <c r="F48" s="95">
        <v>1</v>
      </c>
      <c r="G48" s="95">
        <v>1</v>
      </c>
      <c r="H48" s="95">
        <v>1</v>
      </c>
      <c r="I48" s="95">
        <v>1</v>
      </c>
      <c r="J48" s="95">
        <v>1</v>
      </c>
      <c r="K48" s="95">
        <v>1</v>
      </c>
      <c r="L48" s="95">
        <v>1</v>
      </c>
      <c r="M48" s="95">
        <v>1</v>
      </c>
      <c r="N48" s="95">
        <v>1</v>
      </c>
    </row>
    <row r="49" spans="1:20" x14ac:dyDescent="0.2">
      <c r="B49" s="288" t="s">
        <v>57</v>
      </c>
      <c r="C49" s="185">
        <v>1</v>
      </c>
      <c r="D49" s="95">
        <v>1</v>
      </c>
      <c r="E49" s="95">
        <v>1</v>
      </c>
      <c r="F49" s="95">
        <v>1</v>
      </c>
      <c r="G49" s="95">
        <v>1</v>
      </c>
      <c r="H49" s="95">
        <v>1</v>
      </c>
      <c r="I49" s="95">
        <v>1</v>
      </c>
      <c r="J49" s="95">
        <v>1</v>
      </c>
      <c r="K49" s="95">
        <v>1</v>
      </c>
      <c r="L49" s="95">
        <v>1</v>
      </c>
      <c r="M49" s="95">
        <v>1</v>
      </c>
      <c r="N49" s="95">
        <v>1</v>
      </c>
    </row>
    <row r="50" spans="1:20" x14ac:dyDescent="0.2">
      <c r="B50" s="288" t="s">
        <v>58</v>
      </c>
      <c r="C50" s="185">
        <v>1</v>
      </c>
      <c r="D50" s="95">
        <v>1</v>
      </c>
      <c r="E50" s="95">
        <v>1</v>
      </c>
      <c r="F50" s="95">
        <v>1</v>
      </c>
      <c r="G50" s="95">
        <v>1</v>
      </c>
      <c r="H50" s="95">
        <v>1</v>
      </c>
      <c r="I50" s="95">
        <v>1</v>
      </c>
      <c r="J50" s="95">
        <v>1</v>
      </c>
      <c r="K50" s="95">
        <v>1</v>
      </c>
      <c r="L50" s="95">
        <v>1</v>
      </c>
      <c r="M50" s="95">
        <v>1</v>
      </c>
      <c r="N50" s="95">
        <v>1</v>
      </c>
    </row>
    <row r="51" spans="1:20" ht="14.25" customHeight="1" x14ac:dyDescent="0.2">
      <c r="C51" s="93"/>
      <c r="D51" s="95"/>
      <c r="E51" s="95"/>
      <c r="F51" s="95"/>
      <c r="G51" s="95"/>
      <c r="H51" s="95"/>
      <c r="I51" s="95"/>
      <c r="J51" s="95"/>
      <c r="K51" s="95"/>
      <c r="L51" s="95"/>
      <c r="M51" s="95"/>
      <c r="N51" s="95"/>
    </row>
    <row r="52" spans="1:20" x14ac:dyDescent="0.2">
      <c r="A52" s="288" t="s">
        <v>59</v>
      </c>
      <c r="C52" s="93">
        <f>+C65/C37</f>
        <v>0.99999999999999989</v>
      </c>
      <c r="D52" s="95">
        <v>1</v>
      </c>
      <c r="E52" s="95">
        <v>1</v>
      </c>
      <c r="F52" s="95">
        <v>1</v>
      </c>
      <c r="G52" s="95">
        <v>1</v>
      </c>
      <c r="H52" s="95">
        <v>1</v>
      </c>
      <c r="I52" s="95">
        <v>1</v>
      </c>
      <c r="J52" s="95">
        <v>1</v>
      </c>
      <c r="K52" s="95">
        <v>1</v>
      </c>
      <c r="L52" s="95">
        <v>1</v>
      </c>
      <c r="M52" s="95">
        <v>1</v>
      </c>
      <c r="N52" s="95">
        <v>1</v>
      </c>
    </row>
    <row r="53" spans="1:20" x14ac:dyDescent="0.2">
      <c r="L53" s="93"/>
      <c r="N53" s="95"/>
    </row>
    <row r="54" spans="1:20" x14ac:dyDescent="0.2">
      <c r="A54" s="312" t="s">
        <v>62</v>
      </c>
      <c r="L54" s="93"/>
      <c r="N54" s="95"/>
    </row>
    <row r="55" spans="1:20" x14ac:dyDescent="0.2">
      <c r="B55" s="288" t="s">
        <v>24</v>
      </c>
      <c r="C55" s="75">
        <f t="shared" ref="C55:N55" si="27">+C27*C41</f>
        <v>63.714300000000001</v>
      </c>
      <c r="D55" s="75">
        <f t="shared" si="27"/>
        <v>75.349950000000007</v>
      </c>
      <c r="E55" s="75">
        <f t="shared" si="27"/>
        <v>69.9465</v>
      </c>
      <c r="F55" s="75">
        <f t="shared" si="27"/>
        <v>77.342849999999999</v>
      </c>
      <c r="G55" s="75">
        <f t="shared" si="27"/>
        <v>68.474249999999998</v>
      </c>
      <c r="H55" s="75">
        <f t="shared" si="27"/>
        <v>62.440950000000001</v>
      </c>
      <c r="I55" s="75">
        <f t="shared" si="27"/>
        <v>78.177450000000007</v>
      </c>
      <c r="J55" s="75">
        <f t="shared" si="27"/>
        <v>76.313250000000011</v>
      </c>
      <c r="K55" s="75">
        <f t="shared" si="27"/>
        <v>85.158450000000002</v>
      </c>
      <c r="L55" s="75">
        <f t="shared" si="27"/>
        <v>57.944249999999997</v>
      </c>
      <c r="M55" s="75">
        <f t="shared" si="27"/>
        <v>61.011600000000001</v>
      </c>
      <c r="N55" s="75">
        <f t="shared" si="27"/>
        <v>0</v>
      </c>
    </row>
    <row r="56" spans="1:20" ht="12.75" x14ac:dyDescent="0.2">
      <c r="B56" s="288" t="s">
        <v>28</v>
      </c>
      <c r="C56" s="75">
        <f t="shared" ref="C56:N56" si="28">+C28*C42</f>
        <v>58.225068</v>
      </c>
      <c r="D56" s="75">
        <f t="shared" si="28"/>
        <v>68.858261999999996</v>
      </c>
      <c r="E56" s="75">
        <f t="shared" si="28"/>
        <v>63.920339999999996</v>
      </c>
      <c r="F56" s="75">
        <f t="shared" si="28"/>
        <v>70.679466000000005</v>
      </c>
      <c r="G56" s="75">
        <f t="shared" si="28"/>
        <v>62.574929999999995</v>
      </c>
      <c r="H56" s="75">
        <f t="shared" si="28"/>
        <v>57.061421999999993</v>
      </c>
      <c r="I56" s="75">
        <f t="shared" si="28"/>
        <v>71.44216200000001</v>
      </c>
      <c r="J56" s="75">
        <f t="shared" si="28"/>
        <v>69.73857000000001</v>
      </c>
      <c r="K56" s="75">
        <f t="shared" si="28"/>
        <v>77.821721999999994</v>
      </c>
      <c r="L56" s="75">
        <f t="shared" si="28"/>
        <v>52.952129999999997</v>
      </c>
      <c r="M56" s="75">
        <f t="shared" si="28"/>
        <v>55.755215999999997</v>
      </c>
      <c r="N56" s="75">
        <f t="shared" si="28"/>
        <v>51.088158</v>
      </c>
      <c r="P56" s="157"/>
    </row>
    <row r="57" spans="1:20" ht="12.75" x14ac:dyDescent="0.2">
      <c r="B57" s="288" t="s">
        <v>52</v>
      </c>
      <c r="C57" s="75">
        <f t="shared" ref="C57:N57" si="29">+C29*C43</f>
        <v>0</v>
      </c>
      <c r="D57" s="75">
        <f t="shared" si="29"/>
        <v>0</v>
      </c>
      <c r="E57" s="75">
        <f t="shared" si="29"/>
        <v>0</v>
      </c>
      <c r="F57" s="75">
        <f t="shared" si="29"/>
        <v>0</v>
      </c>
      <c r="G57" s="75">
        <f t="shared" si="29"/>
        <v>0</v>
      </c>
      <c r="H57" s="75">
        <f t="shared" si="29"/>
        <v>0</v>
      </c>
      <c r="I57" s="75">
        <f t="shared" si="29"/>
        <v>0</v>
      </c>
      <c r="J57" s="75">
        <f t="shared" si="29"/>
        <v>0</v>
      </c>
      <c r="K57" s="75">
        <f t="shared" si="29"/>
        <v>0</v>
      </c>
      <c r="L57" s="75">
        <f t="shared" si="29"/>
        <v>0</v>
      </c>
      <c r="M57" s="75">
        <f t="shared" si="29"/>
        <v>0</v>
      </c>
      <c r="N57" s="75">
        <f t="shared" si="29"/>
        <v>0</v>
      </c>
      <c r="P57" s="157"/>
    </row>
    <row r="58" spans="1:20" ht="12.75" x14ac:dyDescent="0.2">
      <c r="B58" s="288" t="s">
        <v>53</v>
      </c>
      <c r="C58" s="75">
        <f t="shared" ref="C58:N58" si="30">+C30*C44</f>
        <v>5.3912100000000001</v>
      </c>
      <c r="D58" s="75">
        <f t="shared" si="30"/>
        <v>6.3757650000000003</v>
      </c>
      <c r="E58" s="75">
        <f t="shared" si="30"/>
        <v>5.9185499999999998</v>
      </c>
      <c r="F58" s="75">
        <f t="shared" si="30"/>
        <v>6.5443950000000006</v>
      </c>
      <c r="G58" s="75">
        <f t="shared" si="30"/>
        <v>5.7939749999999997</v>
      </c>
      <c r="H58" s="75">
        <f t="shared" si="30"/>
        <v>5.2834649999999996</v>
      </c>
      <c r="I58" s="75">
        <f t="shared" si="30"/>
        <v>6.6150150000000005</v>
      </c>
      <c r="J58" s="75">
        <f t="shared" si="30"/>
        <v>6.457275000000001</v>
      </c>
      <c r="K58" s="75">
        <f t="shared" si="30"/>
        <v>7.2057149999999996</v>
      </c>
      <c r="L58" s="75">
        <f t="shared" si="30"/>
        <v>4.9029749999999996</v>
      </c>
      <c r="M58" s="75">
        <f t="shared" si="30"/>
        <v>5.1625199999999998</v>
      </c>
      <c r="N58" s="75">
        <f t="shared" si="30"/>
        <v>4.7303850000000001</v>
      </c>
      <c r="P58" s="157"/>
    </row>
    <row r="59" spans="1:20" ht="12.75" x14ac:dyDescent="0.2">
      <c r="B59" s="288" t="s">
        <v>54</v>
      </c>
      <c r="C59" s="75">
        <f t="shared" ref="C59:N59" si="31">+C31*C45</f>
        <v>14.670626</v>
      </c>
      <c r="D59" s="75">
        <f t="shared" si="31"/>
        <v>17.349809</v>
      </c>
      <c r="E59" s="75">
        <f t="shared" si="31"/>
        <v>16.105630000000001</v>
      </c>
      <c r="F59" s="75">
        <f t="shared" si="31"/>
        <v>17.808686999999999</v>
      </c>
      <c r="G59" s="75">
        <f t="shared" si="31"/>
        <v>15.766634999999999</v>
      </c>
      <c r="H59" s="75">
        <f t="shared" si="31"/>
        <v>14.377428999999999</v>
      </c>
      <c r="I59" s="75">
        <f t="shared" si="31"/>
        <v>18.000859000000002</v>
      </c>
      <c r="J59" s="75">
        <f t="shared" si="31"/>
        <v>17.571615000000001</v>
      </c>
      <c r="K59" s="75">
        <f t="shared" si="31"/>
        <v>19.608279</v>
      </c>
      <c r="L59" s="75">
        <f t="shared" si="31"/>
        <v>13.342034999999999</v>
      </c>
      <c r="M59" s="75">
        <f t="shared" si="31"/>
        <v>14.048312000000001</v>
      </c>
      <c r="N59" s="75">
        <f t="shared" si="31"/>
        <v>12.872381000000001</v>
      </c>
      <c r="P59" s="157"/>
    </row>
    <row r="60" spans="1:20" ht="12.75" x14ac:dyDescent="0.2">
      <c r="B60" s="288" t="s">
        <v>55</v>
      </c>
      <c r="C60" s="96">
        <f t="shared" ref="C60:N60" si="32">+C32*C46</f>
        <v>2.4505499999999998</v>
      </c>
      <c r="D60" s="96">
        <f t="shared" si="32"/>
        <v>2.898075</v>
      </c>
      <c r="E60" s="96">
        <f t="shared" si="32"/>
        <v>2.6902499999999998</v>
      </c>
      <c r="F60" s="96">
        <f t="shared" si="32"/>
        <v>2.9747249999999998</v>
      </c>
      <c r="G60" s="96">
        <f t="shared" si="32"/>
        <v>2.6336249999999999</v>
      </c>
      <c r="H60" s="96">
        <f t="shared" si="32"/>
        <v>2.4015749999999998</v>
      </c>
      <c r="I60" s="96">
        <f t="shared" si="32"/>
        <v>3.0068250000000001</v>
      </c>
      <c r="J60" s="96">
        <f t="shared" si="32"/>
        <v>2.9351250000000002</v>
      </c>
      <c r="K60" s="96">
        <f t="shared" si="32"/>
        <v>3.2753249999999996</v>
      </c>
      <c r="L60" s="96">
        <f t="shared" si="32"/>
        <v>2.2286249999999996</v>
      </c>
      <c r="M60" s="96">
        <f t="shared" si="32"/>
        <v>2.3466</v>
      </c>
      <c r="N60" s="96">
        <f t="shared" si="32"/>
        <v>2.1501749999999999</v>
      </c>
      <c r="P60" s="157"/>
    </row>
    <row r="61" spans="1:20" ht="12.75" x14ac:dyDescent="0.2">
      <c r="B61" s="288" t="s">
        <v>56</v>
      </c>
      <c r="C61" s="75">
        <f t="shared" ref="C61:N61" si="33">+C33*C47</f>
        <v>0</v>
      </c>
      <c r="D61" s="75">
        <f t="shared" si="33"/>
        <v>0</v>
      </c>
      <c r="E61" s="75">
        <f t="shared" si="33"/>
        <v>0</v>
      </c>
      <c r="F61" s="75">
        <f t="shared" si="33"/>
        <v>0</v>
      </c>
      <c r="G61" s="75">
        <f t="shared" si="33"/>
        <v>0</v>
      </c>
      <c r="H61" s="75">
        <f t="shared" si="33"/>
        <v>0</v>
      </c>
      <c r="I61" s="75">
        <f t="shared" si="33"/>
        <v>0</v>
      </c>
      <c r="J61" s="75">
        <f t="shared" si="33"/>
        <v>0</v>
      </c>
      <c r="K61" s="75">
        <f t="shared" si="33"/>
        <v>0</v>
      </c>
      <c r="L61" s="75">
        <f t="shared" si="33"/>
        <v>0</v>
      </c>
      <c r="M61" s="75">
        <f t="shared" si="33"/>
        <v>0</v>
      </c>
      <c r="N61" s="75">
        <f t="shared" si="33"/>
        <v>0</v>
      </c>
      <c r="P61" s="157"/>
    </row>
    <row r="62" spans="1:20" ht="12.75" x14ac:dyDescent="0.2">
      <c r="B62" s="288" t="s">
        <v>49</v>
      </c>
      <c r="C62" s="75">
        <f t="shared" ref="C62:N62" si="34">+C34*C48</f>
        <v>57.767632000000006</v>
      </c>
      <c r="D62" s="75">
        <f t="shared" si="34"/>
        <v>68.317288000000005</v>
      </c>
      <c r="E62" s="75">
        <f t="shared" si="34"/>
        <v>63.41816</v>
      </c>
      <c r="F62" s="75">
        <f t="shared" si="34"/>
        <v>70.124184</v>
      </c>
      <c r="G62" s="75">
        <f t="shared" si="34"/>
        <v>62.083320000000001</v>
      </c>
      <c r="H62" s="75">
        <f t="shared" si="34"/>
        <v>56.613128000000003</v>
      </c>
      <c r="I62" s="75">
        <f t="shared" si="34"/>
        <v>70.880888000000013</v>
      </c>
      <c r="J62" s="75">
        <f t="shared" si="34"/>
        <v>69.190680000000015</v>
      </c>
      <c r="K62" s="75">
        <f t="shared" si="34"/>
        <v>77.210328000000004</v>
      </c>
      <c r="L62" s="75">
        <f t="shared" si="34"/>
        <v>52.536119999999997</v>
      </c>
      <c r="M62" s="75">
        <f t="shared" si="34"/>
        <v>55.317184000000005</v>
      </c>
      <c r="N62" s="75">
        <f t="shared" si="34"/>
        <v>50.686792000000004</v>
      </c>
      <c r="Q62" s="316"/>
      <c r="R62" s="313"/>
      <c r="S62" s="158"/>
      <c r="T62" s="158"/>
    </row>
    <row r="63" spans="1:20" ht="12.75" x14ac:dyDescent="0.2">
      <c r="B63" s="288" t="s">
        <v>57</v>
      </c>
      <c r="C63" s="75">
        <f t="shared" ref="C63:N63" si="35">+C35*C49</f>
        <v>0</v>
      </c>
      <c r="D63" s="75">
        <f t="shared" si="35"/>
        <v>0</v>
      </c>
      <c r="E63" s="75">
        <f t="shared" si="35"/>
        <v>0</v>
      </c>
      <c r="F63" s="75">
        <f t="shared" si="35"/>
        <v>0</v>
      </c>
      <c r="G63" s="75">
        <f t="shared" si="35"/>
        <v>0</v>
      </c>
      <c r="H63" s="75">
        <f t="shared" si="35"/>
        <v>0</v>
      </c>
      <c r="I63" s="75">
        <f t="shared" si="35"/>
        <v>0</v>
      </c>
      <c r="J63" s="75">
        <f t="shared" si="35"/>
        <v>0</v>
      </c>
      <c r="K63" s="75">
        <f t="shared" si="35"/>
        <v>0</v>
      </c>
      <c r="L63" s="75">
        <f t="shared" si="35"/>
        <v>0</v>
      </c>
      <c r="M63" s="75">
        <f t="shared" si="35"/>
        <v>0</v>
      </c>
      <c r="N63" s="75">
        <f t="shared" si="35"/>
        <v>0</v>
      </c>
      <c r="Q63" s="316"/>
      <c r="R63" s="313"/>
      <c r="S63" s="158"/>
      <c r="T63" s="158"/>
    </row>
    <row r="64" spans="1:20" ht="12.75" x14ac:dyDescent="0.2">
      <c r="B64" s="288" t="s">
        <v>58</v>
      </c>
      <c r="C64" s="75">
        <f t="shared" ref="C64:N64" si="36">+C36*C50</f>
        <v>19.375682000000044</v>
      </c>
      <c r="D64" s="75">
        <f t="shared" si="36"/>
        <v>22.91411300000005</v>
      </c>
      <c r="E64" s="75">
        <f t="shared" si="36"/>
        <v>21.270910000000047</v>
      </c>
      <c r="F64" s="75">
        <f t="shared" si="36"/>
        <v>23.520159000000053</v>
      </c>
      <c r="G64" s="75">
        <f t="shared" si="36"/>
        <v>20.823195000000045</v>
      </c>
      <c r="H64" s="75">
        <f t="shared" si="36"/>
        <v>18.988453000000039</v>
      </c>
      <c r="I64" s="75">
        <f t="shared" si="36"/>
        <v>23.773963000000055</v>
      </c>
      <c r="J64" s="75">
        <f t="shared" si="36"/>
        <v>23.207055000000054</v>
      </c>
      <c r="K64" s="75">
        <f t="shared" si="36"/>
        <v>25.896903000000055</v>
      </c>
      <c r="L64" s="75">
        <f t="shared" si="36"/>
        <v>17.620995000000036</v>
      </c>
      <c r="M64" s="75">
        <f t="shared" si="36"/>
        <v>18.553784000000039</v>
      </c>
      <c r="N64" s="75">
        <f t="shared" si="36"/>
        <v>17.000717000000037</v>
      </c>
      <c r="Q64" s="316"/>
      <c r="R64" s="313"/>
      <c r="S64" s="158"/>
      <c r="T64" s="158"/>
    </row>
    <row r="65" spans="1:21" ht="12.75" x14ac:dyDescent="0.2">
      <c r="B65" s="288" t="s">
        <v>59</v>
      </c>
      <c r="C65" s="90">
        <f t="shared" ref="C65:N65" si="37">+C7-SUM(C55:C64)</f>
        <v>105.14493199999998</v>
      </c>
      <c r="D65" s="90">
        <f t="shared" si="37"/>
        <v>124.34673799999996</v>
      </c>
      <c r="E65" s="90">
        <f t="shared" si="37"/>
        <v>115.42965999999996</v>
      </c>
      <c r="F65" s="90">
        <f t="shared" si="37"/>
        <v>127.63553399999995</v>
      </c>
      <c r="G65" s="90">
        <f t="shared" si="37"/>
        <v>113.00006999999994</v>
      </c>
      <c r="H65" s="90">
        <f t="shared" si="37"/>
        <v>103.04357799999991</v>
      </c>
      <c r="I65" s="90">
        <f t="shared" si="37"/>
        <v>129.01283799999999</v>
      </c>
      <c r="J65" s="90">
        <f t="shared" si="37"/>
        <v>125.93642999999992</v>
      </c>
      <c r="K65" s="90">
        <f t="shared" si="37"/>
        <v>140.53327799999994</v>
      </c>
      <c r="L65" s="90">
        <f t="shared" si="37"/>
        <v>95.622869999999921</v>
      </c>
      <c r="M65" s="90">
        <f t="shared" si="37"/>
        <v>100.68478399999995</v>
      </c>
      <c r="N65" s="90">
        <f t="shared" si="37"/>
        <v>148.16139199999995</v>
      </c>
      <c r="Q65" s="316"/>
      <c r="R65" s="313"/>
      <c r="S65" s="158"/>
      <c r="T65" s="158"/>
    </row>
    <row r="66" spans="1:21" ht="12.75" x14ac:dyDescent="0.2">
      <c r="C66" s="75">
        <f t="shared" ref="C66:N66" si="38">SUM(C55:C65)</f>
        <v>326.74</v>
      </c>
      <c r="D66" s="75">
        <f t="shared" si="38"/>
        <v>386.41</v>
      </c>
      <c r="E66" s="75">
        <f t="shared" si="38"/>
        <v>358.7</v>
      </c>
      <c r="F66" s="75">
        <f t="shared" si="38"/>
        <v>396.63</v>
      </c>
      <c r="G66" s="75">
        <f t="shared" si="38"/>
        <v>351.15</v>
      </c>
      <c r="H66" s="75">
        <f t="shared" si="38"/>
        <v>320.20999999999998</v>
      </c>
      <c r="I66" s="75">
        <f t="shared" si="38"/>
        <v>400.91</v>
      </c>
      <c r="J66" s="75">
        <f t="shared" si="38"/>
        <v>391.35</v>
      </c>
      <c r="K66" s="75">
        <f t="shared" si="38"/>
        <v>436.71</v>
      </c>
      <c r="L66" s="75">
        <f t="shared" si="38"/>
        <v>297.14999999999998</v>
      </c>
      <c r="M66" s="75">
        <f t="shared" si="38"/>
        <v>312.88</v>
      </c>
      <c r="N66" s="75">
        <f t="shared" si="38"/>
        <v>286.69</v>
      </c>
      <c r="Q66" s="316"/>
      <c r="R66" s="313"/>
      <c r="S66" s="158"/>
      <c r="T66" s="158"/>
    </row>
    <row r="67" spans="1:21" ht="8.1" customHeight="1" x14ac:dyDescent="0.2">
      <c r="Q67" s="316"/>
      <c r="R67" s="313"/>
      <c r="S67" s="158"/>
      <c r="T67" s="158"/>
    </row>
    <row r="68" spans="1:21" ht="12.75" x14ac:dyDescent="0.2">
      <c r="A68" s="318" t="s">
        <v>63</v>
      </c>
      <c r="Q68" s="316"/>
      <c r="R68" s="313"/>
      <c r="S68" s="158"/>
      <c r="T68" s="158"/>
    </row>
    <row r="69" spans="1:21" ht="12.75" x14ac:dyDescent="0.2">
      <c r="B69" s="288" t="s">
        <v>24</v>
      </c>
      <c r="C69" s="341">
        <v>65.3</v>
      </c>
      <c r="D69" s="341">
        <v>85.06</v>
      </c>
      <c r="E69" s="341">
        <v>98.56</v>
      </c>
      <c r="F69" s="341">
        <v>81.63</v>
      </c>
      <c r="G69" s="342">
        <v>63.02</v>
      </c>
      <c r="H69" s="342">
        <v>60.33</v>
      </c>
      <c r="I69" s="341">
        <v>65.930000000000007</v>
      </c>
      <c r="J69" s="341">
        <v>63.69</v>
      </c>
      <c r="K69" s="341">
        <v>39.799999999999997</v>
      </c>
      <c r="L69" s="340">
        <v>-18.13</v>
      </c>
      <c r="M69" s="340">
        <v>-16.23</v>
      </c>
      <c r="N69" s="341">
        <v>0</v>
      </c>
      <c r="Q69" s="316"/>
      <c r="R69" s="313"/>
      <c r="S69" s="158"/>
      <c r="T69" s="158"/>
      <c r="U69" s="304"/>
    </row>
    <row r="70" spans="1:21" ht="12.75" x14ac:dyDescent="0.2">
      <c r="B70" s="288" t="s">
        <v>28</v>
      </c>
      <c r="C70" s="341">
        <v>132.68</v>
      </c>
      <c r="D70" s="341">
        <v>159.52000000000001</v>
      </c>
      <c r="E70" s="341">
        <v>163.29</v>
      </c>
      <c r="F70" s="341">
        <v>145.72999999999999</v>
      </c>
      <c r="G70" s="342">
        <v>110.68</v>
      </c>
      <c r="H70" s="342">
        <v>81.77</v>
      </c>
      <c r="I70" s="341">
        <v>114.18</v>
      </c>
      <c r="J70" s="341">
        <v>107.57</v>
      </c>
      <c r="K70" s="341">
        <v>105.09</v>
      </c>
      <c r="L70" s="341">
        <v>62.76</v>
      </c>
      <c r="M70" s="341">
        <v>56.69</v>
      </c>
      <c r="N70" s="341">
        <v>57.61</v>
      </c>
      <c r="Q70" s="304"/>
      <c r="R70" s="313"/>
      <c r="S70" s="313"/>
      <c r="T70" s="158"/>
      <c r="U70" s="158"/>
    </row>
    <row r="71" spans="1:21" ht="12.75" x14ac:dyDescent="0.2">
      <c r="B71" s="288" t="s">
        <v>52</v>
      </c>
      <c r="C71" s="341">
        <v>0</v>
      </c>
      <c r="D71" s="341"/>
      <c r="E71" s="341"/>
      <c r="F71" s="341"/>
      <c r="G71" s="342"/>
      <c r="H71" s="342"/>
      <c r="I71" s="341"/>
      <c r="J71" s="341"/>
      <c r="K71" s="341"/>
      <c r="L71" s="341"/>
      <c r="M71" s="341"/>
      <c r="N71" s="341"/>
      <c r="Q71" s="304"/>
      <c r="R71" s="313"/>
      <c r="S71" s="313"/>
      <c r="T71" s="158"/>
      <c r="U71" s="158"/>
    </row>
    <row r="72" spans="1:21" ht="12.75" x14ac:dyDescent="0.2">
      <c r="B72" s="288" t="s">
        <v>53</v>
      </c>
      <c r="C72" s="341">
        <v>71.989999999999995</v>
      </c>
      <c r="D72" s="341">
        <v>69.08</v>
      </c>
      <c r="E72" s="341">
        <v>67.63</v>
      </c>
      <c r="F72" s="341">
        <v>78.11</v>
      </c>
      <c r="G72" s="342">
        <v>86.53</v>
      </c>
      <c r="H72" s="342">
        <v>76.06</v>
      </c>
      <c r="I72" s="341">
        <v>78.08</v>
      </c>
      <c r="J72" s="341">
        <v>88.61</v>
      </c>
      <c r="K72" s="341">
        <v>102.96</v>
      </c>
      <c r="L72" s="341">
        <v>92.72</v>
      </c>
      <c r="M72" s="341">
        <v>106.7</v>
      </c>
      <c r="N72" s="341">
        <v>109.51</v>
      </c>
      <c r="Q72" s="304"/>
      <c r="R72" s="313"/>
      <c r="T72" s="158"/>
      <c r="U72" s="158"/>
    </row>
    <row r="73" spans="1:21" ht="12.75" x14ac:dyDescent="0.2">
      <c r="B73" s="288" t="s">
        <v>54</v>
      </c>
      <c r="C73" s="341">
        <v>92.51</v>
      </c>
      <c r="D73" s="341">
        <v>70.599999999999994</v>
      </c>
      <c r="E73" s="341">
        <v>62.55</v>
      </c>
      <c r="F73" s="341">
        <v>83.03</v>
      </c>
      <c r="G73" s="342">
        <v>72.099999999999994</v>
      </c>
      <c r="H73" s="342">
        <v>48.29</v>
      </c>
      <c r="I73" s="341">
        <v>50.05</v>
      </c>
      <c r="J73" s="341">
        <v>51.67</v>
      </c>
      <c r="K73" s="341">
        <v>53.44</v>
      </c>
      <c r="L73" s="341">
        <v>85.33</v>
      </c>
      <c r="M73" s="341">
        <v>105.24</v>
      </c>
      <c r="N73" s="341">
        <v>107.91</v>
      </c>
      <c r="Q73" s="313"/>
      <c r="R73" s="313"/>
      <c r="T73" s="158"/>
      <c r="U73" s="158"/>
    </row>
    <row r="74" spans="1:21" ht="12.75" x14ac:dyDescent="0.2">
      <c r="B74" s="288" t="s">
        <v>55</v>
      </c>
      <c r="C74" s="341">
        <v>905.35</v>
      </c>
      <c r="D74" s="341">
        <v>894.34</v>
      </c>
      <c r="E74" s="341">
        <v>871.1</v>
      </c>
      <c r="F74" s="341">
        <v>905.36</v>
      </c>
      <c r="G74" s="342">
        <v>953.11</v>
      </c>
      <c r="H74" s="342">
        <v>980.71</v>
      </c>
      <c r="I74" s="341">
        <v>971.66</v>
      </c>
      <c r="J74" s="341">
        <v>973.36</v>
      </c>
      <c r="K74" s="341">
        <v>1013.02</v>
      </c>
      <c r="L74" s="341">
        <v>988.19</v>
      </c>
      <c r="M74" s="341">
        <v>977.91</v>
      </c>
      <c r="N74" s="341">
        <v>989.87</v>
      </c>
      <c r="R74" s="316"/>
      <c r="S74" s="313"/>
      <c r="T74" s="158"/>
      <c r="U74" s="158"/>
    </row>
    <row r="75" spans="1:21" ht="12.75" x14ac:dyDescent="0.2">
      <c r="B75" s="288" t="s">
        <v>56</v>
      </c>
      <c r="C75" s="341">
        <v>0</v>
      </c>
      <c r="D75" s="341"/>
      <c r="E75" s="341"/>
      <c r="F75" s="341"/>
      <c r="G75" s="342"/>
      <c r="H75" s="342"/>
      <c r="I75" s="341"/>
      <c r="J75" s="341"/>
      <c r="K75" s="341"/>
      <c r="L75" s="341"/>
      <c r="M75" s="341"/>
      <c r="N75" s="341"/>
      <c r="R75" s="316"/>
      <c r="S75" s="313"/>
      <c r="T75" s="158"/>
      <c r="U75" s="158"/>
    </row>
    <row r="76" spans="1:21" ht="12.75" x14ac:dyDescent="0.2">
      <c r="B76" s="288" t="s">
        <v>49</v>
      </c>
      <c r="C76" s="341">
        <v>-15.91</v>
      </c>
      <c r="D76" s="341">
        <v>-6.4</v>
      </c>
      <c r="E76" s="341">
        <v>-6.61</v>
      </c>
      <c r="F76" s="341">
        <v>-4.34</v>
      </c>
      <c r="G76" s="342">
        <v>-5.61</v>
      </c>
      <c r="H76" s="342">
        <v>-8.7799999999999994</v>
      </c>
      <c r="I76" s="341">
        <v>-2.5099999999999998</v>
      </c>
      <c r="J76" s="341">
        <v>-9.4600000000000009</v>
      </c>
      <c r="K76" s="341">
        <v>-9.98</v>
      </c>
      <c r="L76" s="341">
        <v>-8.01</v>
      </c>
      <c r="M76" s="341">
        <v>-9</v>
      </c>
      <c r="N76" s="341">
        <v>-10.23</v>
      </c>
      <c r="R76" s="316"/>
      <c r="S76" s="313"/>
      <c r="T76" s="158"/>
      <c r="U76" s="158"/>
    </row>
    <row r="77" spans="1:21" ht="12.75" x14ac:dyDescent="0.2">
      <c r="B77" s="288" t="s">
        <v>57</v>
      </c>
      <c r="C77" s="340"/>
      <c r="D77" s="340"/>
      <c r="E77" s="340"/>
      <c r="F77" s="340"/>
      <c r="G77" s="343"/>
      <c r="H77" s="343"/>
      <c r="I77" s="340"/>
      <c r="J77" s="340"/>
      <c r="K77" s="340"/>
      <c r="L77" s="340"/>
      <c r="M77" s="340"/>
      <c r="N77" s="340"/>
      <c r="R77" s="316"/>
      <c r="S77" s="158"/>
      <c r="T77" s="158"/>
      <c r="U77" s="158"/>
    </row>
    <row r="78" spans="1:21" ht="12.75" x14ac:dyDescent="0.2">
      <c r="B78" s="288" t="s">
        <v>58</v>
      </c>
      <c r="C78" s="340">
        <v>-134.59</v>
      </c>
      <c r="D78" s="340">
        <v>-134.59</v>
      </c>
      <c r="E78" s="340">
        <v>-134.59</v>
      </c>
      <c r="F78" s="340">
        <v>-134.59</v>
      </c>
      <c r="G78" s="343">
        <v>-134.59</v>
      </c>
      <c r="H78" s="343">
        <v>-134.59</v>
      </c>
      <c r="I78" s="340">
        <v>-134.59</v>
      </c>
      <c r="J78" s="340">
        <v>-134.59</v>
      </c>
      <c r="K78" s="340">
        <v>-134.59</v>
      </c>
      <c r="L78" s="340">
        <v>-134.59</v>
      </c>
      <c r="M78" s="340">
        <v>-134.59</v>
      </c>
      <c r="N78" s="340">
        <v>-134.59</v>
      </c>
      <c r="R78" s="316"/>
      <c r="S78" s="313"/>
    </row>
    <row r="79" spans="1:21" ht="12.75" x14ac:dyDescent="0.2">
      <c r="B79" s="288" t="s">
        <v>59</v>
      </c>
      <c r="C79" s="341">
        <v>60.14</v>
      </c>
      <c r="D79" s="341">
        <v>78.88</v>
      </c>
      <c r="E79" s="341">
        <v>93.44</v>
      </c>
      <c r="F79" s="341">
        <v>77.209999999999994</v>
      </c>
      <c r="G79" s="342">
        <v>57.85</v>
      </c>
      <c r="H79" s="342">
        <v>55.22</v>
      </c>
      <c r="I79" s="341">
        <v>52.85</v>
      </c>
      <c r="J79" s="341">
        <v>49.88</v>
      </c>
      <c r="K79" s="341">
        <v>40.17</v>
      </c>
      <c r="L79" s="340">
        <v>-21.81</v>
      </c>
      <c r="M79" s="340">
        <v>-21.39</v>
      </c>
      <c r="N79" s="340">
        <v>-20.59</v>
      </c>
      <c r="O79" s="315">
        <f>SUM(C69:N79)</f>
        <v>14011.14</v>
      </c>
      <c r="R79" s="316"/>
    </row>
    <row r="80" spans="1:21" ht="8.1" customHeight="1" x14ac:dyDescent="0.2">
      <c r="R80" s="316"/>
    </row>
    <row r="81" spans="1:19" ht="12.75" x14ac:dyDescent="0.2">
      <c r="A81" s="312" t="s">
        <v>64</v>
      </c>
      <c r="R81" s="316"/>
    </row>
    <row r="82" spans="1:19" x14ac:dyDescent="0.2">
      <c r="B82" s="288" t="s">
        <v>24</v>
      </c>
      <c r="C82" s="98">
        <f t="shared" ref="C82:N82" si="39">+C69*C55</f>
        <v>4160.5437899999997</v>
      </c>
      <c r="D82" s="75">
        <f t="shared" si="39"/>
        <v>6409.2667470000006</v>
      </c>
      <c r="E82" s="75">
        <f t="shared" si="39"/>
        <v>6893.9270400000005</v>
      </c>
      <c r="F82" s="75">
        <f t="shared" si="39"/>
        <v>6313.4968454999998</v>
      </c>
      <c r="G82" s="75">
        <f t="shared" si="39"/>
        <v>4315.2472349999998</v>
      </c>
      <c r="H82" s="75">
        <f t="shared" si="39"/>
        <v>3767.0625135</v>
      </c>
      <c r="I82" s="75">
        <f t="shared" si="39"/>
        <v>5154.2392785000011</v>
      </c>
      <c r="J82" s="75">
        <f t="shared" si="39"/>
        <v>4860.3908925000005</v>
      </c>
      <c r="K82" s="75">
        <f t="shared" si="39"/>
        <v>3389.3063099999999</v>
      </c>
      <c r="L82" s="75">
        <f t="shared" si="39"/>
        <v>-1050.5292525</v>
      </c>
      <c r="M82" s="75">
        <f t="shared" si="39"/>
        <v>-990.21826800000008</v>
      </c>
      <c r="N82" s="75">
        <f t="shared" si="39"/>
        <v>0</v>
      </c>
      <c r="P82" s="313"/>
      <c r="Q82" s="313"/>
      <c r="R82" s="313"/>
      <c r="S82" s="313"/>
    </row>
    <row r="83" spans="1:19" ht="12.75" x14ac:dyDescent="0.2">
      <c r="B83" s="288" t="s">
        <v>28</v>
      </c>
      <c r="C83" s="98">
        <f t="shared" ref="C83:C92" si="40">+C70*C56</f>
        <v>7725.30202224</v>
      </c>
      <c r="D83" s="75">
        <f>D70*D56</f>
        <v>10984.269954240001</v>
      </c>
      <c r="E83" s="75">
        <f t="shared" ref="E83:N83" si="41">+E70*E56</f>
        <v>10437.552318599999</v>
      </c>
      <c r="F83" s="75">
        <f t="shared" si="41"/>
        <v>10300.11858018</v>
      </c>
      <c r="G83" s="75">
        <f t="shared" si="41"/>
        <v>6925.7932523999998</v>
      </c>
      <c r="H83" s="75">
        <f t="shared" si="41"/>
        <v>4665.9124769399996</v>
      </c>
      <c r="I83" s="75">
        <f t="shared" si="41"/>
        <v>8157.2660571600018</v>
      </c>
      <c r="J83" s="75">
        <f t="shared" si="41"/>
        <v>7501.777974900001</v>
      </c>
      <c r="K83" s="75">
        <f t="shared" si="41"/>
        <v>8178.2847649799996</v>
      </c>
      <c r="L83" s="75">
        <f t="shared" si="41"/>
        <v>3323.2756787999997</v>
      </c>
      <c r="M83" s="75">
        <f t="shared" si="41"/>
        <v>3160.7631950399996</v>
      </c>
      <c r="N83" s="75">
        <f t="shared" si="41"/>
        <v>2943.1887823799998</v>
      </c>
      <c r="P83" s="313"/>
      <c r="Q83" s="304"/>
      <c r="R83" s="158"/>
      <c r="S83" s="313"/>
    </row>
    <row r="84" spans="1:19" ht="12.75" x14ac:dyDescent="0.2">
      <c r="B84" s="288" t="s">
        <v>52</v>
      </c>
      <c r="C84" s="98">
        <f t="shared" si="40"/>
        <v>0</v>
      </c>
      <c r="D84" s="75">
        <f t="shared" ref="D84:H92" si="42">+D71*D57</f>
        <v>0</v>
      </c>
      <c r="E84" s="75">
        <f t="shared" si="42"/>
        <v>0</v>
      </c>
      <c r="F84" s="75">
        <f t="shared" si="42"/>
        <v>0</v>
      </c>
      <c r="G84" s="75">
        <f t="shared" si="42"/>
        <v>0</v>
      </c>
      <c r="H84" s="75">
        <f t="shared" si="42"/>
        <v>0</v>
      </c>
      <c r="I84" s="75"/>
      <c r="J84" s="75">
        <f t="shared" ref="J84:N92" si="43">+J71*J57</f>
        <v>0</v>
      </c>
      <c r="K84" s="75">
        <f t="shared" si="43"/>
        <v>0</v>
      </c>
      <c r="L84" s="75">
        <f t="shared" si="43"/>
        <v>0</v>
      </c>
      <c r="M84" s="75">
        <f t="shared" si="43"/>
        <v>0</v>
      </c>
      <c r="N84" s="75">
        <f t="shared" si="43"/>
        <v>0</v>
      </c>
      <c r="P84" s="313"/>
      <c r="Q84" s="304"/>
      <c r="R84" s="158"/>
      <c r="S84" s="313"/>
    </row>
    <row r="85" spans="1:19" ht="12.75" x14ac:dyDescent="0.2">
      <c r="B85" s="288" t="s">
        <v>53</v>
      </c>
      <c r="C85" s="98">
        <f t="shared" si="40"/>
        <v>388.11320789999996</v>
      </c>
      <c r="D85" s="75">
        <f t="shared" si="42"/>
        <v>440.43784620000002</v>
      </c>
      <c r="E85" s="75">
        <f t="shared" si="42"/>
        <v>400.27153649999997</v>
      </c>
      <c r="F85" s="75">
        <f t="shared" si="42"/>
        <v>511.18269345000004</v>
      </c>
      <c r="G85" s="75">
        <f t="shared" si="42"/>
        <v>501.35265674999999</v>
      </c>
      <c r="H85" s="75">
        <f t="shared" si="42"/>
        <v>401.86034789999997</v>
      </c>
      <c r="I85" s="75">
        <f>+I72*I58</f>
        <v>516.50037120000002</v>
      </c>
      <c r="J85" s="75">
        <f t="shared" si="43"/>
        <v>572.17913775000011</v>
      </c>
      <c r="K85" s="75">
        <f t="shared" si="43"/>
        <v>741.90041639999993</v>
      </c>
      <c r="L85" s="75">
        <f t="shared" si="43"/>
        <v>454.60384199999999</v>
      </c>
      <c r="M85" s="75">
        <f t="shared" si="43"/>
        <v>550.84088399999996</v>
      </c>
      <c r="N85" s="75">
        <f t="shared" si="43"/>
        <v>518.02446135000002</v>
      </c>
      <c r="P85" s="313"/>
      <c r="Q85" s="304"/>
      <c r="R85" s="158"/>
      <c r="S85" s="313"/>
    </row>
    <row r="86" spans="1:19" ht="12.75" x14ac:dyDescent="0.2">
      <c r="B86" s="288" t="s">
        <v>54</v>
      </c>
      <c r="C86" s="98">
        <f t="shared" si="40"/>
        <v>1357.17961126</v>
      </c>
      <c r="D86" s="75">
        <f t="shared" si="42"/>
        <v>1224.8965154</v>
      </c>
      <c r="E86" s="75">
        <f t="shared" si="42"/>
        <v>1007.4071565</v>
      </c>
      <c r="F86" s="75">
        <f t="shared" si="42"/>
        <v>1478.65528161</v>
      </c>
      <c r="G86" s="75">
        <f t="shared" si="42"/>
        <v>1136.7743834999999</v>
      </c>
      <c r="H86" s="75">
        <f t="shared" si="42"/>
        <v>694.28604640999993</v>
      </c>
      <c r="I86" s="75">
        <f>+I73*I59</f>
        <v>900.94299295000008</v>
      </c>
      <c r="J86" s="75">
        <f t="shared" si="43"/>
        <v>907.92534705000014</v>
      </c>
      <c r="K86" s="75">
        <f t="shared" si="43"/>
        <v>1047.8664297599998</v>
      </c>
      <c r="L86" s="75">
        <f t="shared" si="43"/>
        <v>1138.4758465499999</v>
      </c>
      <c r="M86" s="75">
        <f t="shared" si="43"/>
        <v>1478.44435488</v>
      </c>
      <c r="N86" s="75">
        <f t="shared" si="43"/>
        <v>1389.0586337100001</v>
      </c>
      <c r="P86" s="313"/>
      <c r="Q86" s="304"/>
      <c r="R86" s="158"/>
      <c r="S86" s="313"/>
    </row>
    <row r="87" spans="1:19" ht="12.75" x14ac:dyDescent="0.2">
      <c r="B87" s="288" t="s">
        <v>55</v>
      </c>
      <c r="C87" s="98">
        <f t="shared" si="40"/>
        <v>2218.6054424999998</v>
      </c>
      <c r="D87" s="75">
        <f t="shared" si="42"/>
        <v>2591.8643955000002</v>
      </c>
      <c r="E87" s="75">
        <f t="shared" si="42"/>
        <v>2343.4767750000001</v>
      </c>
      <c r="F87" s="75">
        <f t="shared" si="42"/>
        <v>2693.1970259999998</v>
      </c>
      <c r="G87" s="75">
        <f t="shared" si="42"/>
        <v>2510.13432375</v>
      </c>
      <c r="H87" s="75">
        <f t="shared" si="42"/>
        <v>2355.2486182499997</v>
      </c>
      <c r="I87" s="75">
        <f>+I74*I60</f>
        <v>2921.6115795000001</v>
      </c>
      <c r="J87" s="75">
        <f t="shared" si="43"/>
        <v>2856.9332700000004</v>
      </c>
      <c r="K87" s="75">
        <f t="shared" si="43"/>
        <v>3317.9697314999994</v>
      </c>
      <c r="L87" s="75">
        <f t="shared" si="43"/>
        <v>2202.3049387499996</v>
      </c>
      <c r="M87" s="75">
        <f t="shared" si="43"/>
        <v>2294.763606</v>
      </c>
      <c r="N87" s="75">
        <f t="shared" si="43"/>
        <v>2128.3937272499998</v>
      </c>
      <c r="P87" s="313"/>
      <c r="Q87" s="304"/>
      <c r="R87" s="158"/>
      <c r="S87" s="313"/>
    </row>
    <row r="88" spans="1:19" ht="12.75" x14ac:dyDescent="0.2">
      <c r="B88" s="288" t="s">
        <v>56</v>
      </c>
      <c r="C88" s="98">
        <f t="shared" si="40"/>
        <v>0</v>
      </c>
      <c r="D88" s="75">
        <f t="shared" si="42"/>
        <v>0</v>
      </c>
      <c r="E88" s="75">
        <f t="shared" si="42"/>
        <v>0</v>
      </c>
      <c r="F88" s="75">
        <f t="shared" si="42"/>
        <v>0</v>
      </c>
      <c r="G88" s="75">
        <f t="shared" si="42"/>
        <v>0</v>
      </c>
      <c r="H88" s="75">
        <f t="shared" si="42"/>
        <v>0</v>
      </c>
      <c r="I88" s="75"/>
      <c r="J88" s="75">
        <f t="shared" si="43"/>
        <v>0</v>
      </c>
      <c r="K88" s="75">
        <f t="shared" si="43"/>
        <v>0</v>
      </c>
      <c r="L88" s="75">
        <f t="shared" si="43"/>
        <v>0</v>
      </c>
      <c r="M88" s="75">
        <f t="shared" si="43"/>
        <v>0</v>
      </c>
      <c r="N88" s="75">
        <f t="shared" si="43"/>
        <v>0</v>
      </c>
      <c r="P88" s="313"/>
      <c r="Q88" s="304"/>
      <c r="R88" s="158"/>
      <c r="S88" s="313"/>
    </row>
    <row r="89" spans="1:19" ht="12.75" x14ac:dyDescent="0.2">
      <c r="B89" s="288" t="s">
        <v>49</v>
      </c>
      <c r="C89" s="98">
        <f t="shared" si="40"/>
        <v>-919.08302512000012</v>
      </c>
      <c r="D89" s="75">
        <f t="shared" si="42"/>
        <v>-437.23064320000003</v>
      </c>
      <c r="E89" s="75">
        <f t="shared" si="42"/>
        <v>-419.1940376</v>
      </c>
      <c r="F89" s="75">
        <f t="shared" si="42"/>
        <v>-304.33895855999998</v>
      </c>
      <c r="G89" s="75">
        <f t="shared" si="42"/>
        <v>-348.28742520000003</v>
      </c>
      <c r="H89" s="75">
        <f t="shared" si="42"/>
        <v>-497.06326383999999</v>
      </c>
      <c r="I89" s="75">
        <f>+I76*I62</f>
        <v>-177.91102888</v>
      </c>
      <c r="J89" s="75">
        <f t="shared" si="43"/>
        <v>-654.54383280000025</v>
      </c>
      <c r="K89" s="75">
        <f t="shared" si="43"/>
        <v>-770.55907344000002</v>
      </c>
      <c r="L89" s="75">
        <f t="shared" si="43"/>
        <v>-420.81432119999994</v>
      </c>
      <c r="M89" s="75">
        <f t="shared" si="43"/>
        <v>-497.85465600000003</v>
      </c>
      <c r="N89" s="75">
        <f t="shared" si="43"/>
        <v>-518.52588216000004</v>
      </c>
      <c r="P89" s="313"/>
      <c r="Q89" s="304"/>
      <c r="R89" s="158"/>
      <c r="S89" s="313"/>
    </row>
    <row r="90" spans="1:19" ht="12.75" x14ac:dyDescent="0.2">
      <c r="B90" s="288" t="s">
        <v>57</v>
      </c>
      <c r="C90" s="98">
        <f t="shared" si="40"/>
        <v>0</v>
      </c>
      <c r="D90" s="75">
        <f t="shared" si="42"/>
        <v>0</v>
      </c>
      <c r="E90" s="75">
        <f t="shared" si="42"/>
        <v>0</v>
      </c>
      <c r="F90" s="75">
        <f t="shared" si="42"/>
        <v>0</v>
      </c>
      <c r="G90" s="75">
        <f t="shared" si="42"/>
        <v>0</v>
      </c>
      <c r="H90" s="75">
        <f t="shared" si="42"/>
        <v>0</v>
      </c>
      <c r="I90" s="75">
        <f>+I77*I63</f>
        <v>0</v>
      </c>
      <c r="J90" s="75">
        <f t="shared" si="43"/>
        <v>0</v>
      </c>
      <c r="K90" s="75">
        <f t="shared" si="43"/>
        <v>0</v>
      </c>
      <c r="L90" s="75">
        <f t="shared" si="43"/>
        <v>0</v>
      </c>
      <c r="M90" s="75">
        <f t="shared" si="43"/>
        <v>0</v>
      </c>
      <c r="N90" s="75">
        <f t="shared" si="43"/>
        <v>0</v>
      </c>
      <c r="P90" s="313"/>
      <c r="Q90" s="304"/>
      <c r="R90" s="158"/>
      <c r="S90" s="313"/>
    </row>
    <row r="91" spans="1:19" x14ac:dyDescent="0.2">
      <c r="B91" s="288" t="s">
        <v>58</v>
      </c>
      <c r="C91" s="98">
        <f t="shared" si="40"/>
        <v>-2607.773040380006</v>
      </c>
      <c r="D91" s="75">
        <f t="shared" si="42"/>
        <v>-3084.010468670007</v>
      </c>
      <c r="E91" s="75">
        <f t="shared" si="42"/>
        <v>-2862.8517769000064</v>
      </c>
      <c r="F91" s="75">
        <f t="shared" si="42"/>
        <v>-3165.5781998100074</v>
      </c>
      <c r="G91" s="75">
        <f t="shared" si="42"/>
        <v>-2802.593815050006</v>
      </c>
      <c r="H91" s="75">
        <f t="shared" si="42"/>
        <v>-2555.6558892700054</v>
      </c>
      <c r="I91" s="75">
        <f>+I78*I64</f>
        <v>-3199.7376801700075</v>
      </c>
      <c r="J91" s="75">
        <f t="shared" si="43"/>
        <v>-3123.4375324500074</v>
      </c>
      <c r="K91" s="75">
        <f t="shared" si="43"/>
        <v>-3485.4641747700075</v>
      </c>
      <c r="L91" s="75">
        <f t="shared" si="43"/>
        <v>-2371.6097170500047</v>
      </c>
      <c r="M91" s="75">
        <f t="shared" si="43"/>
        <v>-2497.1537885600055</v>
      </c>
      <c r="N91" s="75">
        <f t="shared" si="43"/>
        <v>-2288.1265010300049</v>
      </c>
      <c r="P91" s="313"/>
      <c r="Q91" s="313"/>
      <c r="R91" s="313"/>
      <c r="S91" s="313"/>
    </row>
    <row r="92" spans="1:19" x14ac:dyDescent="0.2">
      <c r="B92" s="288" t="s">
        <v>59</v>
      </c>
      <c r="C92" s="99">
        <f t="shared" si="40"/>
        <v>6323.4162104799989</v>
      </c>
      <c r="D92" s="90">
        <f t="shared" si="42"/>
        <v>9808.4706934399965</v>
      </c>
      <c r="E92" s="90">
        <f t="shared" si="42"/>
        <v>10785.747430399995</v>
      </c>
      <c r="F92" s="90">
        <f t="shared" si="42"/>
        <v>9854.7395801399962</v>
      </c>
      <c r="G92" s="90">
        <f t="shared" si="42"/>
        <v>6537.0540494999968</v>
      </c>
      <c r="H92" s="90">
        <f t="shared" si="42"/>
        <v>5690.0663771599948</v>
      </c>
      <c r="I92" s="90">
        <f>+I79*I65</f>
        <v>6818.3284882999997</v>
      </c>
      <c r="J92" s="90">
        <f t="shared" si="43"/>
        <v>6281.7091283999962</v>
      </c>
      <c r="K92" s="90">
        <f t="shared" si="43"/>
        <v>5645.2217772599979</v>
      </c>
      <c r="L92" s="90">
        <f t="shared" si="43"/>
        <v>-2085.5347946999982</v>
      </c>
      <c r="M92" s="90">
        <f t="shared" si="43"/>
        <v>-2153.6475297599991</v>
      </c>
      <c r="N92" s="75">
        <f t="shared" si="43"/>
        <v>-3050.6430612799991</v>
      </c>
    </row>
    <row r="93" spans="1:19" x14ac:dyDescent="0.2">
      <c r="A93" s="312" t="s">
        <v>65</v>
      </c>
      <c r="B93" s="312"/>
      <c r="C93" s="187">
        <f t="shared" ref="C93:N93" si="44">SUM(C82:C92)</f>
        <v>18646.304218879992</v>
      </c>
      <c r="D93" s="188">
        <f t="shared" si="44"/>
        <v>27937.965039909992</v>
      </c>
      <c r="E93" s="188">
        <f t="shared" si="44"/>
        <v>28586.336442499993</v>
      </c>
      <c r="F93" s="188">
        <f t="shared" si="44"/>
        <v>27681.472848509991</v>
      </c>
      <c r="G93" s="188">
        <f t="shared" si="44"/>
        <v>18775.47466064999</v>
      </c>
      <c r="H93" s="188">
        <f t="shared" si="44"/>
        <v>14521.717227049987</v>
      </c>
      <c r="I93" s="188">
        <f t="shared" si="44"/>
        <v>21091.240058559997</v>
      </c>
      <c r="J93" s="188">
        <f t="shared" si="44"/>
        <v>19202.934385349992</v>
      </c>
      <c r="K93" s="188">
        <f t="shared" si="44"/>
        <v>18064.526181689991</v>
      </c>
      <c r="L93" s="188">
        <f t="shared" si="44"/>
        <v>1190.1722206499967</v>
      </c>
      <c r="M93" s="188">
        <f t="shared" si="44"/>
        <v>1345.9377975999942</v>
      </c>
      <c r="N93" s="189">
        <f t="shared" si="44"/>
        <v>1121.3701602199958</v>
      </c>
      <c r="O93" s="315">
        <f>SUM(C93:N93)/2</f>
        <v>99082.725620784957</v>
      </c>
    </row>
    <row r="94" spans="1:19" x14ac:dyDescent="0.2">
      <c r="A94" s="312" t="s">
        <v>66</v>
      </c>
      <c r="B94" s="312"/>
      <c r="C94" s="187">
        <f t="shared" ref="C94:N94" si="45">+C93/C66</f>
        <v>57.067711999999972</v>
      </c>
      <c r="D94" s="188">
        <f t="shared" si="45"/>
        <v>72.301350999999968</v>
      </c>
      <c r="E94" s="188">
        <f t="shared" si="45"/>
        <v>79.694274999999976</v>
      </c>
      <c r="F94" s="188">
        <f t="shared" si="45"/>
        <v>69.791676999999979</v>
      </c>
      <c r="G94" s="188">
        <f t="shared" si="45"/>
        <v>53.468530999999977</v>
      </c>
      <c r="H94" s="188">
        <f t="shared" si="45"/>
        <v>45.350604999999959</v>
      </c>
      <c r="I94" s="188">
        <f t="shared" si="45"/>
        <v>52.608415999999991</v>
      </c>
      <c r="J94" s="188">
        <f t="shared" si="45"/>
        <v>49.068440999999979</v>
      </c>
      <c r="K94" s="188">
        <f t="shared" si="45"/>
        <v>41.365038999999982</v>
      </c>
      <c r="L94" s="188">
        <f t="shared" si="45"/>
        <v>4.0052909999999891</v>
      </c>
      <c r="M94" s="188">
        <f t="shared" si="45"/>
        <v>4.3017699999999817</v>
      </c>
      <c r="N94" s="75">
        <f t="shared" si="45"/>
        <v>3.9114379999999853</v>
      </c>
    </row>
    <row r="95" spans="1:19" ht="8.1" customHeight="1" x14ac:dyDescent="0.2"/>
    <row r="96" spans="1:19" x14ac:dyDescent="0.2">
      <c r="A96" s="312" t="s">
        <v>82</v>
      </c>
      <c r="C96" s="315">
        <f t="shared" ref="C96:N96" si="46">C94*0.7</f>
        <v>39.947398399999976</v>
      </c>
      <c r="D96" s="315">
        <f t="shared" si="46"/>
        <v>50.610945699999974</v>
      </c>
      <c r="E96" s="315">
        <f t="shared" si="46"/>
        <v>55.785992499999978</v>
      </c>
      <c r="F96" s="315">
        <f t="shared" si="46"/>
        <v>48.854173899999985</v>
      </c>
      <c r="G96" s="315">
        <f t="shared" si="46"/>
        <v>37.427971699999979</v>
      </c>
      <c r="H96" s="315">
        <f t="shared" si="46"/>
        <v>31.745423499999969</v>
      </c>
      <c r="I96" s="315">
        <f t="shared" si="46"/>
        <v>36.825891199999994</v>
      </c>
      <c r="J96" s="315">
        <f t="shared" si="46"/>
        <v>34.347908699999984</v>
      </c>
      <c r="K96" s="315">
        <f t="shared" si="46"/>
        <v>28.955527299999986</v>
      </c>
      <c r="L96" s="315">
        <f t="shared" si="46"/>
        <v>2.8037036999999922</v>
      </c>
      <c r="M96" s="315">
        <f t="shared" si="46"/>
        <v>3.0112389999999869</v>
      </c>
      <c r="N96" s="315">
        <f t="shared" si="46"/>
        <v>2.7380065999999896</v>
      </c>
    </row>
    <row r="97" spans="1:10" x14ac:dyDescent="0.2">
      <c r="C97" s="102"/>
      <c r="D97" s="102"/>
      <c r="E97" s="102"/>
      <c r="F97" s="102"/>
      <c r="G97" s="102"/>
      <c r="H97" s="102"/>
      <c r="I97" s="102"/>
      <c r="J97" s="313"/>
    </row>
    <row r="98" spans="1:10" x14ac:dyDescent="0.2">
      <c r="A98" s="312"/>
      <c r="B98" s="312"/>
      <c r="C98" s="187"/>
      <c r="D98" s="187"/>
      <c r="E98" s="187">
        <v>27.49</v>
      </c>
      <c r="F98" s="187"/>
      <c r="G98" s="187"/>
      <c r="H98" s="187"/>
      <c r="I98" s="187"/>
      <c r="J98" s="314"/>
    </row>
    <row r="99" spans="1:10" ht="8.1" customHeight="1" x14ac:dyDescent="0.2">
      <c r="C99" s="313"/>
      <c r="D99" s="313"/>
      <c r="E99" s="313"/>
      <c r="F99" s="313"/>
      <c r="G99" s="313"/>
      <c r="H99" s="313"/>
      <c r="I99" s="313"/>
      <c r="J99" s="313"/>
    </row>
    <row r="100" spans="1:10" x14ac:dyDescent="0.2">
      <c r="A100" s="312"/>
      <c r="B100" s="312"/>
      <c r="C100" s="314"/>
      <c r="D100" s="314"/>
      <c r="E100" s="314"/>
      <c r="F100" s="314"/>
      <c r="G100" s="314"/>
      <c r="H100" s="314"/>
      <c r="I100" s="314"/>
      <c r="J100" s="314"/>
    </row>
    <row r="101" spans="1:10" ht="8.1" customHeight="1" x14ac:dyDescent="0.2">
      <c r="C101" s="313"/>
      <c r="D101" s="313"/>
      <c r="E101" s="313"/>
      <c r="F101" s="313"/>
      <c r="G101" s="313"/>
      <c r="H101" s="313"/>
      <c r="I101" s="313"/>
      <c r="J101" s="313"/>
    </row>
    <row r="102" spans="1:10" x14ac:dyDescent="0.2">
      <c r="A102" s="312"/>
      <c r="C102" s="102"/>
      <c r="D102" s="102"/>
      <c r="E102" s="102"/>
      <c r="F102" s="102"/>
      <c r="G102" s="102"/>
      <c r="H102" s="102"/>
      <c r="I102" s="102"/>
      <c r="J102" s="105"/>
    </row>
    <row r="105" spans="1:10" x14ac:dyDescent="0.2">
      <c r="B105" s="288" t="str">
        <f ca="1">CELL("filename")</f>
        <v>S:\District\~WUTC Files~\1. RSA\2017-2019 Plan Year\UTC Filing 12-2018\Revised Filing\Bellevue\[Revised TG-181020 fixed Staff comm CR RS adjust.xlsx]Staff Analysis</v>
      </c>
    </row>
  </sheetData>
  <pageMargins left="0.5" right="0.5" top="0.75" bottom="0.75" header="0.5" footer="0.5"/>
  <pageSetup scale="58" fitToWidth="0" orientation="portrait" r:id="rId1"/>
  <headerFooter alignWithMargins="0"/>
  <rowBreaks count="1" manualBreakCount="1">
    <brk id="53" max="1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A107"/>
  <sheetViews>
    <sheetView showGridLines="0" zoomScaleNormal="100" workbookViewId="0">
      <selection activeCell="M1" sqref="M1:P65536"/>
    </sheetView>
  </sheetViews>
  <sheetFormatPr defaultRowHeight="12.75" x14ac:dyDescent="0.2"/>
  <cols>
    <col min="1" max="1" width="23.570312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2" width="9.5703125" style="5" customWidth="1"/>
    <col min="13"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99</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144" t="str">
        <f>+F6</f>
        <v>Revenue</v>
      </c>
      <c r="P6" s="113"/>
    </row>
    <row r="7" spans="1:27" s="16" customFormat="1" ht="11.25" x14ac:dyDescent="0.2">
      <c r="A7" s="15" t="s">
        <v>5</v>
      </c>
      <c r="B7" s="12" t="s">
        <v>100</v>
      </c>
      <c r="C7" s="12"/>
      <c r="D7" s="12" t="s">
        <v>3</v>
      </c>
      <c r="E7" s="12"/>
      <c r="F7" s="12" t="s">
        <v>101</v>
      </c>
      <c r="G7" s="12"/>
      <c r="H7" s="12"/>
      <c r="I7" s="12"/>
      <c r="J7" s="12" t="s">
        <v>102</v>
      </c>
      <c r="K7" s="12"/>
      <c r="O7" s="144" t="str">
        <f>+F7</f>
        <v>per Yard</v>
      </c>
      <c r="P7" s="113"/>
    </row>
    <row r="8" spans="1:27" s="16" customFormat="1" ht="11.25" x14ac:dyDescent="0.2">
      <c r="A8" s="129">
        <f>'Multi_Family 2018'!$C$6</f>
        <v>42856</v>
      </c>
      <c r="B8" s="338">
        <v>1794</v>
      </c>
      <c r="C8" s="12"/>
      <c r="D8" s="349">
        <f>VLOOKUP(A8,'Value MF 2018'!$A$6:$O$17,15,)</f>
        <v>826.91114687999959</v>
      </c>
      <c r="E8" s="12"/>
      <c r="F8" s="16">
        <f>ROUND(D8/B8,2)</f>
        <v>0.46</v>
      </c>
      <c r="G8" s="12"/>
      <c r="H8" s="12"/>
      <c r="I8" s="12"/>
      <c r="J8" s="14">
        <f>+B8</f>
        <v>1794</v>
      </c>
      <c r="K8" s="13">
        <f>YEAR(A8)</f>
        <v>2017</v>
      </c>
      <c r="O8" s="145">
        <f>VLOOKUP(A8,'Value MF 2018'!$A$6:$O$17,13,FALSE)</f>
        <v>1653.8222937599992</v>
      </c>
      <c r="P8" s="113"/>
    </row>
    <row r="9" spans="1:27" s="16" customFormat="1" ht="11.25" x14ac:dyDescent="0.2">
      <c r="A9" s="17">
        <f>EOMONTH(A8,1)</f>
        <v>42916</v>
      </c>
      <c r="B9" s="337">
        <v>1794</v>
      </c>
      <c r="C9" s="20"/>
      <c r="D9" s="349">
        <f>VLOOKUP(A9,'Value MF 2018'!$A$6:$O$17,15,)</f>
        <v>1147.7839471249995</v>
      </c>
      <c r="E9" s="14"/>
      <c r="F9" s="16">
        <f>ROUND(D9/B9,2)</f>
        <v>0.64</v>
      </c>
      <c r="G9" s="14"/>
      <c r="H9" s="14"/>
      <c r="I9" s="14"/>
      <c r="J9" s="14">
        <f>+B9</f>
        <v>1794</v>
      </c>
      <c r="K9" s="13">
        <f>YEAR(A9)</f>
        <v>2017</v>
      </c>
      <c r="O9" s="145">
        <f>VLOOKUP(A9,'Value MF 2018'!$A$6:$O$17,13,FALSE)</f>
        <v>2295.567894249999</v>
      </c>
      <c r="P9" s="113"/>
    </row>
    <row r="10" spans="1:27" s="16" customFormat="1" ht="11.25" x14ac:dyDescent="0.2">
      <c r="A10" s="17">
        <f>EOMONTH(A9,1)</f>
        <v>42947</v>
      </c>
      <c r="B10" s="337">
        <v>1794</v>
      </c>
      <c r="C10" s="14"/>
      <c r="D10" s="349">
        <f>VLOOKUP(A10,'Value MF 2018'!$A$6:$O$17,15,)</f>
        <v>1104.9611228749995</v>
      </c>
      <c r="E10" s="14"/>
      <c r="F10" s="16">
        <f>ROUND(D10/B10,2)</f>
        <v>0.62</v>
      </c>
      <c r="G10" s="14"/>
      <c r="H10" s="14"/>
      <c r="I10" s="14"/>
      <c r="J10" s="14">
        <f>+B10</f>
        <v>1794</v>
      </c>
      <c r="K10" s="13">
        <f>YEAR(A10)</f>
        <v>2017</v>
      </c>
      <c r="O10" s="145">
        <f>VLOOKUP(A10,'Value MF 2018'!$A$6:$O$17,13,FALSE)</f>
        <v>2209.9222457499991</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103</v>
      </c>
      <c r="B12" s="21">
        <f>SUM(B8:B11)</f>
        <v>5382</v>
      </c>
      <c r="C12" s="20" t="s">
        <v>8</v>
      </c>
      <c r="D12" s="22">
        <f>SUM(D8:D11)</f>
        <v>3079.6562168799987</v>
      </c>
      <c r="E12" s="14"/>
      <c r="G12" s="14"/>
      <c r="H12" s="14"/>
      <c r="I12" s="14"/>
      <c r="J12" s="14"/>
      <c r="K12" s="13"/>
      <c r="O12" s="145"/>
      <c r="P12" s="113"/>
    </row>
    <row r="13" spans="1:27" s="16" customFormat="1" ht="12" customHeight="1" x14ac:dyDescent="0.2">
      <c r="A13" s="17"/>
      <c r="B13" s="14"/>
      <c r="C13" s="14"/>
      <c r="E13" s="14"/>
      <c r="G13" s="14"/>
      <c r="H13" s="14"/>
      <c r="I13" s="14"/>
      <c r="J13" s="14"/>
      <c r="K13" s="13"/>
      <c r="O13" s="145"/>
      <c r="P13" s="113"/>
    </row>
    <row r="14" spans="1:27" s="16" customFormat="1" ht="11.25" x14ac:dyDescent="0.2">
      <c r="A14" s="17">
        <f>EOMONTH(A10,1)</f>
        <v>42978</v>
      </c>
      <c r="B14" s="337">
        <v>1794</v>
      </c>
      <c r="C14" s="14"/>
      <c r="D14" s="349">
        <f>VLOOKUP(A14,'Value MF 2018'!$A$6:$O$17,15,)</f>
        <v>884.60950597499959</v>
      </c>
      <c r="E14" s="14"/>
      <c r="F14" s="16">
        <f t="shared" ref="F14:F22" si="0">ROUND(D14/B14,2)</f>
        <v>0.49</v>
      </c>
      <c r="G14" s="23"/>
      <c r="H14" s="14"/>
      <c r="I14" s="14"/>
      <c r="J14" s="14">
        <f t="shared" ref="J14:J22" si="1">+B14</f>
        <v>1794</v>
      </c>
      <c r="K14" s="13">
        <f t="shared" ref="K14:K22" si="2">YEAR(A14)</f>
        <v>2017</v>
      </c>
      <c r="O14" s="145">
        <f>VLOOKUP(A14,'Value MF 2018'!$A$6:$O$17,13,FALSE)</f>
        <v>1769.2190119499992</v>
      </c>
      <c r="P14" s="113"/>
    </row>
    <row r="15" spans="1:27" s="16" customFormat="1" ht="11.25" x14ac:dyDescent="0.2">
      <c r="A15" s="17">
        <f t="shared" ref="A15:A22" si="3">EOMONTH(A14,1)</f>
        <v>43008</v>
      </c>
      <c r="B15" s="337">
        <v>1811</v>
      </c>
      <c r="C15" s="14"/>
      <c r="D15" s="349">
        <f>VLOOKUP(A15,'Value MF 2018'!$A$6:$O$17,15,)</f>
        <v>681.7237702499998</v>
      </c>
      <c r="E15" s="14"/>
      <c r="F15" s="16">
        <f t="shared" si="0"/>
        <v>0.38</v>
      </c>
      <c r="G15" s="23"/>
      <c r="H15" s="14"/>
      <c r="I15" s="14"/>
      <c r="J15" s="14">
        <f t="shared" si="1"/>
        <v>1811</v>
      </c>
      <c r="K15" s="13">
        <f t="shared" si="2"/>
        <v>2017</v>
      </c>
      <c r="O15" s="145">
        <f>VLOOKUP(A15,'Value MF 2018'!$A$6:$O$17,13,FALSE)</f>
        <v>1363.4475404999996</v>
      </c>
      <c r="P15" s="113"/>
    </row>
    <row r="16" spans="1:27" s="16" customFormat="1" ht="11.25" x14ac:dyDescent="0.2">
      <c r="A16" s="17">
        <f t="shared" si="3"/>
        <v>43039</v>
      </c>
      <c r="B16" s="337">
        <v>1799</v>
      </c>
      <c r="C16" s="14"/>
      <c r="D16" s="349">
        <f>VLOOKUP(A16,'Value MF 2018'!$A$6:$O$17,15,)</f>
        <v>597.72097389999988</v>
      </c>
      <c r="E16" s="14"/>
      <c r="F16" s="16">
        <f t="shared" si="0"/>
        <v>0.33</v>
      </c>
      <c r="G16" s="23"/>
      <c r="H16" s="14"/>
      <c r="I16" s="14"/>
      <c r="J16" s="14">
        <f t="shared" si="1"/>
        <v>1799</v>
      </c>
      <c r="K16" s="13">
        <f t="shared" si="2"/>
        <v>2017</v>
      </c>
      <c r="O16" s="145">
        <f>VLOOKUP(A16,'Value MF 2018'!$A$6:$O$17,13,FALSE)</f>
        <v>1195.4419477999998</v>
      </c>
      <c r="P16" s="113"/>
    </row>
    <row r="17" spans="1:27" s="16" customFormat="1" ht="11.25" x14ac:dyDescent="0.2">
      <c r="A17" s="17">
        <f t="shared" si="3"/>
        <v>43069</v>
      </c>
      <c r="B17" s="337">
        <v>1817</v>
      </c>
      <c r="C17" s="14"/>
      <c r="D17" s="349">
        <f>VLOOKUP(A17,'Value MF 2018'!$A$6:$O$17,15,)</f>
        <v>728.62656159999972</v>
      </c>
      <c r="E17" s="14"/>
      <c r="F17" s="16">
        <f t="shared" si="0"/>
        <v>0.4</v>
      </c>
      <c r="G17" s="23"/>
      <c r="H17" s="14"/>
      <c r="I17" s="14"/>
      <c r="J17" s="14">
        <f t="shared" si="1"/>
        <v>1817</v>
      </c>
      <c r="K17" s="13">
        <f t="shared" si="2"/>
        <v>2017</v>
      </c>
      <c r="O17" s="145">
        <f>VLOOKUP(A17,'Value MF 2018'!$A$6:$O$17,13,FALSE)</f>
        <v>1457.2531231999994</v>
      </c>
      <c r="P17" s="113"/>
    </row>
    <row r="18" spans="1:27" s="16" customFormat="1" ht="11.25" x14ac:dyDescent="0.2">
      <c r="A18" s="17">
        <f t="shared" si="3"/>
        <v>43100</v>
      </c>
      <c r="B18" s="337">
        <v>1817</v>
      </c>
      <c r="C18" s="14"/>
      <c r="D18" s="349">
        <f>VLOOKUP(A18,'Value MF 2018'!$A$6:$O$17,15,)</f>
        <v>681.80598769499966</v>
      </c>
      <c r="E18" s="14"/>
      <c r="F18" s="16">
        <f t="shared" si="0"/>
        <v>0.38</v>
      </c>
      <c r="G18" s="23"/>
      <c r="H18" s="14"/>
      <c r="I18" s="14"/>
      <c r="J18" s="14">
        <f t="shared" si="1"/>
        <v>1817</v>
      </c>
      <c r="K18" s="13">
        <f t="shared" si="2"/>
        <v>2017</v>
      </c>
      <c r="O18" s="145">
        <f>VLOOKUP(A18,'Value MF 2018'!$A$6:$O$17,13,FALSE)</f>
        <v>1363.6119753899993</v>
      </c>
      <c r="P18" s="113"/>
      <c r="X18" s="14"/>
      <c r="Y18" s="14"/>
    </row>
    <row r="19" spans="1:27" s="16" customFormat="1" ht="11.25" x14ac:dyDescent="0.2">
      <c r="A19" s="17">
        <f t="shared" si="3"/>
        <v>43131</v>
      </c>
      <c r="B19" s="337">
        <v>1819</v>
      </c>
      <c r="C19" s="14"/>
      <c r="D19" s="349">
        <f>VLOOKUP(A19,'Value MF 2018'!$A$6:$O$17,15,)</f>
        <v>713.3400975549996</v>
      </c>
      <c r="E19" s="14"/>
      <c r="F19" s="16">
        <f t="shared" si="0"/>
        <v>0.39</v>
      </c>
      <c r="G19" s="23"/>
      <c r="H19" s="14"/>
      <c r="I19" s="14"/>
      <c r="J19" s="14">
        <f t="shared" si="1"/>
        <v>1819</v>
      </c>
      <c r="K19" s="13">
        <f t="shared" si="2"/>
        <v>2018</v>
      </c>
      <c r="L19" s="14"/>
      <c r="M19" s="14"/>
      <c r="N19" s="14"/>
      <c r="O19" s="145">
        <f>VLOOKUP(A19,'Value MF 2018'!$A$6:$O$17,13,FALSE)</f>
        <v>1426.6801951099992</v>
      </c>
      <c r="P19" s="113"/>
      <c r="Q19" s="14"/>
      <c r="R19" s="14"/>
      <c r="S19" s="14"/>
      <c r="T19" s="14"/>
      <c r="U19" s="14"/>
      <c r="V19" s="14"/>
      <c r="W19" s="14"/>
      <c r="Y19" s="14"/>
      <c r="AA19" s="14"/>
    </row>
    <row r="20" spans="1:27" s="16" customFormat="1" ht="11.25" x14ac:dyDescent="0.2">
      <c r="A20" s="17">
        <f t="shared" si="3"/>
        <v>43159</v>
      </c>
      <c r="B20" s="337">
        <v>1820</v>
      </c>
      <c r="C20" s="14"/>
      <c r="D20" s="349">
        <f>VLOOKUP(A20,'Value MF 2018'!$A$6:$O$17,15,)</f>
        <v>56.374470824999833</v>
      </c>
      <c r="E20" s="14"/>
      <c r="F20" s="16">
        <f t="shared" si="0"/>
        <v>0.03</v>
      </c>
      <c r="G20" s="23"/>
      <c r="H20" s="14"/>
      <c r="I20" s="14"/>
      <c r="J20" s="14">
        <f t="shared" si="1"/>
        <v>1820</v>
      </c>
      <c r="K20" s="13">
        <f t="shared" si="2"/>
        <v>2018</v>
      </c>
      <c r="O20" s="145">
        <f>VLOOKUP(A20,'Value MF 2018'!$A$6:$O$17,13,FALSE)</f>
        <v>112.74894164999967</v>
      </c>
      <c r="P20" s="35"/>
    </row>
    <row r="21" spans="1:27" s="16" customFormat="1" ht="11.25" x14ac:dyDescent="0.2">
      <c r="A21" s="17">
        <f t="shared" si="3"/>
        <v>43190</v>
      </c>
      <c r="B21" s="337">
        <v>1819.99</v>
      </c>
      <c r="C21" s="14"/>
      <c r="D21" s="349">
        <f>VLOOKUP(A21,'Value MF 2018'!$A$6:$O$17,15,)</f>
        <v>75.603607749999696</v>
      </c>
      <c r="E21" s="14"/>
      <c r="F21" s="16">
        <f t="shared" si="0"/>
        <v>0.04</v>
      </c>
      <c r="G21" s="23"/>
      <c r="H21" s="20"/>
      <c r="I21" s="14"/>
      <c r="J21" s="14">
        <f t="shared" si="1"/>
        <v>1819.99</v>
      </c>
      <c r="K21" s="13">
        <f t="shared" si="2"/>
        <v>2018</v>
      </c>
      <c r="O21" s="145">
        <f>VLOOKUP(A21,'Value MF 2018'!$A$6:$O$17,13,FALSE)</f>
        <v>151.20721549999939</v>
      </c>
      <c r="P21" s="113"/>
    </row>
    <row r="22" spans="1:27" s="16" customFormat="1" ht="11.25" x14ac:dyDescent="0.2">
      <c r="A22" s="17">
        <f t="shared" si="3"/>
        <v>43220</v>
      </c>
      <c r="B22" s="337">
        <v>1820</v>
      </c>
      <c r="C22" s="14"/>
      <c r="D22" s="349">
        <f>VLOOKUP(A22,'Value MF 2018'!$A$6:$O$17,15,)</f>
        <v>68.274150289999739</v>
      </c>
      <c r="E22" s="14"/>
      <c r="F22" s="16">
        <f t="shared" si="0"/>
        <v>0.04</v>
      </c>
      <c r="G22" s="23"/>
      <c r="H22" s="20"/>
      <c r="I22" s="14"/>
      <c r="J22" s="14">
        <f t="shared" si="1"/>
        <v>1820</v>
      </c>
      <c r="K22" s="13">
        <f t="shared" si="2"/>
        <v>2018</v>
      </c>
      <c r="O22" s="145">
        <f>VLOOKUP(A22,'Value MF 2018'!$A$6:$O$17,13,FALSE)</f>
        <v>136.54830057999948</v>
      </c>
      <c r="P22" s="113"/>
    </row>
    <row r="23" spans="1:27" s="16" customFormat="1" ht="11.25" x14ac:dyDescent="0.2">
      <c r="A23" s="17"/>
      <c r="B23" s="14"/>
      <c r="C23" s="14"/>
      <c r="E23" s="14"/>
      <c r="G23" s="14"/>
      <c r="H23" s="14"/>
      <c r="I23" s="14"/>
      <c r="J23" s="14"/>
      <c r="K23" s="13"/>
      <c r="O23" s="146"/>
    </row>
    <row r="24" spans="1:27" s="16" customFormat="1" ht="11.25" x14ac:dyDescent="0.2">
      <c r="A24" s="17" t="s">
        <v>104</v>
      </c>
      <c r="B24" s="21">
        <f>SUM(B13:B23)</f>
        <v>16316.99</v>
      </c>
      <c r="C24" s="20" t="s">
        <v>9</v>
      </c>
      <c r="D24" s="22">
        <f>SUM(D13:D23)</f>
        <v>4488.0791258399968</v>
      </c>
      <c r="E24" s="14"/>
      <c r="G24" s="14"/>
      <c r="H24" s="14"/>
      <c r="I24" s="14"/>
      <c r="J24" s="14"/>
      <c r="K24" s="13"/>
      <c r="O24" s="146"/>
      <c r="P24" s="147" t="s">
        <v>87</v>
      </c>
    </row>
    <row r="25" spans="1:27" s="16" customFormat="1" x14ac:dyDescent="0.2">
      <c r="A25" s="5"/>
      <c r="B25" s="5"/>
      <c r="C25" s="5"/>
      <c r="D25" s="25"/>
      <c r="E25" s="5"/>
      <c r="F25" s="5"/>
      <c r="G25" s="5"/>
      <c r="H25" s="5"/>
      <c r="I25" s="5"/>
      <c r="J25" s="5"/>
      <c r="K25" s="5"/>
      <c r="O25" s="146">
        <f>SUM(O8:O24)</f>
        <v>15135.470685439994</v>
      </c>
      <c r="P25" s="120"/>
    </row>
    <row r="26" spans="1:27" s="16" customFormat="1" ht="12" thickBot="1" x14ac:dyDescent="0.25">
      <c r="A26" s="26"/>
      <c r="B26" s="27">
        <f>+B12+B24</f>
        <v>21698.989999999998</v>
      </c>
      <c r="C26" s="20"/>
      <c r="D26" s="28">
        <f>+D12+D24</f>
        <v>7567.735342719996</v>
      </c>
      <c r="E26" s="20" t="s">
        <v>10</v>
      </c>
      <c r="F26" s="16">
        <f>(D26/B26)</f>
        <v>0.34875979677948127</v>
      </c>
      <c r="G26" s="20"/>
      <c r="H26" s="14"/>
      <c r="I26" s="14"/>
      <c r="J26" s="27">
        <f>SUM(J8:J25)</f>
        <v>21698.99</v>
      </c>
      <c r="K26" s="20" t="s">
        <v>12</v>
      </c>
      <c r="O26" s="148">
        <f>ROUND(O25/J26,3)</f>
        <v>0.69799999999999995</v>
      </c>
      <c r="P26" s="113" t="s">
        <v>88</v>
      </c>
    </row>
    <row r="27" spans="1:27" s="16" customFormat="1" ht="12" thickTop="1" x14ac:dyDescent="0.2">
      <c r="B27" s="14"/>
      <c r="C27" s="20"/>
      <c r="D27" s="14"/>
      <c r="E27" s="14"/>
      <c r="F27" s="14"/>
      <c r="G27" s="14"/>
      <c r="H27" s="14"/>
      <c r="I27" s="14"/>
      <c r="J27" s="14"/>
      <c r="K27" s="14"/>
      <c r="O27" s="149">
        <f>+J22</f>
        <v>1820</v>
      </c>
      <c r="P27" s="113" t="s">
        <v>89</v>
      </c>
    </row>
    <row r="28" spans="1:27" s="16" customFormat="1" ht="11.25" x14ac:dyDescent="0.2">
      <c r="A28" s="16" t="s">
        <v>224</v>
      </c>
      <c r="B28" s="14">
        <f>SUM(B17:B22)</f>
        <v>10912.99</v>
      </c>
      <c r="C28" s="20"/>
      <c r="D28" s="14">
        <f>SUM(D17:D22)</f>
        <v>2324.024875714998</v>
      </c>
      <c r="E28" s="14"/>
      <c r="F28" s="23">
        <f>D28/B28</f>
        <v>0.2129594983331789</v>
      </c>
      <c r="G28" s="20" t="s">
        <v>11</v>
      </c>
      <c r="H28" s="14"/>
      <c r="I28" s="14"/>
      <c r="J28" s="14"/>
      <c r="K28" s="14"/>
      <c r="O28" s="35"/>
      <c r="P28" s="113"/>
    </row>
    <row r="29" spans="1:27" s="16" customFormat="1" ht="11.25" x14ac:dyDescent="0.2">
      <c r="A29" s="16" t="s">
        <v>223</v>
      </c>
      <c r="B29" s="14"/>
      <c r="C29" s="20"/>
      <c r="D29" s="14"/>
      <c r="E29" s="14"/>
      <c r="F29" s="14"/>
      <c r="G29" s="14"/>
      <c r="H29" s="14"/>
      <c r="I29" s="14"/>
      <c r="J29" s="14"/>
      <c r="K29" s="14"/>
      <c r="O29" s="35"/>
      <c r="P29" s="113"/>
    </row>
    <row r="30" spans="1:27" s="16" customFormat="1" ht="11.25" x14ac:dyDescent="0.2">
      <c r="B30" s="14"/>
      <c r="C30" s="20"/>
      <c r="D30" s="14"/>
      <c r="E30" s="14"/>
      <c r="F30" s="14"/>
      <c r="G30" s="14"/>
      <c r="H30" s="14"/>
      <c r="I30" s="14"/>
      <c r="J30" s="14"/>
      <c r="K30" s="14"/>
      <c r="O30" s="35"/>
      <c r="P30" s="113"/>
    </row>
    <row r="31" spans="1:27" s="16" customFormat="1" ht="11.25" x14ac:dyDescent="0.2">
      <c r="B31" s="14"/>
      <c r="C31" s="14"/>
      <c r="D31" s="14"/>
      <c r="E31" s="14"/>
      <c r="F31" s="14"/>
      <c r="G31" s="14"/>
      <c r="H31" s="14"/>
      <c r="I31" s="14"/>
      <c r="J31" s="14"/>
      <c r="K31" s="14"/>
      <c r="O31" s="113"/>
      <c r="P31" s="113" t="s">
        <v>90</v>
      </c>
    </row>
    <row r="32" spans="1:27" s="16" customFormat="1" ht="12" thickBot="1" x14ac:dyDescent="0.25">
      <c r="B32" s="29" t="s">
        <v>13</v>
      </c>
      <c r="C32" s="30"/>
      <c r="D32" s="30"/>
      <c r="E32" s="30"/>
      <c r="F32" s="14"/>
      <c r="G32" s="14"/>
      <c r="H32" s="14"/>
      <c r="I32" s="14"/>
      <c r="J32" s="14"/>
      <c r="K32" s="14"/>
    </row>
    <row r="33" spans="1:27" s="16" customFormat="1" ht="12" thickTop="1" x14ac:dyDescent="0.2">
      <c r="A33" s="6"/>
      <c r="B33" s="31"/>
      <c r="C33" s="14"/>
      <c r="D33" s="14"/>
      <c r="E33" s="14"/>
      <c r="F33" s="14"/>
      <c r="G33" s="14"/>
      <c r="H33" s="14"/>
      <c r="I33" s="14"/>
      <c r="J33" s="14"/>
      <c r="K33" s="14"/>
      <c r="X33" s="14"/>
      <c r="Y33" s="14"/>
    </row>
    <row r="34" spans="1:27" s="16" customFormat="1" ht="11.25" x14ac:dyDescent="0.2">
      <c r="A34" s="8"/>
      <c r="B34" s="31"/>
      <c r="C34" s="14"/>
      <c r="D34" s="14"/>
      <c r="E34" s="14"/>
      <c r="F34" s="32" t="s">
        <v>14</v>
      </c>
      <c r="G34" s="16">
        <f>+D26</f>
        <v>7567.735342719996</v>
      </c>
      <c r="H34" s="20" t="s">
        <v>10</v>
      </c>
      <c r="I34" s="14"/>
      <c r="J34" s="14"/>
      <c r="K34" s="14"/>
    </row>
    <row r="35" spans="1:27" s="13" customFormat="1" ht="11.25" x14ac:dyDescent="0.2">
      <c r="A35" s="33"/>
      <c r="B35" s="31"/>
      <c r="C35" s="14"/>
      <c r="D35" s="14"/>
      <c r="E35" s="14"/>
      <c r="F35" s="14"/>
      <c r="G35" s="14"/>
      <c r="H35" s="20"/>
      <c r="I35" s="14"/>
      <c r="J35" s="14"/>
      <c r="K35" s="14"/>
      <c r="O35" s="16">
        <f>12*O27*O26</f>
        <v>15244.32</v>
      </c>
      <c r="P35" s="13" t="s">
        <v>91</v>
      </c>
      <c r="W35" s="14"/>
      <c r="X35" s="16"/>
      <c r="Y35" s="16"/>
      <c r="AA35" s="14"/>
    </row>
    <row r="36" spans="1:27" s="16" customFormat="1" ht="11.25" x14ac:dyDescent="0.2">
      <c r="B36" s="14" t="s">
        <v>105</v>
      </c>
      <c r="C36" s="14"/>
      <c r="D36" s="14"/>
      <c r="E36" s="14"/>
      <c r="F36" s="336">
        <v>0.55000000000000004</v>
      </c>
      <c r="G36" s="14"/>
      <c r="H36" s="14"/>
      <c r="I36" s="14"/>
      <c r="J36" s="14"/>
      <c r="K36" s="14"/>
      <c r="O36" s="16">
        <f>12*O27*G59</f>
        <v>4651.0354435966256</v>
      </c>
      <c r="P36" s="16" t="s">
        <v>92</v>
      </c>
    </row>
    <row r="37" spans="1:27" s="16" customFormat="1" ht="11.25" x14ac:dyDescent="0.2">
      <c r="B37" s="14"/>
      <c r="C37" s="14" t="str">
        <f>"Customers from "&amp;TEXT($A$8,"mm/yy")&amp;" - "&amp;TEXT($A$10,"mm/yy")</f>
        <v>Customers from 05/17 - 07/17</v>
      </c>
      <c r="D37" s="14"/>
      <c r="E37" s="14"/>
      <c r="F37" s="14">
        <f>+B12</f>
        <v>5382</v>
      </c>
      <c r="G37" s="20" t="s">
        <v>8</v>
      </c>
      <c r="H37" s="14"/>
      <c r="I37" s="14"/>
      <c r="J37" s="14"/>
      <c r="K37" s="14"/>
      <c r="O37" s="150">
        <f>+O36/O35</f>
        <v>0.30509956781257713</v>
      </c>
    </row>
    <row r="38" spans="1:27" s="16" customFormat="1" ht="11.25" x14ac:dyDescent="0.2">
      <c r="B38" s="14"/>
      <c r="C38" s="14" t="s">
        <v>16</v>
      </c>
      <c r="D38" s="14"/>
      <c r="E38" s="14"/>
      <c r="F38" s="22">
        <f>F36*B12</f>
        <v>2960.1000000000004</v>
      </c>
      <c r="G38" s="20"/>
      <c r="H38" s="14"/>
      <c r="I38" s="14"/>
      <c r="J38" s="34"/>
      <c r="K38" s="14"/>
    </row>
    <row r="39" spans="1:27" s="16" customFormat="1" ht="11.25" x14ac:dyDescent="0.2">
      <c r="B39" s="14"/>
      <c r="C39" s="14"/>
      <c r="D39" s="14"/>
      <c r="E39" s="14"/>
      <c r="F39" s="35"/>
      <c r="G39" s="20"/>
      <c r="H39" s="14"/>
      <c r="I39" s="14"/>
      <c r="J39" s="14"/>
      <c r="K39" s="14"/>
    </row>
    <row r="40" spans="1:27" s="16" customFormat="1" ht="11.25" x14ac:dyDescent="0.2">
      <c r="B40" s="14" t="s">
        <v>105</v>
      </c>
      <c r="C40" s="14"/>
      <c r="D40" s="14"/>
      <c r="E40" s="14"/>
      <c r="F40" s="348">
        <v>0.53100000000000003</v>
      </c>
      <c r="G40" s="14"/>
      <c r="H40" s="14"/>
      <c r="I40" s="14"/>
      <c r="J40" s="14"/>
      <c r="K40" s="14"/>
    </row>
    <row r="41" spans="1:27" s="16" customFormat="1" ht="11.25" x14ac:dyDescent="0.2">
      <c r="B41" s="14"/>
      <c r="C41" s="14" t="str">
        <f>"Customers from "&amp;TEXT($A$14,"mm/yy")&amp;" - "&amp;TEXT($A$22,"mm/yy")</f>
        <v>Customers from 08/17 - 04/18</v>
      </c>
      <c r="D41" s="14"/>
      <c r="E41" s="14"/>
      <c r="F41" s="14">
        <f>+B26-F37</f>
        <v>16316.989999999998</v>
      </c>
      <c r="G41" s="20" t="s">
        <v>9</v>
      </c>
      <c r="H41" s="14"/>
      <c r="I41" s="14"/>
      <c r="J41" s="14"/>
      <c r="K41" s="14"/>
    </row>
    <row r="42" spans="1:27" s="16" customFormat="1" ht="11.25" x14ac:dyDescent="0.2">
      <c r="B42" s="14"/>
      <c r="C42" s="14" t="s">
        <v>16</v>
      </c>
      <c r="D42" s="14"/>
      <c r="E42" s="14"/>
      <c r="F42" s="22">
        <f>F40*F41</f>
        <v>8664.3216899999989</v>
      </c>
      <c r="G42" s="20"/>
      <c r="H42" s="14"/>
      <c r="I42" s="14"/>
      <c r="J42" s="14"/>
      <c r="K42" s="14"/>
    </row>
    <row r="43" spans="1:27" s="16" customFormat="1" ht="11.25" x14ac:dyDescent="0.2">
      <c r="B43" s="14"/>
      <c r="C43" s="14"/>
      <c r="D43" s="14"/>
      <c r="E43" s="14"/>
      <c r="F43" s="36"/>
      <c r="G43" s="20"/>
      <c r="H43" s="14"/>
      <c r="I43" s="14"/>
      <c r="J43" s="14"/>
      <c r="K43" s="14"/>
    </row>
    <row r="44" spans="1:27" s="16" customFormat="1" ht="12" thickBot="1" x14ac:dyDescent="0.25">
      <c r="B44" s="14"/>
      <c r="C44" s="14" t="s">
        <v>17</v>
      </c>
      <c r="D44" s="14"/>
      <c r="E44" s="14"/>
      <c r="F44" s="28">
        <f>+F38+F42</f>
        <v>11624.421689999999</v>
      </c>
      <c r="G44" s="331">
        <f>+F44</f>
        <v>11624.421689999999</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32" t="s">
        <v>106</v>
      </c>
      <c r="G47" s="57">
        <f>+G34-G44</f>
        <v>-4056.6863472800032</v>
      </c>
      <c r="H47" s="14"/>
      <c r="I47" s="14"/>
      <c r="J47" s="14"/>
      <c r="K47" s="14"/>
    </row>
    <row r="48" spans="1:27" s="16" customFormat="1" ht="12" thickTop="1" x14ac:dyDescent="0.2">
      <c r="B48" s="14"/>
      <c r="C48" s="14"/>
      <c r="D48" s="14"/>
      <c r="E48" s="14"/>
      <c r="F48" s="14"/>
      <c r="G48" s="14"/>
      <c r="H48" s="14"/>
      <c r="I48" s="14"/>
      <c r="J48" s="14"/>
      <c r="K48" s="14"/>
      <c r="Y48" s="14"/>
    </row>
    <row r="49" spans="1:27" s="16" customFormat="1" ht="11.25" x14ac:dyDescent="0.2">
      <c r="B49" s="14"/>
      <c r="C49" s="14"/>
      <c r="D49" s="14"/>
      <c r="E49" s="14"/>
      <c r="F49" s="14"/>
      <c r="G49" s="14"/>
      <c r="H49" s="14"/>
      <c r="I49" s="14"/>
      <c r="J49" s="14"/>
      <c r="K49" s="14"/>
    </row>
    <row r="50" spans="1:27" s="16" customFormat="1" ht="12" thickBot="1" x14ac:dyDescent="0.25">
      <c r="B50" s="29" t="str">
        <f>$K$22+1&amp;" Recycle Adjustment Calculation"</f>
        <v>2019 Recycle Adjustment Calculation</v>
      </c>
      <c r="C50" s="30"/>
      <c r="D50" s="30"/>
      <c r="E50" s="30"/>
      <c r="F50" s="30"/>
      <c r="G50" s="14"/>
      <c r="H50" s="14"/>
      <c r="I50" s="14"/>
      <c r="J50" s="14"/>
      <c r="K50" s="14"/>
    </row>
    <row r="51" spans="1:27" s="16" customFormat="1" ht="12" thickTop="1" x14ac:dyDescent="0.2">
      <c r="B51" s="31"/>
      <c r="C51" s="14"/>
      <c r="D51" s="14"/>
      <c r="E51" s="14"/>
      <c r="F51" s="14"/>
      <c r="G51" s="14"/>
      <c r="H51" s="14"/>
      <c r="I51" s="14"/>
      <c r="J51" s="14"/>
      <c r="K51" s="14"/>
      <c r="L51" s="14"/>
      <c r="M51" s="14"/>
      <c r="N51" s="14"/>
      <c r="O51" s="14"/>
      <c r="P51" s="14"/>
      <c r="Q51" s="14"/>
      <c r="R51" s="14"/>
      <c r="S51" s="14"/>
      <c r="T51" s="14"/>
      <c r="U51" s="14"/>
      <c r="V51" s="14"/>
      <c r="W51" s="14"/>
      <c r="AA51" s="14"/>
    </row>
    <row r="52" spans="1:27" s="16" customFormat="1" ht="11.25" x14ac:dyDescent="0.2">
      <c r="B52" s="14" t="str">
        <f>$K$10&amp;"/"&amp;$K$22&amp;" True-up Computation"</f>
        <v>2017/2018 True-up Computation</v>
      </c>
      <c r="C52" s="14"/>
      <c r="D52" s="14"/>
      <c r="E52" s="14"/>
      <c r="F52" s="14"/>
      <c r="G52" s="14"/>
      <c r="H52" s="14"/>
      <c r="I52" s="14"/>
      <c r="J52" s="14"/>
      <c r="K52" s="14"/>
    </row>
    <row r="53" spans="1:27" s="16" customFormat="1" ht="11.25" x14ac:dyDescent="0.2">
      <c r="B53" s="14"/>
      <c r="C53" s="14"/>
      <c r="D53" s="14"/>
      <c r="E53" s="14"/>
      <c r="F53" s="32" t="s">
        <v>20</v>
      </c>
      <c r="G53" s="14">
        <f>+J26</f>
        <v>21698.99</v>
      </c>
      <c r="H53" s="20" t="s">
        <v>12</v>
      </c>
      <c r="I53" s="14"/>
      <c r="J53" s="14"/>
      <c r="K53" s="14"/>
    </row>
    <row r="54" spans="1:27" s="16" customFormat="1" ht="11.25" x14ac:dyDescent="0.2">
      <c r="B54" s="14"/>
      <c r="C54" s="14"/>
      <c r="D54" s="14"/>
      <c r="E54" s="14"/>
      <c r="F54" s="32" t="s">
        <v>18</v>
      </c>
      <c r="G54" s="16">
        <f>+G47</f>
        <v>-4056.6863472800032</v>
      </c>
      <c r="H54" s="14"/>
      <c r="I54" s="14"/>
      <c r="J54" s="14"/>
      <c r="K54" s="14"/>
    </row>
    <row r="55" spans="1:27" s="16" customFormat="1" ht="11.25" x14ac:dyDescent="0.2">
      <c r="B55" s="14"/>
      <c r="C55" s="14"/>
      <c r="D55" s="14"/>
      <c r="E55" s="14"/>
      <c r="F55" s="32"/>
      <c r="G55" s="14"/>
      <c r="H55" s="14"/>
      <c r="I55" s="14"/>
      <c r="J55" s="14"/>
      <c r="K55" s="14"/>
    </row>
    <row r="56" spans="1:27" s="16" customFormat="1" ht="12" thickBot="1" x14ac:dyDescent="0.25">
      <c r="B56" s="14"/>
      <c r="C56" s="14"/>
      <c r="D56" s="14"/>
      <c r="E56" s="14"/>
      <c r="F56" s="32" t="s">
        <v>81</v>
      </c>
      <c r="G56" s="39">
        <f>ROUND(G54/G53,3)</f>
        <v>-0.187</v>
      </c>
      <c r="H56" s="14"/>
      <c r="I56" s="23">
        <f>+G56</f>
        <v>-0.187</v>
      </c>
      <c r="J56" s="14"/>
      <c r="K56" s="14"/>
    </row>
    <row r="57" spans="1:27" s="16" customFormat="1" ht="12" thickTop="1" x14ac:dyDescent="0.2">
      <c r="B57" s="14"/>
      <c r="C57" s="14"/>
      <c r="D57" s="14"/>
      <c r="E57" s="14"/>
      <c r="F57" s="32"/>
      <c r="G57" s="14"/>
      <c r="H57" s="14"/>
      <c r="I57" s="23"/>
      <c r="J57" s="14"/>
      <c r="K57" s="14"/>
      <c r="Y57" s="14"/>
    </row>
    <row r="58" spans="1:27" s="16" customFormat="1" ht="11.25" x14ac:dyDescent="0.2">
      <c r="B58" s="14" t="str">
        <f>$K$22+1&amp;" Projected Credit"</f>
        <v>2019 Projected Credit</v>
      </c>
      <c r="C58" s="14"/>
      <c r="D58" s="14"/>
      <c r="E58" s="14"/>
      <c r="F58" s="32"/>
      <c r="G58" s="14"/>
      <c r="H58" s="14"/>
      <c r="I58" s="23"/>
      <c r="J58" s="14"/>
      <c r="K58" s="14"/>
      <c r="L58" s="347" t="s">
        <v>93</v>
      </c>
    </row>
    <row r="59" spans="1:27" s="16" customFormat="1" ht="12" thickBot="1" x14ac:dyDescent="0.25">
      <c r="B59" s="31"/>
      <c r="C59" s="14"/>
      <c r="D59" s="14"/>
      <c r="E59" s="14"/>
      <c r="F59" s="32" t="s">
        <v>107</v>
      </c>
      <c r="G59" s="346">
        <f>+F28/'Value MF 2018'!P18*L59</f>
        <v>0.21295949833317884</v>
      </c>
      <c r="H59" s="14"/>
      <c r="I59" s="16">
        <f>+G59</f>
        <v>0.21295949833317884</v>
      </c>
      <c r="J59" s="20" t="s">
        <v>11</v>
      </c>
      <c r="K59" s="14"/>
      <c r="L59" s="345">
        <f>+'[10]WUTC_AW of Kent_MF'!$O$56</f>
        <v>0.5</v>
      </c>
    </row>
    <row r="60" spans="1:27" s="14" customFormat="1" ht="12" thickTop="1" x14ac:dyDescent="0.2">
      <c r="B60" s="31"/>
      <c r="I60" s="23"/>
      <c r="X60" s="16"/>
      <c r="Y60" s="16"/>
    </row>
    <row r="61" spans="1:27" s="16" customFormat="1" ht="12" thickBot="1" x14ac:dyDescent="0.25">
      <c r="B61" s="14"/>
      <c r="C61" s="14"/>
      <c r="D61" s="14"/>
      <c r="E61" s="14"/>
      <c r="F61" s="14"/>
      <c r="G61" s="32" t="str">
        <f>$K$22+1&amp;" Adjusted Credit"</f>
        <v>2019 Adjusted Credit</v>
      </c>
      <c r="H61" s="27"/>
      <c r="I61" s="28">
        <f>ROUND(+I56+I59,2)</f>
        <v>0.03</v>
      </c>
      <c r="J61" s="14"/>
      <c r="K61" s="14"/>
    </row>
    <row r="62" spans="1:27" s="16" customFormat="1" ht="12" thickTop="1" x14ac:dyDescent="0.2">
      <c r="I62" s="23"/>
    </row>
    <row r="63" spans="1:27" s="16" customFormat="1" ht="11.25" x14ac:dyDescent="0.2">
      <c r="G63" s="139" t="s">
        <v>108</v>
      </c>
      <c r="I63" s="16">
        <f>+I61*3.5</f>
        <v>0.105</v>
      </c>
    </row>
    <row r="64" spans="1:27" s="16" customFormat="1" ht="11.25" x14ac:dyDescent="0.2">
      <c r="A64" s="113"/>
      <c r="B64" s="113"/>
      <c r="C64" s="113"/>
      <c r="D64" s="113"/>
      <c r="E64" s="113"/>
      <c r="F64" s="113"/>
      <c r="G64" s="139" t="s">
        <v>109</v>
      </c>
      <c r="I64" s="16">
        <f>I61*5</f>
        <v>0.15</v>
      </c>
    </row>
    <row r="65" spans="1:27" s="16" customFormat="1" ht="10.5" customHeight="1" x14ac:dyDescent="0.2">
      <c r="A65" s="165"/>
      <c r="B65" s="166"/>
      <c r="C65" s="167"/>
      <c r="D65" s="167"/>
      <c r="E65" s="167"/>
      <c r="F65" s="168"/>
      <c r="G65" s="139"/>
    </row>
    <row r="66" spans="1:27" s="16" customFormat="1" ht="11.25" hidden="1" x14ac:dyDescent="0.2">
      <c r="A66" s="147"/>
      <c r="B66" s="168"/>
      <c r="C66" s="168"/>
      <c r="D66" s="168"/>
      <c r="E66" s="168"/>
      <c r="F66" s="168"/>
      <c r="G66" s="139" t="s">
        <v>84</v>
      </c>
      <c r="I66" s="140">
        <v>43980.831157862587</v>
      </c>
      <c r="J66" s="44"/>
      <c r="K66" s="44"/>
      <c r="Y66" s="14"/>
    </row>
    <row r="67" spans="1:27" s="16" customFormat="1" ht="11.25" hidden="1" x14ac:dyDescent="0.2">
      <c r="G67" s="139" t="s">
        <v>110</v>
      </c>
      <c r="I67" s="140">
        <v>6170.1583742714593</v>
      </c>
    </row>
    <row r="68" spans="1:27" s="14" customFormat="1" ht="11.25" x14ac:dyDescent="0.2">
      <c r="A68" s="116"/>
      <c r="B68" s="117"/>
      <c r="C68" s="35"/>
      <c r="D68" s="113"/>
      <c r="E68" s="35"/>
      <c r="F68" s="113"/>
      <c r="G68" s="16"/>
      <c r="H68" s="16"/>
      <c r="I68" s="16"/>
      <c r="X68" s="16"/>
      <c r="Y68" s="16"/>
    </row>
    <row r="69" spans="1:27" s="16" customFormat="1" ht="11.25" x14ac:dyDescent="0.2">
      <c r="A69" s="16" t="s">
        <v>221</v>
      </c>
      <c r="C69" s="35"/>
      <c r="D69" s="113"/>
      <c r="E69" s="35"/>
      <c r="F69" s="113"/>
      <c r="G69" s="139" t="s">
        <v>111</v>
      </c>
      <c r="I69" s="286"/>
    </row>
    <row r="70" spans="1:27" s="16" customFormat="1" ht="11.25" x14ac:dyDescent="0.2">
      <c r="A70" s="116"/>
      <c r="B70" s="35"/>
      <c r="C70" s="118"/>
      <c r="D70" s="113"/>
      <c r="E70" s="35"/>
      <c r="F70" s="113"/>
      <c r="G70" s="14"/>
      <c r="H70" s="14"/>
      <c r="I70" s="14"/>
    </row>
    <row r="71" spans="1:27" s="16" customFormat="1" ht="11.25" x14ac:dyDescent="0.2">
      <c r="A71" s="116"/>
      <c r="B71" s="35"/>
      <c r="C71" s="35"/>
      <c r="D71" s="113"/>
      <c r="E71" s="35"/>
      <c r="F71" s="113"/>
      <c r="G71" s="139" t="s">
        <v>112</v>
      </c>
      <c r="I71" s="330">
        <f>I69/(G53)</f>
        <v>0</v>
      </c>
    </row>
    <row r="72" spans="1:27" s="16" customFormat="1" ht="11.25" x14ac:dyDescent="0.2">
      <c r="A72" s="116"/>
      <c r="B72" s="117"/>
      <c r="C72" s="35"/>
      <c r="D72" s="113"/>
      <c r="E72" s="35"/>
      <c r="F72" s="113"/>
    </row>
    <row r="73" spans="1:27" s="16" customFormat="1" ht="12" thickBot="1" x14ac:dyDescent="0.25">
      <c r="A73" s="116"/>
      <c r="B73" s="117"/>
      <c r="C73" s="35"/>
      <c r="D73" s="113"/>
      <c r="E73" s="35"/>
      <c r="F73" s="113"/>
      <c r="G73" s="32" t="str">
        <f>$K$22+1&amp;" Net Credit"</f>
        <v>2019 Net Credit</v>
      </c>
      <c r="H73" s="27"/>
      <c r="I73" s="329">
        <f>I61+I71</f>
        <v>0.03</v>
      </c>
    </row>
    <row r="74" spans="1:27" s="16" customFormat="1" ht="12" thickTop="1" x14ac:dyDescent="0.2">
      <c r="A74" s="116"/>
      <c r="B74" s="117"/>
      <c r="C74" s="35"/>
      <c r="D74" s="113"/>
      <c r="E74" s="35"/>
      <c r="F74" s="113"/>
      <c r="Y74" s="14"/>
    </row>
    <row r="75" spans="1:27" s="16" customFormat="1" ht="11.25" x14ac:dyDescent="0.2">
      <c r="A75" s="116"/>
      <c r="B75" s="117"/>
      <c r="C75" s="35"/>
      <c r="D75" s="113"/>
      <c r="E75" s="35"/>
      <c r="F75" s="113"/>
      <c r="G75" s="139" t="s">
        <v>108</v>
      </c>
      <c r="I75" s="16">
        <f>+I73*3.5</f>
        <v>0.105</v>
      </c>
    </row>
    <row r="76" spans="1:27" s="16" customFormat="1" ht="11.25" x14ac:dyDescent="0.2">
      <c r="A76" s="116"/>
      <c r="B76" s="117"/>
      <c r="C76" s="35"/>
      <c r="D76" s="113"/>
      <c r="E76" s="35"/>
      <c r="F76" s="113"/>
      <c r="G76" s="139" t="s">
        <v>109</v>
      </c>
      <c r="I76" s="16">
        <f>I73*5</f>
        <v>0.15</v>
      </c>
    </row>
    <row r="77" spans="1:27" s="16" customFormat="1" ht="11.25" x14ac:dyDescent="0.2">
      <c r="A77" s="116"/>
      <c r="B77" s="117"/>
      <c r="C77" s="35"/>
      <c r="D77" s="113"/>
      <c r="E77" s="35"/>
      <c r="F77" s="113"/>
    </row>
    <row r="78" spans="1:27" s="16" customFormat="1" ht="11.25" x14ac:dyDescent="0.2">
      <c r="A78" s="116"/>
      <c r="B78" s="117"/>
      <c r="C78" s="35"/>
      <c r="D78" s="113"/>
      <c r="E78" s="35"/>
      <c r="F78" s="113"/>
      <c r="G78" s="14"/>
      <c r="H78" s="13"/>
      <c r="I78" s="14"/>
      <c r="J78" s="14"/>
      <c r="K78" s="13"/>
      <c r="L78" s="14"/>
      <c r="M78" s="14"/>
      <c r="N78" s="14"/>
      <c r="O78" s="14"/>
      <c r="P78" s="14"/>
      <c r="Q78" s="14"/>
      <c r="R78" s="14"/>
      <c r="S78" s="14"/>
      <c r="T78" s="14"/>
      <c r="U78" s="14"/>
      <c r="V78" s="13"/>
      <c r="W78" s="14"/>
      <c r="AA78" s="14"/>
    </row>
    <row r="79" spans="1:27" s="16" customFormat="1" ht="11.25" x14ac:dyDescent="0.2">
      <c r="A79" s="116"/>
      <c r="B79" s="117"/>
      <c r="C79" s="35"/>
      <c r="D79" s="113"/>
      <c r="E79" s="35"/>
      <c r="F79" s="113"/>
    </row>
    <row r="80" spans="1:27" s="16" customFormat="1" ht="11.25" x14ac:dyDescent="0.2">
      <c r="A80" s="116"/>
      <c r="B80" s="117"/>
      <c r="C80" s="35"/>
      <c r="D80" s="113"/>
      <c r="E80" s="35"/>
      <c r="F80" s="113"/>
    </row>
    <row r="81" spans="1:25" s="16" customFormat="1" ht="11.25" x14ac:dyDescent="0.2">
      <c r="A81" s="116"/>
      <c r="B81" s="35"/>
      <c r="C81" s="35"/>
      <c r="D81" s="113"/>
      <c r="E81" s="35"/>
      <c r="F81" s="113"/>
    </row>
    <row r="82" spans="1:25" s="16" customFormat="1" ht="11.25" x14ac:dyDescent="0.2">
      <c r="A82" s="116"/>
      <c r="B82" s="35"/>
      <c r="C82" s="118"/>
      <c r="D82" s="113"/>
      <c r="E82" s="35"/>
      <c r="F82" s="113"/>
    </row>
    <row r="83" spans="1:25" s="16" customFormat="1" x14ac:dyDescent="0.2">
      <c r="A83" s="120"/>
      <c r="B83" s="120"/>
      <c r="C83" s="120"/>
      <c r="D83" s="121"/>
      <c r="E83" s="120"/>
      <c r="F83" s="120"/>
      <c r="Y83" s="14"/>
    </row>
    <row r="84" spans="1:25" s="16" customFormat="1" ht="11.25" x14ac:dyDescent="0.2">
      <c r="A84" s="122"/>
      <c r="B84" s="35"/>
      <c r="C84" s="118"/>
      <c r="D84" s="113"/>
      <c r="E84" s="118"/>
      <c r="F84" s="123"/>
    </row>
    <row r="85" spans="1:25" s="16" customFormat="1" ht="11.25" x14ac:dyDescent="0.2"/>
    <row r="86" spans="1:25" s="16" customFormat="1" ht="11.25" x14ac:dyDescent="0.2"/>
    <row r="87" spans="1:25" s="16" customFormat="1" ht="11.25" x14ac:dyDescent="0.2">
      <c r="B87" s="8"/>
    </row>
    <row r="88" spans="1:25" s="14" customFormat="1" ht="11.25" x14ac:dyDescent="0.2">
      <c r="B88" s="31"/>
      <c r="X88" s="16"/>
      <c r="Y88" s="16"/>
    </row>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c r="A97" s="6"/>
    </row>
    <row r="98" spans="1:27" s="16" customFormat="1" x14ac:dyDescent="0.2">
      <c r="AA98" s="5"/>
    </row>
    <row r="99" spans="1:27" s="16" customFormat="1" x14ac:dyDescent="0.2">
      <c r="AA99" s="5"/>
    </row>
    <row r="100" spans="1:27" s="16" customFormat="1" x14ac:dyDescent="0.2">
      <c r="AA100" s="5"/>
    </row>
    <row r="101" spans="1:27" s="16" customFormat="1" x14ac:dyDescent="0.2">
      <c r="AA101" s="5"/>
    </row>
    <row r="102" spans="1:27" s="16" customFormat="1" x14ac:dyDescent="0.2">
      <c r="G102" s="56"/>
      <c r="I102" s="56"/>
      <c r="J102" s="56"/>
      <c r="L102" s="56"/>
      <c r="M102" s="56"/>
      <c r="N102" s="56"/>
      <c r="O102" s="56"/>
      <c r="P102" s="56"/>
      <c r="Q102" s="56"/>
      <c r="R102" s="56"/>
      <c r="S102" s="56"/>
      <c r="T102" s="56"/>
      <c r="U102" s="56"/>
      <c r="V102" s="56"/>
      <c r="W102" s="56"/>
      <c r="X102" s="56"/>
      <c r="Y102" s="56"/>
      <c r="AA102" s="5"/>
    </row>
    <row r="103" spans="1:27" s="16" customFormat="1" x14ac:dyDescent="0.2">
      <c r="AA103" s="5"/>
    </row>
    <row r="104" spans="1:27" s="16" customFormat="1" ht="13.5" thickBot="1" x14ac:dyDescent="0.25">
      <c r="G104" s="57"/>
      <c r="I104" s="57"/>
      <c r="J104" s="57"/>
      <c r="L104" s="57"/>
      <c r="M104" s="57"/>
      <c r="N104" s="57"/>
      <c r="O104" s="57"/>
      <c r="P104" s="57"/>
      <c r="Q104" s="57"/>
      <c r="R104" s="57"/>
      <c r="S104" s="57"/>
      <c r="T104" s="57"/>
      <c r="U104" s="57"/>
      <c r="V104" s="57"/>
      <c r="W104" s="57"/>
      <c r="X104" s="57"/>
      <c r="Y104" s="57"/>
      <c r="AA104" s="5"/>
    </row>
    <row r="105" spans="1:27" ht="13.5" thickTop="1" x14ac:dyDescent="0.2"/>
    <row r="106" spans="1:27" x14ac:dyDescent="0.2">
      <c r="W106" s="58"/>
      <c r="X106" s="58"/>
      <c r="Y106" s="58"/>
    </row>
    <row r="107" spans="1:27" x14ac:dyDescent="0.2">
      <c r="W107" s="58"/>
      <c r="AA107" s="58"/>
    </row>
  </sheetData>
  <printOptions horizontalCentered="1"/>
  <pageMargins left="0" right="0" top="0.26" bottom="0.33" header="0" footer="0"/>
  <pageSetup scale="58" orientation="portrait" horizontalDpi="4294967292" verticalDpi="4294967292" r:id="rId1"/>
  <headerFooter alignWithMargins="0">
    <oddFooter>&amp;R&amp;"Helv,Regular"&amp;6\\SERVER1\DPUBLIC\EXCEL\WUTC\&amp;F, &amp;A, &amp;D, &amp;T, Page &amp;P of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Q118"/>
  <sheetViews>
    <sheetView showGridLines="0" zoomScaleNormal="100" workbookViewId="0">
      <selection activeCell="L6" sqref="L6"/>
    </sheetView>
  </sheetViews>
  <sheetFormatPr defaultRowHeight="12.75" x14ac:dyDescent="0.2"/>
  <cols>
    <col min="1" max="1" width="8.140625" style="195" customWidth="1"/>
    <col min="2" max="2" width="2.140625" style="195" customWidth="1"/>
    <col min="3" max="13" width="11.7109375" style="195" customWidth="1"/>
    <col min="14" max="14" width="2.85546875" style="195" customWidth="1"/>
    <col min="15" max="15" width="9" style="287" bestFit="1" customWidth="1"/>
    <col min="16" max="16" width="15.85546875" style="195" customWidth="1"/>
    <col min="17" max="16384" width="9.140625" style="195"/>
  </cols>
  <sheetData>
    <row r="1" spans="1:17" x14ac:dyDescent="0.2">
      <c r="A1" s="305" t="s">
        <v>46</v>
      </c>
      <c r="B1" s="304"/>
    </row>
    <row r="2" spans="1:17" x14ac:dyDescent="0.2">
      <c r="A2" s="303" t="str">
        <f>'WUTC_AW of Bellevue_MF 2018'!A1</f>
        <v>Rabanco Ltd (dba Allied Waste of Bellevue)</v>
      </c>
      <c r="B2" s="303"/>
    </row>
    <row r="3" spans="1:17" x14ac:dyDescent="0.2">
      <c r="B3" s="302"/>
    </row>
    <row r="4" spans="1:17" x14ac:dyDescent="0.2">
      <c r="B4" s="302"/>
      <c r="C4" s="302"/>
      <c r="D4" s="302"/>
      <c r="E4" s="302"/>
      <c r="F4" s="302"/>
      <c r="G4" s="302"/>
      <c r="H4" s="302"/>
      <c r="I4" s="302"/>
      <c r="J4" s="302"/>
      <c r="K4" s="302"/>
      <c r="L4" s="302"/>
      <c r="M4" s="302"/>
      <c r="O4" s="301" t="str">
        <f>+TEXT(P18,"00.0%")&amp;" of"</f>
        <v>50.0% of</v>
      </c>
    </row>
    <row r="5" spans="1:17" x14ac:dyDescent="0.2">
      <c r="B5" s="302"/>
      <c r="C5" s="300" t="s">
        <v>21</v>
      </c>
      <c r="D5" s="300" t="s">
        <v>22</v>
      </c>
      <c r="E5" s="300" t="s">
        <v>33</v>
      </c>
      <c r="F5" s="300" t="s">
        <v>23</v>
      </c>
      <c r="G5" s="300" t="s">
        <v>24</v>
      </c>
      <c r="H5" s="300" t="s">
        <v>25</v>
      </c>
      <c r="I5" s="300" t="s">
        <v>26</v>
      </c>
      <c r="J5" s="300" t="s">
        <v>27</v>
      </c>
      <c r="K5" s="300" t="s">
        <v>28</v>
      </c>
      <c r="L5" s="300" t="s">
        <v>29</v>
      </c>
      <c r="M5" s="300" t="s">
        <v>30</v>
      </c>
      <c r="O5" s="301" t="s">
        <v>30</v>
      </c>
      <c r="P5" s="300" t="s">
        <v>96</v>
      </c>
    </row>
    <row r="6" spans="1:17" ht="15.75" customHeight="1" x14ac:dyDescent="0.2">
      <c r="A6" s="298">
        <f>+'Pricing MF 2018'!A4</f>
        <v>42856</v>
      </c>
      <c r="B6" s="302"/>
      <c r="C6" s="291">
        <f>'Commodity Tonnages MF 2018'!C6*'Pricing MF 2018'!C4</f>
        <v>196.77782249999998</v>
      </c>
      <c r="D6" s="297">
        <f>'Commodity Tonnages MF 2018'!D6*'Pricing MF 2018'!D4</f>
        <v>-81.517494240000005</v>
      </c>
      <c r="E6" s="297">
        <f>'Commodity Tonnages MF 2018'!E6*'Pricing MF 2018'!E4</f>
        <v>0</v>
      </c>
      <c r="F6" s="297">
        <f>'Commodity Tonnages MF 2018'!F6*'Pricing MF 2018'!F4</f>
        <v>34.4234583</v>
      </c>
      <c r="G6" s="297">
        <f>'Commodity Tonnages MF 2018'!G6*'Pricing MF 2018'!G4</f>
        <v>369.01683000000003</v>
      </c>
      <c r="H6" s="297">
        <f>'Commodity Tonnages MF 2018'!H6*'Pricing MF 2018'!H4</f>
        <v>560.85144695999975</v>
      </c>
      <c r="I6" s="297">
        <f>'Commodity Tonnages MF 2018'!I6*'Pricing MF 2018'!I4</f>
        <v>60.187098510000013</v>
      </c>
      <c r="J6" s="297">
        <f>'Commodity Tonnages MF 2018'!J6*'Pricing MF 2018'!J4</f>
        <v>60.187098510000013</v>
      </c>
      <c r="K6" s="297">
        <f>'Commodity Tonnages MF 2018'!K6*'Pricing MF 2018'!K4</f>
        <v>685.19083248000004</v>
      </c>
      <c r="L6" s="297">
        <f>'Commodity Tonnages MF 2018'!L6*'Pricing MF 2018'!L4</f>
        <v>-231.29479926000053</v>
      </c>
      <c r="M6" s="296">
        <f t="shared" ref="M6:M18" si="0">SUM(C6:L6)</f>
        <v>1653.8222937599992</v>
      </c>
      <c r="O6" s="98">
        <f t="shared" ref="O6:O17" si="1">M6*P6</f>
        <v>826.91114687999959</v>
      </c>
      <c r="P6" s="339">
        <v>0.5</v>
      </c>
      <c r="Q6" s="170"/>
    </row>
    <row r="7" spans="1:17" ht="15.75" customHeight="1" x14ac:dyDescent="0.2">
      <c r="A7" s="298">
        <f>+'Pricing MF 2018'!A5</f>
        <v>42916</v>
      </c>
      <c r="B7" s="302"/>
      <c r="C7" s="291">
        <f>'Commodity Tonnages MF 2018'!C7*'Pricing MF 2018'!C5</f>
        <v>212.96471250000002</v>
      </c>
      <c r="D7" s="297">
        <f>'Commodity Tonnages MF 2018'!D7*'Pricing MF 2018'!D5</f>
        <v>-35.925760000000004</v>
      </c>
      <c r="E7" s="297">
        <f>'Commodity Tonnages MF 2018'!E7*'Pricing MF 2018'!E5</f>
        <v>0</v>
      </c>
      <c r="F7" s="297">
        <f>'Commodity Tonnages MF 2018'!F7*'Pricing MF 2018'!F5</f>
        <v>36.189284999999998</v>
      </c>
      <c r="G7" s="297">
        <f>'Commodity Tonnages MF 2018'!G7*'Pricing MF 2018'!G5</f>
        <v>526.62772500000005</v>
      </c>
      <c r="H7" s="297">
        <f>'Commodity Tonnages MF 2018'!H7*'Pricing MF 2018'!H5</f>
        <v>805.9287919999997</v>
      </c>
      <c r="I7" s="297">
        <f>'Commodity Tonnages MF 2018'!I7*'Pricing MF 2018'!I5</f>
        <v>50.3227975</v>
      </c>
      <c r="J7" s="297">
        <f>'Commodity Tonnages MF 2018'!J7*'Pricing MF 2018'!J5</f>
        <v>50.3227975</v>
      </c>
      <c r="K7" s="297">
        <f>'Commodity Tonnages MF 2018'!K7*'Pricing MF 2018'!K5</f>
        <v>902.54023200000006</v>
      </c>
      <c r="L7" s="297">
        <f>'Commodity Tonnages MF 2018'!L7*'Pricing MF 2018'!L5</f>
        <v>-253.40268725000055</v>
      </c>
      <c r="M7" s="296">
        <f t="shared" si="0"/>
        <v>2295.567894249999</v>
      </c>
      <c r="O7" s="98">
        <f t="shared" si="1"/>
        <v>1147.7839471249995</v>
      </c>
      <c r="P7" s="339">
        <v>0.5</v>
      </c>
      <c r="Q7" s="170"/>
    </row>
    <row r="8" spans="1:17" ht="15.75" customHeight="1" x14ac:dyDescent="0.2">
      <c r="A8" s="298">
        <f>+'Pricing MF 2018'!A6</f>
        <v>42947</v>
      </c>
      <c r="B8" s="288"/>
      <c r="C8" s="291">
        <f>'Commodity Tonnages MF 2018'!C8*'Pricing MF 2018'!C6</f>
        <v>181.1670225</v>
      </c>
      <c r="D8" s="297">
        <f>'Commodity Tonnages MF 2018'!D8*'Pricing MF 2018'!D6</f>
        <v>-32.406609040000006</v>
      </c>
      <c r="E8" s="297">
        <f>'Commodity Tonnages MF 2018'!E8*'Pricing MF 2018'!E6</f>
        <v>0</v>
      </c>
      <c r="F8" s="297">
        <f>'Commodity Tonnages MF 2018'!F8*'Pricing MF 2018'!F6</f>
        <v>30.943768349999999</v>
      </c>
      <c r="G8" s="297">
        <f>'Commodity Tonnages MF 2018'!G8*'Pricing MF 2018'!G6</f>
        <v>532.94841600000007</v>
      </c>
      <c r="H8" s="297">
        <f>'Commodity Tonnages MF 2018'!H8*'Pricing MF 2018'!H6</f>
        <v>833.81314815999974</v>
      </c>
      <c r="I8" s="297">
        <f>'Commodity Tonnages MF 2018'!I8*'Pricing MF 2018'!I6</f>
        <v>38.939783174999995</v>
      </c>
      <c r="J8" s="297">
        <f>'Commodity Tonnages MF 2018'!J8*'Pricing MF 2018'!J6</f>
        <v>38.939783174999995</v>
      </c>
      <c r="K8" s="297">
        <f>'Commodity Tonnages MF 2018'!K8*'Pricing MF 2018'!K6</f>
        <v>806.89524893999999</v>
      </c>
      <c r="L8" s="297">
        <f>'Commodity Tonnages MF 2018'!L8*'Pricing MF 2018'!L6</f>
        <v>-221.3183155100005</v>
      </c>
      <c r="M8" s="296">
        <f t="shared" si="0"/>
        <v>2209.9222457499991</v>
      </c>
      <c r="O8" s="98">
        <f t="shared" si="1"/>
        <v>1104.9611228749995</v>
      </c>
      <c r="P8" s="339">
        <v>0.5</v>
      </c>
      <c r="Q8" s="170"/>
    </row>
    <row r="9" spans="1:17" ht="15.75" customHeight="1" x14ac:dyDescent="0.2">
      <c r="A9" s="298">
        <f>+'Pricing MF 2018'!A7</f>
        <v>42978</v>
      </c>
      <c r="B9" s="288"/>
      <c r="C9" s="291">
        <f>'Commodity Tonnages MF 2018'!C9*'Pricing MF 2018'!C7</f>
        <v>172.13157000000001</v>
      </c>
      <c r="D9" s="297">
        <f>'Commodity Tonnages MF 2018'!D9*'Pricing MF 2018'!D7</f>
        <v>-19.451359200000002</v>
      </c>
      <c r="E9" s="297">
        <f>'Commodity Tonnages MF 2018'!E9*'Pricing MF 2018'!E7</f>
        <v>0</v>
      </c>
      <c r="F9" s="297">
        <f>'Commodity Tonnages MF 2018'!F9*'Pricing MF 2018'!F7</f>
        <v>32.671460250000003</v>
      </c>
      <c r="G9" s="297">
        <f>'Commodity Tonnages MF 2018'!G9*'Pricing MF 2018'!G7</f>
        <v>403.51749750000005</v>
      </c>
      <c r="H9" s="297">
        <f>'Commodity Tonnages MF 2018'!H9*'Pricing MF 2018'!H7</f>
        <v>629.85061229999951</v>
      </c>
      <c r="I9" s="297">
        <f>'Commodity Tonnages MF 2018'!I9*'Pricing MF 2018'!I7</f>
        <v>47.252995725000012</v>
      </c>
      <c r="J9" s="297">
        <f>'Commodity Tonnages MF 2018'!J9*'Pricing MF 2018'!J7</f>
        <v>47.252995725000012</v>
      </c>
      <c r="K9" s="297">
        <f>'Commodity Tonnages MF 2018'!K9*'Pricing MF 2018'!K7</f>
        <v>658.31633010000007</v>
      </c>
      <c r="L9" s="297">
        <f>'Commodity Tonnages MF 2018'!L9*'Pricing MF 2018'!L7</f>
        <v>-202.32309045000045</v>
      </c>
      <c r="M9" s="296">
        <f t="shared" si="0"/>
        <v>1769.2190119499992</v>
      </c>
      <c r="O9" s="98">
        <f t="shared" si="1"/>
        <v>884.60950597499959</v>
      </c>
      <c r="P9" s="339">
        <v>0.5</v>
      </c>
      <c r="Q9" s="170"/>
    </row>
    <row r="10" spans="1:17" ht="15.75" customHeight="1" x14ac:dyDescent="0.2">
      <c r="A10" s="298">
        <f>+'Pricing MF 2018'!A8</f>
        <v>43008</v>
      </c>
      <c r="B10" s="288"/>
      <c r="C10" s="291">
        <f>'Commodity Tonnages MF 2018'!C10*'Pricing MF 2018'!C8</f>
        <v>182.2822875</v>
      </c>
      <c r="D10" s="297">
        <f>'Commodity Tonnages MF 2018'!D10*'Pricing MF 2018'!D8</f>
        <v>-25.292124000000001</v>
      </c>
      <c r="E10" s="297">
        <f>'Commodity Tonnages MF 2018'!E10*'Pricing MF 2018'!E8</f>
        <v>0</v>
      </c>
      <c r="F10" s="297">
        <f>'Commodity Tonnages MF 2018'!F10*'Pricing MF 2018'!F8</f>
        <v>36.407497499999998</v>
      </c>
      <c r="G10" s="297">
        <f>'Commodity Tonnages MF 2018'!G10*'Pricing MF 2018'!G8</f>
        <v>313.36695000000003</v>
      </c>
      <c r="H10" s="297">
        <f>'Commodity Tonnages MF 2018'!H10*'Pricing MF 2018'!H8</f>
        <v>474.71131499999979</v>
      </c>
      <c r="I10" s="297">
        <f>'Commodity Tonnages MF 2018'!I10*'Pricing MF 2018'!I8</f>
        <v>41.275447499999999</v>
      </c>
      <c r="J10" s="297">
        <f>'Commodity Tonnages MF 2018'!J10*'Pricing MF 2018'!J8</f>
        <v>41.275447499999999</v>
      </c>
      <c r="K10" s="297">
        <f>'Commodity Tonnages MF 2018'!K10*'Pricing MF 2018'!K8</f>
        <v>502.94098800000006</v>
      </c>
      <c r="L10" s="297">
        <f>'Commodity Tonnages MF 2018'!L10*'Pricing MF 2018'!L8</f>
        <v>-203.52026850000044</v>
      </c>
      <c r="M10" s="296">
        <f t="shared" si="0"/>
        <v>1363.4475404999996</v>
      </c>
      <c r="O10" s="98">
        <f t="shared" si="1"/>
        <v>681.7237702499998</v>
      </c>
      <c r="P10" s="339">
        <v>0.5</v>
      </c>
      <c r="Q10" s="170"/>
    </row>
    <row r="11" spans="1:17" ht="15.75" customHeight="1" x14ac:dyDescent="0.2">
      <c r="A11" s="298">
        <f>+'Pricing MF 2018'!A9</f>
        <v>43039</v>
      </c>
      <c r="B11" s="288"/>
      <c r="C11" s="291">
        <f>'Commodity Tonnages MF 2018'!C11*'Pricing MF 2018'!C9</f>
        <v>193.88636700000001</v>
      </c>
      <c r="D11" s="297">
        <f>'Commodity Tonnages MF 2018'!D11*'Pricing MF 2018'!D9</f>
        <v>-40.918733440000004</v>
      </c>
      <c r="E11" s="297">
        <f>'Commodity Tonnages MF 2018'!E11*'Pricing MF 2018'!E9</f>
        <v>0</v>
      </c>
      <c r="F11" s="297">
        <f>'Commodity Tonnages MF 2018'!F11*'Pricing MF 2018'!F9</f>
        <v>33.081536399999997</v>
      </c>
      <c r="G11" s="297">
        <f>'Commodity Tonnages MF 2018'!G11*'Pricing MF 2018'!G9</f>
        <v>310.10826600000001</v>
      </c>
      <c r="H11" s="297">
        <f>'Commodity Tonnages MF 2018'!H11*'Pricing MF 2018'!H9</f>
        <v>468.41182256000008</v>
      </c>
      <c r="I11" s="297">
        <f>'Commodity Tonnages MF 2018'!I11*'Pricing MF 2018'!I9</f>
        <v>28.577152780000002</v>
      </c>
      <c r="J11" s="297">
        <f>'Commodity Tonnages MF 2018'!J11*'Pricing MF 2018'!J9</f>
        <v>28.577152780000002</v>
      </c>
      <c r="K11" s="297">
        <f>'Commodity Tonnages MF 2018'!K11*'Pricing MF 2018'!K9</f>
        <v>384.10247303999995</v>
      </c>
      <c r="L11" s="297">
        <f>'Commodity Tonnages MF 2018'!L11*'Pricing MF 2018'!L9</f>
        <v>-210.38408932000044</v>
      </c>
      <c r="M11" s="296">
        <f t="shared" si="0"/>
        <v>1195.4419477999998</v>
      </c>
      <c r="O11" s="98">
        <f t="shared" si="1"/>
        <v>597.72097389999988</v>
      </c>
      <c r="P11" s="339">
        <v>0.5</v>
      </c>
      <c r="Q11" s="170"/>
    </row>
    <row r="12" spans="1:17" ht="15.75" customHeight="1" x14ac:dyDescent="0.2">
      <c r="A12" s="298">
        <f>+'Pricing MF 2018'!A10</f>
        <v>43069</v>
      </c>
      <c r="B12" s="288"/>
      <c r="C12" s="291">
        <f>'Commodity Tonnages MF 2018'!C12*'Pricing MF 2018'!C10</f>
        <v>201.86236499999998</v>
      </c>
      <c r="D12" s="297">
        <f>'Commodity Tonnages MF 2018'!D12*'Pricing MF 2018'!D10</f>
        <v>-12.292373599999999</v>
      </c>
      <c r="E12" s="297">
        <f>'Commodity Tonnages MF 2018'!E12*'Pricing MF 2018'!E10</f>
        <v>0</v>
      </c>
      <c r="F12" s="297">
        <f>'Commodity Tonnages MF 2018'!F12*'Pricing MF 2018'!F10</f>
        <v>35.686464000000001</v>
      </c>
      <c r="G12" s="297">
        <f>'Commodity Tonnages MF 2018'!G12*'Pricing MF 2018'!G10</f>
        <v>356.12089500000008</v>
      </c>
      <c r="H12" s="297">
        <f>'Commodity Tonnages MF 2018'!H12*'Pricing MF 2018'!H10</f>
        <v>471.09750099999962</v>
      </c>
      <c r="I12" s="297">
        <f>'Commodity Tonnages MF 2018'!I12*'Pricing MF 2018'!I10</f>
        <v>31.124343249999999</v>
      </c>
      <c r="J12" s="297">
        <f>'Commodity Tonnages MF 2018'!J12*'Pricing MF 2018'!J10</f>
        <v>31.124343249999999</v>
      </c>
      <c r="K12" s="297">
        <f>'Commodity Tonnages MF 2018'!K12*'Pricing MF 2018'!K10</f>
        <v>563.60846520000007</v>
      </c>
      <c r="L12" s="297">
        <f>'Commodity Tonnages MF 2018'!L12*'Pricing MF 2018'!L10</f>
        <v>-221.07887990000049</v>
      </c>
      <c r="M12" s="296">
        <f t="shared" si="0"/>
        <v>1457.2531231999994</v>
      </c>
      <c r="O12" s="98">
        <f t="shared" si="1"/>
        <v>728.62656159999972</v>
      </c>
      <c r="P12" s="339">
        <v>0.5</v>
      </c>
      <c r="Q12" s="170"/>
    </row>
    <row r="13" spans="1:17" ht="15.75" customHeight="1" x14ac:dyDescent="0.2">
      <c r="A13" s="298">
        <f>+'Pricing MF 2018'!A11</f>
        <v>43100</v>
      </c>
      <c r="B13" s="288"/>
      <c r="C13" s="291">
        <f>'Commodity Tonnages MF 2018'!C13*'Pricing MF 2018'!C11</f>
        <v>202.872558</v>
      </c>
      <c r="D13" s="297">
        <f>'Commodity Tonnages MF 2018'!D13*'Pricing MF 2018'!D11</f>
        <v>-46.479553120000006</v>
      </c>
      <c r="E13" s="297">
        <f>'Commodity Tonnages MF 2018'!E13*'Pricing MF 2018'!E11</f>
        <v>0</v>
      </c>
      <c r="F13" s="297">
        <f>'Commodity Tonnages MF 2018'!F13*'Pricing MF 2018'!F11</f>
        <v>40.630786350000001</v>
      </c>
      <c r="G13" s="297">
        <f>'Commodity Tonnages MF 2018'!G13*'Pricing MF 2018'!G11</f>
        <v>345.13929450000001</v>
      </c>
      <c r="H13" s="297">
        <f>'Commodity Tonnages MF 2018'!H13*'Pricing MF 2018'!H11</f>
        <v>446.0679613599998</v>
      </c>
      <c r="I13" s="297">
        <f>'Commodity Tonnages MF 2018'!I13*'Pricing MF 2018'!I11</f>
        <v>32.236163785000002</v>
      </c>
      <c r="J13" s="297">
        <f>'Commodity Tonnages MF 2018'!J13*'Pricing MF 2018'!J11</f>
        <v>32.236163785000002</v>
      </c>
      <c r="K13" s="297">
        <f>'Commodity Tonnages MF 2018'!K13*'Pricing MF 2018'!K11</f>
        <v>532.70578746000001</v>
      </c>
      <c r="L13" s="297">
        <f>'Commodity Tonnages MF 2018'!L13*'Pricing MF 2018'!L11</f>
        <v>-221.7971867300005</v>
      </c>
      <c r="M13" s="296">
        <f t="shared" si="0"/>
        <v>1363.6119753899993</v>
      </c>
      <c r="O13" s="98">
        <f t="shared" si="1"/>
        <v>681.80598769499966</v>
      </c>
      <c r="P13" s="339">
        <v>0.5</v>
      </c>
      <c r="Q13" s="170"/>
    </row>
    <row r="14" spans="1:17" ht="15.75" customHeight="1" x14ac:dyDescent="0.2">
      <c r="A14" s="298">
        <f>+'Pricing MF 2018'!A12</f>
        <v>43131</v>
      </c>
      <c r="B14" s="288"/>
      <c r="C14" s="291">
        <f>'Commodity Tonnages MF 2018'!C14*'Pricing MF 2018'!C12</f>
        <v>262.04294849999997</v>
      </c>
      <c r="D14" s="297">
        <f>'Commodity Tonnages MF 2018'!D14*'Pricing MF 2018'!D12</f>
        <v>-60.856363360000003</v>
      </c>
      <c r="E14" s="297">
        <f>'Commodity Tonnages MF 2018'!E14*'Pricing MF 2018'!E12</f>
        <v>0</v>
      </c>
      <c r="F14" s="297">
        <f>'Commodity Tonnages MF 2018'!F14*'Pricing MF 2018'!F12</f>
        <v>58.592991600000005</v>
      </c>
      <c r="G14" s="297">
        <f>'Commodity Tonnages MF 2018'!G14*'Pricing MF 2018'!G12</f>
        <v>267.67689000000001</v>
      </c>
      <c r="H14" s="297">
        <f>'Commodity Tonnages MF 2018'!H14*'Pricing MF 2018'!H12</f>
        <v>445.84208993999988</v>
      </c>
      <c r="I14" s="297">
        <f>'Commodity Tonnages MF 2018'!I14*'Pricing MF 2018'!I12</f>
        <v>41.378618719999999</v>
      </c>
      <c r="J14" s="297">
        <f>'Commodity Tonnages MF 2018'!J14*'Pricing MF 2018'!J12</f>
        <v>41.378618719999999</v>
      </c>
      <c r="K14" s="297">
        <f>'Commodity Tonnages MF 2018'!K14*'Pricing MF 2018'!K12</f>
        <v>645.89554062000002</v>
      </c>
      <c r="L14" s="297">
        <f>'Commodity Tonnages MF 2018'!L14*'Pricing MF 2018'!L12</f>
        <v>-275.27113963000068</v>
      </c>
      <c r="M14" s="296">
        <f t="shared" si="0"/>
        <v>1426.6801951099992</v>
      </c>
      <c r="O14" s="98">
        <f t="shared" si="1"/>
        <v>713.3400975549996</v>
      </c>
      <c r="P14" s="339">
        <v>0.5</v>
      </c>
      <c r="Q14" s="170"/>
    </row>
    <row r="15" spans="1:17" ht="15.75" customHeight="1" x14ac:dyDescent="0.2">
      <c r="A15" s="298">
        <f>+'Pricing MF 2018'!A13</f>
        <v>43159</v>
      </c>
      <c r="B15" s="288"/>
      <c r="C15" s="291">
        <f>'Commodity Tonnages MF 2018'!C15*'Pricing MF 2018'!C13</f>
        <v>208.63161374999999</v>
      </c>
      <c r="D15" s="297">
        <f>'Commodity Tonnages MF 2018'!D15*'Pricing MF 2018'!D13</f>
        <v>-39.865129199999998</v>
      </c>
      <c r="E15" s="297">
        <f>'Commodity Tonnages MF 2018'!E15*'Pricing MF 2018'!E13</f>
        <v>0</v>
      </c>
      <c r="F15" s="297">
        <f>'Commodity Tonnages MF 2018'!F15*'Pricing MF 2018'!F13</f>
        <v>43.066122</v>
      </c>
      <c r="G15" s="297">
        <f>'Commodity Tonnages MF 2018'!G15*'Pricing MF 2018'!G13</f>
        <v>-99.520102499999993</v>
      </c>
      <c r="H15" s="297">
        <f>'Commodity Tonnages MF 2018'!H15*'Pricing MF 2018'!H13</f>
        <v>-197.56959269999982</v>
      </c>
      <c r="I15" s="297">
        <f>'Commodity Tonnages MF 2018'!I15*'Pricing MF 2018'!I13</f>
        <v>53.925786774999999</v>
      </c>
      <c r="J15" s="297">
        <f>'Commodity Tonnages MF 2018'!J15*'Pricing MF 2018'!J13</f>
        <v>53.925786774999999</v>
      </c>
      <c r="K15" s="297">
        <f>'Commodity Tonnages MF 2018'!K15*'Pricing MF 2018'!K13</f>
        <v>314.82487079999999</v>
      </c>
      <c r="L15" s="297">
        <f>'Commodity Tonnages MF 2018'!L15*'Pricing MF 2018'!L13</f>
        <v>-224.67041405000049</v>
      </c>
      <c r="M15" s="296">
        <f t="shared" si="0"/>
        <v>112.74894164999967</v>
      </c>
      <c r="O15" s="98">
        <f t="shared" si="1"/>
        <v>56.374470824999833</v>
      </c>
      <c r="P15" s="339">
        <v>0.5</v>
      </c>
      <c r="Q15" s="170"/>
    </row>
    <row r="16" spans="1:17" ht="15.75" customHeight="1" x14ac:dyDescent="0.2">
      <c r="A16" s="298">
        <f>+'Pricing MF 2018'!A14</f>
        <v>43190</v>
      </c>
      <c r="B16" s="288"/>
      <c r="C16" s="291">
        <f>'Commodity Tonnages MF 2018'!C16*'Pricing MF 2018'!C14</f>
        <v>257.80152375</v>
      </c>
      <c r="D16" s="297">
        <f>'Commodity Tonnages MF 2018'!D16*'Pricing MF 2018'!D14</f>
        <v>-55.930680000000002</v>
      </c>
      <c r="E16" s="297">
        <f>'Commodity Tonnages MF 2018'!E16*'Pricing MF 2018'!E14</f>
        <v>0</v>
      </c>
      <c r="F16" s="297">
        <f>'Commodity Tonnages MF 2018'!F16*'Pricing MF 2018'!F14</f>
        <v>61.883332500000002</v>
      </c>
      <c r="G16" s="297">
        <f>'Commodity Tonnages MF 2018'!G16*'Pricing MF 2018'!G14</f>
        <v>-111.24447750000002</v>
      </c>
      <c r="H16" s="297">
        <f>'Commodity Tonnages MF 2018'!H16*'Pricing MF 2018'!H14</f>
        <v>-241.94806529999994</v>
      </c>
      <c r="I16" s="297">
        <f>'Commodity Tonnages MF 2018'!I16*'Pricing MF 2018'!I14</f>
        <v>83.046725699999996</v>
      </c>
      <c r="J16" s="297">
        <f>'Commodity Tonnages MF 2018'!J16*'Pricing MF 2018'!J14</f>
        <v>83.046725699999996</v>
      </c>
      <c r="K16" s="297">
        <f>'Commodity Tonnages MF 2018'!K16*'Pricing MF 2018'!K14</f>
        <v>355.09085369999997</v>
      </c>
      <c r="L16" s="297">
        <f>'Commodity Tonnages MF 2018'!L16*'Pricing MF 2018'!L14</f>
        <v>-280.53872305000061</v>
      </c>
      <c r="M16" s="296">
        <f t="shared" si="0"/>
        <v>151.20721549999939</v>
      </c>
      <c r="O16" s="98">
        <f t="shared" si="1"/>
        <v>75.603607749999696</v>
      </c>
      <c r="P16" s="339">
        <v>0.5</v>
      </c>
      <c r="Q16" s="170"/>
    </row>
    <row r="17" spans="1:17" ht="15.75" customHeight="1" x14ac:dyDescent="0.2">
      <c r="A17" s="298">
        <f>+'Pricing MF 2018'!A15</f>
        <v>43220</v>
      </c>
      <c r="B17" s="288"/>
      <c r="C17" s="291">
        <f>'Commodity Tonnages MF 2018'!C17*'Pricing MF 2018'!C15</f>
        <v>259.17271274999996</v>
      </c>
      <c r="D17" s="297">
        <f>'Commodity Tonnages MF 2018'!D17*'Pricing MF 2018'!D15</f>
        <v>-63.140460239999996</v>
      </c>
      <c r="E17" s="297">
        <f>'Commodity Tonnages MF 2018'!E17*'Pricing MF 2018'!E15</f>
        <v>0</v>
      </c>
      <c r="F17" s="297">
        <f>'Commodity Tonnages MF 2018'!F17*'Pricing MF 2018'!F15</f>
        <v>63.079402649999999</v>
      </c>
      <c r="G17" s="297">
        <f>'Commodity Tonnages MF 2018'!G17*'Pricing MF 2018'!G15</f>
        <v>0</v>
      </c>
      <c r="H17" s="297">
        <f>'Commodity Tonnages MF 2018'!H17*'Pricing MF 2018'!H15</f>
        <v>-371.47423791999989</v>
      </c>
      <c r="I17" s="297">
        <f>'Commodity Tonnages MF 2018'!I17*'Pricing MF 2018'!I15</f>
        <v>84.572250345</v>
      </c>
      <c r="J17" s="297">
        <f>'Commodity Tonnages MF 2018'!J17*'Pricing MF 2018'!J15</f>
        <v>84.572250345</v>
      </c>
      <c r="K17" s="297">
        <f>'Commodity Tonnages MF 2018'!K17*'Pricing MF 2018'!K15</f>
        <v>358.38962081999995</v>
      </c>
      <c r="L17" s="297">
        <f>'Commodity Tonnages MF 2018'!L17*'Pricing MF 2018'!L15</f>
        <v>-278.6232381700006</v>
      </c>
      <c r="M17" s="296">
        <f t="shared" si="0"/>
        <v>136.54830057999948</v>
      </c>
      <c r="O17" s="98">
        <f t="shared" si="1"/>
        <v>68.274150289999739</v>
      </c>
      <c r="P17" s="339">
        <v>0.5</v>
      </c>
      <c r="Q17" s="170"/>
    </row>
    <row r="18" spans="1:17" ht="15.75" customHeight="1" x14ac:dyDescent="0.2">
      <c r="A18" s="295" t="s">
        <v>32</v>
      </c>
      <c r="B18" s="288"/>
      <c r="C18" s="294">
        <f t="shared" ref="C18:L18" si="2">SUM(C6:C17)</f>
        <v>2531.5935037499999</v>
      </c>
      <c r="D18" s="293">
        <f t="shared" si="2"/>
        <v>-514.07663944000001</v>
      </c>
      <c r="E18" s="293">
        <f t="shared" si="2"/>
        <v>0</v>
      </c>
      <c r="F18" s="294">
        <f t="shared" si="2"/>
        <v>506.65610490000006</v>
      </c>
      <c r="G18" s="294">
        <f t="shared" si="2"/>
        <v>3213.7581840000007</v>
      </c>
      <c r="H18" s="294">
        <f t="shared" si="2"/>
        <v>4325.5827933599976</v>
      </c>
      <c r="I18" s="294">
        <f t="shared" si="2"/>
        <v>592.83916376500008</v>
      </c>
      <c r="J18" s="294">
        <f t="shared" si="2"/>
        <v>592.83916376500008</v>
      </c>
      <c r="K18" s="294">
        <f t="shared" si="2"/>
        <v>6710.5012431599998</v>
      </c>
      <c r="L18" s="293">
        <f t="shared" si="2"/>
        <v>-2824.2228318200059</v>
      </c>
      <c r="M18" s="292">
        <f t="shared" si="0"/>
        <v>15135.470685439992</v>
      </c>
      <c r="O18" s="135">
        <f>SUM(O6:O17)</f>
        <v>7567.7353427199969</v>
      </c>
      <c r="P18" s="172">
        <f>+O18/M18</f>
        <v>0.50000000000000011</v>
      </c>
    </row>
    <row r="19" spans="1:17" x14ac:dyDescent="0.2">
      <c r="A19" s="288"/>
      <c r="B19" s="288"/>
      <c r="C19" s="291"/>
      <c r="D19" s="291"/>
      <c r="E19" s="291"/>
      <c r="F19" s="291"/>
      <c r="G19" s="291"/>
      <c r="H19" s="291"/>
      <c r="I19" s="291"/>
      <c r="J19" s="291"/>
      <c r="K19" s="291"/>
      <c r="L19" s="291"/>
      <c r="M19" s="291"/>
      <c r="O19" s="80"/>
    </row>
    <row r="20" spans="1:17" x14ac:dyDescent="0.2">
      <c r="A20" s="288"/>
      <c r="B20" s="288"/>
      <c r="C20" s="288"/>
      <c r="D20" s="288"/>
      <c r="E20" s="288"/>
      <c r="F20" s="288"/>
      <c r="G20" s="288"/>
      <c r="H20" s="288"/>
      <c r="I20" s="288"/>
      <c r="J20" s="288"/>
      <c r="K20" s="288"/>
      <c r="L20" s="288"/>
      <c r="M20" s="289"/>
      <c r="O20" s="290"/>
    </row>
    <row r="21" spans="1:17" x14ac:dyDescent="0.2">
      <c r="A21" s="288"/>
      <c r="B21" s="288"/>
      <c r="C21" s="288"/>
      <c r="D21" s="288"/>
      <c r="E21" s="288"/>
      <c r="F21" s="288"/>
      <c r="G21" s="288"/>
      <c r="H21" s="288"/>
      <c r="I21" s="288"/>
      <c r="J21" s="288"/>
      <c r="K21" s="288"/>
      <c r="L21" s="288"/>
      <c r="M21" s="289"/>
      <c r="O21" s="82"/>
    </row>
    <row r="22" spans="1:17" x14ac:dyDescent="0.2">
      <c r="A22" s="288"/>
      <c r="B22" s="288"/>
      <c r="C22" s="288"/>
      <c r="D22" s="288"/>
      <c r="E22" s="288"/>
      <c r="F22" s="288"/>
      <c r="G22" s="288"/>
      <c r="H22" s="288"/>
      <c r="I22" s="288"/>
      <c r="J22" s="288"/>
      <c r="K22" s="288"/>
      <c r="L22" s="288"/>
      <c r="M22" s="289"/>
    </row>
    <row r="23" spans="1:17" x14ac:dyDescent="0.2">
      <c r="A23" s="288"/>
      <c r="B23" s="288"/>
      <c r="C23" s="288"/>
      <c r="D23" s="288"/>
      <c r="E23" s="288"/>
      <c r="F23" s="288"/>
      <c r="G23" s="288"/>
      <c r="H23" s="288"/>
      <c r="I23" s="288"/>
      <c r="J23" s="288"/>
      <c r="K23" s="288"/>
      <c r="L23" s="288"/>
      <c r="M23" s="289"/>
    </row>
    <row r="24" spans="1:17" x14ac:dyDescent="0.2">
      <c r="A24" s="288"/>
      <c r="B24" s="288"/>
      <c r="C24" s="288"/>
      <c r="D24" s="288"/>
      <c r="E24" s="288"/>
      <c r="F24" s="288"/>
      <c r="G24" s="288"/>
      <c r="H24" s="288"/>
      <c r="I24" s="288"/>
      <c r="J24" s="288"/>
      <c r="K24" s="288"/>
      <c r="L24" s="288"/>
      <c r="M24" s="289"/>
    </row>
    <row r="25" spans="1:17" x14ac:dyDescent="0.2">
      <c r="A25" s="288"/>
      <c r="B25" s="288"/>
      <c r="C25" s="288"/>
      <c r="D25" s="288"/>
      <c r="E25" s="288"/>
      <c r="F25" s="288"/>
      <c r="G25" s="288"/>
      <c r="H25" s="288"/>
      <c r="I25" s="288"/>
      <c r="J25" s="288"/>
      <c r="K25" s="288"/>
      <c r="L25" s="288"/>
      <c r="M25" s="289"/>
    </row>
    <row r="26" spans="1:17" x14ac:dyDescent="0.2">
      <c r="A26" s="288"/>
      <c r="B26" s="288"/>
      <c r="C26" s="288"/>
      <c r="D26" s="288"/>
      <c r="E26" s="288"/>
      <c r="F26" s="288"/>
      <c r="G26" s="288"/>
      <c r="H26" s="288"/>
      <c r="I26" s="288"/>
      <c r="J26" s="288"/>
      <c r="K26" s="288"/>
      <c r="L26" s="288"/>
      <c r="M26" s="289"/>
    </row>
    <row r="27" spans="1:17" x14ac:dyDescent="0.2">
      <c r="A27" s="288"/>
      <c r="B27" s="288"/>
      <c r="C27" s="288"/>
      <c r="D27" s="288"/>
      <c r="E27" s="288"/>
      <c r="F27" s="288"/>
      <c r="G27" s="288"/>
      <c r="H27" s="288"/>
      <c r="I27" s="288"/>
      <c r="J27" s="288"/>
      <c r="K27" s="288"/>
      <c r="L27" s="288"/>
      <c r="M27" s="289"/>
    </row>
    <row r="28" spans="1:17" x14ac:dyDescent="0.2">
      <c r="A28" s="288"/>
      <c r="B28" s="288"/>
      <c r="C28" s="288"/>
      <c r="D28" s="288"/>
      <c r="E28" s="288"/>
      <c r="F28" s="288"/>
      <c r="G28" s="288"/>
      <c r="H28" s="288"/>
      <c r="I28" s="288"/>
      <c r="J28" s="288"/>
      <c r="K28" s="288"/>
      <c r="L28" s="288"/>
      <c r="M28" s="288"/>
    </row>
    <row r="29" spans="1:17" x14ac:dyDescent="0.2">
      <c r="A29" s="288"/>
      <c r="B29" s="288"/>
      <c r="C29" s="288"/>
      <c r="D29" s="288"/>
      <c r="E29" s="288"/>
      <c r="F29" s="288"/>
      <c r="G29" s="288"/>
      <c r="H29" s="288"/>
      <c r="I29" s="288"/>
      <c r="J29" s="288"/>
      <c r="K29" s="288"/>
      <c r="L29" s="288"/>
      <c r="M29" s="288"/>
    </row>
    <row r="30" spans="1:17" x14ac:dyDescent="0.2">
      <c r="A30" s="288"/>
      <c r="B30" s="288"/>
      <c r="C30" s="288"/>
      <c r="D30" s="288"/>
      <c r="E30" s="288"/>
      <c r="F30" s="288"/>
      <c r="G30" s="288"/>
      <c r="H30" s="288"/>
      <c r="I30" s="288"/>
      <c r="J30" s="288"/>
      <c r="K30" s="288"/>
      <c r="L30" s="288"/>
      <c r="M30" s="288"/>
    </row>
    <row r="31" spans="1:17" x14ac:dyDescent="0.2">
      <c r="A31" s="288"/>
      <c r="B31" s="288"/>
      <c r="C31" s="288"/>
      <c r="D31" s="288"/>
      <c r="E31" s="288"/>
      <c r="F31" s="288"/>
      <c r="G31" s="288"/>
      <c r="H31" s="288"/>
      <c r="I31" s="288"/>
      <c r="J31" s="288"/>
      <c r="K31" s="288"/>
      <c r="L31" s="288"/>
      <c r="M31" s="288"/>
    </row>
    <row r="32" spans="1:17" x14ac:dyDescent="0.2">
      <c r="A32" s="288"/>
      <c r="B32" s="288"/>
      <c r="C32" s="288"/>
      <c r="D32" s="288"/>
      <c r="E32" s="288"/>
      <c r="F32" s="288"/>
      <c r="G32" s="288"/>
      <c r="H32" s="288"/>
      <c r="I32" s="288"/>
      <c r="J32" s="288"/>
      <c r="K32" s="288"/>
      <c r="L32" s="288"/>
      <c r="M32" s="288"/>
    </row>
    <row r="33" spans="1:13" x14ac:dyDescent="0.2">
      <c r="A33" s="288"/>
      <c r="B33" s="288"/>
      <c r="C33" s="288"/>
      <c r="D33" s="288"/>
      <c r="E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sheetData>
  <pageMargins left="0.25" right="0.25" top="0.75" bottom="0.75" header="0.3" footer="0.3"/>
  <pageSetup scale="77"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18"/>
  <sheetViews>
    <sheetView showGridLines="0" zoomScaleNormal="100" workbookViewId="0">
      <selection activeCell="H6" sqref="H6"/>
    </sheetView>
  </sheetViews>
  <sheetFormatPr defaultRowHeight="12.75" x14ac:dyDescent="0.2"/>
  <cols>
    <col min="1" max="1" width="9.140625" style="195"/>
    <col min="2" max="2" width="2.5703125" style="195" customWidth="1"/>
    <col min="3" max="12" width="11.7109375" style="195" customWidth="1"/>
    <col min="13" max="13" width="2.7109375" style="195" customWidth="1"/>
    <col min="14" max="14" width="11.7109375" style="195" customWidth="1"/>
    <col min="15" max="15" width="14.85546875" style="195" bestFit="1" customWidth="1"/>
    <col min="16" max="16384" width="9.140625" style="195"/>
  </cols>
  <sheetData>
    <row r="1" spans="1:16" x14ac:dyDescent="0.2">
      <c r="A1" s="305" t="str">
        <f>"Multi-Family Tonnages by Commodity ("&amp;TEXT(A6,"mmmm yyyy")&amp;" through "&amp;TEXT(A17,"mmmm yyyy")&amp;")"</f>
        <v>Multi-Family Tonnages by Commodity (May 2017 through April 2018)</v>
      </c>
      <c r="B1" s="304"/>
    </row>
    <row r="2" spans="1:16" x14ac:dyDescent="0.2">
      <c r="A2" s="303" t="s">
        <v>113</v>
      </c>
      <c r="B2" s="303"/>
    </row>
    <row r="3" spans="1:16" x14ac:dyDescent="0.2">
      <c r="A3" s="304"/>
      <c r="B3" s="309"/>
      <c r="C3" s="300" t="s">
        <v>21</v>
      </c>
      <c r="D3" s="300" t="s">
        <v>22</v>
      </c>
      <c r="E3" s="300" t="s">
        <v>33</v>
      </c>
      <c r="F3" s="300" t="s">
        <v>23</v>
      </c>
      <c r="G3" s="300" t="s">
        <v>24</v>
      </c>
      <c r="H3" s="300" t="s">
        <v>25</v>
      </c>
      <c r="I3" s="300" t="s">
        <v>26</v>
      </c>
      <c r="J3" s="300" t="s">
        <v>27</v>
      </c>
      <c r="K3" s="300" t="s">
        <v>28</v>
      </c>
      <c r="L3" s="300" t="s">
        <v>29</v>
      </c>
      <c r="M3" s="300"/>
      <c r="N3" s="300" t="s">
        <v>30</v>
      </c>
    </row>
    <row r="4" spans="1:16" s="306" customFormat="1" x14ac:dyDescent="0.2">
      <c r="A4" s="333"/>
      <c r="B4" s="333"/>
      <c r="D4" s="332"/>
      <c r="E4" s="332"/>
    </row>
    <row r="5" spans="1:16" x14ac:dyDescent="0.2">
      <c r="A5" s="298"/>
      <c r="B5" s="288"/>
      <c r="C5" s="289"/>
      <c r="D5" s="289"/>
      <c r="E5" s="289"/>
      <c r="F5" s="289"/>
      <c r="G5" s="289"/>
      <c r="H5" s="289"/>
      <c r="I5" s="289"/>
      <c r="J5" s="289"/>
      <c r="L5" s="288"/>
      <c r="M5" s="306"/>
      <c r="N5" s="289" t="s">
        <v>31</v>
      </c>
    </row>
    <row r="6" spans="1:16" x14ac:dyDescent="0.2">
      <c r="A6" s="308">
        <f>'Multi_Family 2018'!$C$6</f>
        <v>42856</v>
      </c>
      <c r="B6" s="288" t="s">
        <v>67</v>
      </c>
      <c r="C6" s="108">
        <f>'Multi_Family 2018'!C32</f>
        <v>0.21734999999999999</v>
      </c>
      <c r="D6" s="109">
        <f>'Multi_Family 2018'!C34</f>
        <v>5.1236640000000007</v>
      </c>
      <c r="E6" s="108">
        <f>'Multi_Family 2018'!C35</f>
        <v>0</v>
      </c>
      <c r="F6" s="108">
        <f>'Multi_Family 2018'!C30</f>
        <v>0.47817000000000004</v>
      </c>
      <c r="G6" s="108">
        <f>'Multi_Family 2018'!C27</f>
        <v>5.6511000000000005</v>
      </c>
      <c r="H6" s="350">
        <f>'Multi_Family 2018'!C65</f>
        <v>9.3257639999999959</v>
      </c>
      <c r="I6" s="108">
        <f>'Multi_Family 2018'!C31/2</f>
        <v>0.6506010000000001</v>
      </c>
      <c r="J6" s="108">
        <f>'Multi_Family 2018'!C31/2</f>
        <v>0.6506010000000001</v>
      </c>
      <c r="K6" s="108">
        <f>'Multi_Family 2018'!C28</f>
        <v>5.1642359999999998</v>
      </c>
      <c r="L6" s="108">
        <f>'Multi_Family 2018'!C36</f>
        <v>1.7185140000000039</v>
      </c>
      <c r="M6" s="306"/>
      <c r="N6" s="175">
        <f t="shared" ref="N6:N17" si="0">SUM(C6:L6)</f>
        <v>28.980000000000004</v>
      </c>
      <c r="O6" s="75"/>
      <c r="P6" s="307"/>
    </row>
    <row r="7" spans="1:16" x14ac:dyDescent="0.2">
      <c r="A7" s="298">
        <f t="shared" ref="A7:A17" si="1">EOMONTH(A6,1)</f>
        <v>42916</v>
      </c>
      <c r="B7" s="288" t="s">
        <v>68</v>
      </c>
      <c r="C7" s="108">
        <f>'Multi_Family 2018'!D32</f>
        <v>0.238125</v>
      </c>
      <c r="D7" s="109">
        <f>'Multi_Family 2018'!D34</f>
        <v>5.6134000000000004</v>
      </c>
      <c r="E7" s="108">
        <f>'Multi_Family 2018'!D35</f>
        <v>0</v>
      </c>
      <c r="F7" s="108">
        <f>'Multi_Family 2018'!D30</f>
        <v>0.52387499999999998</v>
      </c>
      <c r="G7" s="108">
        <f>'Multi_Family 2018'!D27</f>
        <v>6.1912500000000001</v>
      </c>
      <c r="H7" s="108">
        <f>'Multi_Family 2018'!D65</f>
        <v>10.217149999999997</v>
      </c>
      <c r="I7" s="108">
        <f>'Multi_Family 2018'!D31/2</f>
        <v>0.71278750000000002</v>
      </c>
      <c r="J7" s="108">
        <f>'Multi_Family 2018'!D31/2</f>
        <v>0.71278750000000002</v>
      </c>
      <c r="K7" s="108">
        <f>'Multi_Family 2018'!D28</f>
        <v>5.6578499999999998</v>
      </c>
      <c r="L7" s="108">
        <f>'Multi_Family 2018'!D36</f>
        <v>1.8827750000000041</v>
      </c>
      <c r="M7" s="306"/>
      <c r="N7" s="175">
        <f t="shared" si="0"/>
        <v>31.750000000000007</v>
      </c>
      <c r="P7" s="307"/>
    </row>
    <row r="8" spans="1:16" x14ac:dyDescent="0.2">
      <c r="A8" s="298">
        <f t="shared" si="1"/>
        <v>42947</v>
      </c>
      <c r="B8" s="288" t="s">
        <v>69</v>
      </c>
      <c r="C8" s="108">
        <f>'Multi_Family 2018'!E32</f>
        <v>0.20797499999999999</v>
      </c>
      <c r="D8" s="109">
        <f>'Multi_Family 2018'!E34</f>
        <v>4.9026640000000006</v>
      </c>
      <c r="E8" s="108">
        <f>'Multi_Family 2018'!E35</f>
        <v>0</v>
      </c>
      <c r="F8" s="108">
        <f>'Multi_Family 2018'!E30</f>
        <v>0.45754500000000004</v>
      </c>
      <c r="G8" s="108">
        <f>'Multi_Family 2018'!E27</f>
        <v>5.4073500000000001</v>
      </c>
      <c r="H8" s="108">
        <f>'Multi_Family 2018'!E65</f>
        <v>8.9235139999999973</v>
      </c>
      <c r="I8" s="108">
        <f>'Multi_Family 2018'!E31/2</f>
        <v>0.62253849999999999</v>
      </c>
      <c r="J8" s="108">
        <f>'Multi_Family 2018'!E31/2</f>
        <v>0.62253849999999999</v>
      </c>
      <c r="K8" s="108">
        <f>'Multi_Family 2018'!E28</f>
        <v>4.9414860000000003</v>
      </c>
      <c r="L8" s="108">
        <f>'Multi_Family 2018'!E36</f>
        <v>1.6443890000000037</v>
      </c>
      <c r="M8" s="306"/>
      <c r="N8" s="175">
        <f t="shared" si="0"/>
        <v>27.730000000000004</v>
      </c>
      <c r="P8" s="307"/>
    </row>
    <row r="9" spans="1:16" x14ac:dyDescent="0.2">
      <c r="A9" s="298">
        <f t="shared" si="1"/>
        <v>42978</v>
      </c>
      <c r="B9" s="288" t="s">
        <v>70</v>
      </c>
      <c r="C9" s="108">
        <f>'Multi_Family 2018'!F32</f>
        <v>0.19012500000000002</v>
      </c>
      <c r="D9" s="109">
        <f>'Multi_Family 2018'!F34</f>
        <v>4.4818800000000003</v>
      </c>
      <c r="E9" s="108">
        <f>'Multi_Family 2018'!F35</f>
        <v>0</v>
      </c>
      <c r="F9" s="108">
        <f>'Multi_Family 2018'!F30</f>
        <v>0.41827500000000006</v>
      </c>
      <c r="G9" s="108">
        <f>'Multi_Family 2018'!F27</f>
        <v>4.9432500000000008</v>
      </c>
      <c r="H9" s="108">
        <f>'Multi_Family 2018'!F65</f>
        <v>8.1576299999999939</v>
      </c>
      <c r="I9" s="108">
        <f>'Multi_Family 2018'!F31/2</f>
        <v>0.5691075000000001</v>
      </c>
      <c r="J9" s="108">
        <f>'Multi_Family 2018'!F31/2</f>
        <v>0.5691075000000001</v>
      </c>
      <c r="K9" s="108">
        <f>'Multi_Family 2018'!F28</f>
        <v>4.5173700000000006</v>
      </c>
      <c r="L9" s="108">
        <f>'Multi_Family 2018'!F36</f>
        <v>1.5032550000000033</v>
      </c>
      <c r="M9" s="306"/>
      <c r="N9" s="175">
        <f t="shared" si="0"/>
        <v>25.35</v>
      </c>
      <c r="P9" s="307"/>
    </row>
    <row r="10" spans="1:16" x14ac:dyDescent="0.2">
      <c r="A10" s="298">
        <f t="shared" si="1"/>
        <v>43008</v>
      </c>
      <c r="B10" s="288" t="s">
        <v>71</v>
      </c>
      <c r="C10" s="108">
        <f>'Multi_Family 2018'!G32</f>
        <v>0.19125</v>
      </c>
      <c r="D10" s="109">
        <f>'Multi_Family 2018'!G34</f>
        <v>4.5084</v>
      </c>
      <c r="E10" s="108">
        <f>'Multi_Family 2018'!G35</f>
        <v>0</v>
      </c>
      <c r="F10" s="108">
        <f>'Multi_Family 2018'!G30</f>
        <v>0.42075000000000001</v>
      </c>
      <c r="G10" s="108">
        <f>'Multi_Family 2018'!G27</f>
        <v>4.9725000000000001</v>
      </c>
      <c r="H10" s="108">
        <f>'Multi_Family 2018'!G65</f>
        <v>8.2058999999999962</v>
      </c>
      <c r="I10" s="108">
        <f>'Multi_Family 2018'!G31/2</f>
        <v>0.57247500000000007</v>
      </c>
      <c r="J10" s="108">
        <f>'Multi_Family 2018'!G31/2</f>
        <v>0.57247500000000007</v>
      </c>
      <c r="K10" s="108">
        <f>'Multi_Family 2018'!G28</f>
        <v>4.5441000000000003</v>
      </c>
      <c r="L10" s="108">
        <f>'Multi_Family 2018'!G36</f>
        <v>1.5121500000000032</v>
      </c>
      <c r="M10" s="306"/>
      <c r="N10" s="175">
        <f t="shared" si="0"/>
        <v>25.5</v>
      </c>
      <c r="P10" s="307"/>
    </row>
    <row r="11" spans="1:16" x14ac:dyDescent="0.2">
      <c r="A11" s="298">
        <f t="shared" si="1"/>
        <v>43039</v>
      </c>
      <c r="B11" s="288" t="s">
        <v>72</v>
      </c>
      <c r="C11" s="108">
        <f>'Multi_Family 2018'!H32</f>
        <v>0.19769999999999999</v>
      </c>
      <c r="D11" s="109">
        <f>'Multi_Family 2018'!H34</f>
        <v>4.6604480000000006</v>
      </c>
      <c r="E11" s="108">
        <f>'Multi_Family 2018'!H35</f>
        <v>0</v>
      </c>
      <c r="F11" s="108">
        <f>'Multi_Family 2018'!H30</f>
        <v>0.43493999999999999</v>
      </c>
      <c r="G11" s="108">
        <f>'Multi_Family 2018'!H27</f>
        <v>5.1402000000000001</v>
      </c>
      <c r="H11" s="108">
        <f>'Multi_Family 2018'!H65</f>
        <v>8.4826480000000011</v>
      </c>
      <c r="I11" s="108">
        <f>'Multi_Family 2018'!H31/2</f>
        <v>0.59178200000000003</v>
      </c>
      <c r="J11" s="108">
        <f>'Multi_Family 2018'!H31/2</f>
        <v>0.59178200000000003</v>
      </c>
      <c r="K11" s="108">
        <f>'Multi_Family 2018'!H28</f>
        <v>4.6973519999999995</v>
      </c>
      <c r="L11" s="108">
        <f>'Multi_Family 2018'!H36</f>
        <v>1.5631480000000033</v>
      </c>
      <c r="M11" s="306"/>
      <c r="N11" s="175">
        <f t="shared" si="0"/>
        <v>26.36</v>
      </c>
      <c r="P11" s="307"/>
    </row>
    <row r="12" spans="1:16" x14ac:dyDescent="0.2">
      <c r="A12" s="298">
        <f t="shared" si="1"/>
        <v>43069</v>
      </c>
      <c r="B12" s="288" t="s">
        <v>73</v>
      </c>
      <c r="C12" s="108">
        <f>'Multi_Family 2018'!I32</f>
        <v>0.20774999999999999</v>
      </c>
      <c r="D12" s="109">
        <f>'Multi_Family 2018'!I34</f>
        <v>4.8973599999999999</v>
      </c>
      <c r="E12" s="108">
        <f>'Multi_Family 2018'!I35</f>
        <v>0</v>
      </c>
      <c r="F12" s="108">
        <f>'Multi_Family 2018'!I30</f>
        <v>0.45705000000000001</v>
      </c>
      <c r="G12" s="108">
        <f>'Multi_Family 2018'!I27</f>
        <v>5.4015000000000004</v>
      </c>
      <c r="H12" s="108">
        <f>'Multi_Family 2018'!I65</f>
        <v>8.9138599999999926</v>
      </c>
      <c r="I12" s="108">
        <f>'Multi_Family 2018'!I31/2</f>
        <v>0.621865</v>
      </c>
      <c r="J12" s="108">
        <f>'Multi_Family 2018'!I31/2</f>
        <v>0.621865</v>
      </c>
      <c r="K12" s="108">
        <f>'Multi_Family 2018'!I28</f>
        <v>4.93614</v>
      </c>
      <c r="L12" s="108">
        <f>'Multi_Family 2018'!I36</f>
        <v>1.6426100000000037</v>
      </c>
      <c r="M12" s="306"/>
      <c r="N12" s="175">
        <f t="shared" si="0"/>
        <v>27.699999999999996</v>
      </c>
      <c r="P12" s="307"/>
    </row>
    <row r="13" spans="1:16" x14ac:dyDescent="0.2">
      <c r="A13" s="298">
        <f t="shared" si="1"/>
        <v>43100</v>
      </c>
      <c r="B13" s="288" t="s">
        <v>74</v>
      </c>
      <c r="C13" s="108">
        <f>'Multi_Family 2018'!J32</f>
        <v>0.208425</v>
      </c>
      <c r="D13" s="109">
        <f>'Multi_Family 2018'!J34</f>
        <v>4.9132720000000001</v>
      </c>
      <c r="E13" s="108">
        <f>'Multi_Family 2018'!J35</f>
        <v>0</v>
      </c>
      <c r="F13" s="108">
        <f>'Multi_Family 2018'!J30</f>
        <v>0.45853500000000003</v>
      </c>
      <c r="G13" s="108">
        <f>'Multi_Family 2018'!J27</f>
        <v>5.4190500000000004</v>
      </c>
      <c r="H13" s="108">
        <f>'Multi_Family 2018'!J65</f>
        <v>8.9428219999999961</v>
      </c>
      <c r="I13" s="108">
        <f>'Multi_Family 2018'!J31/2</f>
        <v>0.62388549999999998</v>
      </c>
      <c r="J13" s="108">
        <f>'Multi_Family 2018'!J31/2</f>
        <v>0.62388549999999998</v>
      </c>
      <c r="K13" s="108">
        <f>'Multi_Family 2018'!J28</f>
        <v>4.952178</v>
      </c>
      <c r="L13" s="108">
        <f>'Multi_Family 2018'!J36</f>
        <v>1.6479470000000036</v>
      </c>
      <c r="M13" s="306"/>
      <c r="N13" s="175">
        <f t="shared" si="0"/>
        <v>27.79</v>
      </c>
      <c r="P13" s="307"/>
    </row>
    <row r="14" spans="1:16" x14ac:dyDescent="0.2">
      <c r="A14" s="298">
        <f t="shared" si="1"/>
        <v>43131</v>
      </c>
      <c r="B14" s="288" t="s">
        <v>75</v>
      </c>
      <c r="C14" s="108">
        <f>'Multi_Family 2018'!K32</f>
        <v>0.25867499999999999</v>
      </c>
      <c r="D14" s="109">
        <f>'Multi_Family 2018'!K34</f>
        <v>6.0978320000000004</v>
      </c>
      <c r="E14" s="108">
        <f>'Multi_Family 2018'!K35</f>
        <v>0</v>
      </c>
      <c r="F14" s="108">
        <f>'Multi_Family 2018'!K30</f>
        <v>0.56908500000000006</v>
      </c>
      <c r="G14" s="108">
        <f>'Multi_Family 2018'!K27</f>
        <v>6.725550000000001</v>
      </c>
      <c r="H14" s="108">
        <f>'Multi_Family 2018'!K65</f>
        <v>11.098881999999996</v>
      </c>
      <c r="I14" s="108">
        <f>'Multi_Family 2018'!K31/2</f>
        <v>0.77430050000000006</v>
      </c>
      <c r="J14" s="108">
        <f>'Multi_Family 2018'!K31/2</f>
        <v>0.77430050000000006</v>
      </c>
      <c r="K14" s="108">
        <f>'Multi_Family 2018'!K28</f>
        <v>6.1461180000000004</v>
      </c>
      <c r="L14" s="108">
        <f>'Multi_Family 2018'!K36</f>
        <v>2.0452570000000048</v>
      </c>
      <c r="M14" s="306"/>
      <c r="N14" s="175">
        <f t="shared" si="0"/>
        <v>34.49</v>
      </c>
      <c r="P14" s="307"/>
    </row>
    <row r="15" spans="1:16" x14ac:dyDescent="0.2">
      <c r="A15" s="298">
        <f t="shared" si="1"/>
        <v>43159</v>
      </c>
      <c r="B15" s="288" t="s">
        <v>76</v>
      </c>
      <c r="C15" s="108">
        <f>'Multi_Family 2018'!L32</f>
        <v>0.21112499999999998</v>
      </c>
      <c r="D15" s="109">
        <f>'Multi_Family 2018'!L34</f>
        <v>4.9769199999999998</v>
      </c>
      <c r="E15" s="108">
        <f>'Multi_Family 2018'!L35</f>
        <v>0</v>
      </c>
      <c r="F15" s="108">
        <f>'Multi_Family 2018'!L30</f>
        <v>0.46447499999999997</v>
      </c>
      <c r="G15" s="108">
        <f>'Multi_Family 2018'!L27</f>
        <v>5.4892500000000002</v>
      </c>
      <c r="H15" s="108">
        <f>'Multi_Family 2018'!L65</f>
        <v>9.0586699999999922</v>
      </c>
      <c r="I15" s="108">
        <f>'Multi_Family 2018'!L31/2</f>
        <v>0.63196750000000002</v>
      </c>
      <c r="J15" s="108">
        <f>'Multi_Family 2018'!L31/2</f>
        <v>0.63196750000000002</v>
      </c>
      <c r="K15" s="108">
        <f>'Multi_Family 2018'!L28</f>
        <v>5.01633</v>
      </c>
      <c r="L15" s="108">
        <f>'Multi_Family 2018'!L36</f>
        <v>1.6692950000000035</v>
      </c>
      <c r="M15" s="306"/>
      <c r="N15" s="175">
        <f t="shared" si="0"/>
        <v>28.15</v>
      </c>
      <c r="P15" s="307"/>
    </row>
    <row r="16" spans="1:16" x14ac:dyDescent="0.2">
      <c r="A16" s="298">
        <f t="shared" si="1"/>
        <v>43190</v>
      </c>
      <c r="B16" s="288" t="s">
        <v>77</v>
      </c>
      <c r="C16" s="108">
        <f>'Multi_Family 2018'!M32</f>
        <v>0.263625</v>
      </c>
      <c r="D16" s="109">
        <f>'Multi_Family 2018'!M34</f>
        <v>6.2145200000000003</v>
      </c>
      <c r="E16" s="108">
        <f>'Multi_Family 2018'!M35</f>
        <v>0</v>
      </c>
      <c r="F16" s="108">
        <f>'Multi_Family 2018'!M30</f>
        <v>0.57997500000000002</v>
      </c>
      <c r="G16" s="108">
        <f>'Multi_Family 2018'!M27</f>
        <v>6.8542500000000004</v>
      </c>
      <c r="H16" s="108">
        <f>'Multi_Family 2018'!M65</f>
        <v>11.311269999999997</v>
      </c>
      <c r="I16" s="108">
        <f>'Multi_Family 2018'!M31/2</f>
        <v>0.78911750000000003</v>
      </c>
      <c r="J16" s="108">
        <f>'Multi_Family 2018'!M31/2</f>
        <v>0.78911750000000003</v>
      </c>
      <c r="K16" s="108">
        <f>'Multi_Family 2018'!M28</f>
        <v>6.2637299999999998</v>
      </c>
      <c r="L16" s="108">
        <f>'Multi_Family 2018'!M36</f>
        <v>2.0843950000000047</v>
      </c>
      <c r="M16" s="306"/>
      <c r="N16" s="175">
        <f t="shared" si="0"/>
        <v>35.150000000000006</v>
      </c>
      <c r="P16" s="307"/>
    </row>
    <row r="17" spans="1:16" x14ac:dyDescent="0.2">
      <c r="A17" s="298">
        <f t="shared" si="1"/>
        <v>43220</v>
      </c>
      <c r="B17" s="288" t="s">
        <v>78</v>
      </c>
      <c r="C17" s="108">
        <f>'Multi_Family 2018'!N32</f>
        <v>0.26182499999999997</v>
      </c>
      <c r="D17" s="109">
        <f>'Multi_Family 2018'!N34</f>
        <v>6.1720879999999996</v>
      </c>
      <c r="E17" s="108">
        <f>'Multi_Family 2018'!N35</f>
        <v>0</v>
      </c>
      <c r="F17" s="108">
        <f>'Multi_Family 2018'!N30</f>
        <v>0.57601499999999994</v>
      </c>
      <c r="G17" s="108">
        <f>'Multi_Family 2018'!N27</f>
        <v>0</v>
      </c>
      <c r="H17" s="108">
        <f>'Multi_Family 2018'!N65</f>
        <v>18.041487999999994</v>
      </c>
      <c r="I17" s="108">
        <f>'Multi_Family 2018'!N31/2</f>
        <v>0.78372949999999997</v>
      </c>
      <c r="J17" s="108">
        <f>'Multi_Family 2018'!N31/2</f>
        <v>0.78372949999999997</v>
      </c>
      <c r="K17" s="108">
        <f>'Multi_Family 2018'!N28</f>
        <v>6.2209619999999992</v>
      </c>
      <c r="L17" s="108">
        <f>'Multi_Family 2018'!N36</f>
        <v>2.0701630000000044</v>
      </c>
      <c r="M17" s="306"/>
      <c r="N17" s="175">
        <f t="shared" si="0"/>
        <v>34.909999999999997</v>
      </c>
      <c r="P17" s="307"/>
    </row>
    <row r="18" spans="1:16" x14ac:dyDescent="0.2">
      <c r="A18" s="295" t="s">
        <v>32</v>
      </c>
      <c r="B18" s="288"/>
      <c r="C18" s="137">
        <f t="shared" ref="C18:L18" si="2">SUM(C6:C17)</f>
        <v>2.65395</v>
      </c>
      <c r="D18" s="137">
        <f t="shared" si="2"/>
        <v>62.562448000000003</v>
      </c>
      <c r="E18" s="137">
        <f t="shared" si="2"/>
        <v>0</v>
      </c>
      <c r="F18" s="137">
        <f t="shared" si="2"/>
        <v>5.8386900000000006</v>
      </c>
      <c r="G18" s="137">
        <f t="shared" si="2"/>
        <v>62.195249999999994</v>
      </c>
      <c r="H18" s="137">
        <f t="shared" si="2"/>
        <v>120.67959799999994</v>
      </c>
      <c r="I18" s="137">
        <f t="shared" si="2"/>
        <v>7.9441569999999997</v>
      </c>
      <c r="J18" s="137">
        <f t="shared" si="2"/>
        <v>7.9441569999999997</v>
      </c>
      <c r="K18" s="137">
        <f t="shared" si="2"/>
        <v>63.057852000000004</v>
      </c>
      <c r="L18" s="137">
        <f t="shared" si="2"/>
        <v>20.983898000000046</v>
      </c>
      <c r="M18" s="306"/>
      <c r="N18" s="176">
        <f>SUM(N6:N17)</f>
        <v>353.86</v>
      </c>
      <c r="O18" s="289"/>
    </row>
    <row r="19" spans="1:16" x14ac:dyDescent="0.2">
      <c r="A19" s="298"/>
      <c r="B19" s="288"/>
      <c r="C19" s="288"/>
      <c r="D19" s="288"/>
      <c r="E19" s="288"/>
      <c r="F19" s="288"/>
      <c r="G19" s="288"/>
      <c r="H19" s="288"/>
      <c r="I19" s="288"/>
      <c r="J19" s="288"/>
      <c r="K19" s="288"/>
      <c r="L19" s="288"/>
      <c r="M19" s="306"/>
      <c r="N19" s="289"/>
    </row>
    <row r="20" spans="1:16" x14ac:dyDescent="0.2">
      <c r="A20" s="305"/>
      <c r="B20" s="288"/>
      <c r="C20" s="288"/>
      <c r="D20" s="288"/>
      <c r="E20" s="288"/>
      <c r="F20" s="288"/>
      <c r="G20" s="288"/>
      <c r="H20" s="288"/>
      <c r="I20" s="288"/>
      <c r="J20" s="288"/>
      <c r="K20" s="288"/>
      <c r="L20" s="288"/>
      <c r="M20" s="306"/>
      <c r="N20" s="289"/>
    </row>
    <row r="21" spans="1:16" x14ac:dyDescent="0.2">
      <c r="A21" s="298"/>
      <c r="B21" s="288"/>
      <c r="C21" s="288"/>
      <c r="D21" s="288"/>
      <c r="E21" s="288"/>
      <c r="F21" s="288"/>
      <c r="G21" s="288"/>
      <c r="H21" s="288"/>
      <c r="I21" s="288"/>
      <c r="J21" s="288"/>
      <c r="K21" s="288"/>
      <c r="L21" s="288"/>
      <c r="M21" s="306"/>
      <c r="N21" s="289"/>
    </row>
    <row r="22" spans="1:16" x14ac:dyDescent="0.2">
      <c r="A22" s="298"/>
      <c r="B22" s="288"/>
      <c r="C22" s="288"/>
      <c r="D22" s="288"/>
      <c r="E22" s="288"/>
      <c r="F22" s="288"/>
      <c r="G22" s="288"/>
      <c r="H22" s="288"/>
      <c r="I22" s="288"/>
      <c r="J22" s="288"/>
      <c r="K22" s="288"/>
      <c r="L22" s="288"/>
      <c r="M22" s="306"/>
      <c r="N22" s="289"/>
    </row>
    <row r="23" spans="1:16" x14ac:dyDescent="0.2">
      <c r="A23" s="288"/>
      <c r="B23" s="288"/>
      <c r="C23" s="288"/>
      <c r="D23" s="288"/>
      <c r="E23" s="288"/>
      <c r="F23" s="288"/>
      <c r="G23" s="288"/>
      <c r="H23" s="288"/>
      <c r="I23" s="288"/>
      <c r="J23" s="288"/>
      <c r="K23" s="288"/>
      <c r="L23" s="288"/>
      <c r="M23" s="306"/>
      <c r="N23" s="289"/>
    </row>
    <row r="24" spans="1:16" x14ac:dyDescent="0.2">
      <c r="A24" s="288"/>
      <c r="B24" s="288"/>
      <c r="C24" s="288"/>
      <c r="D24" s="288"/>
      <c r="E24" s="288"/>
      <c r="F24" s="288"/>
      <c r="G24" s="288"/>
      <c r="H24" s="288"/>
      <c r="I24" s="288"/>
      <c r="J24" s="288"/>
      <c r="K24" s="288"/>
      <c r="L24" s="288"/>
      <c r="M24" s="306"/>
      <c r="N24" s="289"/>
    </row>
    <row r="25" spans="1:16" x14ac:dyDescent="0.2">
      <c r="A25" s="288"/>
      <c r="B25" s="288"/>
      <c r="C25" s="288"/>
      <c r="E25" s="288"/>
      <c r="F25" s="288"/>
      <c r="G25" s="288"/>
      <c r="H25" s="288"/>
      <c r="I25" s="288"/>
      <c r="J25" s="288"/>
      <c r="K25" s="288"/>
      <c r="L25" s="288"/>
      <c r="M25" s="306"/>
      <c r="N25" s="289"/>
    </row>
    <row r="26" spans="1:16" x14ac:dyDescent="0.2">
      <c r="A26" s="288"/>
      <c r="B26" s="288"/>
      <c r="C26" s="288"/>
      <c r="D26" s="288"/>
      <c r="E26" s="288"/>
      <c r="F26" s="288"/>
      <c r="G26" s="288"/>
      <c r="H26" s="288"/>
      <c r="I26" s="288"/>
      <c r="J26" s="288"/>
      <c r="K26" s="288"/>
      <c r="L26" s="288"/>
      <c r="M26" s="306"/>
      <c r="N26" s="289"/>
    </row>
    <row r="27" spans="1:16" x14ac:dyDescent="0.2">
      <c r="A27" s="288"/>
      <c r="B27" s="288"/>
      <c r="C27" s="288"/>
      <c r="D27" s="288"/>
      <c r="E27" s="288"/>
      <c r="F27" s="288"/>
      <c r="G27" s="288"/>
      <c r="H27" s="288"/>
      <c r="I27" s="288"/>
      <c r="J27" s="288"/>
      <c r="K27" s="288"/>
      <c r="L27" s="288"/>
      <c r="M27" s="306"/>
      <c r="N27" s="289"/>
    </row>
    <row r="28" spans="1:16" x14ac:dyDescent="0.2">
      <c r="A28" s="288"/>
      <c r="B28" s="288"/>
      <c r="C28" s="288"/>
      <c r="D28" s="288"/>
      <c r="E28" s="288"/>
      <c r="F28" s="288"/>
      <c r="G28" s="288"/>
      <c r="H28" s="288"/>
      <c r="I28" s="288"/>
      <c r="J28" s="288"/>
      <c r="K28" s="288"/>
      <c r="L28" s="288"/>
      <c r="M28" s="306"/>
      <c r="N28" s="288"/>
    </row>
    <row r="29" spans="1:16" x14ac:dyDescent="0.2">
      <c r="A29" s="288"/>
      <c r="B29" s="288"/>
      <c r="C29" s="288"/>
      <c r="D29" s="288"/>
      <c r="E29" s="288"/>
      <c r="F29" s="288"/>
      <c r="G29" s="288"/>
      <c r="H29" s="288"/>
      <c r="I29" s="288"/>
      <c r="J29" s="288"/>
      <c r="K29" s="288"/>
      <c r="L29" s="288"/>
      <c r="M29" s="306"/>
      <c r="N29" s="288"/>
    </row>
    <row r="30" spans="1:16" x14ac:dyDescent="0.2">
      <c r="A30" s="288"/>
      <c r="B30" s="288"/>
      <c r="C30" s="288"/>
      <c r="D30" s="288"/>
      <c r="E30" s="288"/>
      <c r="F30" s="288"/>
      <c r="G30" s="288"/>
      <c r="H30" s="288"/>
      <c r="I30" s="288"/>
      <c r="J30" s="288"/>
      <c r="K30" s="288"/>
      <c r="L30" s="288"/>
      <c r="M30" s="306"/>
      <c r="N30" s="288"/>
    </row>
    <row r="31" spans="1:16" x14ac:dyDescent="0.2">
      <c r="A31" s="288"/>
      <c r="B31" s="288"/>
      <c r="C31" s="288"/>
      <c r="D31" s="288"/>
      <c r="E31" s="288"/>
      <c r="F31" s="288"/>
      <c r="G31" s="288"/>
      <c r="H31" s="288"/>
      <c r="I31" s="288"/>
      <c r="J31" s="288"/>
      <c r="K31" s="288"/>
      <c r="L31" s="288"/>
      <c r="M31" s="306"/>
      <c r="N31" s="288"/>
    </row>
    <row r="32" spans="1:16" x14ac:dyDescent="0.2">
      <c r="A32" s="288"/>
      <c r="B32" s="288"/>
      <c r="C32" s="288"/>
      <c r="D32" s="288"/>
      <c r="E32" s="288"/>
      <c r="F32" s="288"/>
      <c r="G32" s="288"/>
      <c r="H32" s="288"/>
      <c r="I32" s="288"/>
      <c r="J32" s="288"/>
      <c r="K32" s="288"/>
      <c r="L32" s="288"/>
      <c r="M32" s="306"/>
      <c r="N32" s="288"/>
    </row>
    <row r="33" spans="1:14" x14ac:dyDescent="0.2">
      <c r="A33" s="288"/>
      <c r="B33" s="288"/>
      <c r="C33" s="288"/>
      <c r="D33" s="288"/>
      <c r="E33" s="288"/>
      <c r="F33" s="288"/>
      <c r="G33" s="288"/>
      <c r="H33" s="288"/>
      <c r="I33" s="288"/>
      <c r="J33" s="288"/>
      <c r="K33" s="288"/>
      <c r="L33" s="288"/>
      <c r="M33" s="306"/>
      <c r="N33" s="288"/>
    </row>
    <row r="34" spans="1:14" x14ac:dyDescent="0.2">
      <c r="A34" s="288"/>
      <c r="B34" s="288"/>
      <c r="C34" s="288"/>
      <c r="D34" s="288"/>
      <c r="E34" s="288"/>
      <c r="F34" s="288"/>
      <c r="G34" s="288"/>
      <c r="H34" s="288"/>
      <c r="I34" s="288"/>
      <c r="J34" s="288"/>
      <c r="K34" s="288"/>
      <c r="L34" s="288"/>
      <c r="M34" s="306"/>
      <c r="N34" s="288"/>
    </row>
    <row r="35" spans="1:14" x14ac:dyDescent="0.2">
      <c r="A35" s="288"/>
      <c r="B35" s="288"/>
      <c r="C35" s="288"/>
      <c r="D35" s="288"/>
      <c r="E35" s="288"/>
      <c r="F35" s="288"/>
      <c r="G35" s="288"/>
      <c r="H35" s="288"/>
      <c r="I35" s="288"/>
      <c r="J35" s="288"/>
      <c r="K35" s="288"/>
      <c r="L35" s="288"/>
      <c r="M35" s="306"/>
      <c r="N35" s="288"/>
    </row>
    <row r="36" spans="1:14" x14ac:dyDescent="0.2">
      <c r="A36" s="288"/>
      <c r="B36" s="288"/>
      <c r="C36" s="288"/>
      <c r="D36" s="288"/>
      <c r="E36" s="288"/>
      <c r="F36" s="288"/>
      <c r="G36" s="288"/>
      <c r="H36" s="288"/>
      <c r="I36" s="288"/>
      <c r="J36" s="288"/>
      <c r="K36" s="288"/>
      <c r="L36" s="288"/>
      <c r="M36" s="306"/>
      <c r="N36" s="288"/>
    </row>
    <row r="37" spans="1:14" x14ac:dyDescent="0.2">
      <c r="A37" s="288"/>
      <c r="B37" s="288"/>
      <c r="C37" s="288"/>
      <c r="D37" s="288"/>
      <c r="E37" s="288"/>
      <c r="F37" s="288"/>
      <c r="G37" s="288"/>
      <c r="H37" s="288"/>
      <c r="I37" s="288"/>
      <c r="J37" s="288"/>
      <c r="K37" s="288"/>
      <c r="L37" s="288"/>
      <c r="M37" s="306"/>
      <c r="N37" s="288"/>
    </row>
    <row r="38" spans="1:14" x14ac:dyDescent="0.2">
      <c r="A38" s="288"/>
      <c r="B38" s="288"/>
      <c r="C38" s="288"/>
      <c r="D38" s="288"/>
      <c r="E38" s="288"/>
      <c r="F38" s="288"/>
      <c r="G38" s="288"/>
      <c r="H38" s="288"/>
      <c r="I38" s="288"/>
      <c r="J38" s="288"/>
      <c r="K38" s="288"/>
      <c r="L38" s="288"/>
      <c r="M38" s="306"/>
      <c r="N38" s="288"/>
    </row>
    <row r="39" spans="1:14" x14ac:dyDescent="0.2">
      <c r="A39" s="288"/>
      <c r="B39" s="288"/>
      <c r="C39" s="288"/>
      <c r="D39" s="288"/>
      <c r="E39" s="288"/>
      <c r="F39" s="288"/>
      <c r="G39" s="288"/>
      <c r="H39" s="288"/>
      <c r="I39" s="288"/>
      <c r="J39" s="288"/>
      <c r="K39" s="288"/>
      <c r="L39" s="288"/>
      <c r="M39" s="288"/>
      <c r="N39" s="288"/>
    </row>
    <row r="40" spans="1:14" x14ac:dyDescent="0.2">
      <c r="A40" s="288"/>
      <c r="B40" s="288"/>
      <c r="C40" s="288"/>
      <c r="D40" s="288"/>
      <c r="E40" s="288"/>
      <c r="F40" s="288"/>
      <c r="G40" s="288"/>
      <c r="H40" s="288"/>
      <c r="I40" s="288"/>
      <c r="J40" s="288"/>
      <c r="K40" s="288"/>
      <c r="L40" s="288"/>
      <c r="M40" s="288"/>
      <c r="N40" s="288"/>
    </row>
    <row r="41" spans="1:14" x14ac:dyDescent="0.2">
      <c r="A41" s="288"/>
      <c r="B41" s="288"/>
      <c r="C41" s="288"/>
      <c r="D41" s="288"/>
      <c r="E41" s="288"/>
      <c r="F41" s="288"/>
      <c r="G41" s="288"/>
      <c r="H41" s="288"/>
      <c r="I41" s="288"/>
      <c r="J41" s="288"/>
      <c r="K41" s="288"/>
      <c r="L41" s="288"/>
      <c r="M41" s="288"/>
      <c r="N41" s="288"/>
    </row>
    <row r="42" spans="1:14" x14ac:dyDescent="0.2">
      <c r="A42" s="288"/>
      <c r="B42" s="288"/>
      <c r="C42" s="288"/>
      <c r="D42" s="288"/>
      <c r="E42" s="288"/>
      <c r="F42" s="288"/>
      <c r="G42" s="288"/>
      <c r="H42" s="288"/>
      <c r="I42" s="288"/>
      <c r="J42" s="288"/>
      <c r="K42" s="288"/>
      <c r="L42" s="288"/>
      <c r="M42" s="288"/>
      <c r="N42" s="288"/>
    </row>
    <row r="43" spans="1:14" x14ac:dyDescent="0.2">
      <c r="A43" s="288"/>
      <c r="B43" s="288"/>
      <c r="C43" s="288"/>
      <c r="D43" s="288"/>
      <c r="E43" s="288"/>
      <c r="F43" s="288"/>
      <c r="G43" s="288"/>
      <c r="H43" s="288"/>
      <c r="I43" s="288"/>
      <c r="J43" s="288"/>
      <c r="K43" s="288"/>
      <c r="L43" s="288"/>
      <c r="M43" s="288"/>
      <c r="N43" s="288"/>
    </row>
    <row r="44" spans="1:14" x14ac:dyDescent="0.2">
      <c r="A44" s="288"/>
      <c r="B44" s="288"/>
      <c r="C44" s="288"/>
      <c r="D44" s="288"/>
      <c r="E44" s="288"/>
      <c r="F44" s="288"/>
      <c r="G44" s="288"/>
      <c r="H44" s="288"/>
      <c r="I44" s="288"/>
      <c r="J44" s="288"/>
      <c r="K44" s="288"/>
      <c r="L44" s="288"/>
      <c r="M44" s="288"/>
      <c r="N44" s="288"/>
    </row>
    <row r="45" spans="1:14" x14ac:dyDescent="0.2">
      <c r="A45" s="288"/>
      <c r="B45" s="288"/>
      <c r="C45" s="288"/>
      <c r="D45" s="288"/>
      <c r="E45" s="288"/>
      <c r="F45" s="288"/>
      <c r="G45" s="288"/>
      <c r="H45" s="288"/>
      <c r="I45" s="288"/>
      <c r="J45" s="288"/>
      <c r="K45" s="288"/>
      <c r="L45" s="288"/>
      <c r="M45" s="288"/>
      <c r="N45" s="288"/>
    </row>
    <row r="46" spans="1:14" x14ac:dyDescent="0.2">
      <c r="A46" s="288"/>
      <c r="B46" s="288"/>
      <c r="C46" s="288"/>
      <c r="D46" s="288"/>
      <c r="E46" s="288"/>
      <c r="F46" s="288"/>
      <c r="G46" s="288"/>
      <c r="H46" s="288"/>
      <c r="I46" s="288"/>
      <c r="J46" s="288"/>
      <c r="K46" s="288"/>
      <c r="L46" s="288"/>
      <c r="M46" s="288"/>
      <c r="N46" s="288"/>
    </row>
    <row r="47" spans="1:14" x14ac:dyDescent="0.2">
      <c r="A47" s="288"/>
      <c r="B47" s="288"/>
      <c r="C47" s="288"/>
      <c r="D47" s="288"/>
      <c r="E47" s="288"/>
      <c r="F47" s="288"/>
      <c r="G47" s="288"/>
      <c r="H47" s="288"/>
      <c r="I47" s="288"/>
      <c r="J47" s="288"/>
      <c r="K47" s="288"/>
      <c r="L47" s="288"/>
      <c r="M47" s="288"/>
      <c r="N47" s="288"/>
    </row>
    <row r="48" spans="1:14" x14ac:dyDescent="0.2">
      <c r="A48" s="288"/>
      <c r="B48" s="288"/>
      <c r="C48" s="288"/>
      <c r="D48" s="288"/>
      <c r="E48" s="288"/>
      <c r="F48" s="288"/>
      <c r="G48" s="288"/>
      <c r="H48" s="288"/>
      <c r="I48" s="288"/>
      <c r="J48" s="288"/>
      <c r="K48" s="288"/>
      <c r="L48" s="288"/>
      <c r="M48" s="288"/>
      <c r="N48" s="288"/>
    </row>
    <row r="49" spans="1:14" x14ac:dyDescent="0.2">
      <c r="A49" s="288"/>
      <c r="B49" s="288"/>
      <c r="C49" s="288"/>
      <c r="D49" s="288"/>
      <c r="E49" s="288"/>
      <c r="F49" s="288"/>
      <c r="G49" s="288"/>
      <c r="H49" s="288"/>
      <c r="I49" s="288"/>
      <c r="J49" s="288"/>
      <c r="K49" s="288"/>
      <c r="L49" s="288"/>
      <c r="M49" s="288"/>
      <c r="N49" s="288"/>
    </row>
    <row r="50" spans="1:14" x14ac:dyDescent="0.2">
      <c r="A50" s="288"/>
      <c r="B50" s="288"/>
      <c r="C50" s="288"/>
      <c r="D50" s="288"/>
      <c r="E50" s="288"/>
      <c r="F50" s="288"/>
      <c r="G50" s="288"/>
      <c r="H50" s="288"/>
      <c r="I50" s="288"/>
      <c r="J50" s="288"/>
      <c r="K50" s="288"/>
      <c r="L50" s="288"/>
      <c r="M50" s="288"/>
      <c r="N50" s="288"/>
    </row>
    <row r="51" spans="1:14" x14ac:dyDescent="0.2">
      <c r="A51" s="288"/>
      <c r="B51" s="288"/>
      <c r="C51" s="288"/>
      <c r="D51" s="288"/>
      <c r="E51" s="288"/>
      <c r="F51" s="288"/>
      <c r="G51" s="288"/>
      <c r="H51" s="288"/>
      <c r="I51" s="288"/>
      <c r="J51" s="288"/>
      <c r="K51" s="288"/>
      <c r="L51" s="288"/>
      <c r="M51" s="288"/>
      <c r="N51" s="288"/>
    </row>
    <row r="52" spans="1:14" x14ac:dyDescent="0.2">
      <c r="A52" s="288"/>
      <c r="B52" s="288"/>
      <c r="C52" s="288"/>
      <c r="D52" s="288"/>
      <c r="E52" s="288"/>
      <c r="F52" s="288"/>
      <c r="G52" s="288"/>
      <c r="H52" s="288"/>
      <c r="I52" s="288"/>
      <c r="J52" s="288"/>
      <c r="K52" s="288"/>
      <c r="L52" s="288"/>
      <c r="M52" s="288"/>
      <c r="N52" s="288"/>
    </row>
    <row r="53" spans="1:14" x14ac:dyDescent="0.2">
      <c r="A53" s="288"/>
      <c r="B53" s="288"/>
      <c r="C53" s="288"/>
      <c r="D53" s="288"/>
      <c r="E53" s="288"/>
      <c r="F53" s="288"/>
      <c r="G53" s="288"/>
      <c r="H53" s="288"/>
      <c r="I53" s="288"/>
      <c r="J53" s="288"/>
      <c r="K53" s="288"/>
      <c r="L53" s="288"/>
      <c r="M53" s="288"/>
      <c r="N53" s="288"/>
    </row>
    <row r="54" spans="1:14" x14ac:dyDescent="0.2">
      <c r="A54" s="288"/>
      <c r="B54" s="288"/>
      <c r="C54" s="288"/>
      <c r="D54" s="288"/>
      <c r="E54" s="288"/>
      <c r="F54" s="288"/>
      <c r="G54" s="288"/>
      <c r="H54" s="288"/>
      <c r="I54" s="288"/>
      <c r="J54" s="288"/>
      <c r="K54" s="288"/>
      <c r="L54" s="288"/>
      <c r="M54" s="288"/>
      <c r="N54" s="288"/>
    </row>
    <row r="55" spans="1:14" x14ac:dyDescent="0.2">
      <c r="A55" s="288"/>
      <c r="B55" s="288"/>
      <c r="C55" s="288"/>
      <c r="D55" s="288"/>
      <c r="E55" s="288"/>
      <c r="F55" s="288"/>
      <c r="G55" s="288"/>
      <c r="H55" s="288"/>
      <c r="I55" s="288"/>
      <c r="J55" s="288"/>
      <c r="K55" s="288"/>
      <c r="L55" s="288"/>
      <c r="M55" s="288"/>
      <c r="N55" s="288"/>
    </row>
    <row r="56" spans="1:14" x14ac:dyDescent="0.2">
      <c r="A56" s="288"/>
      <c r="B56" s="288"/>
      <c r="C56" s="288"/>
      <c r="D56" s="288"/>
      <c r="E56" s="288"/>
      <c r="F56" s="288"/>
      <c r="G56" s="288"/>
      <c r="H56" s="288"/>
      <c r="I56" s="288"/>
      <c r="J56" s="288"/>
      <c r="K56" s="288"/>
      <c r="L56" s="288"/>
      <c r="M56" s="288"/>
      <c r="N56" s="288"/>
    </row>
    <row r="57" spans="1:14" x14ac:dyDescent="0.2">
      <c r="A57" s="288"/>
      <c r="B57" s="288"/>
      <c r="C57" s="288"/>
      <c r="D57" s="288"/>
      <c r="E57" s="288"/>
      <c r="F57" s="288"/>
      <c r="G57" s="288"/>
      <c r="H57" s="288"/>
      <c r="I57" s="288"/>
      <c r="J57" s="288"/>
      <c r="K57" s="288"/>
      <c r="L57" s="288"/>
      <c r="M57" s="288"/>
      <c r="N57" s="288"/>
    </row>
    <row r="58" spans="1:14" x14ac:dyDescent="0.2">
      <c r="A58" s="288"/>
      <c r="B58" s="288"/>
      <c r="C58" s="288"/>
      <c r="D58" s="288"/>
      <c r="E58" s="288"/>
      <c r="F58" s="288"/>
      <c r="G58" s="288"/>
      <c r="H58" s="288"/>
      <c r="I58" s="288"/>
      <c r="J58" s="288"/>
      <c r="K58" s="288"/>
      <c r="L58" s="288"/>
      <c r="M58" s="288"/>
      <c r="N58" s="288"/>
    </row>
    <row r="59" spans="1:14" x14ac:dyDescent="0.2">
      <c r="A59" s="288"/>
      <c r="B59" s="288"/>
      <c r="C59" s="288"/>
      <c r="D59" s="288"/>
      <c r="E59" s="288"/>
      <c r="F59" s="288"/>
      <c r="G59" s="288"/>
      <c r="H59" s="288"/>
      <c r="I59" s="288"/>
      <c r="J59" s="288"/>
      <c r="K59" s="288"/>
      <c r="L59" s="288"/>
      <c r="M59" s="288"/>
      <c r="N59" s="288"/>
    </row>
    <row r="60" spans="1:14" x14ac:dyDescent="0.2">
      <c r="A60" s="288"/>
      <c r="B60" s="288"/>
      <c r="C60" s="288"/>
      <c r="D60" s="288"/>
      <c r="E60" s="288"/>
      <c r="F60" s="288"/>
      <c r="G60" s="288"/>
      <c r="H60" s="288"/>
      <c r="I60" s="288"/>
      <c r="J60" s="288"/>
      <c r="K60" s="288"/>
      <c r="L60" s="288"/>
      <c r="M60" s="288"/>
      <c r="N60" s="288"/>
    </row>
    <row r="61" spans="1:14" x14ac:dyDescent="0.2">
      <c r="A61" s="288"/>
      <c r="B61" s="288"/>
      <c r="C61" s="288"/>
      <c r="D61" s="288"/>
      <c r="E61" s="288"/>
      <c r="F61" s="288"/>
      <c r="G61" s="288"/>
      <c r="H61" s="288"/>
      <c r="I61" s="288"/>
      <c r="J61" s="288"/>
      <c r="K61" s="288"/>
      <c r="L61" s="288"/>
      <c r="M61" s="288"/>
      <c r="N61" s="288"/>
    </row>
    <row r="62" spans="1:14" x14ac:dyDescent="0.2">
      <c r="A62" s="288"/>
      <c r="B62" s="288"/>
      <c r="C62" s="288"/>
      <c r="D62" s="288"/>
      <c r="E62" s="288"/>
      <c r="F62" s="288"/>
      <c r="G62" s="288"/>
      <c r="H62" s="288"/>
      <c r="I62" s="288"/>
      <c r="J62" s="288"/>
      <c r="K62" s="288"/>
      <c r="L62" s="288"/>
      <c r="M62" s="288"/>
      <c r="N62" s="288"/>
    </row>
    <row r="63" spans="1:14" x14ac:dyDescent="0.2">
      <c r="A63" s="288"/>
      <c r="B63" s="288"/>
      <c r="C63" s="288"/>
      <c r="D63" s="288"/>
      <c r="E63" s="288"/>
      <c r="F63" s="288"/>
      <c r="G63" s="288"/>
      <c r="H63" s="288"/>
      <c r="I63" s="288"/>
      <c r="J63" s="288"/>
      <c r="K63" s="288"/>
      <c r="L63" s="288"/>
      <c r="M63" s="288"/>
      <c r="N63" s="288"/>
    </row>
    <row r="64" spans="1:14" x14ac:dyDescent="0.2">
      <c r="A64" s="288"/>
      <c r="B64" s="288"/>
      <c r="C64" s="288"/>
      <c r="D64" s="288"/>
      <c r="E64" s="288"/>
      <c r="F64" s="288"/>
      <c r="G64" s="288"/>
      <c r="H64" s="288"/>
      <c r="I64" s="288"/>
      <c r="J64" s="288"/>
      <c r="K64" s="288"/>
      <c r="L64" s="288"/>
      <c r="M64" s="288"/>
      <c r="N64" s="288"/>
    </row>
    <row r="65" spans="1:14" x14ac:dyDescent="0.2">
      <c r="A65" s="288"/>
      <c r="B65" s="288"/>
      <c r="C65" s="288"/>
      <c r="D65" s="288"/>
      <c r="E65" s="288"/>
      <c r="F65" s="288"/>
      <c r="G65" s="288"/>
      <c r="H65" s="288"/>
      <c r="I65" s="288"/>
      <c r="J65" s="288"/>
      <c r="K65" s="288"/>
      <c r="L65" s="288"/>
      <c r="M65" s="288"/>
      <c r="N65" s="288"/>
    </row>
    <row r="66" spans="1:14" x14ac:dyDescent="0.2">
      <c r="A66" s="288"/>
      <c r="B66" s="288"/>
      <c r="C66" s="288"/>
      <c r="D66" s="288"/>
      <c r="E66" s="288"/>
      <c r="F66" s="288"/>
      <c r="G66" s="288"/>
      <c r="H66" s="288"/>
      <c r="I66" s="288"/>
      <c r="J66" s="288"/>
      <c r="K66" s="288"/>
      <c r="L66" s="288"/>
      <c r="M66" s="288"/>
      <c r="N66" s="288"/>
    </row>
    <row r="67" spans="1:14" x14ac:dyDescent="0.2">
      <c r="A67" s="288"/>
      <c r="B67" s="288"/>
      <c r="C67" s="288"/>
      <c r="D67" s="288"/>
      <c r="E67" s="288"/>
      <c r="F67" s="288"/>
      <c r="G67" s="288"/>
      <c r="H67" s="288"/>
      <c r="I67" s="288"/>
      <c r="J67" s="288"/>
      <c r="K67" s="288"/>
      <c r="L67" s="288"/>
      <c r="M67" s="288"/>
      <c r="N67" s="288"/>
    </row>
    <row r="68" spans="1:14" x14ac:dyDescent="0.2">
      <c r="A68" s="288"/>
      <c r="B68" s="288"/>
      <c r="C68" s="288"/>
      <c r="D68" s="288"/>
      <c r="E68" s="288"/>
      <c r="F68" s="288"/>
      <c r="G68" s="288"/>
      <c r="H68" s="288"/>
      <c r="I68" s="288"/>
      <c r="J68" s="288"/>
      <c r="K68" s="288"/>
      <c r="L68" s="288"/>
      <c r="M68" s="288"/>
      <c r="N68" s="288"/>
    </row>
    <row r="69" spans="1:14" x14ac:dyDescent="0.2">
      <c r="A69" s="288"/>
      <c r="B69" s="288"/>
      <c r="C69" s="288"/>
      <c r="D69" s="288"/>
      <c r="E69" s="288"/>
      <c r="F69" s="288"/>
      <c r="G69" s="288"/>
      <c r="H69" s="288"/>
      <c r="I69" s="288"/>
      <c r="J69" s="288"/>
      <c r="K69" s="288"/>
      <c r="L69" s="288"/>
      <c r="M69" s="288"/>
      <c r="N69" s="288"/>
    </row>
    <row r="70" spans="1:14" x14ac:dyDescent="0.2">
      <c r="A70" s="288"/>
      <c r="B70" s="288"/>
      <c r="C70" s="288"/>
      <c r="D70" s="288"/>
      <c r="E70" s="288"/>
      <c r="F70" s="288"/>
      <c r="G70" s="288"/>
      <c r="H70" s="288"/>
      <c r="I70" s="288"/>
      <c r="J70" s="288"/>
      <c r="K70" s="288"/>
      <c r="L70" s="288"/>
      <c r="M70" s="288"/>
      <c r="N70" s="288"/>
    </row>
    <row r="71" spans="1:14" x14ac:dyDescent="0.2">
      <c r="A71" s="288"/>
      <c r="B71" s="288"/>
      <c r="C71" s="288"/>
      <c r="D71" s="288"/>
      <c r="E71" s="288"/>
      <c r="F71" s="288"/>
      <c r="G71" s="288"/>
      <c r="H71" s="288"/>
      <c r="I71" s="288"/>
      <c r="J71" s="288"/>
      <c r="K71" s="288"/>
      <c r="L71" s="288"/>
      <c r="M71" s="288"/>
      <c r="N71" s="288"/>
    </row>
    <row r="72" spans="1:14" x14ac:dyDescent="0.2">
      <c r="A72" s="288"/>
      <c r="B72" s="288"/>
      <c r="C72" s="288"/>
      <c r="D72" s="288"/>
      <c r="E72" s="288"/>
      <c r="F72" s="288"/>
      <c r="G72" s="288"/>
      <c r="H72" s="288"/>
      <c r="I72" s="288"/>
      <c r="J72" s="288"/>
      <c r="K72" s="288"/>
      <c r="L72" s="288"/>
      <c r="M72" s="288"/>
      <c r="N72" s="288"/>
    </row>
    <row r="73" spans="1:14" x14ac:dyDescent="0.2">
      <c r="A73" s="288"/>
      <c r="B73" s="288"/>
      <c r="C73" s="288"/>
      <c r="D73" s="288"/>
      <c r="E73" s="288"/>
      <c r="F73" s="288"/>
      <c r="G73" s="288"/>
      <c r="H73" s="288"/>
      <c r="I73" s="288"/>
      <c r="J73" s="288"/>
      <c r="K73" s="288"/>
      <c r="L73" s="288"/>
      <c r="M73" s="288"/>
      <c r="N73" s="288"/>
    </row>
    <row r="74" spans="1:14" x14ac:dyDescent="0.2">
      <c r="A74" s="288"/>
      <c r="B74" s="288"/>
      <c r="C74" s="288"/>
      <c r="D74" s="288"/>
      <c r="E74" s="288"/>
      <c r="F74" s="288"/>
      <c r="G74" s="288"/>
      <c r="H74" s="288"/>
      <c r="I74" s="288"/>
      <c r="J74" s="288"/>
      <c r="K74" s="288"/>
      <c r="L74" s="288"/>
      <c r="M74" s="288"/>
      <c r="N74" s="288"/>
    </row>
    <row r="75" spans="1:14" x14ac:dyDescent="0.2">
      <c r="A75" s="288"/>
      <c r="B75" s="288"/>
      <c r="C75" s="288"/>
      <c r="D75" s="288"/>
      <c r="E75" s="288"/>
      <c r="F75" s="288"/>
      <c r="G75" s="288"/>
      <c r="H75" s="288"/>
      <c r="I75" s="288"/>
      <c r="J75" s="288"/>
      <c r="K75" s="288"/>
      <c r="L75" s="288"/>
      <c r="M75" s="288"/>
      <c r="N75" s="288"/>
    </row>
    <row r="76" spans="1:14" x14ac:dyDescent="0.2">
      <c r="A76" s="288"/>
      <c r="B76" s="288"/>
      <c r="C76" s="288"/>
      <c r="D76" s="288"/>
      <c r="E76" s="288"/>
      <c r="F76" s="288"/>
      <c r="G76" s="288"/>
      <c r="H76" s="288"/>
      <c r="I76" s="288"/>
      <c r="J76" s="288"/>
      <c r="K76" s="288"/>
      <c r="L76" s="288"/>
      <c r="M76" s="288"/>
      <c r="N76" s="288"/>
    </row>
    <row r="77" spans="1:14" x14ac:dyDescent="0.2">
      <c r="A77" s="288"/>
      <c r="B77" s="288"/>
      <c r="C77" s="288"/>
      <c r="D77" s="288"/>
      <c r="E77" s="288"/>
      <c r="F77" s="288"/>
      <c r="G77" s="288"/>
      <c r="H77" s="288"/>
      <c r="I77" s="288"/>
      <c r="J77" s="288"/>
      <c r="K77" s="288"/>
      <c r="L77" s="288"/>
      <c r="M77" s="288"/>
      <c r="N77" s="288"/>
    </row>
    <row r="78" spans="1:14" x14ac:dyDescent="0.2">
      <c r="A78" s="288"/>
      <c r="B78" s="288"/>
      <c r="C78" s="288"/>
      <c r="D78" s="288"/>
      <c r="E78" s="288"/>
      <c r="F78" s="288"/>
      <c r="G78" s="288"/>
      <c r="H78" s="288"/>
      <c r="I78" s="288"/>
      <c r="J78" s="288"/>
      <c r="K78" s="288"/>
      <c r="L78" s="288"/>
      <c r="M78" s="288"/>
      <c r="N78" s="288"/>
    </row>
    <row r="79" spans="1:14" x14ac:dyDescent="0.2">
      <c r="A79" s="288"/>
      <c r="B79" s="288"/>
      <c r="C79" s="288"/>
      <c r="D79" s="288"/>
      <c r="E79" s="288"/>
      <c r="F79" s="288"/>
      <c r="G79" s="288"/>
      <c r="H79" s="288"/>
      <c r="I79" s="288"/>
      <c r="J79" s="288"/>
      <c r="K79" s="288"/>
      <c r="L79" s="288"/>
      <c r="M79" s="288"/>
      <c r="N79" s="288"/>
    </row>
    <row r="80" spans="1:14" x14ac:dyDescent="0.2">
      <c r="A80" s="288"/>
      <c r="B80" s="288"/>
      <c r="C80" s="288"/>
      <c r="D80" s="288"/>
      <c r="E80" s="288"/>
      <c r="F80" s="288"/>
      <c r="G80" s="288"/>
      <c r="H80" s="288"/>
      <c r="I80" s="288"/>
      <c r="J80" s="288"/>
      <c r="K80" s="288"/>
      <c r="L80" s="288"/>
      <c r="M80" s="288"/>
      <c r="N80" s="288"/>
    </row>
    <row r="81" spans="1:14" x14ac:dyDescent="0.2">
      <c r="A81" s="288"/>
      <c r="B81" s="288"/>
      <c r="C81" s="288"/>
      <c r="D81" s="288"/>
      <c r="E81" s="288"/>
      <c r="F81" s="288"/>
      <c r="G81" s="288"/>
      <c r="H81" s="288"/>
      <c r="I81" s="288"/>
      <c r="J81" s="288"/>
      <c r="K81" s="288"/>
      <c r="L81" s="288"/>
      <c r="M81" s="288"/>
      <c r="N81" s="288"/>
    </row>
    <row r="82" spans="1:14" x14ac:dyDescent="0.2">
      <c r="A82" s="288"/>
      <c r="B82" s="288"/>
      <c r="C82" s="288"/>
      <c r="D82" s="288"/>
      <c r="E82" s="288"/>
      <c r="F82" s="288"/>
      <c r="G82" s="288"/>
      <c r="H82" s="288"/>
      <c r="I82" s="288"/>
      <c r="J82" s="288"/>
      <c r="K82" s="288"/>
      <c r="L82" s="288"/>
      <c r="M82" s="288"/>
      <c r="N82" s="288"/>
    </row>
    <row r="83" spans="1:14" x14ac:dyDescent="0.2">
      <c r="A83" s="288"/>
      <c r="B83" s="288"/>
      <c r="C83" s="288"/>
      <c r="D83" s="288"/>
      <c r="E83" s="288"/>
      <c r="F83" s="288"/>
      <c r="G83" s="288"/>
      <c r="H83" s="288"/>
      <c r="I83" s="288"/>
      <c r="J83" s="288"/>
      <c r="K83" s="288"/>
      <c r="L83" s="288"/>
      <c r="M83" s="288"/>
      <c r="N83" s="288"/>
    </row>
    <row r="84" spans="1:14" x14ac:dyDescent="0.2">
      <c r="A84" s="288"/>
      <c r="B84" s="288"/>
      <c r="C84" s="288"/>
      <c r="D84" s="288"/>
      <c r="E84" s="288"/>
      <c r="F84" s="288"/>
      <c r="G84" s="288"/>
      <c r="H84" s="288"/>
      <c r="I84" s="288"/>
      <c r="J84" s="288"/>
      <c r="K84" s="288"/>
      <c r="L84" s="288"/>
      <c r="M84" s="288"/>
      <c r="N84" s="288"/>
    </row>
    <row r="85" spans="1:14" x14ac:dyDescent="0.2">
      <c r="A85" s="288"/>
      <c r="B85" s="288"/>
      <c r="C85" s="288"/>
      <c r="D85" s="288"/>
      <c r="E85" s="288"/>
      <c r="F85" s="288"/>
      <c r="G85" s="288"/>
      <c r="H85" s="288"/>
      <c r="I85" s="288"/>
      <c r="J85" s="288"/>
      <c r="K85" s="288"/>
      <c r="L85" s="288"/>
      <c r="M85" s="288"/>
      <c r="N85" s="288"/>
    </row>
    <row r="86" spans="1:14" x14ac:dyDescent="0.2">
      <c r="A86" s="288"/>
      <c r="B86" s="288"/>
      <c r="C86" s="288"/>
      <c r="D86" s="288"/>
      <c r="E86" s="288"/>
      <c r="F86" s="288"/>
      <c r="G86" s="288"/>
      <c r="H86" s="288"/>
      <c r="I86" s="288"/>
      <c r="J86" s="288"/>
      <c r="K86" s="288"/>
      <c r="L86" s="288"/>
      <c r="M86" s="288"/>
      <c r="N86" s="288"/>
    </row>
    <row r="87" spans="1:14" x14ac:dyDescent="0.2">
      <c r="A87" s="288"/>
      <c r="B87" s="288"/>
      <c r="C87" s="288"/>
      <c r="D87" s="288"/>
      <c r="E87" s="288"/>
      <c r="F87" s="288"/>
      <c r="G87" s="288"/>
      <c r="H87" s="288"/>
      <c r="I87" s="288"/>
      <c r="J87" s="288"/>
      <c r="K87" s="288"/>
      <c r="L87" s="288"/>
      <c r="M87" s="288"/>
      <c r="N87" s="288"/>
    </row>
    <row r="88" spans="1:14" x14ac:dyDescent="0.2">
      <c r="A88" s="288"/>
      <c r="B88" s="288"/>
      <c r="C88" s="288"/>
      <c r="D88" s="288"/>
      <c r="E88" s="288"/>
      <c r="F88" s="288"/>
      <c r="G88" s="288"/>
      <c r="H88" s="288"/>
      <c r="I88" s="288"/>
      <c r="J88" s="288"/>
      <c r="K88" s="288"/>
      <c r="L88" s="288"/>
      <c r="M88" s="288"/>
      <c r="N88" s="288"/>
    </row>
    <row r="89" spans="1:14" x14ac:dyDescent="0.2">
      <c r="A89" s="288"/>
      <c r="B89" s="288"/>
      <c r="C89" s="288"/>
      <c r="D89" s="288"/>
      <c r="E89" s="288"/>
      <c r="F89" s="288"/>
      <c r="G89" s="288"/>
      <c r="H89" s="288"/>
      <c r="I89" s="288"/>
      <c r="J89" s="288"/>
      <c r="K89" s="288"/>
      <c r="L89" s="288"/>
      <c r="M89" s="288"/>
      <c r="N89" s="288"/>
    </row>
    <row r="90" spans="1:14" x14ac:dyDescent="0.2">
      <c r="A90" s="288"/>
      <c r="B90" s="288"/>
      <c r="C90" s="288"/>
      <c r="D90" s="288"/>
      <c r="E90" s="288"/>
      <c r="F90" s="288"/>
      <c r="G90" s="288"/>
      <c r="H90" s="288"/>
      <c r="I90" s="288"/>
      <c r="J90" s="288"/>
      <c r="K90" s="288"/>
      <c r="L90" s="288"/>
      <c r="M90" s="288"/>
      <c r="N90" s="288"/>
    </row>
    <row r="91" spans="1:14" x14ac:dyDescent="0.2">
      <c r="A91" s="288"/>
      <c r="B91" s="288"/>
      <c r="C91" s="288"/>
      <c r="D91" s="288"/>
      <c r="E91" s="288"/>
      <c r="F91" s="288"/>
      <c r="G91" s="288"/>
      <c r="H91" s="288"/>
      <c r="I91" s="288"/>
      <c r="J91" s="288"/>
      <c r="K91" s="288"/>
      <c r="L91" s="288"/>
      <c r="M91" s="288"/>
      <c r="N91" s="288"/>
    </row>
    <row r="92" spans="1:14" x14ac:dyDescent="0.2">
      <c r="A92" s="288"/>
      <c r="B92" s="288"/>
      <c r="C92" s="288"/>
      <c r="D92" s="288"/>
      <c r="E92" s="288"/>
      <c r="F92" s="288"/>
      <c r="G92" s="288"/>
      <c r="H92" s="288"/>
      <c r="I92" s="288"/>
      <c r="J92" s="288"/>
      <c r="K92" s="288"/>
      <c r="L92" s="288"/>
      <c r="M92" s="288"/>
      <c r="N92" s="288"/>
    </row>
    <row r="93" spans="1:14" x14ac:dyDescent="0.2">
      <c r="A93" s="288"/>
      <c r="B93" s="288"/>
      <c r="C93" s="288"/>
      <c r="D93" s="288"/>
      <c r="E93" s="288"/>
      <c r="F93" s="288"/>
      <c r="G93" s="288"/>
      <c r="H93" s="288"/>
      <c r="I93" s="288"/>
      <c r="J93" s="288"/>
      <c r="K93" s="288"/>
      <c r="L93" s="288"/>
      <c r="M93" s="288"/>
      <c r="N93" s="288"/>
    </row>
    <row r="94" spans="1:14" x14ac:dyDescent="0.2">
      <c r="A94" s="288"/>
      <c r="B94" s="288"/>
      <c r="C94" s="288"/>
      <c r="D94" s="288"/>
      <c r="E94" s="288"/>
      <c r="F94" s="288"/>
      <c r="G94" s="288"/>
      <c r="H94" s="288"/>
      <c r="I94" s="288"/>
      <c r="J94" s="288"/>
      <c r="K94" s="288"/>
      <c r="L94" s="288"/>
      <c r="M94" s="288"/>
      <c r="N94" s="288"/>
    </row>
    <row r="95" spans="1:14" x14ac:dyDescent="0.2">
      <c r="A95" s="288"/>
      <c r="B95" s="288"/>
      <c r="C95" s="288"/>
      <c r="D95" s="288"/>
      <c r="E95" s="288"/>
      <c r="F95" s="288"/>
      <c r="G95" s="288"/>
      <c r="H95" s="288"/>
      <c r="I95" s="288"/>
      <c r="J95" s="288"/>
      <c r="K95" s="288"/>
      <c r="L95" s="288"/>
      <c r="M95" s="288"/>
      <c r="N95" s="288"/>
    </row>
    <row r="96" spans="1:14" x14ac:dyDescent="0.2">
      <c r="A96" s="288"/>
      <c r="B96" s="288"/>
      <c r="C96" s="288"/>
      <c r="D96" s="288"/>
      <c r="E96" s="288"/>
      <c r="F96" s="288"/>
      <c r="G96" s="288"/>
      <c r="H96" s="288"/>
      <c r="I96" s="288"/>
      <c r="J96" s="288"/>
      <c r="K96" s="288"/>
      <c r="L96" s="288"/>
      <c r="M96" s="288"/>
      <c r="N96" s="288"/>
    </row>
    <row r="97" spans="1:14" x14ac:dyDescent="0.2">
      <c r="A97" s="288"/>
      <c r="B97" s="288"/>
      <c r="C97" s="288"/>
      <c r="D97" s="288"/>
      <c r="E97" s="288"/>
      <c r="F97" s="288"/>
      <c r="G97" s="288"/>
      <c r="H97" s="288"/>
      <c r="I97" s="288"/>
      <c r="J97" s="288"/>
      <c r="K97" s="288"/>
      <c r="L97" s="288"/>
      <c r="M97" s="288"/>
      <c r="N97" s="288"/>
    </row>
    <row r="98" spans="1:14" x14ac:dyDescent="0.2">
      <c r="A98" s="288"/>
      <c r="B98" s="288"/>
      <c r="C98" s="288"/>
      <c r="D98" s="288"/>
      <c r="E98" s="288"/>
      <c r="F98" s="288"/>
      <c r="G98" s="288"/>
      <c r="H98" s="288"/>
      <c r="I98" s="288"/>
      <c r="J98" s="288"/>
      <c r="K98" s="288"/>
      <c r="L98" s="288"/>
      <c r="M98" s="288"/>
      <c r="N98" s="288"/>
    </row>
    <row r="99" spans="1:14" x14ac:dyDescent="0.2">
      <c r="A99" s="288"/>
      <c r="B99" s="288"/>
      <c r="C99" s="288"/>
      <c r="D99" s="288"/>
      <c r="E99" s="288"/>
      <c r="F99" s="288"/>
      <c r="G99" s="288"/>
      <c r="H99" s="288"/>
      <c r="I99" s="288"/>
      <c r="J99" s="288"/>
      <c r="K99" s="288"/>
      <c r="L99" s="288"/>
      <c r="M99" s="288"/>
      <c r="N99" s="288"/>
    </row>
    <row r="100" spans="1:14" x14ac:dyDescent="0.2">
      <c r="A100" s="288"/>
      <c r="B100" s="288"/>
      <c r="C100" s="288"/>
      <c r="D100" s="288"/>
      <c r="E100" s="288"/>
      <c r="F100" s="288"/>
      <c r="G100" s="288"/>
      <c r="H100" s="288"/>
      <c r="I100" s="288"/>
      <c r="J100" s="288"/>
      <c r="K100" s="288"/>
      <c r="L100" s="288"/>
      <c r="M100" s="288"/>
      <c r="N100" s="288"/>
    </row>
    <row r="101" spans="1:14" x14ac:dyDescent="0.2">
      <c r="A101" s="288"/>
      <c r="B101" s="288"/>
      <c r="C101" s="288"/>
      <c r="D101" s="288"/>
      <c r="E101" s="288"/>
      <c r="F101" s="288"/>
      <c r="G101" s="288"/>
      <c r="H101" s="288"/>
      <c r="I101" s="288"/>
      <c r="J101" s="288"/>
      <c r="K101" s="288"/>
      <c r="L101" s="288"/>
      <c r="M101" s="288"/>
      <c r="N101" s="288"/>
    </row>
    <row r="102" spans="1:14" x14ac:dyDescent="0.2">
      <c r="A102" s="288"/>
      <c r="B102" s="288"/>
      <c r="C102" s="288"/>
      <c r="D102" s="288"/>
      <c r="E102" s="288"/>
      <c r="F102" s="288"/>
      <c r="G102" s="288"/>
      <c r="H102" s="288"/>
      <c r="I102" s="288"/>
      <c r="J102" s="288"/>
      <c r="K102" s="288"/>
      <c r="L102" s="288"/>
      <c r="M102" s="288"/>
      <c r="N102" s="288"/>
    </row>
    <row r="103" spans="1:14" x14ac:dyDescent="0.2">
      <c r="A103" s="288"/>
      <c r="B103" s="288"/>
      <c r="C103" s="288"/>
      <c r="D103" s="288"/>
      <c r="E103" s="288"/>
      <c r="F103" s="288"/>
      <c r="G103" s="288"/>
      <c r="H103" s="288"/>
      <c r="I103" s="288"/>
      <c r="J103" s="288"/>
      <c r="K103" s="288"/>
      <c r="L103" s="288"/>
      <c r="M103" s="288"/>
      <c r="N103" s="288"/>
    </row>
    <row r="104" spans="1:14" x14ac:dyDescent="0.2">
      <c r="A104" s="288"/>
      <c r="B104" s="288"/>
      <c r="C104" s="288"/>
      <c r="D104" s="288"/>
      <c r="E104" s="288"/>
      <c r="F104" s="288"/>
      <c r="G104" s="288"/>
      <c r="H104" s="288"/>
      <c r="I104" s="288"/>
      <c r="J104" s="288"/>
      <c r="K104" s="288"/>
      <c r="L104" s="288"/>
      <c r="M104" s="288"/>
      <c r="N104" s="288"/>
    </row>
    <row r="105" spans="1:14" x14ac:dyDescent="0.2">
      <c r="A105" s="288"/>
      <c r="B105" s="288"/>
      <c r="C105" s="288"/>
      <c r="D105" s="288"/>
      <c r="E105" s="288"/>
      <c r="F105" s="288"/>
      <c r="G105" s="288"/>
      <c r="H105" s="288"/>
      <c r="I105" s="288"/>
      <c r="J105" s="288"/>
      <c r="K105" s="288"/>
      <c r="L105" s="288"/>
      <c r="M105" s="288"/>
      <c r="N105" s="288"/>
    </row>
    <row r="106" spans="1:14" x14ac:dyDescent="0.2">
      <c r="A106" s="288"/>
      <c r="B106" s="288"/>
      <c r="C106" s="288"/>
      <c r="D106" s="288"/>
      <c r="E106" s="288"/>
      <c r="F106" s="288"/>
      <c r="G106" s="288"/>
      <c r="H106" s="288"/>
      <c r="I106" s="288"/>
      <c r="J106" s="288"/>
      <c r="K106" s="288"/>
      <c r="L106" s="288"/>
      <c r="M106" s="288"/>
      <c r="N106" s="288"/>
    </row>
    <row r="107" spans="1:14" x14ac:dyDescent="0.2">
      <c r="A107" s="288"/>
      <c r="B107" s="288"/>
      <c r="C107" s="288"/>
      <c r="D107" s="288"/>
      <c r="E107" s="288"/>
      <c r="F107" s="288"/>
      <c r="G107" s="288"/>
      <c r="H107" s="288"/>
      <c r="I107" s="288"/>
      <c r="J107" s="288"/>
      <c r="K107" s="288"/>
      <c r="L107" s="288"/>
      <c r="M107" s="288"/>
      <c r="N107" s="288"/>
    </row>
    <row r="108" spans="1:14" x14ac:dyDescent="0.2">
      <c r="A108" s="288"/>
      <c r="B108" s="288"/>
      <c r="C108" s="288"/>
      <c r="D108" s="288"/>
      <c r="E108" s="288"/>
      <c r="F108" s="288"/>
      <c r="G108" s="288"/>
      <c r="H108" s="288"/>
      <c r="I108" s="288"/>
      <c r="J108" s="288"/>
      <c r="K108" s="288"/>
      <c r="L108" s="288"/>
      <c r="M108" s="288"/>
      <c r="N108" s="288"/>
    </row>
    <row r="109" spans="1:14" x14ac:dyDescent="0.2">
      <c r="A109" s="288"/>
      <c r="B109" s="288"/>
      <c r="C109" s="288"/>
      <c r="D109" s="288"/>
      <c r="E109" s="288"/>
      <c r="F109" s="288"/>
      <c r="G109" s="288"/>
      <c r="H109" s="288"/>
      <c r="I109" s="288"/>
      <c r="J109" s="288"/>
      <c r="K109" s="288"/>
      <c r="L109" s="288"/>
      <c r="M109" s="288"/>
      <c r="N109" s="288"/>
    </row>
    <row r="110" spans="1:14" x14ac:dyDescent="0.2">
      <c r="A110" s="288"/>
      <c r="B110" s="288"/>
      <c r="C110" s="288"/>
      <c r="D110" s="288"/>
      <c r="E110" s="288"/>
      <c r="F110" s="288"/>
      <c r="G110" s="288"/>
      <c r="H110" s="288"/>
      <c r="I110" s="288"/>
      <c r="J110" s="288"/>
      <c r="K110" s="288"/>
      <c r="L110" s="288"/>
      <c r="M110" s="288"/>
      <c r="N110" s="288"/>
    </row>
    <row r="111" spans="1:14" x14ac:dyDescent="0.2">
      <c r="A111" s="288"/>
      <c r="B111" s="288"/>
      <c r="C111" s="288"/>
      <c r="D111" s="288"/>
      <c r="E111" s="288"/>
      <c r="F111" s="288"/>
      <c r="G111" s="288"/>
      <c r="H111" s="288"/>
      <c r="I111" s="288"/>
      <c r="J111" s="288"/>
      <c r="K111" s="288"/>
      <c r="L111" s="288"/>
      <c r="M111" s="288"/>
      <c r="N111" s="288"/>
    </row>
    <row r="112" spans="1:14" x14ac:dyDescent="0.2">
      <c r="A112" s="288"/>
      <c r="B112" s="288"/>
      <c r="C112" s="288"/>
      <c r="D112" s="288"/>
      <c r="E112" s="288"/>
      <c r="F112" s="288"/>
      <c r="G112" s="288"/>
      <c r="H112" s="288"/>
      <c r="I112" s="288"/>
      <c r="J112" s="288"/>
      <c r="K112" s="288"/>
      <c r="L112" s="288"/>
      <c r="M112" s="288"/>
      <c r="N112" s="288"/>
    </row>
    <row r="113" spans="1:14" x14ac:dyDescent="0.2">
      <c r="A113" s="288"/>
      <c r="B113" s="288"/>
      <c r="C113" s="288"/>
      <c r="D113" s="288"/>
      <c r="E113" s="288"/>
      <c r="F113" s="288"/>
      <c r="G113" s="288"/>
      <c r="H113" s="288"/>
      <c r="I113" s="288"/>
      <c r="J113" s="288"/>
      <c r="K113" s="288"/>
      <c r="L113" s="288"/>
      <c r="M113" s="288"/>
      <c r="N113" s="288"/>
    </row>
    <row r="114" spans="1:14" x14ac:dyDescent="0.2">
      <c r="A114" s="288"/>
      <c r="B114" s="288"/>
      <c r="C114" s="288"/>
      <c r="D114" s="288"/>
      <c r="E114" s="288"/>
      <c r="F114" s="288"/>
      <c r="G114" s="288"/>
      <c r="H114" s="288"/>
      <c r="I114" s="288"/>
      <c r="J114" s="288"/>
      <c r="K114" s="288"/>
      <c r="L114" s="288"/>
      <c r="M114" s="288"/>
      <c r="N114" s="288"/>
    </row>
    <row r="115" spans="1:14" x14ac:dyDescent="0.2">
      <c r="A115" s="288"/>
      <c r="B115" s="288"/>
      <c r="C115" s="288"/>
      <c r="D115" s="288"/>
      <c r="E115" s="288"/>
      <c r="F115" s="288"/>
      <c r="G115" s="288"/>
      <c r="H115" s="288"/>
      <c r="I115" s="288"/>
      <c r="J115" s="288"/>
      <c r="K115" s="288"/>
      <c r="L115" s="288"/>
      <c r="M115" s="288"/>
      <c r="N115" s="288"/>
    </row>
    <row r="116" spans="1:14" x14ac:dyDescent="0.2">
      <c r="A116" s="288"/>
      <c r="B116" s="288"/>
      <c r="C116" s="288"/>
      <c r="D116" s="288"/>
      <c r="E116" s="288"/>
      <c r="F116" s="288"/>
      <c r="G116" s="288"/>
      <c r="H116" s="288"/>
      <c r="I116" s="288"/>
      <c r="J116" s="288"/>
      <c r="K116" s="288"/>
      <c r="L116" s="288"/>
      <c r="M116" s="288"/>
      <c r="N116" s="288"/>
    </row>
    <row r="117" spans="1:14" x14ac:dyDescent="0.2">
      <c r="A117" s="288"/>
      <c r="B117" s="288"/>
      <c r="C117" s="288"/>
      <c r="D117" s="288"/>
      <c r="E117" s="288"/>
      <c r="F117" s="288"/>
      <c r="G117" s="288"/>
      <c r="H117" s="288"/>
      <c r="I117" s="288"/>
      <c r="J117" s="288"/>
      <c r="K117" s="288"/>
      <c r="L117" s="288"/>
      <c r="M117" s="288"/>
      <c r="N117" s="288"/>
    </row>
    <row r="118" spans="1:14" x14ac:dyDescent="0.2">
      <c r="A118" s="288"/>
      <c r="B118" s="288"/>
      <c r="C118" s="288"/>
      <c r="D118" s="288"/>
      <c r="E118" s="288"/>
      <c r="F118" s="288"/>
      <c r="G118" s="288"/>
      <c r="H118" s="288"/>
      <c r="I118" s="288"/>
      <c r="J118" s="288"/>
      <c r="K118" s="288"/>
      <c r="L118" s="288"/>
      <c r="M118" s="288"/>
      <c r="N118" s="288"/>
    </row>
  </sheetData>
  <pageMargins left="0.5" right="0.5" top="0.75" bottom="0.75" header="0.5" footer="0.5"/>
  <pageSetup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118"/>
  <sheetViews>
    <sheetView showGridLines="0" zoomScaleNormal="100" workbookViewId="0">
      <selection activeCell="C4" sqref="C4"/>
    </sheetView>
  </sheetViews>
  <sheetFormatPr defaultRowHeight="12.75" x14ac:dyDescent="0.2"/>
  <cols>
    <col min="1" max="1" width="9.140625" style="195"/>
    <col min="2" max="2" width="2.28515625" style="288" bestFit="1" customWidth="1"/>
    <col min="3" max="12" width="11.7109375" style="195" customWidth="1"/>
    <col min="13" max="16384" width="9.140625" style="195"/>
  </cols>
  <sheetData>
    <row r="1" spans="1:13" x14ac:dyDescent="0.2">
      <c r="A1" s="305" t="str">
        <f>"Commodity Pricing ("&amp;TEXT(A4,"mmmm yyyy")&amp;" through "&amp;TEXT(A15,"mmmm yyyy")&amp;")"</f>
        <v>Commodity Pricing (May 2017 through April 2018)</v>
      </c>
      <c r="B1" s="313"/>
    </row>
    <row r="2" spans="1:13" x14ac:dyDescent="0.2">
      <c r="A2" s="303" t="s">
        <v>114</v>
      </c>
      <c r="B2" s="335"/>
    </row>
    <row r="3" spans="1:13" x14ac:dyDescent="0.2">
      <c r="B3" s="298"/>
      <c r="C3" s="300" t="s">
        <v>21</v>
      </c>
      <c r="D3" s="300" t="s">
        <v>22</v>
      </c>
      <c r="E3" s="300" t="s">
        <v>33</v>
      </c>
      <c r="F3" s="300" t="s">
        <v>23</v>
      </c>
      <c r="G3" s="300" t="s">
        <v>24</v>
      </c>
      <c r="H3" s="300" t="s">
        <v>25</v>
      </c>
      <c r="I3" s="300" t="s">
        <v>26</v>
      </c>
      <c r="J3" s="300" t="s">
        <v>27</v>
      </c>
      <c r="K3" s="300" t="s">
        <v>28</v>
      </c>
      <c r="L3" s="300" t="s">
        <v>29</v>
      </c>
      <c r="M3" s="300"/>
    </row>
    <row r="4" spans="1:13" ht="15.75" customHeight="1" x14ac:dyDescent="0.2">
      <c r="A4" s="308">
        <f>'Multi_Family 2018'!$C$6</f>
        <v>42856</v>
      </c>
      <c r="B4" s="298" t="s">
        <v>67</v>
      </c>
      <c r="C4" s="178">
        <f>'Multi_Family 2018'!C74</f>
        <v>905.35</v>
      </c>
      <c r="D4" s="334">
        <f>'Multi_Family 2018'!C76</f>
        <v>-15.91</v>
      </c>
      <c r="E4" s="334">
        <f>'Multi_Family 2018'!C77</f>
        <v>0</v>
      </c>
      <c r="F4" s="334">
        <f>'Multi_Family 2018'!C72</f>
        <v>71.989999999999995</v>
      </c>
      <c r="G4" s="334">
        <f>'Multi_Family 2018'!C69</f>
        <v>65.3</v>
      </c>
      <c r="H4" s="334">
        <f>'Multi_Family 2018'!C79</f>
        <v>60.14</v>
      </c>
      <c r="I4" s="334">
        <f>'Multi_Family 2018'!C73</f>
        <v>92.51</v>
      </c>
      <c r="J4" s="334">
        <f>'Multi_Family 2018'!C73</f>
        <v>92.51</v>
      </c>
      <c r="K4" s="334">
        <f>'Multi_Family 2018'!C70</f>
        <v>132.68</v>
      </c>
      <c r="L4" s="334">
        <f>'Multi_Family 2018'!C78</f>
        <v>-134.59</v>
      </c>
      <c r="M4" s="302"/>
    </row>
    <row r="5" spans="1:13" ht="15.75" customHeight="1" x14ac:dyDescent="0.2">
      <c r="A5" s="298">
        <f t="shared" ref="A5:A15" si="0">EOMONTH(A4,1)</f>
        <v>42916</v>
      </c>
      <c r="B5" s="298" t="s">
        <v>68</v>
      </c>
      <c r="C5" s="334">
        <f>'Multi_Family 2018'!D74</f>
        <v>894.34</v>
      </c>
      <c r="D5" s="334">
        <f>'Multi_Family 2018'!D76</f>
        <v>-6.4</v>
      </c>
      <c r="E5" s="334">
        <f>'Multi_Family 2018'!D77</f>
        <v>0</v>
      </c>
      <c r="F5" s="334">
        <f>'Multi_Family 2018'!D72</f>
        <v>69.08</v>
      </c>
      <c r="G5" s="334">
        <f>'Multi_Family 2018'!D69</f>
        <v>85.06</v>
      </c>
      <c r="H5" s="334">
        <f>'Multi_Family 2018'!D79</f>
        <v>78.88</v>
      </c>
      <c r="I5" s="334">
        <f>'Multi_Family 2018'!D73</f>
        <v>70.599999999999994</v>
      </c>
      <c r="J5" s="334">
        <f>'Multi_Family 2018'!D73</f>
        <v>70.599999999999994</v>
      </c>
      <c r="K5" s="334">
        <f>'Multi_Family 2018'!D70</f>
        <v>159.52000000000001</v>
      </c>
      <c r="L5" s="178">
        <f>'Multi_Family 2018'!D78</f>
        <v>-134.59</v>
      </c>
      <c r="M5" s="302"/>
    </row>
    <row r="6" spans="1:13" ht="15.75" customHeight="1" x14ac:dyDescent="0.2">
      <c r="A6" s="298">
        <f t="shared" si="0"/>
        <v>42947</v>
      </c>
      <c r="B6" s="288" t="s">
        <v>69</v>
      </c>
      <c r="C6" s="334">
        <f>'Multi_Family 2018'!E74</f>
        <v>871.1</v>
      </c>
      <c r="D6" s="334">
        <f>'Multi_Family 2018'!E76</f>
        <v>-6.61</v>
      </c>
      <c r="E6" s="178">
        <f>'Multi_Family 2018'!E77</f>
        <v>0</v>
      </c>
      <c r="F6" s="334">
        <f>'Multi_Family 2018'!E72</f>
        <v>67.63</v>
      </c>
      <c r="G6" s="334">
        <f>'Multi_Family 2018'!E69</f>
        <v>98.56</v>
      </c>
      <c r="H6" s="334">
        <f>'Multi_Family 2018'!E79</f>
        <v>93.44</v>
      </c>
      <c r="I6" s="334">
        <f>'Multi_Family 2018'!E73</f>
        <v>62.55</v>
      </c>
      <c r="J6" s="334">
        <f>'Multi_Family 2018'!E73</f>
        <v>62.55</v>
      </c>
      <c r="K6" s="334">
        <f>'Multi_Family 2018'!E70</f>
        <v>163.29</v>
      </c>
      <c r="L6" s="334">
        <f>'Multi_Family 2018'!E78</f>
        <v>-134.59</v>
      </c>
      <c r="M6" s="289"/>
    </row>
    <row r="7" spans="1:13" ht="15.75" customHeight="1" x14ac:dyDescent="0.2">
      <c r="A7" s="298">
        <f t="shared" si="0"/>
        <v>42978</v>
      </c>
      <c r="B7" s="288" t="s">
        <v>70</v>
      </c>
      <c r="C7" s="178">
        <f>'Multi_Family 2018'!F74</f>
        <v>905.36</v>
      </c>
      <c r="D7" s="178">
        <f>'Multi_Family 2018'!F76</f>
        <v>-4.34</v>
      </c>
      <c r="E7" s="178">
        <f>'Multi_Family 2018'!F77</f>
        <v>0</v>
      </c>
      <c r="F7" s="178">
        <f>'Multi_Family 2018'!F72</f>
        <v>78.11</v>
      </c>
      <c r="G7" s="178">
        <f>'Multi_Family 2018'!F69</f>
        <v>81.63</v>
      </c>
      <c r="H7" s="178">
        <f>'Multi_Family 2018'!F79</f>
        <v>77.209999999999994</v>
      </c>
      <c r="I7" s="178">
        <f>'Multi_Family 2018'!F73</f>
        <v>83.03</v>
      </c>
      <c r="J7" s="178">
        <f>'Multi_Family 2018'!F73</f>
        <v>83.03</v>
      </c>
      <c r="K7" s="178">
        <f>'Multi_Family 2018'!F70</f>
        <v>145.72999999999999</v>
      </c>
      <c r="L7" s="178">
        <f>'Multi_Family 2018'!F78</f>
        <v>-134.59</v>
      </c>
      <c r="M7" s="289"/>
    </row>
    <row r="8" spans="1:13" ht="15.75" customHeight="1" x14ac:dyDescent="0.2">
      <c r="A8" s="298">
        <f t="shared" si="0"/>
        <v>43008</v>
      </c>
      <c r="B8" s="288" t="s">
        <v>71</v>
      </c>
      <c r="C8" s="179">
        <f>'Multi_Family 2018'!G74</f>
        <v>953.11</v>
      </c>
      <c r="D8" s="179">
        <f>'Multi_Family 2018'!G76</f>
        <v>-5.61</v>
      </c>
      <c r="E8" s="179">
        <f>'Multi_Family 2018'!G77</f>
        <v>0</v>
      </c>
      <c r="F8" s="179">
        <f>'Multi_Family 2018'!G72</f>
        <v>86.53</v>
      </c>
      <c r="G8" s="179">
        <f>'Multi_Family 2018'!G69</f>
        <v>63.02</v>
      </c>
      <c r="H8" s="179">
        <f>'Multi_Family 2018'!G79</f>
        <v>57.85</v>
      </c>
      <c r="I8" s="179">
        <f>'Multi_Family 2018'!G73</f>
        <v>72.099999999999994</v>
      </c>
      <c r="J8" s="179">
        <f>'Multi_Family 2018'!G73</f>
        <v>72.099999999999994</v>
      </c>
      <c r="K8" s="179">
        <f>'Multi_Family 2018'!G70</f>
        <v>110.68</v>
      </c>
      <c r="L8" s="178">
        <f>'Multi_Family 2018'!G78</f>
        <v>-134.59</v>
      </c>
      <c r="M8" s="289"/>
    </row>
    <row r="9" spans="1:13" ht="15.75" customHeight="1" x14ac:dyDescent="0.2">
      <c r="A9" s="298">
        <f t="shared" si="0"/>
        <v>43039</v>
      </c>
      <c r="B9" s="288" t="s">
        <v>72</v>
      </c>
      <c r="C9" s="179">
        <f>'Multi_Family 2018'!H74</f>
        <v>980.71</v>
      </c>
      <c r="D9" s="179">
        <f>'Multi_Family 2018'!H76</f>
        <v>-8.7799999999999994</v>
      </c>
      <c r="E9" s="179">
        <f>'Multi_Family 2018'!H77</f>
        <v>0</v>
      </c>
      <c r="F9" s="179">
        <f>'Multi_Family 2018'!H72</f>
        <v>76.06</v>
      </c>
      <c r="G9" s="179">
        <f>'Multi_Family 2018'!H69</f>
        <v>60.33</v>
      </c>
      <c r="H9" s="179">
        <f>'Multi_Family 2018'!H79</f>
        <v>55.22</v>
      </c>
      <c r="I9" s="179">
        <f>'Multi_Family 2018'!H73</f>
        <v>48.29</v>
      </c>
      <c r="J9" s="179">
        <f>'Multi_Family 2018'!H73</f>
        <v>48.29</v>
      </c>
      <c r="K9" s="179">
        <f>'Multi_Family 2018'!H70</f>
        <v>81.77</v>
      </c>
      <c r="L9" s="178">
        <f>'Multi_Family 2018'!H78</f>
        <v>-134.59</v>
      </c>
      <c r="M9" s="289"/>
    </row>
    <row r="10" spans="1:13" ht="15.75" customHeight="1" x14ac:dyDescent="0.2">
      <c r="A10" s="298">
        <f t="shared" si="0"/>
        <v>43069</v>
      </c>
      <c r="B10" s="288" t="s">
        <v>73</v>
      </c>
      <c r="C10" s="178">
        <f>'Multi_Family 2018'!I74</f>
        <v>971.66</v>
      </c>
      <c r="D10" s="178">
        <f>'Multi_Family 2018'!I76</f>
        <v>-2.5099999999999998</v>
      </c>
      <c r="E10" s="178">
        <f>'Multi_Family 2018'!I77</f>
        <v>0</v>
      </c>
      <c r="F10" s="178">
        <f>'Multi_Family 2018'!I72</f>
        <v>78.08</v>
      </c>
      <c r="G10" s="178">
        <f>'Multi_Family 2018'!I69</f>
        <v>65.930000000000007</v>
      </c>
      <c r="H10" s="178">
        <f>'Multi_Family 2018'!I79</f>
        <v>52.85</v>
      </c>
      <c r="I10" s="178">
        <f>'Multi_Family 2018'!I73</f>
        <v>50.05</v>
      </c>
      <c r="J10" s="178">
        <f>'Multi_Family 2018'!I73</f>
        <v>50.05</v>
      </c>
      <c r="K10" s="178">
        <f>'Multi_Family 2018'!I70</f>
        <v>114.18</v>
      </c>
      <c r="L10" s="178">
        <f>'Multi_Family 2018'!I78</f>
        <v>-134.59</v>
      </c>
      <c r="M10" s="289"/>
    </row>
    <row r="11" spans="1:13" ht="15.75" customHeight="1" x14ac:dyDescent="0.2">
      <c r="A11" s="298">
        <f t="shared" si="0"/>
        <v>43100</v>
      </c>
      <c r="B11" s="288" t="s">
        <v>74</v>
      </c>
      <c r="C11" s="178">
        <f>'Multi_Family 2018'!J74</f>
        <v>973.36</v>
      </c>
      <c r="D11" s="178">
        <f>'Multi_Family 2018'!J76</f>
        <v>-9.4600000000000009</v>
      </c>
      <c r="E11" s="178">
        <f>'Multi_Family 2018'!J77</f>
        <v>0</v>
      </c>
      <c r="F11" s="178">
        <f>'Multi_Family 2018'!J72</f>
        <v>88.61</v>
      </c>
      <c r="G11" s="178">
        <f>'Multi_Family 2018'!J69</f>
        <v>63.69</v>
      </c>
      <c r="H11" s="178">
        <f>'Multi_Family 2018'!J79</f>
        <v>49.88</v>
      </c>
      <c r="I11" s="178">
        <f>'Multi_Family 2018'!J73</f>
        <v>51.67</v>
      </c>
      <c r="J11" s="178">
        <f>'Multi_Family 2018'!J73</f>
        <v>51.67</v>
      </c>
      <c r="K11" s="178">
        <f>'Multi_Family 2018'!J70</f>
        <v>107.57</v>
      </c>
      <c r="L11" s="178">
        <f>'Multi_Family 2018'!J78</f>
        <v>-134.59</v>
      </c>
      <c r="M11" s="289"/>
    </row>
    <row r="12" spans="1:13" ht="15.75" customHeight="1" x14ac:dyDescent="0.2">
      <c r="A12" s="298">
        <f t="shared" si="0"/>
        <v>43131</v>
      </c>
      <c r="B12" s="288" t="s">
        <v>75</v>
      </c>
      <c r="C12" s="178">
        <f>'Multi_Family 2018'!K74</f>
        <v>1013.02</v>
      </c>
      <c r="D12" s="178">
        <f>'Multi_Family 2018'!K76</f>
        <v>-9.98</v>
      </c>
      <c r="E12" s="178">
        <f>'Multi_Family 2018'!K77</f>
        <v>0</v>
      </c>
      <c r="F12" s="178">
        <f>'Multi_Family 2018'!K72</f>
        <v>102.96</v>
      </c>
      <c r="G12" s="178">
        <f>'Multi_Family 2018'!K69</f>
        <v>39.799999999999997</v>
      </c>
      <c r="H12" s="178">
        <f>'Multi_Family 2018'!K79</f>
        <v>40.17</v>
      </c>
      <c r="I12" s="178">
        <f>'Multi_Family 2018'!K73</f>
        <v>53.44</v>
      </c>
      <c r="J12" s="178">
        <f>'Multi_Family 2018'!K73</f>
        <v>53.44</v>
      </c>
      <c r="K12" s="178">
        <f>'Multi_Family 2018'!K70</f>
        <v>105.09</v>
      </c>
      <c r="L12" s="178">
        <f>'Multi_Family 2018'!K78</f>
        <v>-134.59</v>
      </c>
      <c r="M12" s="289"/>
    </row>
    <row r="13" spans="1:13" ht="15.75" customHeight="1" x14ac:dyDescent="0.2">
      <c r="A13" s="298">
        <f t="shared" si="0"/>
        <v>43159</v>
      </c>
      <c r="B13" s="288" t="s">
        <v>76</v>
      </c>
      <c r="C13" s="178">
        <f>'Multi_Family 2018'!L74</f>
        <v>988.19</v>
      </c>
      <c r="D13" s="178">
        <f>'Multi_Family 2018'!L76</f>
        <v>-8.01</v>
      </c>
      <c r="E13" s="178">
        <f>'Multi_Family 2018'!L77</f>
        <v>0</v>
      </c>
      <c r="F13" s="178">
        <f>'Multi_Family 2018'!L72</f>
        <v>92.72</v>
      </c>
      <c r="G13" s="178">
        <f>'Multi_Family 2018'!L69</f>
        <v>-18.13</v>
      </c>
      <c r="H13" s="178">
        <f>'Multi_Family 2018'!L79</f>
        <v>-21.81</v>
      </c>
      <c r="I13" s="178">
        <f>'Multi_Family 2018'!L73</f>
        <v>85.33</v>
      </c>
      <c r="J13" s="178">
        <f>'Multi_Family 2018'!L73</f>
        <v>85.33</v>
      </c>
      <c r="K13" s="178">
        <f>'Multi_Family 2018'!L70</f>
        <v>62.76</v>
      </c>
      <c r="L13" s="178">
        <f>'Multi_Family 2018'!L78</f>
        <v>-134.59</v>
      </c>
      <c r="M13" s="289"/>
    </row>
    <row r="14" spans="1:13" ht="15.75" customHeight="1" x14ac:dyDescent="0.2">
      <c r="A14" s="298">
        <f t="shared" si="0"/>
        <v>43190</v>
      </c>
      <c r="B14" s="288" t="s">
        <v>77</v>
      </c>
      <c r="C14" s="178">
        <f>'Multi_Family 2018'!M74</f>
        <v>977.91</v>
      </c>
      <c r="D14" s="178">
        <f>'Multi_Family 2018'!M76</f>
        <v>-9</v>
      </c>
      <c r="E14" s="178">
        <f>'Multi_Family 2018'!M77</f>
        <v>0</v>
      </c>
      <c r="F14" s="178">
        <f>'Multi_Family 2018'!M72</f>
        <v>106.7</v>
      </c>
      <c r="G14" s="178">
        <f>'Multi_Family 2018'!M69</f>
        <v>-16.23</v>
      </c>
      <c r="H14" s="178">
        <f>'Multi_Family 2018'!M79</f>
        <v>-21.39</v>
      </c>
      <c r="I14" s="178">
        <f>'Multi_Family 2018'!M73</f>
        <v>105.24</v>
      </c>
      <c r="J14" s="178">
        <f>'Multi_Family 2018'!M73</f>
        <v>105.24</v>
      </c>
      <c r="K14" s="178">
        <f>'Multi_Family 2018'!M70</f>
        <v>56.69</v>
      </c>
      <c r="L14" s="178">
        <f>'Multi_Family 2018'!M78</f>
        <v>-134.59</v>
      </c>
      <c r="M14" s="289"/>
    </row>
    <row r="15" spans="1:13" ht="15.75" customHeight="1" x14ac:dyDescent="0.2">
      <c r="A15" s="298">
        <f t="shared" si="0"/>
        <v>43220</v>
      </c>
      <c r="B15" s="288" t="s">
        <v>78</v>
      </c>
      <c r="C15" s="178">
        <f>'Multi_Family 2018'!N74</f>
        <v>989.87</v>
      </c>
      <c r="D15" s="178">
        <f>'Multi_Family 2018'!N76</f>
        <v>-10.23</v>
      </c>
      <c r="E15" s="178">
        <f>'Multi_Family 2018'!N77</f>
        <v>0</v>
      </c>
      <c r="F15" s="178">
        <f>'Multi_Family 2018'!N72</f>
        <v>109.51</v>
      </c>
      <c r="G15" s="178">
        <f>'Multi_Family 2018'!N69</f>
        <v>0</v>
      </c>
      <c r="H15" s="178">
        <f>'Multi_Family 2018'!N79</f>
        <v>-20.59</v>
      </c>
      <c r="I15" s="178">
        <f>'Multi_Family 2018'!N73</f>
        <v>107.91</v>
      </c>
      <c r="J15" s="178">
        <f>'Multi_Family 2018'!N73</f>
        <v>107.91</v>
      </c>
      <c r="K15" s="178">
        <f>'Multi_Family 2018'!N70</f>
        <v>57.61</v>
      </c>
      <c r="L15" s="178">
        <f>'Multi_Family 2018'!N78</f>
        <v>-134.59</v>
      </c>
      <c r="M15" s="289"/>
    </row>
    <row r="16" spans="1:13" x14ac:dyDescent="0.2">
      <c r="A16" s="288"/>
      <c r="C16" s="289"/>
      <c r="D16" s="289"/>
      <c r="E16" s="289"/>
      <c r="F16" s="289"/>
      <c r="G16" s="289"/>
      <c r="H16" s="289"/>
      <c r="I16" s="289"/>
      <c r="J16" s="289"/>
      <c r="K16" s="289"/>
      <c r="L16" s="288"/>
      <c r="M16" s="289"/>
    </row>
    <row r="17" spans="1:14" x14ac:dyDescent="0.2">
      <c r="A17" s="295"/>
      <c r="C17" s="289"/>
      <c r="D17" s="289"/>
      <c r="E17" s="289"/>
      <c r="F17" s="289"/>
      <c r="G17" s="289"/>
      <c r="H17" s="289"/>
      <c r="I17" s="289"/>
      <c r="J17" s="289"/>
      <c r="K17" s="289"/>
      <c r="L17" s="289"/>
      <c r="M17" s="289"/>
      <c r="N17" s="289" t="s">
        <v>31</v>
      </c>
    </row>
    <row r="18" spans="1:14" x14ac:dyDescent="0.2">
      <c r="A18" s="288"/>
      <c r="C18" s="288"/>
      <c r="D18" s="288"/>
      <c r="E18" s="288"/>
      <c r="F18" s="288"/>
      <c r="G18" s="288"/>
      <c r="H18" s="288"/>
      <c r="I18" s="288"/>
      <c r="J18" s="288"/>
      <c r="K18" s="288"/>
      <c r="L18" s="288"/>
      <c r="M18" s="289"/>
    </row>
    <row r="19" spans="1:14" x14ac:dyDescent="0.2">
      <c r="A19" s="288"/>
      <c r="C19" s="288"/>
      <c r="D19" s="288"/>
      <c r="E19" s="288"/>
      <c r="F19" s="288"/>
      <c r="G19" s="288"/>
      <c r="H19" s="288"/>
      <c r="I19" s="288"/>
      <c r="J19" s="288"/>
      <c r="K19" s="288"/>
      <c r="L19" s="288"/>
      <c r="M19" s="289"/>
    </row>
    <row r="20" spans="1:14" x14ac:dyDescent="0.2">
      <c r="A20" s="288"/>
      <c r="C20" s="288"/>
      <c r="D20" s="288"/>
      <c r="F20" s="288"/>
      <c r="G20" s="288"/>
      <c r="H20" s="288"/>
      <c r="I20" s="288"/>
      <c r="J20" s="288"/>
      <c r="K20" s="288"/>
      <c r="L20" s="288"/>
      <c r="M20" s="289"/>
    </row>
    <row r="21" spans="1:14" x14ac:dyDescent="0.2">
      <c r="A21" s="288"/>
      <c r="C21" s="288"/>
      <c r="D21" s="288"/>
      <c r="F21" s="288"/>
      <c r="G21" s="288"/>
      <c r="H21" s="288"/>
      <c r="I21" s="288"/>
      <c r="J21" s="288"/>
      <c r="K21" s="288"/>
      <c r="L21" s="288"/>
      <c r="M21" s="289"/>
    </row>
    <row r="22" spans="1:14" x14ac:dyDescent="0.2">
      <c r="A22" s="288"/>
      <c r="C22" s="288"/>
      <c r="D22" s="288"/>
      <c r="G22" s="288"/>
      <c r="H22" s="288"/>
      <c r="I22" s="288"/>
      <c r="J22" s="288"/>
      <c r="K22" s="288"/>
      <c r="L22" s="288"/>
      <c r="M22" s="289"/>
    </row>
    <row r="23" spans="1:14" x14ac:dyDescent="0.2">
      <c r="A23" s="288"/>
      <c r="C23" s="288"/>
      <c r="D23" s="288"/>
      <c r="F23" s="288"/>
      <c r="G23" s="288"/>
      <c r="H23" s="288"/>
      <c r="I23" s="288"/>
      <c r="J23" s="288"/>
      <c r="K23" s="288"/>
      <c r="L23" s="288"/>
      <c r="M23" s="289"/>
    </row>
    <row r="24" spans="1:14" x14ac:dyDescent="0.2">
      <c r="A24" s="288"/>
      <c r="C24" s="288"/>
      <c r="D24" s="288"/>
      <c r="F24" s="288"/>
      <c r="G24" s="288"/>
      <c r="H24" s="288"/>
      <c r="I24" s="288"/>
      <c r="J24" s="288"/>
      <c r="K24" s="288"/>
      <c r="L24" s="288"/>
      <c r="M24" s="289"/>
    </row>
    <row r="25" spans="1:14" x14ac:dyDescent="0.2">
      <c r="A25" s="288"/>
      <c r="C25" s="288"/>
      <c r="D25" s="288"/>
      <c r="F25" s="288"/>
      <c r="G25" s="288"/>
      <c r="H25" s="288"/>
      <c r="I25" s="288"/>
      <c r="J25" s="288"/>
      <c r="K25" s="288"/>
      <c r="L25" s="288"/>
      <c r="M25" s="289"/>
    </row>
    <row r="26" spans="1:14" x14ac:dyDescent="0.2">
      <c r="A26" s="288"/>
      <c r="C26" s="288"/>
      <c r="D26" s="288"/>
      <c r="F26" s="288"/>
      <c r="G26" s="288"/>
      <c r="H26" s="288"/>
      <c r="I26" s="288"/>
      <c r="J26" s="288"/>
      <c r="K26" s="288"/>
      <c r="L26" s="288"/>
      <c r="M26" s="289"/>
    </row>
    <row r="27" spans="1:14" x14ac:dyDescent="0.2">
      <c r="A27" s="288"/>
      <c r="C27" s="288"/>
      <c r="D27" s="288"/>
      <c r="F27" s="288"/>
      <c r="G27" s="288"/>
      <c r="H27" s="288"/>
      <c r="I27" s="288"/>
      <c r="J27" s="288"/>
      <c r="K27" s="288"/>
      <c r="L27" s="288"/>
      <c r="M27" s="289"/>
    </row>
    <row r="28" spans="1:14" x14ac:dyDescent="0.2">
      <c r="A28" s="288"/>
      <c r="C28" s="288"/>
      <c r="D28" s="288"/>
      <c r="F28" s="288"/>
      <c r="G28" s="288"/>
      <c r="H28" s="288"/>
      <c r="I28" s="288"/>
      <c r="J28" s="288"/>
      <c r="K28" s="288"/>
      <c r="L28" s="288"/>
      <c r="M28" s="288"/>
    </row>
    <row r="29" spans="1:14" x14ac:dyDescent="0.2">
      <c r="A29" s="288"/>
      <c r="C29" s="288"/>
      <c r="D29" s="288"/>
      <c r="F29" s="288"/>
      <c r="G29" s="288"/>
      <c r="H29" s="288"/>
      <c r="I29" s="288"/>
      <c r="J29" s="288"/>
      <c r="K29" s="288"/>
      <c r="L29" s="288"/>
      <c r="M29" s="288"/>
    </row>
    <row r="30" spans="1:14" x14ac:dyDescent="0.2">
      <c r="A30" s="288"/>
      <c r="C30" s="288"/>
      <c r="D30" s="288"/>
      <c r="F30" s="288"/>
      <c r="G30" s="288"/>
      <c r="H30" s="288"/>
      <c r="I30" s="288"/>
      <c r="J30" s="288"/>
      <c r="K30" s="288"/>
      <c r="L30" s="288"/>
      <c r="M30" s="288"/>
    </row>
    <row r="31" spans="1:14" x14ac:dyDescent="0.2">
      <c r="A31" s="288"/>
      <c r="C31" s="288"/>
      <c r="D31" s="288"/>
      <c r="F31" s="288"/>
      <c r="G31" s="288"/>
      <c r="H31" s="288"/>
      <c r="I31" s="288"/>
      <c r="J31" s="288"/>
      <c r="K31" s="288"/>
      <c r="L31" s="288"/>
      <c r="M31" s="288"/>
    </row>
    <row r="32" spans="1:14" x14ac:dyDescent="0.2">
      <c r="A32" s="288"/>
      <c r="C32" s="288"/>
      <c r="D32" s="288"/>
      <c r="E32" s="288"/>
      <c r="F32" s="288"/>
      <c r="G32" s="288"/>
      <c r="H32" s="288"/>
      <c r="I32" s="288"/>
      <c r="J32" s="288"/>
      <c r="K32" s="288"/>
      <c r="L32" s="288"/>
      <c r="M32" s="288"/>
    </row>
    <row r="33" spans="1:13" x14ac:dyDescent="0.2">
      <c r="A33" s="288"/>
      <c r="C33" s="288"/>
      <c r="D33" s="288"/>
      <c r="E33" s="288"/>
      <c r="F33" s="288"/>
      <c r="G33" s="288"/>
      <c r="H33" s="288"/>
      <c r="I33" s="288"/>
      <c r="J33" s="288"/>
      <c r="K33" s="288"/>
      <c r="L33" s="288"/>
      <c r="M33" s="288"/>
    </row>
    <row r="34" spans="1:13" x14ac:dyDescent="0.2">
      <c r="A34" s="288"/>
      <c r="C34" s="288"/>
      <c r="D34" s="288"/>
      <c r="E34" s="288"/>
      <c r="F34" s="288"/>
      <c r="G34" s="288"/>
      <c r="H34" s="288"/>
      <c r="I34" s="288"/>
      <c r="J34" s="288"/>
      <c r="K34" s="288"/>
      <c r="L34" s="288"/>
      <c r="M34" s="288"/>
    </row>
    <row r="35" spans="1:13" x14ac:dyDescent="0.2">
      <c r="A35" s="288"/>
      <c r="C35" s="288"/>
      <c r="D35" s="288"/>
      <c r="E35" s="288"/>
      <c r="F35" s="288"/>
      <c r="G35" s="288"/>
      <c r="H35" s="288"/>
      <c r="I35" s="288"/>
      <c r="J35" s="288"/>
      <c r="K35" s="288"/>
      <c r="L35" s="288"/>
      <c r="M35" s="288"/>
    </row>
    <row r="36" spans="1:13" x14ac:dyDescent="0.2">
      <c r="A36" s="288"/>
      <c r="C36" s="288"/>
      <c r="D36" s="288"/>
      <c r="E36" s="288"/>
      <c r="F36" s="288"/>
      <c r="G36" s="288"/>
      <c r="H36" s="288"/>
      <c r="I36" s="288"/>
      <c r="J36" s="288"/>
      <c r="K36" s="288"/>
      <c r="L36" s="288"/>
      <c r="M36" s="288"/>
    </row>
    <row r="37" spans="1:13" x14ac:dyDescent="0.2">
      <c r="A37" s="288"/>
      <c r="C37" s="288"/>
      <c r="D37" s="288"/>
      <c r="E37" s="288"/>
      <c r="F37" s="288"/>
      <c r="G37" s="288"/>
      <c r="H37" s="288"/>
      <c r="I37" s="288"/>
      <c r="J37" s="288"/>
      <c r="K37" s="288"/>
      <c r="L37" s="288"/>
      <c r="M37" s="288"/>
    </row>
    <row r="38" spans="1:13" x14ac:dyDescent="0.2">
      <c r="A38" s="288"/>
      <c r="C38" s="288"/>
      <c r="D38" s="288"/>
      <c r="E38" s="288"/>
      <c r="F38" s="288"/>
      <c r="G38" s="288"/>
      <c r="H38" s="288"/>
      <c r="I38" s="288"/>
      <c r="J38" s="288"/>
      <c r="K38" s="288"/>
      <c r="L38" s="288"/>
      <c r="M38" s="288"/>
    </row>
    <row r="39" spans="1:13" x14ac:dyDescent="0.2">
      <c r="A39" s="288"/>
      <c r="C39" s="288"/>
      <c r="D39" s="288"/>
      <c r="E39" s="288"/>
      <c r="F39" s="288"/>
      <c r="G39" s="288"/>
      <c r="H39" s="288"/>
      <c r="I39" s="288"/>
      <c r="J39" s="288"/>
      <c r="K39" s="288"/>
      <c r="L39" s="288"/>
      <c r="M39" s="288"/>
    </row>
    <row r="40" spans="1:13" x14ac:dyDescent="0.2">
      <c r="A40" s="288"/>
      <c r="C40" s="288"/>
      <c r="D40" s="288"/>
      <c r="E40" s="288"/>
      <c r="F40" s="288"/>
      <c r="G40" s="288"/>
      <c r="H40" s="288"/>
      <c r="I40" s="288"/>
      <c r="J40" s="288"/>
      <c r="K40" s="288"/>
      <c r="L40" s="288"/>
      <c r="M40" s="288"/>
    </row>
    <row r="41" spans="1:13" x14ac:dyDescent="0.2">
      <c r="A41" s="288"/>
      <c r="C41" s="288"/>
      <c r="D41" s="288"/>
      <c r="E41" s="288"/>
      <c r="F41" s="288"/>
      <c r="G41" s="288"/>
      <c r="H41" s="288"/>
      <c r="I41" s="288"/>
      <c r="J41" s="288"/>
      <c r="K41" s="288"/>
      <c r="L41" s="288"/>
      <c r="M41" s="288"/>
    </row>
    <row r="42" spans="1:13" x14ac:dyDescent="0.2">
      <c r="A42" s="288"/>
      <c r="C42" s="288"/>
      <c r="D42" s="288"/>
      <c r="E42" s="288"/>
      <c r="F42" s="288"/>
      <c r="G42" s="288"/>
      <c r="H42" s="288"/>
      <c r="I42" s="288"/>
      <c r="J42" s="288"/>
      <c r="K42" s="288"/>
      <c r="L42" s="288"/>
      <c r="M42" s="288"/>
    </row>
    <row r="43" spans="1:13" x14ac:dyDescent="0.2">
      <c r="A43" s="288"/>
      <c r="C43" s="288"/>
      <c r="D43" s="288"/>
      <c r="E43" s="288"/>
      <c r="F43" s="288"/>
      <c r="G43" s="288"/>
      <c r="H43" s="288"/>
      <c r="I43" s="288"/>
      <c r="J43" s="288"/>
      <c r="K43" s="288"/>
      <c r="L43" s="288"/>
      <c r="M43" s="288"/>
    </row>
    <row r="44" spans="1:13" x14ac:dyDescent="0.2">
      <c r="A44" s="288"/>
      <c r="C44" s="288"/>
      <c r="D44" s="288"/>
      <c r="E44" s="288"/>
      <c r="F44" s="288"/>
      <c r="G44" s="288"/>
      <c r="H44" s="288"/>
      <c r="I44" s="288"/>
      <c r="J44" s="288"/>
      <c r="K44" s="288"/>
      <c r="L44" s="288"/>
      <c r="M44" s="288"/>
    </row>
    <row r="45" spans="1:13" x14ac:dyDescent="0.2">
      <c r="A45" s="288"/>
      <c r="C45" s="288"/>
      <c r="D45" s="288"/>
      <c r="E45" s="288"/>
      <c r="F45" s="288"/>
      <c r="G45" s="288"/>
      <c r="H45" s="288"/>
      <c r="I45" s="288"/>
      <c r="J45" s="288"/>
      <c r="K45" s="288"/>
      <c r="L45" s="288"/>
      <c r="M45" s="288"/>
    </row>
    <row r="46" spans="1:13" x14ac:dyDescent="0.2">
      <c r="A46" s="288"/>
      <c r="C46" s="288"/>
      <c r="D46" s="288"/>
      <c r="E46" s="288"/>
      <c r="F46" s="288"/>
      <c r="G46" s="288"/>
      <c r="H46" s="288"/>
      <c r="I46" s="288"/>
      <c r="J46" s="288"/>
      <c r="K46" s="288"/>
      <c r="L46" s="288"/>
      <c r="M46" s="288"/>
    </row>
    <row r="47" spans="1:13" x14ac:dyDescent="0.2">
      <c r="A47" s="288"/>
      <c r="C47" s="288"/>
      <c r="D47" s="288"/>
      <c r="E47" s="288"/>
      <c r="F47" s="288"/>
      <c r="G47" s="288"/>
      <c r="H47" s="288"/>
      <c r="I47" s="288"/>
      <c r="J47" s="288"/>
      <c r="K47" s="288"/>
      <c r="L47" s="288"/>
      <c r="M47" s="288"/>
    </row>
    <row r="48" spans="1:13" x14ac:dyDescent="0.2">
      <c r="A48" s="288"/>
      <c r="C48" s="288"/>
      <c r="D48" s="288"/>
      <c r="E48" s="288"/>
      <c r="F48" s="288"/>
      <c r="G48" s="288"/>
      <c r="H48" s="288"/>
      <c r="I48" s="288"/>
      <c r="J48" s="288"/>
      <c r="K48" s="288"/>
      <c r="L48" s="288"/>
      <c r="M48" s="288"/>
    </row>
    <row r="49" spans="1:13" x14ac:dyDescent="0.2">
      <c r="A49" s="288"/>
      <c r="C49" s="288"/>
      <c r="D49" s="288"/>
      <c r="E49" s="288"/>
      <c r="F49" s="288"/>
      <c r="G49" s="288"/>
      <c r="H49" s="288"/>
      <c r="I49" s="288"/>
      <c r="J49" s="288"/>
      <c r="K49" s="288"/>
      <c r="L49" s="288"/>
      <c r="M49" s="288"/>
    </row>
    <row r="50" spans="1:13" x14ac:dyDescent="0.2">
      <c r="A50" s="288"/>
      <c r="C50" s="288"/>
      <c r="D50" s="288"/>
      <c r="E50" s="288"/>
      <c r="F50" s="288"/>
      <c r="G50" s="288"/>
      <c r="H50" s="288"/>
      <c r="I50" s="288"/>
      <c r="J50" s="288"/>
      <c r="K50" s="288"/>
      <c r="L50" s="288"/>
      <c r="M50" s="288"/>
    </row>
    <row r="51" spans="1:13" x14ac:dyDescent="0.2">
      <c r="A51" s="288"/>
      <c r="C51" s="288"/>
      <c r="D51" s="288"/>
      <c r="E51" s="288"/>
      <c r="F51" s="288"/>
      <c r="G51" s="288"/>
      <c r="H51" s="288"/>
      <c r="I51" s="288"/>
      <c r="J51" s="288"/>
      <c r="K51" s="288"/>
      <c r="L51" s="288"/>
      <c r="M51" s="288"/>
    </row>
    <row r="52" spans="1:13" x14ac:dyDescent="0.2">
      <c r="A52" s="288"/>
      <c r="C52" s="288"/>
      <c r="D52" s="288"/>
      <c r="E52" s="288"/>
      <c r="F52" s="288"/>
      <c r="G52" s="288"/>
      <c r="H52" s="288"/>
      <c r="I52" s="288"/>
      <c r="J52" s="288"/>
      <c r="K52" s="288"/>
      <c r="L52" s="288"/>
      <c r="M52" s="288"/>
    </row>
    <row r="53" spans="1:13" x14ac:dyDescent="0.2">
      <c r="A53" s="288"/>
      <c r="C53" s="288"/>
      <c r="D53" s="288"/>
      <c r="E53" s="288"/>
      <c r="F53" s="288"/>
      <c r="G53" s="288"/>
      <c r="H53" s="288"/>
      <c r="I53" s="288"/>
      <c r="J53" s="288"/>
      <c r="K53" s="288"/>
      <c r="L53" s="288"/>
      <c r="M53" s="288"/>
    </row>
    <row r="54" spans="1:13" x14ac:dyDescent="0.2">
      <c r="A54" s="288"/>
      <c r="C54" s="288"/>
      <c r="D54" s="288"/>
      <c r="E54" s="288"/>
      <c r="F54" s="288"/>
      <c r="G54" s="288"/>
      <c r="H54" s="288"/>
      <c r="I54" s="288"/>
      <c r="J54" s="288"/>
      <c r="K54" s="288"/>
      <c r="L54" s="288"/>
      <c r="M54" s="288"/>
    </row>
    <row r="55" spans="1:13" x14ac:dyDescent="0.2">
      <c r="A55" s="288"/>
      <c r="C55" s="288"/>
      <c r="D55" s="288"/>
      <c r="E55" s="288"/>
      <c r="F55" s="288"/>
      <c r="G55" s="288"/>
      <c r="H55" s="288"/>
      <c r="I55" s="288"/>
      <c r="J55" s="288"/>
      <c r="K55" s="288"/>
      <c r="L55" s="288"/>
      <c r="M55" s="288"/>
    </row>
    <row r="56" spans="1:13" x14ac:dyDescent="0.2">
      <c r="A56" s="288"/>
      <c r="C56" s="288"/>
      <c r="D56" s="288"/>
      <c r="E56" s="288"/>
      <c r="F56" s="288"/>
      <c r="G56" s="288"/>
      <c r="H56" s="288"/>
      <c r="I56" s="288"/>
      <c r="J56" s="288"/>
      <c r="K56" s="288"/>
      <c r="L56" s="288"/>
      <c r="M56" s="288"/>
    </row>
    <row r="57" spans="1:13" x14ac:dyDescent="0.2">
      <c r="A57" s="288"/>
      <c r="C57" s="288"/>
      <c r="D57" s="288"/>
      <c r="E57" s="288"/>
      <c r="F57" s="288"/>
      <c r="G57" s="288"/>
      <c r="H57" s="288"/>
      <c r="I57" s="288"/>
      <c r="J57" s="288"/>
      <c r="K57" s="288"/>
      <c r="L57" s="288"/>
      <c r="M57" s="288"/>
    </row>
    <row r="58" spans="1:13" x14ac:dyDescent="0.2">
      <c r="A58" s="288"/>
      <c r="C58" s="288"/>
      <c r="D58" s="288"/>
      <c r="E58" s="288"/>
      <c r="F58" s="288"/>
      <c r="G58" s="288"/>
      <c r="H58" s="288"/>
      <c r="I58" s="288"/>
      <c r="J58" s="288"/>
      <c r="K58" s="288"/>
      <c r="L58" s="288"/>
      <c r="M58" s="288"/>
    </row>
    <row r="59" spans="1:13" x14ac:dyDescent="0.2">
      <c r="A59" s="288"/>
      <c r="C59" s="288"/>
      <c r="D59" s="288"/>
      <c r="E59" s="288"/>
      <c r="F59" s="288"/>
      <c r="G59" s="288"/>
      <c r="H59" s="288"/>
      <c r="I59" s="288"/>
      <c r="J59" s="288"/>
      <c r="K59" s="288"/>
      <c r="L59" s="288"/>
      <c r="M59" s="288"/>
    </row>
    <row r="60" spans="1:13" x14ac:dyDescent="0.2">
      <c r="A60" s="288"/>
      <c r="C60" s="288"/>
      <c r="D60" s="288"/>
      <c r="E60" s="288"/>
      <c r="F60" s="288"/>
      <c r="G60" s="288"/>
      <c r="H60" s="288"/>
      <c r="I60" s="288"/>
      <c r="J60" s="288"/>
      <c r="K60" s="288"/>
      <c r="L60" s="288"/>
      <c r="M60" s="288"/>
    </row>
    <row r="61" spans="1:13" x14ac:dyDescent="0.2">
      <c r="A61" s="288"/>
      <c r="C61" s="288"/>
      <c r="D61" s="288"/>
      <c r="E61" s="288"/>
      <c r="F61" s="288"/>
      <c r="G61" s="288"/>
      <c r="H61" s="288"/>
      <c r="I61" s="288"/>
      <c r="J61" s="288"/>
      <c r="K61" s="288"/>
      <c r="L61" s="288"/>
      <c r="M61" s="288"/>
    </row>
    <row r="62" spans="1:13" x14ac:dyDescent="0.2">
      <c r="A62" s="288"/>
      <c r="C62" s="288"/>
      <c r="D62" s="288"/>
      <c r="E62" s="288"/>
      <c r="F62" s="288"/>
      <c r="G62" s="288"/>
      <c r="H62" s="288"/>
      <c r="I62" s="288"/>
      <c r="J62" s="288"/>
      <c r="K62" s="288"/>
      <c r="L62" s="288"/>
      <c r="M62" s="288"/>
    </row>
    <row r="63" spans="1:13" x14ac:dyDescent="0.2">
      <c r="A63" s="288"/>
      <c r="C63" s="288"/>
      <c r="D63" s="288"/>
      <c r="E63" s="288"/>
      <c r="F63" s="288"/>
      <c r="G63" s="288"/>
      <c r="H63" s="288"/>
      <c r="I63" s="288"/>
      <c r="J63" s="288"/>
      <c r="K63" s="288"/>
      <c r="L63" s="288"/>
      <c r="M63" s="288"/>
    </row>
    <row r="64" spans="1:13" x14ac:dyDescent="0.2">
      <c r="A64" s="288"/>
      <c r="C64" s="288"/>
      <c r="D64" s="288"/>
      <c r="E64" s="288"/>
      <c r="F64" s="288"/>
      <c r="G64" s="288"/>
      <c r="H64" s="288"/>
      <c r="I64" s="288"/>
      <c r="J64" s="288"/>
      <c r="K64" s="288"/>
      <c r="L64" s="288"/>
      <c r="M64" s="288"/>
    </row>
    <row r="65" spans="1:13" x14ac:dyDescent="0.2">
      <c r="A65" s="288"/>
      <c r="C65" s="288"/>
      <c r="D65" s="288"/>
      <c r="E65" s="288"/>
      <c r="F65" s="288"/>
      <c r="G65" s="288"/>
      <c r="H65" s="288"/>
      <c r="I65" s="288"/>
      <c r="J65" s="288"/>
      <c r="K65" s="288"/>
      <c r="L65" s="288"/>
      <c r="M65" s="288"/>
    </row>
    <row r="66" spans="1:13" x14ac:dyDescent="0.2">
      <c r="A66" s="288"/>
      <c r="C66" s="288"/>
      <c r="D66" s="288"/>
      <c r="E66" s="288"/>
      <c r="F66" s="288"/>
      <c r="G66" s="288"/>
      <c r="H66" s="288"/>
      <c r="I66" s="288"/>
      <c r="J66" s="288"/>
      <c r="K66" s="288"/>
      <c r="L66" s="288"/>
      <c r="M66" s="288"/>
    </row>
    <row r="67" spans="1:13" x14ac:dyDescent="0.2">
      <c r="A67" s="288"/>
      <c r="C67" s="288"/>
      <c r="D67" s="288"/>
      <c r="E67" s="288"/>
      <c r="F67" s="288"/>
      <c r="G67" s="288"/>
      <c r="H67" s="288"/>
      <c r="I67" s="288"/>
      <c r="J67" s="288"/>
      <c r="K67" s="288"/>
      <c r="L67" s="288"/>
      <c r="M67" s="288"/>
    </row>
    <row r="68" spans="1:13" x14ac:dyDescent="0.2">
      <c r="A68" s="288"/>
      <c r="C68" s="288"/>
      <c r="D68" s="288"/>
      <c r="E68" s="288"/>
      <c r="F68" s="288"/>
      <c r="G68" s="288"/>
      <c r="H68" s="288"/>
      <c r="I68" s="288"/>
      <c r="J68" s="288"/>
      <c r="K68" s="288"/>
      <c r="L68" s="288"/>
      <c r="M68" s="288"/>
    </row>
    <row r="69" spans="1:13" x14ac:dyDescent="0.2">
      <c r="A69" s="288"/>
      <c r="C69" s="288"/>
      <c r="D69" s="288"/>
      <c r="E69" s="288"/>
      <c r="F69" s="288"/>
      <c r="G69" s="288"/>
      <c r="H69" s="288"/>
      <c r="I69" s="288"/>
      <c r="J69" s="288"/>
      <c r="K69" s="288"/>
      <c r="L69" s="288"/>
      <c r="M69" s="288"/>
    </row>
    <row r="70" spans="1:13" x14ac:dyDescent="0.2">
      <c r="A70" s="288"/>
      <c r="C70" s="288"/>
      <c r="D70" s="288"/>
      <c r="E70" s="288"/>
      <c r="F70" s="288"/>
      <c r="G70" s="288"/>
      <c r="H70" s="288"/>
      <c r="I70" s="288"/>
      <c r="J70" s="288"/>
      <c r="K70" s="288"/>
      <c r="L70" s="288"/>
      <c r="M70" s="288"/>
    </row>
    <row r="71" spans="1:13" x14ac:dyDescent="0.2">
      <c r="A71" s="288"/>
      <c r="C71" s="288"/>
      <c r="D71" s="288"/>
      <c r="E71" s="288"/>
      <c r="F71" s="288"/>
      <c r="G71" s="288"/>
      <c r="H71" s="288"/>
      <c r="I71" s="288"/>
      <c r="J71" s="288"/>
      <c r="K71" s="288"/>
      <c r="L71" s="288"/>
      <c r="M71" s="288"/>
    </row>
    <row r="72" spans="1:13" x14ac:dyDescent="0.2">
      <c r="A72" s="288"/>
      <c r="C72" s="288"/>
      <c r="D72" s="288"/>
      <c r="E72" s="288"/>
      <c r="F72" s="288"/>
      <c r="G72" s="288"/>
      <c r="H72" s="288"/>
      <c r="I72" s="288"/>
      <c r="J72" s="288"/>
      <c r="K72" s="288"/>
      <c r="L72" s="288"/>
      <c r="M72" s="288"/>
    </row>
    <row r="73" spans="1:13" x14ac:dyDescent="0.2">
      <c r="A73" s="288"/>
      <c r="C73" s="288"/>
      <c r="D73" s="288"/>
      <c r="E73" s="288"/>
      <c r="F73" s="288"/>
      <c r="G73" s="288"/>
      <c r="H73" s="288"/>
      <c r="I73" s="288"/>
      <c r="J73" s="288"/>
      <c r="K73" s="288"/>
      <c r="L73" s="288"/>
      <c r="M73" s="288"/>
    </row>
    <row r="74" spans="1:13" x14ac:dyDescent="0.2">
      <c r="A74" s="288"/>
      <c r="C74" s="288"/>
      <c r="D74" s="288"/>
      <c r="E74" s="288"/>
      <c r="F74" s="288"/>
      <c r="G74" s="288"/>
      <c r="H74" s="288"/>
      <c r="I74" s="288"/>
      <c r="J74" s="288"/>
      <c r="K74" s="288"/>
      <c r="L74" s="288"/>
      <c r="M74" s="288"/>
    </row>
    <row r="75" spans="1:13" x14ac:dyDescent="0.2">
      <c r="A75" s="288"/>
      <c r="C75" s="288"/>
      <c r="D75" s="288"/>
      <c r="E75" s="288"/>
      <c r="F75" s="288"/>
      <c r="G75" s="288"/>
      <c r="H75" s="288"/>
      <c r="I75" s="288"/>
      <c r="J75" s="288"/>
      <c r="K75" s="288"/>
      <c r="L75" s="288"/>
      <c r="M75" s="288"/>
    </row>
    <row r="76" spans="1:13" x14ac:dyDescent="0.2">
      <c r="A76" s="288"/>
      <c r="C76" s="288"/>
      <c r="D76" s="288"/>
      <c r="E76" s="288"/>
      <c r="F76" s="288"/>
      <c r="G76" s="288"/>
      <c r="H76" s="288"/>
      <c r="I76" s="288"/>
      <c r="J76" s="288"/>
      <c r="K76" s="288"/>
      <c r="L76" s="288"/>
      <c r="M76" s="288"/>
    </row>
    <row r="77" spans="1:13" x14ac:dyDescent="0.2">
      <c r="A77" s="288"/>
      <c r="C77" s="288"/>
      <c r="D77" s="288"/>
      <c r="E77" s="288"/>
      <c r="F77" s="288"/>
      <c r="G77" s="288"/>
      <c r="H77" s="288"/>
      <c r="I77" s="288"/>
      <c r="J77" s="288"/>
      <c r="K77" s="288"/>
      <c r="L77" s="288"/>
      <c r="M77" s="288"/>
    </row>
    <row r="78" spans="1:13" x14ac:dyDescent="0.2">
      <c r="A78" s="288"/>
      <c r="C78" s="288"/>
      <c r="D78" s="288"/>
      <c r="E78" s="288"/>
      <c r="F78" s="288"/>
      <c r="G78" s="288"/>
      <c r="H78" s="288"/>
      <c r="I78" s="288"/>
      <c r="J78" s="288"/>
      <c r="K78" s="288"/>
      <c r="L78" s="288"/>
      <c r="M78" s="288"/>
    </row>
    <row r="79" spans="1:13" x14ac:dyDescent="0.2">
      <c r="A79" s="288"/>
      <c r="C79" s="288"/>
      <c r="D79" s="288"/>
      <c r="E79" s="288"/>
      <c r="F79" s="288"/>
      <c r="G79" s="288"/>
      <c r="H79" s="288"/>
      <c r="I79" s="288"/>
      <c r="J79" s="288"/>
      <c r="K79" s="288"/>
      <c r="L79" s="288"/>
      <c r="M79" s="288"/>
    </row>
    <row r="80" spans="1:13" x14ac:dyDescent="0.2">
      <c r="A80" s="288"/>
      <c r="C80" s="288"/>
      <c r="D80" s="288"/>
      <c r="E80" s="288"/>
      <c r="F80" s="288"/>
      <c r="G80" s="288"/>
      <c r="H80" s="288"/>
      <c r="I80" s="288"/>
      <c r="J80" s="288"/>
      <c r="K80" s="288"/>
      <c r="L80" s="288"/>
      <c r="M80" s="288"/>
    </row>
    <row r="81" spans="1:13" x14ac:dyDescent="0.2">
      <c r="A81" s="288"/>
      <c r="C81" s="288"/>
      <c r="D81" s="288"/>
      <c r="E81" s="288"/>
      <c r="F81" s="288"/>
      <c r="G81" s="288"/>
      <c r="H81" s="288"/>
      <c r="I81" s="288"/>
      <c r="J81" s="288"/>
      <c r="K81" s="288"/>
      <c r="L81" s="288"/>
      <c r="M81" s="288"/>
    </row>
    <row r="82" spans="1:13" x14ac:dyDescent="0.2">
      <c r="A82" s="288"/>
      <c r="C82" s="288"/>
      <c r="D82" s="288"/>
      <c r="E82" s="288"/>
      <c r="F82" s="288"/>
      <c r="G82" s="288"/>
      <c r="H82" s="288"/>
      <c r="I82" s="288"/>
      <c r="J82" s="288"/>
      <c r="K82" s="288"/>
      <c r="L82" s="288"/>
      <c r="M82" s="288"/>
    </row>
    <row r="83" spans="1:13" x14ac:dyDescent="0.2">
      <c r="A83" s="288"/>
      <c r="C83" s="288"/>
      <c r="D83" s="288"/>
      <c r="E83" s="288"/>
      <c r="F83" s="288"/>
      <c r="G83" s="288"/>
      <c r="H83" s="288"/>
      <c r="I83" s="288"/>
      <c r="J83" s="288"/>
      <c r="K83" s="288"/>
      <c r="L83" s="288"/>
      <c r="M83" s="288"/>
    </row>
    <row r="84" spans="1:13" x14ac:dyDescent="0.2">
      <c r="A84" s="288"/>
      <c r="C84" s="288"/>
      <c r="D84" s="288"/>
      <c r="E84" s="288"/>
      <c r="F84" s="288"/>
      <c r="G84" s="288"/>
      <c r="H84" s="288"/>
      <c r="I84" s="288"/>
      <c r="J84" s="288"/>
      <c r="K84" s="288"/>
      <c r="L84" s="288"/>
      <c r="M84" s="288"/>
    </row>
    <row r="85" spans="1:13" x14ac:dyDescent="0.2">
      <c r="A85" s="288"/>
      <c r="C85" s="288"/>
      <c r="D85" s="288"/>
      <c r="E85" s="288"/>
      <c r="F85" s="288"/>
      <c r="G85" s="288"/>
      <c r="H85" s="288"/>
      <c r="I85" s="288"/>
      <c r="J85" s="288"/>
      <c r="K85" s="288"/>
      <c r="L85" s="288"/>
      <c r="M85" s="288"/>
    </row>
    <row r="86" spans="1:13" x14ac:dyDescent="0.2">
      <c r="A86" s="288"/>
      <c r="C86" s="288"/>
      <c r="D86" s="288"/>
      <c r="E86" s="288"/>
      <c r="F86" s="288"/>
      <c r="G86" s="288"/>
      <c r="H86" s="288"/>
      <c r="I86" s="288"/>
      <c r="J86" s="288"/>
      <c r="K86" s="288"/>
      <c r="L86" s="288"/>
      <c r="M86" s="288"/>
    </row>
    <row r="87" spans="1:13" x14ac:dyDescent="0.2">
      <c r="A87" s="288"/>
      <c r="C87" s="288"/>
      <c r="D87" s="288"/>
      <c r="E87" s="288"/>
      <c r="F87" s="288"/>
      <c r="G87" s="288"/>
      <c r="H87" s="288"/>
      <c r="I87" s="288"/>
      <c r="J87" s="288"/>
      <c r="K87" s="288"/>
      <c r="L87" s="288"/>
      <c r="M87" s="288"/>
    </row>
    <row r="88" spans="1:13" x14ac:dyDescent="0.2">
      <c r="A88" s="288"/>
      <c r="C88" s="288"/>
      <c r="D88" s="288"/>
      <c r="E88" s="288"/>
      <c r="F88" s="288"/>
      <c r="G88" s="288"/>
      <c r="H88" s="288"/>
      <c r="I88" s="288"/>
      <c r="J88" s="288"/>
      <c r="K88" s="288"/>
      <c r="L88" s="288"/>
      <c r="M88" s="288"/>
    </row>
    <row r="89" spans="1:13" x14ac:dyDescent="0.2">
      <c r="A89" s="288"/>
      <c r="C89" s="288"/>
      <c r="D89" s="288"/>
      <c r="E89" s="288"/>
      <c r="F89" s="288"/>
      <c r="G89" s="288"/>
      <c r="H89" s="288"/>
      <c r="I89" s="288"/>
      <c r="J89" s="288"/>
      <c r="K89" s="288"/>
      <c r="L89" s="288"/>
      <c r="M89" s="288"/>
    </row>
    <row r="90" spans="1:13" x14ac:dyDescent="0.2">
      <c r="A90" s="288"/>
      <c r="C90" s="288"/>
      <c r="D90" s="288"/>
      <c r="E90" s="288"/>
      <c r="F90" s="288"/>
      <c r="G90" s="288"/>
      <c r="H90" s="288"/>
      <c r="I90" s="288"/>
      <c r="J90" s="288"/>
      <c r="K90" s="288"/>
      <c r="L90" s="288"/>
      <c r="M90" s="288"/>
    </row>
    <row r="91" spans="1:13" x14ac:dyDescent="0.2">
      <c r="A91" s="288"/>
      <c r="C91" s="288"/>
      <c r="D91" s="288"/>
      <c r="E91" s="288"/>
      <c r="F91" s="288"/>
      <c r="G91" s="288"/>
      <c r="H91" s="288"/>
      <c r="I91" s="288"/>
      <c r="J91" s="288"/>
      <c r="K91" s="288"/>
      <c r="L91" s="288"/>
      <c r="M91" s="288"/>
    </row>
    <row r="92" spans="1:13" x14ac:dyDescent="0.2">
      <c r="A92" s="288"/>
      <c r="C92" s="288"/>
      <c r="D92" s="288"/>
      <c r="E92" s="288"/>
      <c r="F92" s="288"/>
      <c r="G92" s="288"/>
      <c r="H92" s="288"/>
      <c r="I92" s="288"/>
      <c r="J92" s="288"/>
      <c r="K92" s="288"/>
      <c r="L92" s="288"/>
      <c r="M92" s="288"/>
    </row>
    <row r="93" spans="1:13" x14ac:dyDescent="0.2">
      <c r="A93" s="288"/>
      <c r="C93" s="288"/>
      <c r="D93" s="288"/>
      <c r="E93" s="288"/>
      <c r="F93" s="288"/>
      <c r="G93" s="288"/>
      <c r="H93" s="288"/>
      <c r="I93" s="288"/>
      <c r="J93" s="288"/>
      <c r="K93" s="288"/>
      <c r="L93" s="288"/>
      <c r="M93" s="288"/>
    </row>
    <row r="94" spans="1:13" x14ac:dyDescent="0.2">
      <c r="A94" s="288"/>
      <c r="C94" s="288"/>
      <c r="D94" s="288"/>
      <c r="E94" s="288"/>
      <c r="F94" s="288"/>
      <c r="G94" s="288"/>
      <c r="H94" s="288"/>
      <c r="I94" s="288"/>
      <c r="J94" s="288"/>
      <c r="K94" s="288"/>
      <c r="L94" s="288"/>
      <c r="M94" s="288"/>
    </row>
    <row r="95" spans="1:13" x14ac:dyDescent="0.2">
      <c r="A95" s="288"/>
      <c r="C95" s="288"/>
      <c r="D95" s="288"/>
      <c r="E95" s="288"/>
      <c r="F95" s="288"/>
      <c r="G95" s="288"/>
      <c r="H95" s="288"/>
      <c r="I95" s="288"/>
      <c r="J95" s="288"/>
      <c r="K95" s="288"/>
      <c r="L95" s="288"/>
      <c r="M95" s="288"/>
    </row>
    <row r="96" spans="1:13" x14ac:dyDescent="0.2">
      <c r="A96" s="288"/>
      <c r="C96" s="288"/>
      <c r="D96" s="288"/>
      <c r="E96" s="288"/>
      <c r="F96" s="288"/>
      <c r="G96" s="288"/>
      <c r="H96" s="288"/>
      <c r="I96" s="288"/>
      <c r="J96" s="288"/>
      <c r="K96" s="288"/>
      <c r="L96" s="288"/>
      <c r="M96" s="288"/>
    </row>
    <row r="97" spans="1:13" x14ac:dyDescent="0.2">
      <c r="A97" s="288"/>
      <c r="C97" s="288"/>
      <c r="D97" s="288"/>
      <c r="E97" s="288"/>
      <c r="F97" s="288"/>
      <c r="G97" s="288"/>
      <c r="H97" s="288"/>
      <c r="I97" s="288"/>
      <c r="J97" s="288"/>
      <c r="K97" s="288"/>
      <c r="L97" s="288"/>
      <c r="M97" s="288"/>
    </row>
    <row r="98" spans="1:13" x14ac:dyDescent="0.2">
      <c r="A98" s="288"/>
      <c r="C98" s="288"/>
      <c r="D98" s="288"/>
      <c r="E98" s="288"/>
      <c r="F98" s="288"/>
      <c r="G98" s="288"/>
      <c r="H98" s="288"/>
      <c r="I98" s="288"/>
      <c r="J98" s="288"/>
      <c r="K98" s="288"/>
      <c r="L98" s="288"/>
      <c r="M98" s="288"/>
    </row>
    <row r="99" spans="1:13" x14ac:dyDescent="0.2">
      <c r="A99" s="288"/>
      <c r="C99" s="288"/>
      <c r="D99" s="288"/>
      <c r="E99" s="288"/>
      <c r="F99" s="288"/>
      <c r="G99" s="288"/>
      <c r="H99" s="288"/>
      <c r="I99" s="288"/>
      <c r="J99" s="288"/>
      <c r="K99" s="288"/>
      <c r="L99" s="288"/>
      <c r="M99" s="288"/>
    </row>
    <row r="100" spans="1:13" x14ac:dyDescent="0.2">
      <c r="A100" s="288"/>
      <c r="C100" s="288"/>
      <c r="D100" s="288"/>
      <c r="E100" s="288"/>
      <c r="F100" s="288"/>
      <c r="G100" s="288"/>
      <c r="H100" s="288"/>
      <c r="I100" s="288"/>
      <c r="J100" s="288"/>
      <c r="K100" s="288"/>
      <c r="L100" s="288"/>
      <c r="M100" s="288"/>
    </row>
    <row r="101" spans="1:13" x14ac:dyDescent="0.2">
      <c r="A101" s="288"/>
      <c r="C101" s="288"/>
      <c r="D101" s="288"/>
      <c r="E101" s="288"/>
      <c r="F101" s="288"/>
      <c r="G101" s="288"/>
      <c r="H101" s="288"/>
      <c r="I101" s="288"/>
      <c r="J101" s="288"/>
      <c r="K101" s="288"/>
      <c r="L101" s="288"/>
      <c r="M101" s="288"/>
    </row>
    <row r="102" spans="1:13" x14ac:dyDescent="0.2">
      <c r="A102" s="288"/>
      <c r="C102" s="288"/>
      <c r="D102" s="288"/>
      <c r="E102" s="288"/>
      <c r="F102" s="288"/>
      <c r="G102" s="288"/>
      <c r="H102" s="288"/>
      <c r="I102" s="288"/>
      <c r="J102" s="288"/>
      <c r="K102" s="288"/>
      <c r="L102" s="288"/>
      <c r="M102" s="288"/>
    </row>
    <row r="103" spans="1:13" x14ac:dyDescent="0.2">
      <c r="A103" s="288"/>
      <c r="C103" s="288"/>
      <c r="D103" s="288"/>
      <c r="E103" s="288"/>
      <c r="F103" s="288"/>
      <c r="G103" s="288"/>
      <c r="H103" s="288"/>
      <c r="I103" s="288"/>
      <c r="J103" s="288"/>
      <c r="K103" s="288"/>
      <c r="L103" s="288"/>
      <c r="M103" s="288"/>
    </row>
    <row r="104" spans="1:13" x14ac:dyDescent="0.2">
      <c r="A104" s="288"/>
      <c r="C104" s="288"/>
      <c r="D104" s="288"/>
      <c r="E104" s="288"/>
      <c r="F104" s="288"/>
      <c r="G104" s="288"/>
      <c r="H104" s="288"/>
      <c r="I104" s="288"/>
      <c r="J104" s="288"/>
      <c r="K104" s="288"/>
      <c r="L104" s="288"/>
      <c r="M104" s="288"/>
    </row>
    <row r="105" spans="1:13" x14ac:dyDescent="0.2">
      <c r="A105" s="288"/>
      <c r="C105" s="288"/>
      <c r="D105" s="288"/>
      <c r="E105" s="288"/>
      <c r="F105" s="288"/>
      <c r="G105" s="288"/>
      <c r="H105" s="288"/>
      <c r="I105" s="288"/>
      <c r="J105" s="288"/>
      <c r="K105" s="288"/>
      <c r="L105" s="288"/>
      <c r="M105" s="288"/>
    </row>
    <row r="106" spans="1:13" x14ac:dyDescent="0.2">
      <c r="A106" s="288"/>
      <c r="C106" s="288"/>
      <c r="D106" s="288"/>
      <c r="E106" s="288"/>
      <c r="F106" s="288"/>
      <c r="G106" s="288"/>
      <c r="H106" s="288"/>
      <c r="I106" s="288"/>
      <c r="J106" s="288"/>
      <c r="K106" s="288"/>
      <c r="L106" s="288"/>
      <c r="M106" s="288"/>
    </row>
    <row r="107" spans="1:13" x14ac:dyDescent="0.2">
      <c r="A107" s="288"/>
      <c r="C107" s="288"/>
      <c r="D107" s="288"/>
      <c r="E107" s="288"/>
      <c r="F107" s="288"/>
      <c r="G107" s="288"/>
      <c r="H107" s="288"/>
      <c r="I107" s="288"/>
      <c r="J107" s="288"/>
      <c r="K107" s="288"/>
      <c r="L107" s="288"/>
      <c r="M107" s="288"/>
    </row>
    <row r="108" spans="1:13" x14ac:dyDescent="0.2">
      <c r="A108" s="288"/>
      <c r="C108" s="288"/>
      <c r="D108" s="288"/>
      <c r="E108" s="288"/>
      <c r="F108" s="288"/>
      <c r="G108" s="288"/>
      <c r="H108" s="288"/>
      <c r="I108" s="288"/>
      <c r="J108" s="288"/>
      <c r="K108" s="288"/>
      <c r="L108" s="288"/>
      <c r="M108" s="288"/>
    </row>
    <row r="109" spans="1:13" x14ac:dyDescent="0.2">
      <c r="A109" s="288"/>
      <c r="C109" s="288"/>
      <c r="D109" s="288"/>
      <c r="E109" s="288"/>
      <c r="F109" s="288"/>
      <c r="G109" s="288"/>
      <c r="H109" s="288"/>
      <c r="I109" s="288"/>
      <c r="J109" s="288"/>
      <c r="K109" s="288"/>
      <c r="L109" s="288"/>
      <c r="M109" s="288"/>
    </row>
    <row r="110" spans="1:13" x14ac:dyDescent="0.2">
      <c r="A110" s="288"/>
      <c r="C110" s="288"/>
      <c r="D110" s="288"/>
      <c r="E110" s="288"/>
      <c r="F110" s="288"/>
      <c r="G110" s="288"/>
      <c r="H110" s="288"/>
      <c r="I110" s="288"/>
      <c r="J110" s="288"/>
      <c r="K110" s="288"/>
      <c r="L110" s="288"/>
      <c r="M110" s="288"/>
    </row>
    <row r="111" spans="1:13" x14ac:dyDescent="0.2">
      <c r="A111" s="288"/>
      <c r="C111" s="288"/>
      <c r="D111" s="288"/>
      <c r="E111" s="288"/>
      <c r="F111" s="288"/>
      <c r="G111" s="288"/>
      <c r="H111" s="288"/>
      <c r="I111" s="288"/>
      <c r="J111" s="288"/>
      <c r="K111" s="288"/>
      <c r="L111" s="288"/>
      <c r="M111" s="288"/>
    </row>
    <row r="112" spans="1:13" x14ac:dyDescent="0.2">
      <c r="A112" s="288"/>
      <c r="C112" s="288"/>
      <c r="D112" s="288"/>
      <c r="E112" s="288"/>
      <c r="F112" s="288"/>
      <c r="G112" s="288"/>
      <c r="H112" s="288"/>
      <c r="I112" s="288"/>
      <c r="J112" s="288"/>
      <c r="K112" s="288"/>
      <c r="L112" s="288"/>
      <c r="M112" s="288"/>
    </row>
    <row r="113" spans="1:13" x14ac:dyDescent="0.2">
      <c r="A113" s="288"/>
      <c r="C113" s="288"/>
      <c r="D113" s="288"/>
      <c r="E113" s="288"/>
      <c r="F113" s="288"/>
      <c r="G113" s="288"/>
      <c r="H113" s="288"/>
      <c r="I113" s="288"/>
      <c r="J113" s="288"/>
      <c r="K113" s="288"/>
      <c r="L113" s="288"/>
      <c r="M113" s="288"/>
    </row>
    <row r="114" spans="1:13" x14ac:dyDescent="0.2">
      <c r="A114" s="288"/>
      <c r="C114" s="288"/>
      <c r="D114" s="288"/>
      <c r="E114" s="288"/>
      <c r="F114" s="288"/>
      <c r="G114" s="288"/>
      <c r="H114" s="288"/>
      <c r="I114" s="288"/>
      <c r="J114" s="288"/>
      <c r="K114" s="288"/>
      <c r="L114" s="288"/>
      <c r="M114" s="288"/>
    </row>
    <row r="115" spans="1:13" x14ac:dyDescent="0.2">
      <c r="A115" s="288"/>
      <c r="C115" s="288"/>
      <c r="D115" s="288"/>
      <c r="E115" s="288"/>
      <c r="F115" s="288"/>
      <c r="G115" s="288"/>
      <c r="H115" s="288"/>
      <c r="I115" s="288"/>
      <c r="J115" s="288"/>
      <c r="K115" s="288"/>
      <c r="L115" s="288"/>
      <c r="M115" s="288"/>
    </row>
    <row r="116" spans="1:13" x14ac:dyDescent="0.2">
      <c r="A116" s="288"/>
      <c r="C116" s="288"/>
      <c r="D116" s="288"/>
      <c r="E116" s="288"/>
      <c r="F116" s="288"/>
      <c r="G116" s="288"/>
      <c r="H116" s="288"/>
      <c r="I116" s="288"/>
      <c r="J116" s="288"/>
      <c r="K116" s="288"/>
      <c r="L116" s="288"/>
      <c r="M116" s="288"/>
    </row>
    <row r="117" spans="1:13" x14ac:dyDescent="0.2">
      <c r="A117" s="288"/>
      <c r="C117" s="288"/>
      <c r="D117" s="288"/>
      <c r="E117" s="288"/>
      <c r="F117" s="288"/>
      <c r="G117" s="288"/>
      <c r="H117" s="288"/>
      <c r="I117" s="288"/>
      <c r="J117" s="288"/>
      <c r="K117" s="288"/>
      <c r="L117" s="288"/>
      <c r="M117" s="288"/>
    </row>
    <row r="118" spans="1:13" x14ac:dyDescent="0.2">
      <c r="A118" s="288"/>
      <c r="C118" s="288"/>
      <c r="D118" s="288"/>
      <c r="E118" s="288"/>
      <c r="F118" s="288"/>
      <c r="G118" s="288"/>
      <c r="H118" s="288"/>
      <c r="I118" s="288"/>
      <c r="J118" s="288"/>
      <c r="K118" s="288"/>
      <c r="L118" s="288"/>
      <c r="M118" s="288"/>
    </row>
  </sheetData>
  <pageMargins left="0.5" right="0.5" top="0.75" bottom="0.75" header="0.5" footer="0.5"/>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2:Q105"/>
  <sheetViews>
    <sheetView zoomScaleNormal="100" workbookViewId="0">
      <pane xSplit="2" ySplit="6" topLeftCell="C61" activePane="bottomRight" state="frozen"/>
      <selection activeCell="I58" sqref="I58"/>
      <selection pane="topRight" activeCell="I58" sqref="I58"/>
      <selection pane="bottomLeft" activeCell="I58" sqref="I58"/>
      <selection pane="bottomRight" activeCell="C69" sqref="C69"/>
    </sheetView>
  </sheetViews>
  <sheetFormatPr defaultRowHeight="11.25" x14ac:dyDescent="0.2"/>
  <cols>
    <col min="1" max="1" width="6" style="288" customWidth="1"/>
    <col min="2" max="2" width="17.85546875" style="288" customWidth="1"/>
    <col min="3" max="4" width="9.85546875" style="288" customWidth="1"/>
    <col min="5" max="5" width="11.28515625" style="288" customWidth="1"/>
    <col min="6" max="7" width="9.5703125" style="288" customWidth="1"/>
    <col min="8" max="8" width="9.85546875" style="288" customWidth="1"/>
    <col min="9" max="9" width="10.42578125" style="288" customWidth="1"/>
    <col min="10" max="10" width="10.7109375" style="288" customWidth="1"/>
    <col min="11" max="14" width="9.140625" style="288"/>
    <col min="15" max="15" width="10.7109375" style="288" bestFit="1" customWidth="1"/>
    <col min="16" max="16" width="9.85546875" style="288" bestFit="1" customWidth="1"/>
    <col min="17" max="16384" width="9.140625" style="288"/>
  </cols>
  <sheetData>
    <row r="2" spans="1:14" x14ac:dyDescent="0.2">
      <c r="B2" s="312" t="s">
        <v>115</v>
      </c>
      <c r="C2" s="328"/>
    </row>
    <row r="3" spans="1:14" x14ac:dyDescent="0.2">
      <c r="C3" s="328"/>
    </row>
    <row r="4" spans="1:14" x14ac:dyDescent="0.2">
      <c r="C4" s="326"/>
      <c r="D4" s="326"/>
      <c r="E4" s="326"/>
      <c r="F4" s="326"/>
      <c r="G4" s="326"/>
      <c r="H4" s="327"/>
      <c r="I4" s="327"/>
      <c r="J4" s="312"/>
    </row>
    <row r="5" spans="1:14" x14ac:dyDescent="0.2">
      <c r="C5" s="326"/>
      <c r="D5" s="326"/>
      <c r="E5" s="326"/>
      <c r="F5" s="326"/>
      <c r="G5" s="326"/>
      <c r="H5" s="327"/>
      <c r="I5" s="327"/>
      <c r="J5" s="326"/>
    </row>
    <row r="6" spans="1:14" ht="9.9499999999999993" customHeight="1" x14ac:dyDescent="0.2">
      <c r="C6" s="325">
        <v>42856</v>
      </c>
      <c r="D6" s="324">
        <f t="shared" ref="D6:N6" si="0">EOMONTH(C6,1)</f>
        <v>42916</v>
      </c>
      <c r="E6" s="324">
        <f t="shared" si="0"/>
        <v>42947</v>
      </c>
      <c r="F6" s="324">
        <f t="shared" si="0"/>
        <v>42978</v>
      </c>
      <c r="G6" s="324">
        <f t="shared" si="0"/>
        <v>43008</v>
      </c>
      <c r="H6" s="324">
        <f t="shared" si="0"/>
        <v>43039</v>
      </c>
      <c r="I6" s="324">
        <f t="shared" si="0"/>
        <v>43069</v>
      </c>
      <c r="J6" s="324">
        <f t="shared" si="0"/>
        <v>43100</v>
      </c>
      <c r="K6" s="324">
        <f t="shared" si="0"/>
        <v>43131</v>
      </c>
      <c r="L6" s="324">
        <f t="shared" si="0"/>
        <v>43159</v>
      </c>
      <c r="M6" s="324">
        <f t="shared" si="0"/>
        <v>43190</v>
      </c>
      <c r="N6" s="324">
        <f t="shared" si="0"/>
        <v>43220</v>
      </c>
    </row>
    <row r="7" spans="1:14" s="289" customFormat="1" x14ac:dyDescent="0.2">
      <c r="A7" s="323" t="s">
        <v>47</v>
      </c>
      <c r="C7" s="322">
        <v>28.98</v>
      </c>
      <c r="D7" s="322">
        <v>31.75</v>
      </c>
      <c r="E7" s="322">
        <v>27.73</v>
      </c>
      <c r="F7" s="322">
        <v>25.35</v>
      </c>
      <c r="G7" s="322">
        <v>25.5</v>
      </c>
      <c r="H7" s="322">
        <v>26.36</v>
      </c>
      <c r="I7" s="322">
        <v>27.7</v>
      </c>
      <c r="J7" s="322">
        <v>27.79</v>
      </c>
      <c r="K7" s="322">
        <v>34.49</v>
      </c>
      <c r="L7" s="322">
        <v>28.15</v>
      </c>
      <c r="M7" s="322">
        <v>35.15</v>
      </c>
      <c r="N7" s="322">
        <v>34.909999999999997</v>
      </c>
    </row>
    <row r="8" spans="1:14" x14ac:dyDescent="0.2">
      <c r="A8" s="288" t="s">
        <v>48</v>
      </c>
      <c r="C8" s="89">
        <v>0</v>
      </c>
      <c r="D8" s="89">
        <v>0</v>
      </c>
      <c r="E8" s="89">
        <v>0</v>
      </c>
      <c r="F8" s="89">
        <v>0</v>
      </c>
      <c r="G8" s="89">
        <v>0</v>
      </c>
      <c r="H8" s="89">
        <v>0</v>
      </c>
      <c r="I8" s="89">
        <v>0</v>
      </c>
      <c r="J8" s="89">
        <v>0</v>
      </c>
      <c r="K8" s="89">
        <v>0</v>
      </c>
      <c r="L8" s="89">
        <v>0</v>
      </c>
      <c r="M8" s="89">
        <v>0</v>
      </c>
      <c r="N8" s="89">
        <v>0</v>
      </c>
    </row>
    <row r="9" spans="1:14" x14ac:dyDescent="0.2">
      <c r="A9" s="288"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4" x14ac:dyDescent="0.2">
      <c r="A10" s="312" t="s">
        <v>50</v>
      </c>
      <c r="C10" s="321">
        <f t="shared" ref="C10:N10" si="2">+C7-C9</f>
        <v>28.98</v>
      </c>
      <c r="D10" s="321">
        <f t="shared" si="2"/>
        <v>31.75</v>
      </c>
      <c r="E10" s="321">
        <f t="shared" si="2"/>
        <v>27.73</v>
      </c>
      <c r="F10" s="321">
        <f t="shared" si="2"/>
        <v>25.35</v>
      </c>
      <c r="G10" s="321">
        <f t="shared" si="2"/>
        <v>25.5</v>
      </c>
      <c r="H10" s="321">
        <f t="shared" si="2"/>
        <v>26.36</v>
      </c>
      <c r="I10" s="321">
        <f t="shared" si="2"/>
        <v>27.7</v>
      </c>
      <c r="J10" s="321">
        <f t="shared" si="2"/>
        <v>27.79</v>
      </c>
      <c r="K10" s="321">
        <f t="shared" si="2"/>
        <v>34.49</v>
      </c>
      <c r="L10" s="321">
        <f t="shared" si="2"/>
        <v>28.15</v>
      </c>
      <c r="M10" s="321">
        <f t="shared" si="2"/>
        <v>35.15</v>
      </c>
      <c r="N10" s="321">
        <f t="shared" si="2"/>
        <v>34.909999999999997</v>
      </c>
    </row>
    <row r="12" spans="1:14" x14ac:dyDescent="0.2">
      <c r="A12" s="312" t="s">
        <v>51</v>
      </c>
    </row>
    <row r="13" spans="1:14" s="319" customFormat="1" x14ac:dyDescent="0.2">
      <c r="B13" s="319" t="s">
        <v>24</v>
      </c>
      <c r="C13" s="320">
        <v>0.19500000000000001</v>
      </c>
      <c r="D13" s="320">
        <f t="shared" ref="D13:M13" si="3">+C13</f>
        <v>0.19500000000000001</v>
      </c>
      <c r="E13" s="320">
        <f t="shared" si="3"/>
        <v>0.19500000000000001</v>
      </c>
      <c r="F13" s="320">
        <f t="shared" si="3"/>
        <v>0.19500000000000001</v>
      </c>
      <c r="G13" s="320">
        <f t="shared" si="3"/>
        <v>0.19500000000000001</v>
      </c>
      <c r="H13" s="320">
        <f t="shared" si="3"/>
        <v>0.19500000000000001</v>
      </c>
      <c r="I13" s="320">
        <f t="shared" si="3"/>
        <v>0.19500000000000001</v>
      </c>
      <c r="J13" s="320">
        <f t="shared" si="3"/>
        <v>0.19500000000000001</v>
      </c>
      <c r="K13" s="320">
        <f t="shared" si="3"/>
        <v>0.19500000000000001</v>
      </c>
      <c r="L13" s="320">
        <f t="shared" si="3"/>
        <v>0.19500000000000001</v>
      </c>
      <c r="M13" s="320">
        <f t="shared" si="3"/>
        <v>0.19500000000000001</v>
      </c>
      <c r="N13" s="320">
        <v>0</v>
      </c>
    </row>
    <row r="14" spans="1:14" s="319" customFormat="1" x14ac:dyDescent="0.2">
      <c r="B14" s="319" t="s">
        <v>28</v>
      </c>
      <c r="C14" s="320">
        <v>0.1782</v>
      </c>
      <c r="D14" s="320">
        <f t="shared" ref="D14:M14" si="4">+C14</f>
        <v>0.1782</v>
      </c>
      <c r="E14" s="320">
        <f t="shared" si="4"/>
        <v>0.1782</v>
      </c>
      <c r="F14" s="320">
        <f t="shared" si="4"/>
        <v>0.1782</v>
      </c>
      <c r="G14" s="320">
        <f t="shared" si="4"/>
        <v>0.1782</v>
      </c>
      <c r="H14" s="320">
        <f t="shared" si="4"/>
        <v>0.1782</v>
      </c>
      <c r="I14" s="320">
        <f t="shared" si="4"/>
        <v>0.1782</v>
      </c>
      <c r="J14" s="320">
        <f t="shared" si="4"/>
        <v>0.1782</v>
      </c>
      <c r="K14" s="320">
        <f t="shared" si="4"/>
        <v>0.1782</v>
      </c>
      <c r="L14" s="320">
        <f t="shared" si="4"/>
        <v>0.1782</v>
      </c>
      <c r="M14" s="320">
        <f t="shared" si="4"/>
        <v>0.1782</v>
      </c>
      <c r="N14" s="320">
        <f t="shared" ref="N14:N22" si="5">+M14</f>
        <v>0.1782</v>
      </c>
    </row>
    <row r="15" spans="1:14" s="319" customFormat="1" x14ac:dyDescent="0.2">
      <c r="B15" s="319" t="s">
        <v>52</v>
      </c>
      <c r="C15" s="320">
        <v>0</v>
      </c>
      <c r="D15" s="320">
        <f t="shared" ref="D15:M15" si="6">+C15</f>
        <v>0</v>
      </c>
      <c r="E15" s="320">
        <f t="shared" si="6"/>
        <v>0</v>
      </c>
      <c r="F15" s="320">
        <f t="shared" si="6"/>
        <v>0</v>
      </c>
      <c r="G15" s="320">
        <f t="shared" si="6"/>
        <v>0</v>
      </c>
      <c r="H15" s="320">
        <f t="shared" si="6"/>
        <v>0</v>
      </c>
      <c r="I15" s="320">
        <f t="shared" si="6"/>
        <v>0</v>
      </c>
      <c r="J15" s="320">
        <f t="shared" si="6"/>
        <v>0</v>
      </c>
      <c r="K15" s="320">
        <f t="shared" si="6"/>
        <v>0</v>
      </c>
      <c r="L15" s="320">
        <f t="shared" si="6"/>
        <v>0</v>
      </c>
      <c r="M15" s="320">
        <f t="shared" si="6"/>
        <v>0</v>
      </c>
      <c r="N15" s="320">
        <f t="shared" si="5"/>
        <v>0</v>
      </c>
    </row>
    <row r="16" spans="1:14" s="319" customFormat="1" x14ac:dyDescent="0.2">
      <c r="B16" s="319" t="s">
        <v>53</v>
      </c>
      <c r="C16" s="320">
        <v>1.6500000000000001E-2</v>
      </c>
      <c r="D16" s="320">
        <f t="shared" ref="D16:M16" si="7">+C16</f>
        <v>1.6500000000000001E-2</v>
      </c>
      <c r="E16" s="320">
        <f t="shared" si="7"/>
        <v>1.6500000000000001E-2</v>
      </c>
      <c r="F16" s="320">
        <f t="shared" si="7"/>
        <v>1.6500000000000001E-2</v>
      </c>
      <c r="G16" s="320">
        <f t="shared" si="7"/>
        <v>1.6500000000000001E-2</v>
      </c>
      <c r="H16" s="320">
        <f t="shared" si="7"/>
        <v>1.6500000000000001E-2</v>
      </c>
      <c r="I16" s="320">
        <f t="shared" si="7"/>
        <v>1.6500000000000001E-2</v>
      </c>
      <c r="J16" s="320">
        <f t="shared" si="7"/>
        <v>1.6500000000000001E-2</v>
      </c>
      <c r="K16" s="320">
        <f t="shared" si="7"/>
        <v>1.6500000000000001E-2</v>
      </c>
      <c r="L16" s="320">
        <f t="shared" si="7"/>
        <v>1.6500000000000001E-2</v>
      </c>
      <c r="M16" s="320">
        <f t="shared" si="7"/>
        <v>1.6500000000000001E-2</v>
      </c>
      <c r="N16" s="320">
        <f t="shared" si="5"/>
        <v>1.6500000000000001E-2</v>
      </c>
    </row>
    <row r="17" spans="1:14" s="319" customFormat="1" x14ac:dyDescent="0.2">
      <c r="B17" s="319" t="s">
        <v>54</v>
      </c>
      <c r="C17" s="320">
        <v>4.4900000000000002E-2</v>
      </c>
      <c r="D17" s="320">
        <f t="shared" ref="D17:M17" si="8">+C17</f>
        <v>4.4900000000000002E-2</v>
      </c>
      <c r="E17" s="320">
        <f t="shared" si="8"/>
        <v>4.4900000000000002E-2</v>
      </c>
      <c r="F17" s="320">
        <f t="shared" si="8"/>
        <v>4.4900000000000002E-2</v>
      </c>
      <c r="G17" s="320">
        <f t="shared" si="8"/>
        <v>4.4900000000000002E-2</v>
      </c>
      <c r="H17" s="320">
        <f t="shared" si="8"/>
        <v>4.4900000000000002E-2</v>
      </c>
      <c r="I17" s="320">
        <f t="shared" si="8"/>
        <v>4.4900000000000002E-2</v>
      </c>
      <c r="J17" s="320">
        <f t="shared" si="8"/>
        <v>4.4900000000000002E-2</v>
      </c>
      <c r="K17" s="320">
        <f t="shared" si="8"/>
        <v>4.4900000000000002E-2</v>
      </c>
      <c r="L17" s="320">
        <f t="shared" si="8"/>
        <v>4.4900000000000002E-2</v>
      </c>
      <c r="M17" s="320">
        <f t="shared" si="8"/>
        <v>4.4900000000000002E-2</v>
      </c>
      <c r="N17" s="320">
        <f t="shared" si="5"/>
        <v>4.4900000000000002E-2</v>
      </c>
    </row>
    <row r="18" spans="1:14" s="319" customFormat="1" x14ac:dyDescent="0.2">
      <c r="B18" s="319" t="s">
        <v>55</v>
      </c>
      <c r="C18" s="320">
        <v>7.4999999999999997E-3</v>
      </c>
      <c r="D18" s="320">
        <f t="shared" ref="D18:M18" si="9">+C18</f>
        <v>7.4999999999999997E-3</v>
      </c>
      <c r="E18" s="320">
        <f t="shared" si="9"/>
        <v>7.4999999999999997E-3</v>
      </c>
      <c r="F18" s="320">
        <f t="shared" si="9"/>
        <v>7.4999999999999997E-3</v>
      </c>
      <c r="G18" s="320">
        <f t="shared" si="9"/>
        <v>7.4999999999999997E-3</v>
      </c>
      <c r="H18" s="320">
        <f t="shared" si="9"/>
        <v>7.4999999999999997E-3</v>
      </c>
      <c r="I18" s="320">
        <f t="shared" si="9"/>
        <v>7.4999999999999997E-3</v>
      </c>
      <c r="J18" s="320">
        <f t="shared" si="9"/>
        <v>7.4999999999999997E-3</v>
      </c>
      <c r="K18" s="320">
        <f t="shared" si="9"/>
        <v>7.4999999999999997E-3</v>
      </c>
      <c r="L18" s="320">
        <f t="shared" si="9"/>
        <v>7.4999999999999997E-3</v>
      </c>
      <c r="M18" s="320">
        <f t="shared" si="9"/>
        <v>7.4999999999999997E-3</v>
      </c>
      <c r="N18" s="320">
        <f t="shared" si="5"/>
        <v>7.4999999999999997E-3</v>
      </c>
    </row>
    <row r="19" spans="1:14" s="319" customFormat="1" x14ac:dyDescent="0.2">
      <c r="B19" s="288" t="s">
        <v>225</v>
      </c>
      <c r="C19" s="320">
        <v>0</v>
      </c>
      <c r="D19" s="320">
        <f t="shared" ref="D19:M19" si="10">+C19</f>
        <v>0</v>
      </c>
      <c r="E19" s="320">
        <f t="shared" si="10"/>
        <v>0</v>
      </c>
      <c r="F19" s="320">
        <f t="shared" si="10"/>
        <v>0</v>
      </c>
      <c r="G19" s="320">
        <f t="shared" si="10"/>
        <v>0</v>
      </c>
      <c r="H19" s="320">
        <f t="shared" si="10"/>
        <v>0</v>
      </c>
      <c r="I19" s="320">
        <f t="shared" si="10"/>
        <v>0</v>
      </c>
      <c r="J19" s="320">
        <f t="shared" si="10"/>
        <v>0</v>
      </c>
      <c r="K19" s="320">
        <f t="shared" si="10"/>
        <v>0</v>
      </c>
      <c r="L19" s="320">
        <f t="shared" si="10"/>
        <v>0</v>
      </c>
      <c r="M19" s="320">
        <f t="shared" si="10"/>
        <v>0</v>
      </c>
      <c r="N19" s="320">
        <f t="shared" si="5"/>
        <v>0</v>
      </c>
    </row>
    <row r="20" spans="1:14" s="319" customFormat="1" x14ac:dyDescent="0.2">
      <c r="B20" s="288" t="s">
        <v>22</v>
      </c>
      <c r="C20" s="320">
        <v>0.17680000000000001</v>
      </c>
      <c r="D20" s="320">
        <f t="shared" ref="D20:M20" si="11">+C20</f>
        <v>0.17680000000000001</v>
      </c>
      <c r="E20" s="320">
        <f t="shared" si="11"/>
        <v>0.17680000000000001</v>
      </c>
      <c r="F20" s="320">
        <f t="shared" si="11"/>
        <v>0.17680000000000001</v>
      </c>
      <c r="G20" s="320">
        <f t="shared" si="11"/>
        <v>0.17680000000000001</v>
      </c>
      <c r="H20" s="320">
        <f t="shared" si="11"/>
        <v>0.17680000000000001</v>
      </c>
      <c r="I20" s="320">
        <f t="shared" si="11"/>
        <v>0.17680000000000001</v>
      </c>
      <c r="J20" s="320">
        <f t="shared" si="11"/>
        <v>0.17680000000000001</v>
      </c>
      <c r="K20" s="320">
        <f t="shared" si="11"/>
        <v>0.17680000000000001</v>
      </c>
      <c r="L20" s="320">
        <f t="shared" si="11"/>
        <v>0.17680000000000001</v>
      </c>
      <c r="M20" s="320">
        <f t="shared" si="11"/>
        <v>0.17680000000000001</v>
      </c>
      <c r="N20" s="320">
        <f t="shared" si="5"/>
        <v>0.17680000000000001</v>
      </c>
    </row>
    <row r="21" spans="1:14" s="319" customFormat="1" x14ac:dyDescent="0.2">
      <c r="B21" s="319" t="s">
        <v>57</v>
      </c>
      <c r="C21" s="320">
        <v>0</v>
      </c>
      <c r="D21" s="320">
        <f t="shared" ref="D21:M21" si="12">+C21</f>
        <v>0</v>
      </c>
      <c r="E21" s="320">
        <f t="shared" si="12"/>
        <v>0</v>
      </c>
      <c r="F21" s="320">
        <f t="shared" si="12"/>
        <v>0</v>
      </c>
      <c r="G21" s="320">
        <f t="shared" si="12"/>
        <v>0</v>
      </c>
      <c r="H21" s="320">
        <f t="shared" si="12"/>
        <v>0</v>
      </c>
      <c r="I21" s="320">
        <f t="shared" si="12"/>
        <v>0</v>
      </c>
      <c r="J21" s="320">
        <f t="shared" si="12"/>
        <v>0</v>
      </c>
      <c r="K21" s="320">
        <f t="shared" si="12"/>
        <v>0</v>
      </c>
      <c r="L21" s="320">
        <f t="shared" si="12"/>
        <v>0</v>
      </c>
      <c r="M21" s="320">
        <f t="shared" si="12"/>
        <v>0</v>
      </c>
      <c r="N21" s="320">
        <f t="shared" si="5"/>
        <v>0</v>
      </c>
    </row>
    <row r="22" spans="1:14" s="319" customFormat="1" x14ac:dyDescent="0.2">
      <c r="B22" s="319" t="s">
        <v>58</v>
      </c>
      <c r="C22" s="320">
        <v>5.930000000000013E-2</v>
      </c>
      <c r="D22" s="320">
        <f t="shared" ref="D22:M22" si="13">+C22</f>
        <v>5.930000000000013E-2</v>
      </c>
      <c r="E22" s="320">
        <f t="shared" si="13"/>
        <v>5.930000000000013E-2</v>
      </c>
      <c r="F22" s="320">
        <f t="shared" si="13"/>
        <v>5.930000000000013E-2</v>
      </c>
      <c r="G22" s="320">
        <f t="shared" si="13"/>
        <v>5.930000000000013E-2</v>
      </c>
      <c r="H22" s="320">
        <f t="shared" si="13"/>
        <v>5.930000000000013E-2</v>
      </c>
      <c r="I22" s="320">
        <f t="shared" si="13"/>
        <v>5.930000000000013E-2</v>
      </c>
      <c r="J22" s="320">
        <f t="shared" si="13"/>
        <v>5.930000000000013E-2</v>
      </c>
      <c r="K22" s="320">
        <f t="shared" si="13"/>
        <v>5.930000000000013E-2</v>
      </c>
      <c r="L22" s="320">
        <f t="shared" si="13"/>
        <v>5.930000000000013E-2</v>
      </c>
      <c r="M22" s="320">
        <f t="shared" si="13"/>
        <v>5.930000000000013E-2</v>
      </c>
      <c r="N22" s="320">
        <f t="shared" si="5"/>
        <v>5.930000000000013E-2</v>
      </c>
    </row>
    <row r="23" spans="1:14" s="319" customFormat="1" x14ac:dyDescent="0.2">
      <c r="B23" s="319" t="s">
        <v>59</v>
      </c>
      <c r="C23" s="125">
        <v>0.32179999999999997</v>
      </c>
      <c r="D23" s="320">
        <f t="shared" ref="D23:M23" si="14">+C23</f>
        <v>0.32179999999999997</v>
      </c>
      <c r="E23" s="320">
        <f t="shared" si="14"/>
        <v>0.32179999999999997</v>
      </c>
      <c r="F23" s="320">
        <f t="shared" si="14"/>
        <v>0.32179999999999997</v>
      </c>
      <c r="G23" s="320">
        <f t="shared" si="14"/>
        <v>0.32179999999999997</v>
      </c>
      <c r="H23" s="320">
        <f t="shared" si="14"/>
        <v>0.32179999999999997</v>
      </c>
      <c r="I23" s="320">
        <f t="shared" si="14"/>
        <v>0.32179999999999997</v>
      </c>
      <c r="J23" s="320">
        <f t="shared" si="14"/>
        <v>0.32179999999999997</v>
      </c>
      <c r="K23" s="320">
        <f t="shared" si="14"/>
        <v>0.32179999999999997</v>
      </c>
      <c r="L23" s="320">
        <f t="shared" si="14"/>
        <v>0.32179999999999997</v>
      </c>
      <c r="M23" s="320">
        <f t="shared" si="14"/>
        <v>0.32179999999999997</v>
      </c>
      <c r="N23" s="320">
        <v>0.51680000000000004</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312" t="s">
        <v>60</v>
      </c>
    </row>
    <row r="27" spans="1:14" x14ac:dyDescent="0.2">
      <c r="B27" s="288" t="s">
        <v>24</v>
      </c>
      <c r="C27" s="75">
        <f t="shared" ref="C27:N27" si="15">+C$10*C13</f>
        <v>5.6511000000000005</v>
      </c>
      <c r="D27" s="75">
        <f t="shared" si="15"/>
        <v>6.1912500000000001</v>
      </c>
      <c r="E27" s="75">
        <f t="shared" si="15"/>
        <v>5.4073500000000001</v>
      </c>
      <c r="F27" s="75">
        <f t="shared" si="15"/>
        <v>4.9432500000000008</v>
      </c>
      <c r="G27" s="75">
        <f t="shared" si="15"/>
        <v>4.9725000000000001</v>
      </c>
      <c r="H27" s="75">
        <f t="shared" si="15"/>
        <v>5.1402000000000001</v>
      </c>
      <c r="I27" s="75">
        <f t="shared" si="15"/>
        <v>5.4015000000000004</v>
      </c>
      <c r="J27" s="75">
        <f t="shared" si="15"/>
        <v>5.4190500000000004</v>
      </c>
      <c r="K27" s="75">
        <f t="shared" si="15"/>
        <v>6.725550000000001</v>
      </c>
      <c r="L27" s="75">
        <f t="shared" si="15"/>
        <v>5.4892500000000002</v>
      </c>
      <c r="M27" s="75">
        <f t="shared" si="15"/>
        <v>6.8542500000000004</v>
      </c>
      <c r="N27" s="75">
        <f t="shared" si="15"/>
        <v>0</v>
      </c>
    </row>
    <row r="28" spans="1:14" x14ac:dyDescent="0.2">
      <c r="B28" s="288" t="s">
        <v>28</v>
      </c>
      <c r="C28" s="75">
        <f t="shared" ref="C28:N28" si="16">+C$10*C14</f>
        <v>5.1642359999999998</v>
      </c>
      <c r="D28" s="75">
        <f t="shared" si="16"/>
        <v>5.6578499999999998</v>
      </c>
      <c r="E28" s="75">
        <f t="shared" si="16"/>
        <v>4.9414860000000003</v>
      </c>
      <c r="F28" s="75">
        <f t="shared" si="16"/>
        <v>4.5173700000000006</v>
      </c>
      <c r="G28" s="75">
        <f t="shared" si="16"/>
        <v>4.5441000000000003</v>
      </c>
      <c r="H28" s="75">
        <f t="shared" si="16"/>
        <v>4.6973519999999995</v>
      </c>
      <c r="I28" s="75">
        <f t="shared" si="16"/>
        <v>4.93614</v>
      </c>
      <c r="J28" s="75">
        <f t="shared" si="16"/>
        <v>4.952178</v>
      </c>
      <c r="K28" s="75">
        <f t="shared" si="16"/>
        <v>6.1461180000000004</v>
      </c>
      <c r="L28" s="75">
        <f t="shared" si="16"/>
        <v>5.01633</v>
      </c>
      <c r="M28" s="75">
        <f t="shared" si="16"/>
        <v>6.2637299999999998</v>
      </c>
      <c r="N28" s="75">
        <f t="shared" si="16"/>
        <v>6.2209619999999992</v>
      </c>
    </row>
    <row r="29" spans="1:14" x14ac:dyDescent="0.2">
      <c r="B29" s="288" t="s">
        <v>52</v>
      </c>
      <c r="C29" s="75">
        <f t="shared" ref="C29:N29" si="17">+C$10*C15</f>
        <v>0</v>
      </c>
      <c r="D29" s="75">
        <f t="shared" si="17"/>
        <v>0</v>
      </c>
      <c r="E29" s="75">
        <f t="shared" si="17"/>
        <v>0</v>
      </c>
      <c r="F29" s="75">
        <f t="shared" si="17"/>
        <v>0</v>
      </c>
      <c r="G29" s="75">
        <f t="shared" si="17"/>
        <v>0</v>
      </c>
      <c r="H29" s="75">
        <f t="shared" si="17"/>
        <v>0</v>
      </c>
      <c r="I29" s="75">
        <f t="shared" si="17"/>
        <v>0</v>
      </c>
      <c r="J29" s="75">
        <f t="shared" si="17"/>
        <v>0</v>
      </c>
      <c r="K29" s="75">
        <f t="shared" si="17"/>
        <v>0</v>
      </c>
      <c r="L29" s="75">
        <f t="shared" si="17"/>
        <v>0</v>
      </c>
      <c r="M29" s="75">
        <f t="shared" si="17"/>
        <v>0</v>
      </c>
      <c r="N29" s="75">
        <f t="shared" si="17"/>
        <v>0</v>
      </c>
    </row>
    <row r="30" spans="1:14" x14ac:dyDescent="0.2">
      <c r="B30" s="288" t="s">
        <v>53</v>
      </c>
      <c r="C30" s="75">
        <f t="shared" ref="C30:N30" si="18">+C$10*C16</f>
        <v>0.47817000000000004</v>
      </c>
      <c r="D30" s="75">
        <f t="shared" si="18"/>
        <v>0.52387499999999998</v>
      </c>
      <c r="E30" s="75">
        <f t="shared" si="18"/>
        <v>0.45754500000000004</v>
      </c>
      <c r="F30" s="75">
        <f t="shared" si="18"/>
        <v>0.41827500000000006</v>
      </c>
      <c r="G30" s="75">
        <f t="shared" si="18"/>
        <v>0.42075000000000001</v>
      </c>
      <c r="H30" s="75">
        <f t="shared" si="18"/>
        <v>0.43493999999999999</v>
      </c>
      <c r="I30" s="75">
        <f t="shared" si="18"/>
        <v>0.45705000000000001</v>
      </c>
      <c r="J30" s="75">
        <f t="shared" si="18"/>
        <v>0.45853500000000003</v>
      </c>
      <c r="K30" s="75">
        <f t="shared" si="18"/>
        <v>0.56908500000000006</v>
      </c>
      <c r="L30" s="75">
        <f t="shared" si="18"/>
        <v>0.46447499999999997</v>
      </c>
      <c r="M30" s="75">
        <f t="shared" si="18"/>
        <v>0.57997500000000002</v>
      </c>
      <c r="N30" s="75">
        <f t="shared" si="18"/>
        <v>0.57601499999999994</v>
      </c>
    </row>
    <row r="31" spans="1:14" x14ac:dyDescent="0.2">
      <c r="B31" s="288" t="s">
        <v>54</v>
      </c>
      <c r="C31" s="75">
        <f t="shared" ref="C31:N31" si="19">+C$10*C17</f>
        <v>1.3012020000000002</v>
      </c>
      <c r="D31" s="75">
        <f t="shared" si="19"/>
        <v>1.425575</v>
      </c>
      <c r="E31" s="75">
        <f t="shared" si="19"/>
        <v>1.245077</v>
      </c>
      <c r="F31" s="75">
        <f t="shared" si="19"/>
        <v>1.1382150000000002</v>
      </c>
      <c r="G31" s="75">
        <f t="shared" si="19"/>
        <v>1.1449500000000001</v>
      </c>
      <c r="H31" s="75">
        <f t="shared" si="19"/>
        <v>1.1835640000000001</v>
      </c>
      <c r="I31" s="75">
        <f t="shared" si="19"/>
        <v>1.24373</v>
      </c>
      <c r="J31" s="75">
        <f t="shared" si="19"/>
        <v>1.247771</v>
      </c>
      <c r="K31" s="75">
        <f t="shared" si="19"/>
        <v>1.5486010000000001</v>
      </c>
      <c r="L31" s="75">
        <f t="shared" si="19"/>
        <v>1.263935</v>
      </c>
      <c r="M31" s="75">
        <f t="shared" si="19"/>
        <v>1.5782350000000001</v>
      </c>
      <c r="N31" s="75">
        <f t="shared" si="19"/>
        <v>1.5674589999999999</v>
      </c>
    </row>
    <row r="32" spans="1:14" x14ac:dyDescent="0.2">
      <c r="B32" s="288" t="s">
        <v>55</v>
      </c>
      <c r="C32" s="75">
        <f t="shared" ref="C32:N32" si="20">+C$10*C18</f>
        <v>0.21734999999999999</v>
      </c>
      <c r="D32" s="75">
        <f t="shared" si="20"/>
        <v>0.238125</v>
      </c>
      <c r="E32" s="75">
        <f t="shared" si="20"/>
        <v>0.20797499999999999</v>
      </c>
      <c r="F32" s="75">
        <f t="shared" si="20"/>
        <v>0.19012500000000002</v>
      </c>
      <c r="G32" s="75">
        <f t="shared" si="20"/>
        <v>0.19125</v>
      </c>
      <c r="H32" s="75">
        <f t="shared" si="20"/>
        <v>0.19769999999999999</v>
      </c>
      <c r="I32" s="75">
        <f t="shared" si="20"/>
        <v>0.20774999999999999</v>
      </c>
      <c r="J32" s="75">
        <f t="shared" si="20"/>
        <v>0.208425</v>
      </c>
      <c r="K32" s="75">
        <f t="shared" si="20"/>
        <v>0.25867499999999999</v>
      </c>
      <c r="L32" s="75">
        <f t="shared" si="20"/>
        <v>0.21112499999999998</v>
      </c>
      <c r="M32" s="75">
        <f t="shared" si="20"/>
        <v>0.263625</v>
      </c>
      <c r="N32" s="75">
        <f t="shared" si="20"/>
        <v>0.26182499999999997</v>
      </c>
    </row>
    <row r="33" spans="1:14" x14ac:dyDescent="0.2">
      <c r="B33" s="288" t="s">
        <v>225</v>
      </c>
      <c r="C33" s="75">
        <f t="shared" ref="C33:N33" si="21">+C$10*C19</f>
        <v>0</v>
      </c>
      <c r="D33" s="75">
        <f t="shared" si="21"/>
        <v>0</v>
      </c>
      <c r="E33" s="75">
        <f t="shared" si="21"/>
        <v>0</v>
      </c>
      <c r="F33" s="75">
        <f t="shared" si="21"/>
        <v>0</v>
      </c>
      <c r="G33" s="75">
        <f t="shared" si="21"/>
        <v>0</v>
      </c>
      <c r="H33" s="75">
        <f t="shared" si="21"/>
        <v>0</v>
      </c>
      <c r="I33" s="75">
        <f t="shared" si="21"/>
        <v>0</v>
      </c>
      <c r="J33" s="75">
        <f t="shared" si="21"/>
        <v>0</v>
      </c>
      <c r="K33" s="75">
        <f t="shared" si="21"/>
        <v>0</v>
      </c>
      <c r="L33" s="75">
        <f t="shared" si="21"/>
        <v>0</v>
      </c>
      <c r="M33" s="75">
        <f t="shared" si="21"/>
        <v>0</v>
      </c>
      <c r="N33" s="75">
        <f t="shared" si="21"/>
        <v>0</v>
      </c>
    </row>
    <row r="34" spans="1:14" x14ac:dyDescent="0.2">
      <c r="B34" s="288" t="s">
        <v>22</v>
      </c>
      <c r="C34" s="75">
        <f t="shared" ref="C34:N34" si="22">+C$10*C20</f>
        <v>5.1236640000000007</v>
      </c>
      <c r="D34" s="75">
        <f t="shared" si="22"/>
        <v>5.6134000000000004</v>
      </c>
      <c r="E34" s="75">
        <f t="shared" si="22"/>
        <v>4.9026640000000006</v>
      </c>
      <c r="F34" s="75">
        <f t="shared" si="22"/>
        <v>4.4818800000000003</v>
      </c>
      <c r="G34" s="75">
        <f t="shared" si="22"/>
        <v>4.5084</v>
      </c>
      <c r="H34" s="75">
        <f t="shared" si="22"/>
        <v>4.6604480000000006</v>
      </c>
      <c r="I34" s="75">
        <f t="shared" si="22"/>
        <v>4.8973599999999999</v>
      </c>
      <c r="J34" s="75">
        <f t="shared" si="22"/>
        <v>4.9132720000000001</v>
      </c>
      <c r="K34" s="75">
        <f t="shared" si="22"/>
        <v>6.0978320000000004</v>
      </c>
      <c r="L34" s="75">
        <f t="shared" si="22"/>
        <v>4.9769199999999998</v>
      </c>
      <c r="M34" s="75">
        <f t="shared" si="22"/>
        <v>6.2145200000000003</v>
      </c>
      <c r="N34" s="75">
        <f t="shared" si="22"/>
        <v>6.1720879999999996</v>
      </c>
    </row>
    <row r="35" spans="1:14" x14ac:dyDescent="0.2">
      <c r="B35" s="288" t="s">
        <v>57</v>
      </c>
      <c r="C35" s="75">
        <f t="shared" ref="C35:N35" si="23">+C$10*C21</f>
        <v>0</v>
      </c>
      <c r="D35" s="75">
        <f t="shared" si="23"/>
        <v>0</v>
      </c>
      <c r="E35" s="75">
        <f t="shared" si="23"/>
        <v>0</v>
      </c>
      <c r="F35" s="75">
        <f t="shared" si="23"/>
        <v>0</v>
      </c>
      <c r="G35" s="75">
        <f t="shared" si="23"/>
        <v>0</v>
      </c>
      <c r="H35" s="75">
        <f t="shared" si="23"/>
        <v>0</v>
      </c>
      <c r="I35" s="75">
        <f t="shared" si="23"/>
        <v>0</v>
      </c>
      <c r="J35" s="75">
        <f t="shared" si="23"/>
        <v>0</v>
      </c>
      <c r="K35" s="75">
        <f t="shared" si="23"/>
        <v>0</v>
      </c>
      <c r="L35" s="75">
        <f t="shared" si="23"/>
        <v>0</v>
      </c>
      <c r="M35" s="75">
        <f t="shared" si="23"/>
        <v>0</v>
      </c>
      <c r="N35" s="75">
        <f t="shared" si="23"/>
        <v>0</v>
      </c>
    </row>
    <row r="36" spans="1:14" x14ac:dyDescent="0.2">
      <c r="B36" s="288" t="s">
        <v>58</v>
      </c>
      <c r="C36" s="75">
        <f t="shared" ref="C36:N36" si="24">+C$10*C22</f>
        <v>1.7185140000000039</v>
      </c>
      <c r="D36" s="75">
        <f t="shared" si="24"/>
        <v>1.8827750000000041</v>
      </c>
      <c r="E36" s="75">
        <f t="shared" si="24"/>
        <v>1.6443890000000037</v>
      </c>
      <c r="F36" s="75">
        <f t="shared" si="24"/>
        <v>1.5032550000000033</v>
      </c>
      <c r="G36" s="75">
        <f t="shared" si="24"/>
        <v>1.5121500000000032</v>
      </c>
      <c r="H36" s="75">
        <f t="shared" si="24"/>
        <v>1.5631480000000033</v>
      </c>
      <c r="I36" s="75">
        <f t="shared" si="24"/>
        <v>1.6426100000000037</v>
      </c>
      <c r="J36" s="75">
        <f t="shared" si="24"/>
        <v>1.6479470000000036</v>
      </c>
      <c r="K36" s="75">
        <f t="shared" si="24"/>
        <v>2.0452570000000048</v>
      </c>
      <c r="L36" s="75">
        <f t="shared" si="24"/>
        <v>1.6692950000000035</v>
      </c>
      <c r="M36" s="75">
        <f t="shared" si="24"/>
        <v>2.0843950000000047</v>
      </c>
      <c r="N36" s="75">
        <f t="shared" si="24"/>
        <v>2.0701630000000044</v>
      </c>
    </row>
    <row r="37" spans="1:14" x14ac:dyDescent="0.2">
      <c r="B37" s="288" t="s">
        <v>59</v>
      </c>
      <c r="C37" s="90">
        <f t="shared" ref="C37:N37" si="25">+C$10*C23</f>
        <v>9.3257639999999995</v>
      </c>
      <c r="D37" s="90">
        <f t="shared" si="25"/>
        <v>10.217149999999998</v>
      </c>
      <c r="E37" s="90">
        <f t="shared" si="25"/>
        <v>8.9235139999999991</v>
      </c>
      <c r="F37" s="90">
        <f t="shared" si="25"/>
        <v>8.1576299999999993</v>
      </c>
      <c r="G37" s="90">
        <f t="shared" si="25"/>
        <v>8.2058999999999997</v>
      </c>
      <c r="H37" s="90">
        <f t="shared" si="25"/>
        <v>8.4826479999999993</v>
      </c>
      <c r="I37" s="90">
        <f t="shared" si="25"/>
        <v>8.9138599999999997</v>
      </c>
      <c r="J37" s="90">
        <f t="shared" si="25"/>
        <v>8.9428219999999996</v>
      </c>
      <c r="K37" s="90">
        <f t="shared" si="25"/>
        <v>11.098882</v>
      </c>
      <c r="L37" s="90">
        <f t="shared" si="25"/>
        <v>9.0586699999999993</v>
      </c>
      <c r="M37" s="90">
        <f t="shared" si="25"/>
        <v>11.311269999999999</v>
      </c>
      <c r="N37" s="90">
        <f t="shared" si="25"/>
        <v>18.041488000000001</v>
      </c>
    </row>
    <row r="38" spans="1:14" x14ac:dyDescent="0.2">
      <c r="C38" s="75">
        <f t="shared" ref="C38:N38" si="26">SUM(C27:C37)</f>
        <v>28.980000000000004</v>
      </c>
      <c r="D38" s="75">
        <f t="shared" si="26"/>
        <v>31.75</v>
      </c>
      <c r="E38" s="75">
        <f t="shared" si="26"/>
        <v>27.730000000000004</v>
      </c>
      <c r="F38" s="75">
        <f t="shared" si="26"/>
        <v>25.350000000000009</v>
      </c>
      <c r="G38" s="75">
        <f t="shared" si="26"/>
        <v>25.500000000000004</v>
      </c>
      <c r="H38" s="75">
        <f t="shared" si="26"/>
        <v>26.36</v>
      </c>
      <c r="I38" s="75">
        <f t="shared" si="26"/>
        <v>27.700000000000006</v>
      </c>
      <c r="J38" s="75">
        <f t="shared" si="26"/>
        <v>27.790000000000003</v>
      </c>
      <c r="K38" s="75">
        <f t="shared" si="26"/>
        <v>34.490000000000009</v>
      </c>
      <c r="L38" s="75">
        <f t="shared" si="26"/>
        <v>28.150000000000006</v>
      </c>
      <c r="M38" s="75">
        <f t="shared" si="26"/>
        <v>35.15</v>
      </c>
      <c r="N38" s="75">
        <f t="shared" si="26"/>
        <v>34.910000000000004</v>
      </c>
    </row>
    <row r="40" spans="1:14" x14ac:dyDescent="0.2">
      <c r="A40" s="312" t="s">
        <v>61</v>
      </c>
    </row>
    <row r="41" spans="1:14" x14ac:dyDescent="0.2">
      <c r="B41" s="288" t="s">
        <v>24</v>
      </c>
      <c r="C41" s="185">
        <v>1</v>
      </c>
      <c r="D41" s="95">
        <v>1</v>
      </c>
      <c r="E41" s="95">
        <v>1</v>
      </c>
      <c r="F41" s="95">
        <v>1</v>
      </c>
      <c r="G41" s="95">
        <v>1</v>
      </c>
      <c r="H41" s="95">
        <v>1</v>
      </c>
      <c r="I41" s="95">
        <v>1</v>
      </c>
      <c r="J41" s="95">
        <v>1</v>
      </c>
      <c r="K41" s="95">
        <v>1</v>
      </c>
      <c r="L41" s="95">
        <v>1</v>
      </c>
      <c r="M41" s="95">
        <v>1</v>
      </c>
      <c r="N41" s="95">
        <v>1</v>
      </c>
    </row>
    <row r="42" spans="1:14" x14ac:dyDescent="0.2">
      <c r="B42" s="288" t="s">
        <v>28</v>
      </c>
      <c r="C42" s="185">
        <v>1</v>
      </c>
      <c r="D42" s="95">
        <v>1</v>
      </c>
      <c r="E42" s="95">
        <v>1</v>
      </c>
      <c r="F42" s="95">
        <v>1</v>
      </c>
      <c r="G42" s="95">
        <v>1</v>
      </c>
      <c r="H42" s="95">
        <v>1</v>
      </c>
      <c r="I42" s="95">
        <v>1</v>
      </c>
      <c r="J42" s="95">
        <v>1</v>
      </c>
      <c r="K42" s="95">
        <v>1</v>
      </c>
      <c r="L42" s="95">
        <v>1</v>
      </c>
      <c r="M42" s="95">
        <v>1</v>
      </c>
      <c r="N42" s="95">
        <v>1</v>
      </c>
    </row>
    <row r="43" spans="1:14" x14ac:dyDescent="0.2">
      <c r="B43" s="288" t="s">
        <v>52</v>
      </c>
      <c r="C43" s="185">
        <v>1</v>
      </c>
      <c r="D43" s="95">
        <v>1</v>
      </c>
      <c r="E43" s="95">
        <v>1</v>
      </c>
      <c r="F43" s="95">
        <v>1</v>
      </c>
      <c r="G43" s="95">
        <v>1</v>
      </c>
      <c r="H43" s="95">
        <v>1</v>
      </c>
      <c r="I43" s="95">
        <v>1</v>
      </c>
      <c r="J43" s="95">
        <v>1</v>
      </c>
      <c r="K43" s="95">
        <v>1</v>
      </c>
      <c r="L43" s="95">
        <v>1</v>
      </c>
      <c r="M43" s="95">
        <v>1</v>
      </c>
      <c r="N43" s="95">
        <v>1</v>
      </c>
    </row>
    <row r="44" spans="1:14" x14ac:dyDescent="0.2">
      <c r="B44" s="288" t="s">
        <v>53</v>
      </c>
      <c r="C44" s="185">
        <v>1</v>
      </c>
      <c r="D44" s="95">
        <v>1</v>
      </c>
      <c r="E44" s="95">
        <v>1</v>
      </c>
      <c r="F44" s="95">
        <v>1</v>
      </c>
      <c r="G44" s="95">
        <v>1</v>
      </c>
      <c r="H44" s="95">
        <v>1</v>
      </c>
      <c r="I44" s="95">
        <v>1</v>
      </c>
      <c r="J44" s="95">
        <v>1</v>
      </c>
      <c r="K44" s="95">
        <v>1</v>
      </c>
      <c r="L44" s="95">
        <v>1</v>
      </c>
      <c r="M44" s="95">
        <v>1</v>
      </c>
      <c r="N44" s="95">
        <v>1</v>
      </c>
    </row>
    <row r="45" spans="1:14" x14ac:dyDescent="0.2">
      <c r="B45" s="288" t="s">
        <v>54</v>
      </c>
      <c r="C45" s="185">
        <v>1</v>
      </c>
      <c r="D45" s="95">
        <v>1</v>
      </c>
      <c r="E45" s="95">
        <v>1</v>
      </c>
      <c r="F45" s="95">
        <v>1</v>
      </c>
      <c r="G45" s="95">
        <v>1</v>
      </c>
      <c r="H45" s="95">
        <v>1</v>
      </c>
      <c r="I45" s="95">
        <v>1</v>
      </c>
      <c r="J45" s="95">
        <v>1</v>
      </c>
      <c r="K45" s="95">
        <v>1</v>
      </c>
      <c r="L45" s="95">
        <v>1</v>
      </c>
      <c r="M45" s="95">
        <v>1</v>
      </c>
      <c r="N45" s="95">
        <v>1</v>
      </c>
    </row>
    <row r="46" spans="1:14" x14ac:dyDescent="0.2">
      <c r="B46" s="288" t="s">
        <v>55</v>
      </c>
      <c r="C46" s="185">
        <v>1</v>
      </c>
      <c r="D46" s="95">
        <v>1</v>
      </c>
      <c r="E46" s="95">
        <v>1</v>
      </c>
      <c r="F46" s="95">
        <v>1</v>
      </c>
      <c r="G46" s="95">
        <v>1</v>
      </c>
      <c r="H46" s="95">
        <v>1</v>
      </c>
      <c r="I46" s="95">
        <v>1</v>
      </c>
      <c r="J46" s="95">
        <v>1</v>
      </c>
      <c r="K46" s="95">
        <v>1</v>
      </c>
      <c r="L46" s="95">
        <v>1</v>
      </c>
      <c r="M46" s="95">
        <v>1</v>
      </c>
      <c r="N46" s="95">
        <v>1</v>
      </c>
    </row>
    <row r="47" spans="1:14" x14ac:dyDescent="0.2">
      <c r="B47" s="288" t="s">
        <v>225</v>
      </c>
      <c r="C47" s="185">
        <v>1</v>
      </c>
      <c r="D47" s="95">
        <v>1</v>
      </c>
      <c r="E47" s="95">
        <v>1</v>
      </c>
      <c r="F47" s="95">
        <v>1</v>
      </c>
      <c r="G47" s="95">
        <v>1</v>
      </c>
      <c r="H47" s="95">
        <v>1</v>
      </c>
      <c r="I47" s="95">
        <v>1</v>
      </c>
      <c r="J47" s="95">
        <v>1</v>
      </c>
      <c r="K47" s="95">
        <v>1</v>
      </c>
      <c r="L47" s="95">
        <v>1</v>
      </c>
      <c r="M47" s="95">
        <v>1</v>
      </c>
      <c r="N47" s="95">
        <v>1</v>
      </c>
    </row>
    <row r="48" spans="1:14" x14ac:dyDescent="0.2">
      <c r="B48" s="288" t="s">
        <v>22</v>
      </c>
      <c r="C48" s="185">
        <v>1</v>
      </c>
      <c r="D48" s="95">
        <v>1</v>
      </c>
      <c r="E48" s="95">
        <v>1</v>
      </c>
      <c r="F48" s="95">
        <v>1</v>
      </c>
      <c r="G48" s="95">
        <v>1</v>
      </c>
      <c r="H48" s="95">
        <v>1</v>
      </c>
      <c r="I48" s="95">
        <v>1</v>
      </c>
      <c r="J48" s="95">
        <v>1</v>
      </c>
      <c r="K48" s="95">
        <v>1</v>
      </c>
      <c r="L48" s="95">
        <v>1</v>
      </c>
      <c r="M48" s="95">
        <v>1</v>
      </c>
      <c r="N48" s="95">
        <v>1</v>
      </c>
    </row>
    <row r="49" spans="1:14" x14ac:dyDescent="0.2">
      <c r="B49" s="288" t="s">
        <v>57</v>
      </c>
      <c r="C49" s="185">
        <v>1</v>
      </c>
      <c r="D49" s="95">
        <v>1</v>
      </c>
      <c r="E49" s="95">
        <v>1</v>
      </c>
      <c r="F49" s="95">
        <v>1</v>
      </c>
      <c r="G49" s="95">
        <v>1</v>
      </c>
      <c r="H49" s="95">
        <v>1</v>
      </c>
      <c r="I49" s="95">
        <v>1</v>
      </c>
      <c r="J49" s="95">
        <v>1</v>
      </c>
      <c r="K49" s="95">
        <v>1</v>
      </c>
      <c r="L49" s="95">
        <v>1</v>
      </c>
      <c r="M49" s="95">
        <v>1</v>
      </c>
      <c r="N49" s="95">
        <v>1</v>
      </c>
    </row>
    <row r="50" spans="1:14" x14ac:dyDescent="0.2">
      <c r="B50" s="288" t="s">
        <v>58</v>
      </c>
      <c r="C50" s="185">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288" t="s">
        <v>59</v>
      </c>
      <c r="C52" s="93">
        <f>+C65/C37</f>
        <v>0.99999999999999967</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312" t="s">
        <v>62</v>
      </c>
      <c r="L54" s="93"/>
      <c r="N54" s="95"/>
    </row>
    <row r="55" spans="1:14" x14ac:dyDescent="0.2">
      <c r="B55" s="288" t="s">
        <v>24</v>
      </c>
      <c r="C55" s="75">
        <f t="shared" ref="C55:N55" si="27">+C27*C41</f>
        <v>5.6511000000000005</v>
      </c>
      <c r="D55" s="75">
        <f t="shared" si="27"/>
        <v>6.1912500000000001</v>
      </c>
      <c r="E55" s="75">
        <f t="shared" si="27"/>
        <v>5.4073500000000001</v>
      </c>
      <c r="F55" s="75">
        <f t="shared" si="27"/>
        <v>4.9432500000000008</v>
      </c>
      <c r="G55" s="75">
        <f t="shared" si="27"/>
        <v>4.9725000000000001</v>
      </c>
      <c r="H55" s="75">
        <f t="shared" si="27"/>
        <v>5.1402000000000001</v>
      </c>
      <c r="I55" s="75">
        <f t="shared" si="27"/>
        <v>5.4015000000000004</v>
      </c>
      <c r="J55" s="75">
        <f t="shared" si="27"/>
        <v>5.4190500000000004</v>
      </c>
      <c r="K55" s="75">
        <f t="shared" si="27"/>
        <v>6.725550000000001</v>
      </c>
      <c r="L55" s="75">
        <f t="shared" si="27"/>
        <v>5.4892500000000002</v>
      </c>
      <c r="M55" s="75">
        <f t="shared" si="27"/>
        <v>6.8542500000000004</v>
      </c>
      <c r="N55" s="75">
        <f t="shared" si="27"/>
        <v>0</v>
      </c>
    </row>
    <row r="56" spans="1:14" x14ac:dyDescent="0.2">
      <c r="B56" s="288" t="s">
        <v>28</v>
      </c>
      <c r="C56" s="75">
        <f t="shared" ref="C56:N56" si="28">+C28*C42</f>
        <v>5.1642359999999998</v>
      </c>
      <c r="D56" s="75">
        <f t="shared" si="28"/>
        <v>5.6578499999999998</v>
      </c>
      <c r="E56" s="75">
        <f t="shared" si="28"/>
        <v>4.9414860000000003</v>
      </c>
      <c r="F56" s="75">
        <f t="shared" si="28"/>
        <v>4.5173700000000006</v>
      </c>
      <c r="G56" s="75">
        <f t="shared" si="28"/>
        <v>4.5441000000000003</v>
      </c>
      <c r="H56" s="75">
        <f t="shared" si="28"/>
        <v>4.6973519999999995</v>
      </c>
      <c r="I56" s="75">
        <f t="shared" si="28"/>
        <v>4.93614</v>
      </c>
      <c r="J56" s="75">
        <f t="shared" si="28"/>
        <v>4.952178</v>
      </c>
      <c r="K56" s="75">
        <f t="shared" si="28"/>
        <v>6.1461180000000004</v>
      </c>
      <c r="L56" s="75">
        <f t="shared" si="28"/>
        <v>5.01633</v>
      </c>
      <c r="M56" s="75">
        <f t="shared" si="28"/>
        <v>6.2637299999999998</v>
      </c>
      <c r="N56" s="75">
        <f t="shared" si="28"/>
        <v>6.2209619999999992</v>
      </c>
    </row>
    <row r="57" spans="1:14" x14ac:dyDescent="0.2">
      <c r="B57" s="288" t="s">
        <v>52</v>
      </c>
      <c r="C57" s="75">
        <f t="shared" ref="C57:N57" si="29">+C29*C43</f>
        <v>0</v>
      </c>
      <c r="D57" s="75">
        <f t="shared" si="29"/>
        <v>0</v>
      </c>
      <c r="E57" s="75">
        <f t="shared" si="29"/>
        <v>0</v>
      </c>
      <c r="F57" s="75">
        <f t="shared" si="29"/>
        <v>0</v>
      </c>
      <c r="G57" s="75">
        <f t="shared" si="29"/>
        <v>0</v>
      </c>
      <c r="H57" s="75">
        <f t="shared" si="29"/>
        <v>0</v>
      </c>
      <c r="I57" s="75">
        <f t="shared" si="29"/>
        <v>0</v>
      </c>
      <c r="J57" s="75">
        <f t="shared" si="29"/>
        <v>0</v>
      </c>
      <c r="K57" s="75">
        <f t="shared" si="29"/>
        <v>0</v>
      </c>
      <c r="L57" s="75">
        <f t="shared" si="29"/>
        <v>0</v>
      </c>
      <c r="M57" s="75">
        <f t="shared" si="29"/>
        <v>0</v>
      </c>
      <c r="N57" s="75">
        <f t="shared" si="29"/>
        <v>0</v>
      </c>
    </row>
    <row r="58" spans="1:14" x14ac:dyDescent="0.2">
      <c r="B58" s="288" t="s">
        <v>53</v>
      </c>
      <c r="C58" s="75">
        <f t="shared" ref="C58:N58" si="30">+C30*C44</f>
        <v>0.47817000000000004</v>
      </c>
      <c r="D58" s="75">
        <f t="shared" si="30"/>
        <v>0.52387499999999998</v>
      </c>
      <c r="E58" s="75">
        <f t="shared" si="30"/>
        <v>0.45754500000000004</v>
      </c>
      <c r="F58" s="75">
        <f t="shared" si="30"/>
        <v>0.41827500000000006</v>
      </c>
      <c r="G58" s="75">
        <f t="shared" si="30"/>
        <v>0.42075000000000001</v>
      </c>
      <c r="H58" s="75">
        <f t="shared" si="30"/>
        <v>0.43493999999999999</v>
      </c>
      <c r="I58" s="75">
        <f t="shared" si="30"/>
        <v>0.45705000000000001</v>
      </c>
      <c r="J58" s="75">
        <f t="shared" si="30"/>
        <v>0.45853500000000003</v>
      </c>
      <c r="K58" s="75">
        <f t="shared" si="30"/>
        <v>0.56908500000000006</v>
      </c>
      <c r="L58" s="75">
        <f t="shared" si="30"/>
        <v>0.46447499999999997</v>
      </c>
      <c r="M58" s="75">
        <f t="shared" si="30"/>
        <v>0.57997500000000002</v>
      </c>
      <c r="N58" s="75">
        <f t="shared" si="30"/>
        <v>0.57601499999999994</v>
      </c>
    </row>
    <row r="59" spans="1:14" x14ac:dyDescent="0.2">
      <c r="B59" s="288" t="s">
        <v>54</v>
      </c>
      <c r="C59" s="75">
        <f t="shared" ref="C59:N59" si="31">+C31*C45</f>
        <v>1.3012020000000002</v>
      </c>
      <c r="D59" s="75">
        <f t="shared" si="31"/>
        <v>1.425575</v>
      </c>
      <c r="E59" s="75">
        <f t="shared" si="31"/>
        <v>1.245077</v>
      </c>
      <c r="F59" s="75">
        <f t="shared" si="31"/>
        <v>1.1382150000000002</v>
      </c>
      <c r="G59" s="75">
        <f t="shared" si="31"/>
        <v>1.1449500000000001</v>
      </c>
      <c r="H59" s="75">
        <f t="shared" si="31"/>
        <v>1.1835640000000001</v>
      </c>
      <c r="I59" s="75">
        <f t="shared" si="31"/>
        <v>1.24373</v>
      </c>
      <c r="J59" s="75">
        <f t="shared" si="31"/>
        <v>1.247771</v>
      </c>
      <c r="K59" s="75">
        <f t="shared" si="31"/>
        <v>1.5486010000000001</v>
      </c>
      <c r="L59" s="75">
        <f t="shared" si="31"/>
        <v>1.263935</v>
      </c>
      <c r="M59" s="75">
        <f t="shared" si="31"/>
        <v>1.5782350000000001</v>
      </c>
      <c r="N59" s="75">
        <f t="shared" si="31"/>
        <v>1.5674589999999999</v>
      </c>
    </row>
    <row r="60" spans="1:14" x14ac:dyDescent="0.2">
      <c r="B60" s="288" t="s">
        <v>55</v>
      </c>
      <c r="C60" s="96">
        <f t="shared" ref="C60:N60" si="32">+C32*C46</f>
        <v>0.21734999999999999</v>
      </c>
      <c r="D60" s="96">
        <f t="shared" si="32"/>
        <v>0.238125</v>
      </c>
      <c r="E60" s="96">
        <f t="shared" si="32"/>
        <v>0.20797499999999999</v>
      </c>
      <c r="F60" s="96">
        <f t="shared" si="32"/>
        <v>0.19012500000000002</v>
      </c>
      <c r="G60" s="96">
        <f t="shared" si="32"/>
        <v>0.19125</v>
      </c>
      <c r="H60" s="96">
        <f t="shared" si="32"/>
        <v>0.19769999999999999</v>
      </c>
      <c r="I60" s="96">
        <f t="shared" si="32"/>
        <v>0.20774999999999999</v>
      </c>
      <c r="J60" s="96">
        <f t="shared" si="32"/>
        <v>0.208425</v>
      </c>
      <c r="K60" s="96">
        <f t="shared" si="32"/>
        <v>0.25867499999999999</v>
      </c>
      <c r="L60" s="96">
        <f t="shared" si="32"/>
        <v>0.21112499999999998</v>
      </c>
      <c r="M60" s="96">
        <f t="shared" si="32"/>
        <v>0.263625</v>
      </c>
      <c r="N60" s="96">
        <f t="shared" si="32"/>
        <v>0.26182499999999997</v>
      </c>
    </row>
    <row r="61" spans="1:14" x14ac:dyDescent="0.2">
      <c r="B61" s="288" t="s">
        <v>225</v>
      </c>
      <c r="C61" s="75">
        <f t="shared" ref="C61:N61" si="33">+C33*C47</f>
        <v>0</v>
      </c>
      <c r="D61" s="75">
        <f t="shared" si="33"/>
        <v>0</v>
      </c>
      <c r="E61" s="75">
        <f t="shared" si="33"/>
        <v>0</v>
      </c>
      <c r="F61" s="75">
        <f t="shared" si="33"/>
        <v>0</v>
      </c>
      <c r="G61" s="75">
        <f t="shared" si="33"/>
        <v>0</v>
      </c>
      <c r="H61" s="75">
        <f t="shared" si="33"/>
        <v>0</v>
      </c>
      <c r="I61" s="75">
        <f t="shared" si="33"/>
        <v>0</v>
      </c>
      <c r="J61" s="75">
        <f t="shared" si="33"/>
        <v>0</v>
      </c>
      <c r="K61" s="75">
        <f t="shared" si="33"/>
        <v>0</v>
      </c>
      <c r="L61" s="75">
        <f t="shared" si="33"/>
        <v>0</v>
      </c>
      <c r="M61" s="75">
        <f t="shared" si="33"/>
        <v>0</v>
      </c>
      <c r="N61" s="75">
        <f t="shared" si="33"/>
        <v>0</v>
      </c>
    </row>
    <row r="62" spans="1:14" x14ac:dyDescent="0.2">
      <c r="B62" s="288" t="s">
        <v>49</v>
      </c>
      <c r="C62" s="75">
        <f t="shared" ref="C62:N62" si="34">+C34*C48</f>
        <v>5.1236640000000007</v>
      </c>
      <c r="D62" s="75">
        <f t="shared" si="34"/>
        <v>5.6134000000000004</v>
      </c>
      <c r="E62" s="75">
        <f t="shared" si="34"/>
        <v>4.9026640000000006</v>
      </c>
      <c r="F62" s="75">
        <f t="shared" si="34"/>
        <v>4.4818800000000003</v>
      </c>
      <c r="G62" s="75">
        <f t="shared" si="34"/>
        <v>4.5084</v>
      </c>
      <c r="H62" s="75">
        <f t="shared" si="34"/>
        <v>4.6604480000000006</v>
      </c>
      <c r="I62" s="75">
        <f t="shared" si="34"/>
        <v>4.8973599999999999</v>
      </c>
      <c r="J62" s="75">
        <f t="shared" si="34"/>
        <v>4.9132720000000001</v>
      </c>
      <c r="K62" s="75">
        <f t="shared" si="34"/>
        <v>6.0978320000000004</v>
      </c>
      <c r="L62" s="75">
        <f t="shared" si="34"/>
        <v>4.9769199999999998</v>
      </c>
      <c r="M62" s="75">
        <f t="shared" si="34"/>
        <v>6.2145200000000003</v>
      </c>
      <c r="N62" s="75">
        <f t="shared" si="34"/>
        <v>6.1720879999999996</v>
      </c>
    </row>
    <row r="63" spans="1:14" x14ac:dyDescent="0.2">
      <c r="B63" s="288" t="s">
        <v>57</v>
      </c>
      <c r="C63" s="75">
        <f t="shared" ref="C63:N63" si="35">+C35*C49</f>
        <v>0</v>
      </c>
      <c r="D63" s="75">
        <f t="shared" si="35"/>
        <v>0</v>
      </c>
      <c r="E63" s="75">
        <f t="shared" si="35"/>
        <v>0</v>
      </c>
      <c r="F63" s="75">
        <f t="shared" si="35"/>
        <v>0</v>
      </c>
      <c r="G63" s="75">
        <f t="shared" si="35"/>
        <v>0</v>
      </c>
      <c r="H63" s="75">
        <f t="shared" si="35"/>
        <v>0</v>
      </c>
      <c r="I63" s="75">
        <f t="shared" si="35"/>
        <v>0</v>
      </c>
      <c r="J63" s="75">
        <f t="shared" si="35"/>
        <v>0</v>
      </c>
      <c r="K63" s="75">
        <f t="shared" si="35"/>
        <v>0</v>
      </c>
      <c r="L63" s="75">
        <f t="shared" si="35"/>
        <v>0</v>
      </c>
      <c r="M63" s="75">
        <f t="shared" si="35"/>
        <v>0</v>
      </c>
      <c r="N63" s="75">
        <f t="shared" si="35"/>
        <v>0</v>
      </c>
    </row>
    <row r="64" spans="1:14" x14ac:dyDescent="0.2">
      <c r="B64" s="288" t="s">
        <v>58</v>
      </c>
      <c r="C64" s="75">
        <f t="shared" ref="C64:N64" si="36">+C36*C50</f>
        <v>1.7185140000000039</v>
      </c>
      <c r="D64" s="75">
        <f t="shared" si="36"/>
        <v>1.8827750000000041</v>
      </c>
      <c r="E64" s="75">
        <f t="shared" si="36"/>
        <v>1.6443890000000037</v>
      </c>
      <c r="F64" s="75">
        <f t="shared" si="36"/>
        <v>1.5032550000000033</v>
      </c>
      <c r="G64" s="75">
        <f t="shared" si="36"/>
        <v>1.5121500000000032</v>
      </c>
      <c r="H64" s="75">
        <f t="shared" si="36"/>
        <v>1.5631480000000033</v>
      </c>
      <c r="I64" s="75">
        <f t="shared" si="36"/>
        <v>1.6426100000000037</v>
      </c>
      <c r="J64" s="75">
        <f t="shared" si="36"/>
        <v>1.6479470000000036</v>
      </c>
      <c r="K64" s="75">
        <f t="shared" si="36"/>
        <v>2.0452570000000048</v>
      </c>
      <c r="L64" s="75">
        <f t="shared" si="36"/>
        <v>1.6692950000000035</v>
      </c>
      <c r="M64" s="75">
        <f t="shared" si="36"/>
        <v>2.0843950000000047</v>
      </c>
      <c r="N64" s="75">
        <f t="shared" si="36"/>
        <v>2.0701630000000044</v>
      </c>
    </row>
    <row r="65" spans="1:17" x14ac:dyDescent="0.2">
      <c r="B65" s="288" t="s">
        <v>59</v>
      </c>
      <c r="C65" s="90">
        <f t="shared" ref="C65:N65" si="37">+C7-SUM(C55:C64)</f>
        <v>9.3257639999999959</v>
      </c>
      <c r="D65" s="90">
        <f t="shared" si="37"/>
        <v>10.217149999999997</v>
      </c>
      <c r="E65" s="90">
        <f t="shared" si="37"/>
        <v>8.9235139999999973</v>
      </c>
      <c r="F65" s="90">
        <f t="shared" si="37"/>
        <v>8.1576299999999939</v>
      </c>
      <c r="G65" s="90">
        <f t="shared" si="37"/>
        <v>8.2058999999999962</v>
      </c>
      <c r="H65" s="90">
        <f t="shared" si="37"/>
        <v>8.4826480000000011</v>
      </c>
      <c r="I65" s="90">
        <f t="shared" si="37"/>
        <v>8.9138599999999926</v>
      </c>
      <c r="J65" s="90">
        <f t="shared" si="37"/>
        <v>8.9428219999999961</v>
      </c>
      <c r="K65" s="90">
        <f t="shared" si="37"/>
        <v>11.098881999999996</v>
      </c>
      <c r="L65" s="90">
        <f t="shared" si="37"/>
        <v>9.0586699999999922</v>
      </c>
      <c r="M65" s="90">
        <f t="shared" si="37"/>
        <v>11.311269999999997</v>
      </c>
      <c r="N65" s="90">
        <f t="shared" si="37"/>
        <v>18.041487999999994</v>
      </c>
    </row>
    <row r="66" spans="1:17" x14ac:dyDescent="0.2">
      <c r="C66" s="75">
        <f t="shared" ref="C66:N66" si="38">SUM(C55:C65)</f>
        <v>28.98</v>
      </c>
      <c r="D66" s="75">
        <f t="shared" si="38"/>
        <v>31.75</v>
      </c>
      <c r="E66" s="75">
        <f t="shared" si="38"/>
        <v>27.73</v>
      </c>
      <c r="F66" s="75">
        <f t="shared" si="38"/>
        <v>25.35</v>
      </c>
      <c r="G66" s="75">
        <f t="shared" si="38"/>
        <v>25.5</v>
      </c>
      <c r="H66" s="75">
        <f t="shared" si="38"/>
        <v>26.36</v>
      </c>
      <c r="I66" s="75">
        <f t="shared" si="38"/>
        <v>27.7</v>
      </c>
      <c r="J66" s="75">
        <f t="shared" si="38"/>
        <v>27.79</v>
      </c>
      <c r="K66" s="75">
        <f t="shared" si="38"/>
        <v>34.49</v>
      </c>
      <c r="L66" s="75">
        <f t="shared" si="38"/>
        <v>28.15</v>
      </c>
      <c r="M66" s="75">
        <f t="shared" si="38"/>
        <v>35.15</v>
      </c>
      <c r="N66" s="75">
        <f t="shared" si="38"/>
        <v>34.909999999999997</v>
      </c>
    </row>
    <row r="67" spans="1:17" ht="8.1" customHeight="1" x14ac:dyDescent="0.2">
      <c r="Q67" s="313"/>
    </row>
    <row r="68" spans="1:17" x14ac:dyDescent="0.2">
      <c r="A68" s="318" t="s">
        <v>63</v>
      </c>
      <c r="E68" s="288" t="s">
        <v>116</v>
      </c>
      <c r="Q68" s="313"/>
    </row>
    <row r="69" spans="1:17" ht="12.75" x14ac:dyDescent="0.2">
      <c r="B69" s="288" t="s">
        <v>24</v>
      </c>
      <c r="C69" s="341">
        <v>65.3</v>
      </c>
      <c r="D69" s="341">
        <v>85.06</v>
      </c>
      <c r="E69" s="341">
        <v>98.56</v>
      </c>
      <c r="F69" s="341">
        <v>81.63</v>
      </c>
      <c r="G69" s="342">
        <v>63.02</v>
      </c>
      <c r="H69" s="342">
        <v>60.33</v>
      </c>
      <c r="I69" s="341">
        <v>65.930000000000007</v>
      </c>
      <c r="J69" s="341">
        <v>63.69</v>
      </c>
      <c r="K69" s="341">
        <v>39.799999999999997</v>
      </c>
      <c r="L69" s="340">
        <v>-18.13</v>
      </c>
      <c r="M69" s="340">
        <v>-16.23</v>
      </c>
      <c r="N69" s="341">
        <v>0</v>
      </c>
      <c r="Q69" s="304"/>
    </row>
    <row r="70" spans="1:17" ht="12.75" x14ac:dyDescent="0.2">
      <c r="B70" s="288" t="s">
        <v>28</v>
      </c>
      <c r="C70" s="341">
        <v>132.68</v>
      </c>
      <c r="D70" s="341">
        <v>159.52000000000001</v>
      </c>
      <c r="E70" s="341">
        <v>163.29</v>
      </c>
      <c r="F70" s="341">
        <v>145.72999999999999</v>
      </c>
      <c r="G70" s="342">
        <v>110.68</v>
      </c>
      <c r="H70" s="342">
        <v>81.77</v>
      </c>
      <c r="I70" s="341">
        <v>114.18</v>
      </c>
      <c r="J70" s="341">
        <v>107.57</v>
      </c>
      <c r="K70" s="341">
        <v>105.09</v>
      </c>
      <c r="L70" s="341">
        <v>62.76</v>
      </c>
      <c r="M70" s="341">
        <v>56.69</v>
      </c>
      <c r="N70" s="351">
        <v>57.61</v>
      </c>
      <c r="Q70" s="304"/>
    </row>
    <row r="71" spans="1:17" x14ac:dyDescent="0.2">
      <c r="B71" s="288" t="s">
        <v>52</v>
      </c>
      <c r="C71" s="341">
        <v>0</v>
      </c>
      <c r="D71" s="341"/>
      <c r="E71" s="341"/>
      <c r="F71" s="341"/>
      <c r="G71" s="342"/>
      <c r="H71" s="342"/>
      <c r="I71" s="341"/>
      <c r="J71" s="341"/>
      <c r="K71" s="341"/>
      <c r="L71" s="341"/>
      <c r="M71" s="341"/>
      <c r="N71" s="341"/>
    </row>
    <row r="72" spans="1:17" x14ac:dyDescent="0.2">
      <c r="B72" s="288" t="s">
        <v>53</v>
      </c>
      <c r="C72" s="341">
        <v>71.989999999999995</v>
      </c>
      <c r="D72" s="341">
        <v>69.08</v>
      </c>
      <c r="E72" s="341">
        <v>67.63</v>
      </c>
      <c r="F72" s="341">
        <v>78.11</v>
      </c>
      <c r="G72" s="342">
        <v>86.53</v>
      </c>
      <c r="H72" s="342">
        <v>76.06</v>
      </c>
      <c r="I72" s="341">
        <v>78.08</v>
      </c>
      <c r="J72" s="341">
        <v>88.61</v>
      </c>
      <c r="K72" s="341">
        <v>102.96</v>
      </c>
      <c r="L72" s="341">
        <v>92.72</v>
      </c>
      <c r="M72" s="341">
        <v>106.7</v>
      </c>
      <c r="N72" s="351">
        <v>109.51</v>
      </c>
    </row>
    <row r="73" spans="1:17" x14ac:dyDescent="0.2">
      <c r="B73" s="288" t="s">
        <v>54</v>
      </c>
      <c r="C73" s="341">
        <v>92.51</v>
      </c>
      <c r="D73" s="341">
        <v>70.599999999999994</v>
      </c>
      <c r="E73" s="341">
        <v>62.55</v>
      </c>
      <c r="F73" s="341">
        <v>83.03</v>
      </c>
      <c r="G73" s="342">
        <v>72.099999999999994</v>
      </c>
      <c r="H73" s="342">
        <v>48.29</v>
      </c>
      <c r="I73" s="341">
        <v>50.05</v>
      </c>
      <c r="J73" s="341">
        <v>51.67</v>
      </c>
      <c r="K73" s="341">
        <v>53.44</v>
      </c>
      <c r="L73" s="341">
        <v>85.33</v>
      </c>
      <c r="M73" s="341">
        <v>105.24</v>
      </c>
      <c r="N73" s="351">
        <v>107.91</v>
      </c>
    </row>
    <row r="74" spans="1:17" x14ac:dyDescent="0.2">
      <c r="B74" s="288" t="s">
        <v>55</v>
      </c>
      <c r="C74" s="341">
        <v>905.35</v>
      </c>
      <c r="D74" s="341">
        <v>894.34</v>
      </c>
      <c r="E74" s="341">
        <v>871.1</v>
      </c>
      <c r="F74" s="341">
        <v>905.36</v>
      </c>
      <c r="G74" s="342">
        <v>953.11</v>
      </c>
      <c r="H74" s="342">
        <v>980.71</v>
      </c>
      <c r="I74" s="341">
        <v>971.66</v>
      </c>
      <c r="J74" s="341">
        <v>973.36</v>
      </c>
      <c r="K74" s="341">
        <v>1013.02</v>
      </c>
      <c r="L74" s="341">
        <v>988.19</v>
      </c>
      <c r="M74" s="341">
        <v>977.91</v>
      </c>
      <c r="N74" s="351">
        <v>989.87</v>
      </c>
    </row>
    <row r="75" spans="1:17" x14ac:dyDescent="0.2">
      <c r="B75" s="288" t="s">
        <v>225</v>
      </c>
      <c r="C75" s="341">
        <v>0</v>
      </c>
      <c r="D75" s="341"/>
      <c r="E75" s="341"/>
      <c r="F75" s="341"/>
      <c r="G75" s="342"/>
      <c r="H75" s="342"/>
      <c r="I75" s="341"/>
      <c r="J75" s="341"/>
      <c r="K75" s="341"/>
      <c r="L75" s="341"/>
      <c r="M75" s="341"/>
      <c r="N75" s="341"/>
    </row>
    <row r="76" spans="1:17" x14ac:dyDescent="0.2">
      <c r="B76" s="288" t="s">
        <v>49</v>
      </c>
      <c r="C76" s="341">
        <v>-15.91</v>
      </c>
      <c r="D76" s="341">
        <v>-6.4</v>
      </c>
      <c r="E76" s="341">
        <v>-6.61</v>
      </c>
      <c r="F76" s="341">
        <v>-4.34</v>
      </c>
      <c r="G76" s="342">
        <v>-5.61</v>
      </c>
      <c r="H76" s="342">
        <v>-8.7799999999999994</v>
      </c>
      <c r="I76" s="341">
        <v>-2.5099999999999998</v>
      </c>
      <c r="J76" s="341">
        <v>-9.4600000000000009</v>
      </c>
      <c r="K76" s="341">
        <v>-9.98</v>
      </c>
      <c r="L76" s="341">
        <v>-8.01</v>
      </c>
      <c r="M76" s="341">
        <v>-9</v>
      </c>
      <c r="N76" s="341">
        <v>-10.23</v>
      </c>
    </row>
    <row r="77" spans="1:17" x14ac:dyDescent="0.2">
      <c r="B77" s="288" t="s">
        <v>57</v>
      </c>
      <c r="C77" s="340"/>
      <c r="D77" s="340"/>
      <c r="E77" s="340"/>
      <c r="F77" s="340"/>
      <c r="G77" s="343"/>
      <c r="H77" s="343"/>
      <c r="I77" s="340"/>
      <c r="J77" s="340"/>
      <c r="K77" s="340"/>
      <c r="L77" s="340"/>
      <c r="M77" s="340"/>
      <c r="N77" s="351"/>
    </row>
    <row r="78" spans="1:17" x14ac:dyDescent="0.2">
      <c r="B78" s="288" t="s">
        <v>58</v>
      </c>
      <c r="C78" s="340">
        <v>-134.59</v>
      </c>
      <c r="D78" s="340">
        <v>-134.59</v>
      </c>
      <c r="E78" s="340">
        <v>-134.59</v>
      </c>
      <c r="F78" s="340">
        <v>-134.59</v>
      </c>
      <c r="G78" s="343">
        <v>-134.59</v>
      </c>
      <c r="H78" s="343">
        <v>-134.59</v>
      </c>
      <c r="I78" s="340">
        <v>-134.59</v>
      </c>
      <c r="J78" s="340">
        <v>-134.59</v>
      </c>
      <c r="K78" s="340">
        <v>-134.59</v>
      </c>
      <c r="L78" s="340">
        <v>-134.59</v>
      </c>
      <c r="M78" s="340">
        <v>-134.59</v>
      </c>
      <c r="N78" s="351">
        <v>-134.59</v>
      </c>
    </row>
    <row r="79" spans="1:17" x14ac:dyDescent="0.2">
      <c r="B79" s="288" t="s">
        <v>59</v>
      </c>
      <c r="C79" s="341">
        <v>60.14</v>
      </c>
      <c r="D79" s="341">
        <v>78.88</v>
      </c>
      <c r="E79" s="341">
        <v>93.44</v>
      </c>
      <c r="F79" s="341">
        <v>77.209999999999994</v>
      </c>
      <c r="G79" s="342">
        <v>57.85</v>
      </c>
      <c r="H79" s="342">
        <v>55.22</v>
      </c>
      <c r="I79" s="341">
        <v>52.85</v>
      </c>
      <c r="J79" s="341">
        <v>49.88</v>
      </c>
      <c r="K79" s="341">
        <v>40.17</v>
      </c>
      <c r="L79" s="340">
        <v>-21.81</v>
      </c>
      <c r="M79" s="340">
        <v>-21.39</v>
      </c>
      <c r="N79" s="351">
        <v>-20.59</v>
      </c>
      <c r="O79" s="315">
        <f>SUM(C69:N79)</f>
        <v>14011.14</v>
      </c>
    </row>
    <row r="80" spans="1:17" ht="8.1" customHeight="1" x14ac:dyDescent="0.2"/>
    <row r="81" spans="1:16" x14ac:dyDescent="0.2">
      <c r="A81" s="312" t="s">
        <v>64</v>
      </c>
    </row>
    <row r="82" spans="1:16" x14ac:dyDescent="0.2">
      <c r="B82" s="288" t="s">
        <v>24</v>
      </c>
      <c r="C82" s="98">
        <f t="shared" ref="C82:E83" si="39">C69*C55</f>
        <v>369.01683000000003</v>
      </c>
      <c r="D82" s="98">
        <f t="shared" si="39"/>
        <v>526.62772500000005</v>
      </c>
      <c r="E82" s="98">
        <f t="shared" si="39"/>
        <v>532.94841600000007</v>
      </c>
      <c r="F82" s="75">
        <f t="shared" ref="F82:N82" si="40">+F69*F55</f>
        <v>403.51749750000005</v>
      </c>
      <c r="G82" s="75">
        <f t="shared" si="40"/>
        <v>313.36695000000003</v>
      </c>
      <c r="H82" s="75">
        <f t="shared" si="40"/>
        <v>310.10826600000001</v>
      </c>
      <c r="I82" s="75">
        <f t="shared" si="40"/>
        <v>356.12089500000008</v>
      </c>
      <c r="J82" s="75">
        <f t="shared" si="40"/>
        <v>345.13929450000001</v>
      </c>
      <c r="K82" s="75">
        <f t="shared" si="40"/>
        <v>267.67689000000001</v>
      </c>
      <c r="L82" s="75">
        <f t="shared" si="40"/>
        <v>-99.520102499999993</v>
      </c>
      <c r="M82" s="75">
        <f t="shared" si="40"/>
        <v>-111.24447750000002</v>
      </c>
      <c r="N82" s="75">
        <f t="shared" si="40"/>
        <v>0</v>
      </c>
      <c r="O82" s="315">
        <f t="shared" ref="O82:O93" si="41">SUM(C82:N82)</f>
        <v>3213.7581840000007</v>
      </c>
    </row>
    <row r="83" spans="1:16" x14ac:dyDescent="0.2">
      <c r="B83" s="288" t="s">
        <v>28</v>
      </c>
      <c r="C83" s="98">
        <f t="shared" si="39"/>
        <v>685.19083248000004</v>
      </c>
      <c r="D83" s="98">
        <f t="shared" si="39"/>
        <v>902.54023200000006</v>
      </c>
      <c r="E83" s="98">
        <f t="shared" si="39"/>
        <v>806.89524893999999</v>
      </c>
      <c r="F83" s="75">
        <f t="shared" ref="F83:N83" si="42">+F70*F56</f>
        <v>658.31633010000007</v>
      </c>
      <c r="G83" s="75">
        <f t="shared" si="42"/>
        <v>502.94098800000006</v>
      </c>
      <c r="H83" s="75">
        <f t="shared" si="42"/>
        <v>384.10247303999995</v>
      </c>
      <c r="I83" s="75">
        <f t="shared" si="42"/>
        <v>563.60846520000007</v>
      </c>
      <c r="J83" s="75">
        <f t="shared" si="42"/>
        <v>532.70578746000001</v>
      </c>
      <c r="K83" s="75">
        <f t="shared" si="42"/>
        <v>645.89554062000002</v>
      </c>
      <c r="L83" s="75">
        <f t="shared" si="42"/>
        <v>314.82487079999999</v>
      </c>
      <c r="M83" s="75">
        <f t="shared" si="42"/>
        <v>355.09085369999997</v>
      </c>
      <c r="N83" s="75">
        <f t="shared" si="42"/>
        <v>358.38962081999995</v>
      </c>
      <c r="O83" s="315">
        <f t="shared" si="41"/>
        <v>6710.5012431599998</v>
      </c>
    </row>
    <row r="84" spans="1:16" x14ac:dyDescent="0.2">
      <c r="B84" s="288" t="s">
        <v>52</v>
      </c>
      <c r="C84" s="98">
        <f t="shared" ref="C84:H92" si="43">+C71*C57</f>
        <v>0</v>
      </c>
      <c r="D84" s="75">
        <f t="shared" si="43"/>
        <v>0</v>
      </c>
      <c r="E84" s="75">
        <f t="shared" si="43"/>
        <v>0</v>
      </c>
      <c r="F84" s="75">
        <f t="shared" si="43"/>
        <v>0</v>
      </c>
      <c r="G84" s="75">
        <f t="shared" si="43"/>
        <v>0</v>
      </c>
      <c r="H84" s="75">
        <f t="shared" si="43"/>
        <v>0</v>
      </c>
      <c r="I84" s="75"/>
      <c r="J84" s="75">
        <f t="shared" ref="J84:N92" si="44">+J71*J57</f>
        <v>0</v>
      </c>
      <c r="K84" s="75">
        <f t="shared" si="44"/>
        <v>0</v>
      </c>
      <c r="L84" s="75">
        <f t="shared" si="44"/>
        <v>0</v>
      </c>
      <c r="M84" s="75">
        <f t="shared" si="44"/>
        <v>0</v>
      </c>
      <c r="N84" s="75">
        <f t="shared" si="44"/>
        <v>0</v>
      </c>
      <c r="O84" s="315">
        <f t="shared" si="41"/>
        <v>0</v>
      </c>
    </row>
    <row r="85" spans="1:16" x14ac:dyDescent="0.2">
      <c r="B85" s="288" t="s">
        <v>53</v>
      </c>
      <c r="C85" s="98">
        <f t="shared" si="43"/>
        <v>34.4234583</v>
      </c>
      <c r="D85" s="98">
        <f t="shared" si="43"/>
        <v>36.189284999999998</v>
      </c>
      <c r="E85" s="98">
        <f t="shared" si="43"/>
        <v>30.943768349999999</v>
      </c>
      <c r="F85" s="75">
        <f t="shared" si="43"/>
        <v>32.671460250000003</v>
      </c>
      <c r="G85" s="75">
        <f t="shared" si="43"/>
        <v>36.407497499999998</v>
      </c>
      <c r="H85" s="75">
        <f t="shared" si="43"/>
        <v>33.081536399999997</v>
      </c>
      <c r="I85" s="75">
        <f>+I72*I58</f>
        <v>35.686464000000001</v>
      </c>
      <c r="J85" s="75">
        <f t="shared" si="44"/>
        <v>40.630786350000001</v>
      </c>
      <c r="K85" s="75">
        <f t="shared" si="44"/>
        <v>58.592991600000005</v>
      </c>
      <c r="L85" s="75">
        <f t="shared" si="44"/>
        <v>43.066122</v>
      </c>
      <c r="M85" s="75">
        <f t="shared" si="44"/>
        <v>61.883332500000002</v>
      </c>
      <c r="N85" s="75">
        <f t="shared" si="44"/>
        <v>63.079402649999999</v>
      </c>
      <c r="O85" s="315">
        <f t="shared" si="41"/>
        <v>506.65610490000006</v>
      </c>
    </row>
    <row r="86" spans="1:16" x14ac:dyDescent="0.2">
      <c r="B86" s="288" t="s">
        <v>54</v>
      </c>
      <c r="C86" s="98">
        <f t="shared" si="43"/>
        <v>120.37419702000003</v>
      </c>
      <c r="D86" s="98">
        <f t="shared" si="43"/>
        <v>100.645595</v>
      </c>
      <c r="E86" s="98">
        <f t="shared" si="43"/>
        <v>77.87956634999999</v>
      </c>
      <c r="F86" s="75">
        <f t="shared" si="43"/>
        <v>94.505991450000025</v>
      </c>
      <c r="G86" s="75">
        <f t="shared" si="43"/>
        <v>82.550894999999997</v>
      </c>
      <c r="H86" s="75">
        <f t="shared" si="43"/>
        <v>57.154305560000005</v>
      </c>
      <c r="I86" s="75">
        <f>+I73*I59</f>
        <v>62.248686499999998</v>
      </c>
      <c r="J86" s="75">
        <f t="shared" si="44"/>
        <v>64.472327570000004</v>
      </c>
      <c r="K86" s="75">
        <f t="shared" si="44"/>
        <v>82.757237439999997</v>
      </c>
      <c r="L86" s="75">
        <f t="shared" si="44"/>
        <v>107.85157355</v>
      </c>
      <c r="M86" s="75">
        <f t="shared" si="44"/>
        <v>166.09345139999999</v>
      </c>
      <c r="N86" s="75">
        <f t="shared" si="44"/>
        <v>169.14450069</v>
      </c>
      <c r="O86" s="315">
        <f t="shared" si="41"/>
        <v>1185.6783275300002</v>
      </c>
    </row>
    <row r="87" spans="1:16" x14ac:dyDescent="0.2">
      <c r="B87" s="288" t="s">
        <v>55</v>
      </c>
      <c r="C87" s="98">
        <f t="shared" si="43"/>
        <v>196.77782249999998</v>
      </c>
      <c r="D87" s="98">
        <f t="shared" si="43"/>
        <v>212.96471250000002</v>
      </c>
      <c r="E87" s="98">
        <f t="shared" si="43"/>
        <v>181.1670225</v>
      </c>
      <c r="F87" s="75">
        <f t="shared" si="43"/>
        <v>172.13157000000001</v>
      </c>
      <c r="G87" s="75">
        <f t="shared" si="43"/>
        <v>182.2822875</v>
      </c>
      <c r="H87" s="75">
        <f t="shared" si="43"/>
        <v>193.88636700000001</v>
      </c>
      <c r="I87" s="75">
        <f>+I74*I60</f>
        <v>201.86236499999998</v>
      </c>
      <c r="J87" s="75">
        <f t="shared" si="44"/>
        <v>202.872558</v>
      </c>
      <c r="K87" s="75">
        <f t="shared" si="44"/>
        <v>262.04294849999997</v>
      </c>
      <c r="L87" s="75">
        <f t="shared" si="44"/>
        <v>208.63161374999999</v>
      </c>
      <c r="M87" s="75">
        <f t="shared" si="44"/>
        <v>257.80152375</v>
      </c>
      <c r="N87" s="75">
        <f t="shared" si="44"/>
        <v>259.17271274999996</v>
      </c>
      <c r="O87" s="315">
        <f t="shared" si="41"/>
        <v>2531.5935037499999</v>
      </c>
    </row>
    <row r="88" spans="1:16" x14ac:dyDescent="0.2">
      <c r="B88" s="288" t="s">
        <v>225</v>
      </c>
      <c r="C88" s="98">
        <f t="shared" si="43"/>
        <v>0</v>
      </c>
      <c r="D88" s="75">
        <f t="shared" si="43"/>
        <v>0</v>
      </c>
      <c r="E88" s="75">
        <f t="shared" si="43"/>
        <v>0</v>
      </c>
      <c r="F88" s="75">
        <f t="shared" si="43"/>
        <v>0</v>
      </c>
      <c r="G88" s="75">
        <f t="shared" si="43"/>
        <v>0</v>
      </c>
      <c r="H88" s="75">
        <f t="shared" si="43"/>
        <v>0</v>
      </c>
      <c r="I88" s="75"/>
      <c r="J88" s="75">
        <f t="shared" si="44"/>
        <v>0</v>
      </c>
      <c r="K88" s="75">
        <f t="shared" si="44"/>
        <v>0</v>
      </c>
      <c r="L88" s="75">
        <f t="shared" si="44"/>
        <v>0</v>
      </c>
      <c r="M88" s="75">
        <f t="shared" si="44"/>
        <v>0</v>
      </c>
      <c r="N88" s="75">
        <f t="shared" si="44"/>
        <v>0</v>
      </c>
      <c r="O88" s="315">
        <f t="shared" si="41"/>
        <v>0</v>
      </c>
    </row>
    <row r="89" spans="1:16" x14ac:dyDescent="0.2">
      <c r="B89" s="288" t="s">
        <v>49</v>
      </c>
      <c r="C89" s="98">
        <f t="shared" si="43"/>
        <v>-81.517494240000005</v>
      </c>
      <c r="D89" s="98">
        <f t="shared" si="43"/>
        <v>-35.925760000000004</v>
      </c>
      <c r="E89" s="98">
        <f t="shared" si="43"/>
        <v>-32.406609040000006</v>
      </c>
      <c r="F89" s="75">
        <f t="shared" si="43"/>
        <v>-19.451359200000002</v>
      </c>
      <c r="G89" s="75">
        <f t="shared" si="43"/>
        <v>-25.292124000000001</v>
      </c>
      <c r="H89" s="75">
        <f t="shared" si="43"/>
        <v>-40.918733440000004</v>
      </c>
      <c r="I89" s="75">
        <f>+I76*I62</f>
        <v>-12.292373599999999</v>
      </c>
      <c r="J89" s="75">
        <f t="shared" si="44"/>
        <v>-46.479553120000006</v>
      </c>
      <c r="K89" s="75">
        <f t="shared" si="44"/>
        <v>-60.856363360000003</v>
      </c>
      <c r="L89" s="75">
        <f t="shared" si="44"/>
        <v>-39.865129199999998</v>
      </c>
      <c r="M89" s="75">
        <f t="shared" si="44"/>
        <v>-55.930680000000002</v>
      </c>
      <c r="N89" s="75">
        <f t="shared" si="44"/>
        <v>-63.140460239999996</v>
      </c>
      <c r="O89" s="315">
        <f t="shared" si="41"/>
        <v>-514.07663944000001</v>
      </c>
    </row>
    <row r="90" spans="1:16" x14ac:dyDescent="0.2">
      <c r="B90" s="288" t="s">
        <v>57</v>
      </c>
      <c r="C90" s="98">
        <f t="shared" si="43"/>
        <v>0</v>
      </c>
      <c r="D90" s="75">
        <f t="shared" si="43"/>
        <v>0</v>
      </c>
      <c r="E90" s="75">
        <f t="shared" si="43"/>
        <v>0</v>
      </c>
      <c r="F90" s="75">
        <f t="shared" si="43"/>
        <v>0</v>
      </c>
      <c r="G90" s="75">
        <f t="shared" si="43"/>
        <v>0</v>
      </c>
      <c r="H90" s="75">
        <f t="shared" si="43"/>
        <v>0</v>
      </c>
      <c r="I90" s="75">
        <f>+I77*I63</f>
        <v>0</v>
      </c>
      <c r="J90" s="75">
        <f t="shared" si="44"/>
        <v>0</v>
      </c>
      <c r="K90" s="75">
        <f t="shared" si="44"/>
        <v>0</v>
      </c>
      <c r="L90" s="75">
        <f t="shared" si="44"/>
        <v>0</v>
      </c>
      <c r="M90" s="75">
        <f t="shared" si="44"/>
        <v>0</v>
      </c>
      <c r="N90" s="75">
        <f t="shared" si="44"/>
        <v>0</v>
      </c>
      <c r="O90" s="315">
        <f t="shared" si="41"/>
        <v>0</v>
      </c>
    </row>
    <row r="91" spans="1:16" x14ac:dyDescent="0.2">
      <c r="B91" s="288" t="s">
        <v>58</v>
      </c>
      <c r="C91" s="98">
        <f t="shared" si="43"/>
        <v>-231.29479926000053</v>
      </c>
      <c r="D91" s="75">
        <f t="shared" si="43"/>
        <v>-253.40268725000055</v>
      </c>
      <c r="E91" s="98">
        <f t="shared" si="43"/>
        <v>-221.3183155100005</v>
      </c>
      <c r="F91" s="75">
        <f t="shared" si="43"/>
        <v>-202.32309045000045</v>
      </c>
      <c r="G91" s="75">
        <f t="shared" si="43"/>
        <v>-203.52026850000044</v>
      </c>
      <c r="H91" s="75">
        <f t="shared" si="43"/>
        <v>-210.38408932000044</v>
      </c>
      <c r="I91" s="75">
        <f>+I78*I64</f>
        <v>-221.07887990000049</v>
      </c>
      <c r="J91" s="75">
        <f t="shared" si="44"/>
        <v>-221.7971867300005</v>
      </c>
      <c r="K91" s="75">
        <f t="shared" si="44"/>
        <v>-275.27113963000068</v>
      </c>
      <c r="L91" s="75">
        <f t="shared" si="44"/>
        <v>-224.67041405000049</v>
      </c>
      <c r="M91" s="75">
        <f t="shared" si="44"/>
        <v>-280.53872305000061</v>
      </c>
      <c r="N91" s="75">
        <f t="shared" si="44"/>
        <v>-278.6232381700006</v>
      </c>
      <c r="O91" s="315">
        <f t="shared" si="41"/>
        <v>-2824.2228318200059</v>
      </c>
    </row>
    <row r="92" spans="1:16" x14ac:dyDescent="0.2">
      <c r="B92" s="288" t="s">
        <v>59</v>
      </c>
      <c r="C92" s="90">
        <f t="shared" si="43"/>
        <v>560.85144695999975</v>
      </c>
      <c r="D92" s="90">
        <f t="shared" si="43"/>
        <v>805.9287919999997</v>
      </c>
      <c r="E92" s="90">
        <f t="shared" si="43"/>
        <v>833.81314815999974</v>
      </c>
      <c r="F92" s="90">
        <f t="shared" si="43"/>
        <v>629.85061229999951</v>
      </c>
      <c r="G92" s="90">
        <f t="shared" si="43"/>
        <v>474.71131499999979</v>
      </c>
      <c r="H92" s="90">
        <f t="shared" si="43"/>
        <v>468.41182256000008</v>
      </c>
      <c r="I92" s="90">
        <f>+I79*I65</f>
        <v>471.09750099999962</v>
      </c>
      <c r="J92" s="90">
        <f t="shared" si="44"/>
        <v>446.0679613599998</v>
      </c>
      <c r="K92" s="75">
        <f t="shared" si="44"/>
        <v>445.84208993999988</v>
      </c>
      <c r="L92" s="75">
        <f t="shared" si="44"/>
        <v>-197.56959269999982</v>
      </c>
      <c r="M92" s="75">
        <f t="shared" si="44"/>
        <v>-241.94806529999994</v>
      </c>
      <c r="N92" s="75">
        <f t="shared" si="44"/>
        <v>-371.47423791999989</v>
      </c>
      <c r="O92" s="315">
        <f t="shared" si="41"/>
        <v>4325.5827933599976</v>
      </c>
    </row>
    <row r="93" spans="1:16" x14ac:dyDescent="0.2">
      <c r="A93" s="312" t="s">
        <v>65</v>
      </c>
      <c r="B93" s="312"/>
      <c r="C93" s="187">
        <f t="shared" ref="C93:N93" si="45">SUM(C82:C92)</f>
        <v>1653.8222937599996</v>
      </c>
      <c r="D93" s="188">
        <f t="shared" si="45"/>
        <v>2295.567894249999</v>
      </c>
      <c r="E93" s="188">
        <f t="shared" si="45"/>
        <v>2209.9222457499995</v>
      </c>
      <c r="F93" s="188">
        <f t="shared" si="45"/>
        <v>1769.2190119499994</v>
      </c>
      <c r="G93" s="188">
        <f t="shared" si="45"/>
        <v>1363.4475404999994</v>
      </c>
      <c r="H93" s="188">
        <f t="shared" si="45"/>
        <v>1195.4419477999995</v>
      </c>
      <c r="I93" s="188">
        <f t="shared" si="45"/>
        <v>1457.2531231999992</v>
      </c>
      <c r="J93" s="188">
        <f t="shared" si="45"/>
        <v>1363.6119753899993</v>
      </c>
      <c r="K93" s="189">
        <f t="shared" si="45"/>
        <v>1426.6801951099992</v>
      </c>
      <c r="L93" s="189">
        <f t="shared" si="45"/>
        <v>112.74894164999972</v>
      </c>
      <c r="M93" s="189">
        <f t="shared" si="45"/>
        <v>151.20721549999928</v>
      </c>
      <c r="N93" s="189">
        <f t="shared" si="45"/>
        <v>136.54830057999942</v>
      </c>
      <c r="O93" s="315">
        <f t="shared" si="41"/>
        <v>15135.47068543999</v>
      </c>
      <c r="P93" s="315">
        <f>O93/2</f>
        <v>7567.7353427199951</v>
      </c>
    </row>
    <row r="94" spans="1:16" x14ac:dyDescent="0.2">
      <c r="A94" s="312" t="s">
        <v>66</v>
      </c>
      <c r="B94" s="312"/>
      <c r="C94" s="187">
        <f t="shared" ref="C94:N94" si="46">+C93/C66</f>
        <v>57.067711999999986</v>
      </c>
      <c r="D94" s="188">
        <f t="shared" si="46"/>
        <v>72.301350999999968</v>
      </c>
      <c r="E94" s="188">
        <f t="shared" si="46"/>
        <v>79.694274999999976</v>
      </c>
      <c r="F94" s="188">
        <f t="shared" si="46"/>
        <v>69.791676999999979</v>
      </c>
      <c r="G94" s="188">
        <f t="shared" si="46"/>
        <v>53.468530999999977</v>
      </c>
      <c r="H94" s="188">
        <f t="shared" si="46"/>
        <v>45.35060499999998</v>
      </c>
      <c r="I94" s="188">
        <f t="shared" si="46"/>
        <v>52.60841599999997</v>
      </c>
      <c r="J94" s="188">
        <f t="shared" si="46"/>
        <v>49.068440999999979</v>
      </c>
      <c r="K94" s="175">
        <f t="shared" si="46"/>
        <v>41.365038999999975</v>
      </c>
      <c r="L94" s="175">
        <f t="shared" si="46"/>
        <v>4.0052909999999899</v>
      </c>
      <c r="M94" s="175">
        <f t="shared" si="46"/>
        <v>4.3017699999999799</v>
      </c>
      <c r="N94" s="175">
        <f t="shared" si="46"/>
        <v>3.911437999999984</v>
      </c>
      <c r="O94" s="315"/>
    </row>
    <row r="95" spans="1:16" ht="8.1" customHeight="1" x14ac:dyDescent="0.2"/>
    <row r="96" spans="1:16" x14ac:dyDescent="0.2">
      <c r="A96" s="312"/>
      <c r="C96" s="315">
        <f t="shared" ref="C96:N96" si="47">C94*0.7</f>
        <v>39.94739839999999</v>
      </c>
      <c r="D96" s="315">
        <f t="shared" si="47"/>
        <v>50.610945699999974</v>
      </c>
      <c r="E96" s="315">
        <f t="shared" si="47"/>
        <v>55.785992499999978</v>
      </c>
      <c r="F96" s="315">
        <f t="shared" si="47"/>
        <v>48.854173899999985</v>
      </c>
      <c r="G96" s="315">
        <f t="shared" si="47"/>
        <v>37.427971699999979</v>
      </c>
      <c r="H96" s="315">
        <f t="shared" si="47"/>
        <v>31.745423499999983</v>
      </c>
      <c r="I96" s="315">
        <f t="shared" si="47"/>
        <v>36.82589119999998</v>
      </c>
      <c r="J96" s="315">
        <f t="shared" si="47"/>
        <v>34.347908699999984</v>
      </c>
      <c r="K96" s="315">
        <f t="shared" si="47"/>
        <v>28.955527299999979</v>
      </c>
      <c r="L96" s="315">
        <f t="shared" si="47"/>
        <v>2.8037036999999927</v>
      </c>
      <c r="M96" s="315">
        <f t="shared" si="47"/>
        <v>3.0112389999999856</v>
      </c>
      <c r="N96" s="315">
        <f t="shared" si="47"/>
        <v>2.7380065999999887</v>
      </c>
    </row>
    <row r="97" spans="1:14" x14ac:dyDescent="0.2">
      <c r="C97" s="102"/>
      <c r="D97" s="102"/>
      <c r="E97" s="102"/>
      <c r="F97" s="102"/>
      <c r="G97" s="102"/>
      <c r="H97" s="102"/>
      <c r="I97" s="102"/>
      <c r="J97" s="102"/>
      <c r="K97" s="102"/>
      <c r="L97" s="102"/>
      <c r="M97" s="102"/>
      <c r="N97" s="102"/>
    </row>
    <row r="98" spans="1:14" x14ac:dyDescent="0.2">
      <c r="A98" s="312"/>
      <c r="B98" s="312"/>
      <c r="C98" s="187"/>
      <c r="D98" s="187"/>
      <c r="E98" s="187"/>
      <c r="F98" s="187"/>
      <c r="G98" s="187"/>
      <c r="H98" s="187"/>
      <c r="I98" s="187"/>
      <c r="J98" s="314"/>
    </row>
    <row r="99" spans="1:14" ht="8.1" customHeight="1" x14ac:dyDescent="0.2">
      <c r="C99" s="313"/>
      <c r="D99" s="313"/>
      <c r="E99" s="313"/>
      <c r="F99" s="313"/>
      <c r="G99" s="313"/>
      <c r="H99" s="313"/>
      <c r="I99" s="313"/>
      <c r="J99" s="313"/>
    </row>
    <row r="100" spans="1:14" x14ac:dyDescent="0.2">
      <c r="A100" s="312"/>
      <c r="B100" s="312"/>
      <c r="C100" s="314"/>
      <c r="D100" s="314"/>
      <c r="E100" s="314"/>
      <c r="F100" s="314"/>
      <c r="G100" s="314"/>
      <c r="H100" s="314"/>
      <c r="I100" s="314"/>
      <c r="J100" s="314"/>
    </row>
    <row r="101" spans="1:14" ht="8.1" customHeight="1" x14ac:dyDescent="0.2">
      <c r="C101" s="313"/>
      <c r="D101" s="313"/>
      <c r="E101" s="313"/>
      <c r="F101" s="313"/>
      <c r="G101" s="313"/>
      <c r="H101" s="313"/>
      <c r="I101" s="313"/>
      <c r="J101" s="313"/>
    </row>
    <row r="102" spans="1:14" x14ac:dyDescent="0.2">
      <c r="A102" s="312"/>
      <c r="C102" s="102"/>
      <c r="D102" s="102"/>
      <c r="E102" s="102"/>
      <c r="F102" s="102"/>
      <c r="G102" s="102"/>
      <c r="H102" s="102"/>
      <c r="I102" s="102"/>
      <c r="J102" s="105"/>
    </row>
    <row r="105" spans="1:14" x14ac:dyDescent="0.2">
      <c r="B105" s="288" t="str">
        <f ca="1">CELL("filename")</f>
        <v>S:\District\~WUTC Files~\1. RSA\2017-2019 Plan Year\UTC Filing 12-2018\Revised Filing\Bellevue\[Revised TG-181020 fixed Staff comm CR RS adjust.xlsx]Staff Analysis</v>
      </c>
    </row>
  </sheetData>
  <pageMargins left="0.25" right="0.25" top="0.75" bottom="0.75" header="0.3" footer="0.3"/>
  <pageSetup scale="62" fitToWidth="0" orientation="portrait" r:id="rId1"/>
  <headerFooter alignWithMargins="0"/>
  <rowBreaks count="1" manualBreakCount="1">
    <brk id="53" max="1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A104"/>
  <sheetViews>
    <sheetView showGridLines="0" topLeftCell="A29" zoomScaleNormal="100" workbookViewId="0">
      <selection activeCell="L69" sqref="L69"/>
    </sheetView>
  </sheetViews>
  <sheetFormatPr defaultRowHeight="12.75" x14ac:dyDescent="0.2"/>
  <cols>
    <col min="1" max="1" width="14.855468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2017</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99</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144" t="str">
        <f>+F6</f>
        <v>Revenue</v>
      </c>
      <c r="P6" s="113"/>
    </row>
    <row r="7" spans="1:27" s="16" customFormat="1" ht="11.25" x14ac:dyDescent="0.2">
      <c r="A7" s="15" t="s">
        <v>5</v>
      </c>
      <c r="B7" s="12" t="s">
        <v>100</v>
      </c>
      <c r="C7" s="12"/>
      <c r="D7" s="12" t="s">
        <v>3</v>
      </c>
      <c r="E7" s="12"/>
      <c r="F7" s="12" t="s">
        <v>101</v>
      </c>
      <c r="G7" s="12"/>
      <c r="H7" s="12"/>
      <c r="I7" s="12"/>
      <c r="J7" s="12" t="s">
        <v>102</v>
      </c>
      <c r="K7" s="12"/>
      <c r="O7" s="144" t="str">
        <f>+F7</f>
        <v>per Yard</v>
      </c>
      <c r="P7" s="113"/>
    </row>
    <row r="8" spans="1:27" s="16" customFormat="1" ht="11.25" x14ac:dyDescent="0.2">
      <c r="A8" s="129">
        <f>'Multi_Family (2)'!$C$6</f>
        <v>42491</v>
      </c>
      <c r="B8" s="112">
        <v>1701.95</v>
      </c>
      <c r="C8" s="12"/>
      <c r="D8" s="161">
        <f>VLOOKUP(A8,'Value MF'!$A$6:$O$17,15,)</f>
        <v>756.33100541999977</v>
      </c>
      <c r="E8" s="12"/>
      <c r="F8" s="16">
        <f>ROUND(D8/B8,2)</f>
        <v>0.44</v>
      </c>
      <c r="G8" s="12"/>
      <c r="H8" s="12"/>
      <c r="I8" s="12"/>
      <c r="J8" s="14">
        <f>+B8</f>
        <v>1701.95</v>
      </c>
      <c r="K8" s="13">
        <f>YEAR(A8)</f>
        <v>2016</v>
      </c>
      <c r="O8" s="145">
        <f>VLOOKUP(A8,'Value MF'!$A$6:$O$17,13,FALSE)</f>
        <v>1512.6982054199998</v>
      </c>
      <c r="P8" s="113"/>
    </row>
    <row r="9" spans="1:27" s="16" customFormat="1" ht="11.25" x14ac:dyDescent="0.2">
      <c r="A9" s="17">
        <f>EOMONTH(A8,1)</f>
        <v>42551</v>
      </c>
      <c r="B9" s="19">
        <v>1706.28</v>
      </c>
      <c r="C9" s="20"/>
      <c r="D9" s="161">
        <f>VLOOKUP(A9,'Value MF'!$A$6:$O$17,15,)</f>
        <v>792.41405007999947</v>
      </c>
      <c r="E9" s="14"/>
      <c r="F9" s="16">
        <f>ROUND(D9/B9,2)</f>
        <v>0.46</v>
      </c>
      <c r="G9" s="14"/>
      <c r="H9" s="14"/>
      <c r="I9" s="14"/>
      <c r="J9" s="14">
        <f>+B9</f>
        <v>1706.28</v>
      </c>
      <c r="K9" s="13">
        <f>YEAR(A9)</f>
        <v>2016</v>
      </c>
      <c r="O9" s="145">
        <f>VLOOKUP(A9,'Value MF'!$A$6:$O$17,13,FALSE)</f>
        <v>1584.9243500799994</v>
      </c>
      <c r="P9" s="113"/>
    </row>
    <row r="10" spans="1:27" s="16" customFormat="1" ht="11.25" x14ac:dyDescent="0.2">
      <c r="A10" s="17">
        <f>EOMONTH(A9,1)</f>
        <v>42582</v>
      </c>
      <c r="B10" s="19">
        <v>1706.26</v>
      </c>
      <c r="C10" s="14"/>
      <c r="D10" s="161">
        <f>VLOOKUP(A10,'Value MF'!$A$6:$O$17,15,)</f>
        <v>737.17041089999975</v>
      </c>
      <c r="E10" s="14"/>
      <c r="F10" s="16">
        <f>ROUND(D10/B10,2)</f>
        <v>0.43</v>
      </c>
      <c r="G10" s="14"/>
      <c r="H10" s="14"/>
      <c r="I10" s="14"/>
      <c r="J10" s="14">
        <f>+B10</f>
        <v>1706.26</v>
      </c>
      <c r="K10" s="13">
        <f>YEAR(A10)</f>
        <v>2016</v>
      </c>
      <c r="O10" s="145">
        <f>VLOOKUP(A10,'Value MF'!$A$6:$O$17,13,FALSE)</f>
        <v>1474.4069108999997</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103</v>
      </c>
      <c r="B12" s="21">
        <f>SUM(B8:B11)</f>
        <v>5114.49</v>
      </c>
      <c r="C12" s="20" t="s">
        <v>8</v>
      </c>
      <c r="D12" s="22">
        <f>SUM(D8:D11)</f>
        <v>2285.9154663999989</v>
      </c>
      <c r="E12" s="14"/>
      <c r="G12" s="14"/>
      <c r="H12" s="14"/>
      <c r="I12" s="14"/>
      <c r="J12" s="14"/>
      <c r="K12" s="13"/>
      <c r="O12" s="145"/>
      <c r="P12" s="113"/>
    </row>
    <row r="13" spans="1:27" s="16" customFormat="1" ht="12" customHeight="1" x14ac:dyDescent="0.2">
      <c r="A13" s="17"/>
      <c r="B13" s="14"/>
      <c r="C13" s="14"/>
      <c r="E13" s="14"/>
      <c r="G13" s="14"/>
      <c r="H13" s="14"/>
      <c r="I13" s="14"/>
      <c r="J13" s="14"/>
      <c r="K13" s="13"/>
      <c r="O13" s="145"/>
      <c r="P13" s="113"/>
    </row>
    <row r="14" spans="1:27" s="16" customFormat="1" ht="11.25" x14ac:dyDescent="0.2">
      <c r="A14" s="17">
        <f>EOMONTH(A10,1)</f>
        <v>42613</v>
      </c>
      <c r="B14" s="19">
        <v>1706.28</v>
      </c>
      <c r="C14" s="14"/>
      <c r="D14" s="161">
        <f>VLOOKUP(A14,'Value MF'!$A$6:$O$17,15,)</f>
        <v>1019.4638399399996</v>
      </c>
      <c r="E14" s="14"/>
      <c r="F14" s="16">
        <f t="shared" ref="F14:F22" si="0">ROUND(D14/B14,2)</f>
        <v>0.6</v>
      </c>
      <c r="G14" s="23"/>
      <c r="H14" s="14"/>
      <c r="I14" s="14"/>
      <c r="J14" s="14">
        <f t="shared" ref="J14:J22" si="1">+B14</f>
        <v>1706.28</v>
      </c>
      <c r="K14" s="13">
        <f t="shared" ref="K14:K22" si="2">YEAR(A14)</f>
        <v>2016</v>
      </c>
      <c r="O14" s="145">
        <f>VLOOKUP(A14,'Value MF'!$A$6:$O$17,13,FALSE)</f>
        <v>2038.9238399399997</v>
      </c>
      <c r="P14" s="113"/>
    </row>
    <row r="15" spans="1:27" s="16" customFormat="1" ht="11.25" x14ac:dyDescent="0.2">
      <c r="A15" s="17">
        <f t="shared" ref="A15:A22" si="3">EOMONTH(A14,1)</f>
        <v>42643</v>
      </c>
      <c r="B15" s="19">
        <v>1710.09</v>
      </c>
      <c r="C15" s="14"/>
      <c r="D15" s="161">
        <f>VLOOKUP(A15,'Value MF'!$A$6:$O$17,15,)</f>
        <v>918.39539393999928</v>
      </c>
      <c r="E15" s="14"/>
      <c r="F15" s="16">
        <f t="shared" si="0"/>
        <v>0.54</v>
      </c>
      <c r="G15" s="23"/>
      <c r="H15" s="14"/>
      <c r="I15" s="14"/>
      <c r="J15" s="14">
        <f t="shared" si="1"/>
        <v>1710.09</v>
      </c>
      <c r="K15" s="13">
        <f t="shared" si="2"/>
        <v>2016</v>
      </c>
      <c r="O15" s="145">
        <f>VLOOKUP(A15,'Value MF'!$A$6:$O$17,13,FALSE)</f>
        <v>1836.8111939399994</v>
      </c>
      <c r="P15" s="113"/>
    </row>
    <row r="16" spans="1:27" s="16" customFormat="1" ht="11.25" x14ac:dyDescent="0.2">
      <c r="A16" s="17">
        <f t="shared" si="3"/>
        <v>42674</v>
      </c>
      <c r="B16" s="19">
        <v>1710.09</v>
      </c>
      <c r="C16" s="14"/>
      <c r="D16" s="161">
        <f>VLOOKUP(A16,'Value MF'!$A$6:$O$17,15,)</f>
        <v>938.54641825999954</v>
      </c>
      <c r="E16" s="14"/>
      <c r="F16" s="16">
        <f t="shared" si="0"/>
        <v>0.55000000000000004</v>
      </c>
      <c r="G16" s="23"/>
      <c r="H16" s="14"/>
      <c r="I16" s="14"/>
      <c r="J16" s="14">
        <f t="shared" si="1"/>
        <v>1710.09</v>
      </c>
      <c r="K16" s="13">
        <f t="shared" si="2"/>
        <v>2016</v>
      </c>
      <c r="O16" s="145">
        <f>VLOOKUP(A16,'Value MF'!$A$6:$O$17,13,FALSE)</f>
        <v>1876.9503682599995</v>
      </c>
      <c r="P16" s="113"/>
    </row>
    <row r="17" spans="1:27" s="16" customFormat="1" ht="11.25" x14ac:dyDescent="0.2">
      <c r="A17" s="17">
        <f t="shared" si="3"/>
        <v>42704</v>
      </c>
      <c r="B17" s="19">
        <v>1710.09</v>
      </c>
      <c r="C17" s="14"/>
      <c r="D17" s="161">
        <f>VLOOKUP(A17,'Value MF'!$A$6:$O$17,15,)</f>
        <v>905.23851652499945</v>
      </c>
      <c r="E17" s="14"/>
      <c r="F17" s="16">
        <f t="shared" si="0"/>
        <v>0.53</v>
      </c>
      <c r="G17" s="23"/>
      <c r="H17" s="14"/>
      <c r="I17" s="14"/>
      <c r="J17" s="14">
        <f t="shared" si="1"/>
        <v>1710.09</v>
      </c>
      <c r="K17" s="13">
        <f t="shared" si="2"/>
        <v>2016</v>
      </c>
      <c r="O17" s="145">
        <f>VLOOKUP(A17,'Value MF'!$A$6:$O$17,13,FALSE)</f>
        <v>1810.5785165249995</v>
      </c>
      <c r="P17" s="113"/>
    </row>
    <row r="18" spans="1:27" s="16" customFormat="1" ht="11.25" x14ac:dyDescent="0.2">
      <c r="A18" s="17">
        <f t="shared" si="3"/>
        <v>42735</v>
      </c>
      <c r="B18" s="19">
        <v>1749.06</v>
      </c>
      <c r="C18" s="14"/>
      <c r="D18" s="161">
        <f>VLOOKUP(A18,'Value MF'!$A$6:$O$17,15,)</f>
        <v>1088.3634937179993</v>
      </c>
      <c r="E18" s="14"/>
      <c r="F18" s="16">
        <f t="shared" si="0"/>
        <v>0.62</v>
      </c>
      <c r="G18" s="23"/>
      <c r="H18" s="14"/>
      <c r="I18" s="14"/>
      <c r="J18" s="14">
        <f t="shared" si="1"/>
        <v>1749.06</v>
      </c>
      <c r="K18" s="13">
        <f t="shared" si="2"/>
        <v>2016</v>
      </c>
      <c r="O18" s="145">
        <f>VLOOKUP(A18,'Value MF'!$A$6:$O$17,13,FALSE)</f>
        <v>2176.7234937179992</v>
      </c>
      <c r="P18" s="113"/>
      <c r="X18" s="14"/>
      <c r="Y18" s="14"/>
    </row>
    <row r="19" spans="1:27" s="16" customFormat="1" ht="11.25" x14ac:dyDescent="0.2">
      <c r="A19" s="17">
        <f t="shared" si="3"/>
        <v>42766</v>
      </c>
      <c r="B19" s="19">
        <v>1753</v>
      </c>
      <c r="C19" s="14"/>
      <c r="D19" s="161">
        <f>VLOOKUP(A19,'Value MF'!$A$6:$O$17,15,)</f>
        <v>1012.5130333119989</v>
      </c>
      <c r="E19" s="14"/>
      <c r="F19" s="16">
        <f t="shared" si="0"/>
        <v>0.57999999999999996</v>
      </c>
      <c r="G19" s="23"/>
      <c r="H19" s="14"/>
      <c r="I19" s="14"/>
      <c r="J19" s="14">
        <f t="shared" si="1"/>
        <v>1753</v>
      </c>
      <c r="K19" s="13">
        <f t="shared" si="2"/>
        <v>2017</v>
      </c>
      <c r="L19" s="14"/>
      <c r="M19" s="14"/>
      <c r="N19" s="14"/>
      <c r="O19" s="145">
        <f>VLOOKUP(A19,'Value MF'!$A$6:$O$17,13,FALSE)</f>
        <v>2024.9823333119989</v>
      </c>
      <c r="P19" s="113"/>
      <c r="Q19" s="14"/>
      <c r="R19" s="14"/>
      <c r="S19" s="14"/>
      <c r="T19" s="14"/>
      <c r="U19" s="14"/>
      <c r="V19" s="14"/>
      <c r="W19" s="14"/>
      <c r="Y19" s="14"/>
      <c r="AA19" s="14"/>
    </row>
    <row r="20" spans="1:27" s="16" customFormat="1" ht="11.25" x14ac:dyDescent="0.2">
      <c r="A20" s="17">
        <f t="shared" si="3"/>
        <v>42794</v>
      </c>
      <c r="B20" s="19">
        <v>1753</v>
      </c>
      <c r="C20" s="14"/>
      <c r="D20" s="161">
        <f>VLOOKUP(A20,'Value MF'!$A$6:$O$17,15,)</f>
        <v>1001.9149659539995</v>
      </c>
      <c r="E20" s="14"/>
      <c r="F20" s="16">
        <f t="shared" si="0"/>
        <v>0.56999999999999995</v>
      </c>
      <c r="G20" s="23"/>
      <c r="H20" s="14"/>
      <c r="I20" s="14"/>
      <c r="J20" s="14">
        <f t="shared" si="1"/>
        <v>1753</v>
      </c>
      <c r="K20" s="13">
        <f t="shared" si="2"/>
        <v>2017</v>
      </c>
      <c r="O20" s="145">
        <f>VLOOKUP(A20,'Value MF'!$A$6:$O$17,13,FALSE)</f>
        <v>2003.7822659539995</v>
      </c>
      <c r="P20" s="35"/>
    </row>
    <row r="21" spans="1:27" s="16" customFormat="1" ht="11.25" x14ac:dyDescent="0.2">
      <c r="A21" s="17">
        <f t="shared" si="3"/>
        <v>42825</v>
      </c>
      <c r="B21" s="19">
        <v>1727</v>
      </c>
      <c r="C21" s="14"/>
      <c r="D21" s="161">
        <f>VLOOKUP(A21,'Value MF'!$A$6:$O$17,15,)</f>
        <v>1160.6660302379996</v>
      </c>
      <c r="E21" s="14"/>
      <c r="F21" s="16">
        <f t="shared" si="0"/>
        <v>0.67</v>
      </c>
      <c r="G21" s="23"/>
      <c r="H21" s="20"/>
      <c r="I21" s="14"/>
      <c r="J21" s="14">
        <f t="shared" si="1"/>
        <v>1727</v>
      </c>
      <c r="K21" s="13">
        <f t="shared" si="2"/>
        <v>2017</v>
      </c>
      <c r="O21" s="145">
        <f>VLOOKUP(A21,'Value MF'!$A$6:$O$17,13,FALSE)</f>
        <v>2321.3684302379997</v>
      </c>
      <c r="P21" s="113"/>
    </row>
    <row r="22" spans="1:27" s="16" customFormat="1" ht="11.25" x14ac:dyDescent="0.2">
      <c r="A22" s="17">
        <f t="shared" si="3"/>
        <v>42855</v>
      </c>
      <c r="B22" s="19">
        <v>1729</v>
      </c>
      <c r="C22" s="14"/>
      <c r="D22" s="161">
        <f>VLOOKUP(A22,'Value MF'!$A$6:$O$17,15,)</f>
        <v>642.11506099999963</v>
      </c>
      <c r="E22" s="14"/>
      <c r="F22" s="16">
        <f t="shared" si="0"/>
        <v>0.37</v>
      </c>
      <c r="G22" s="23"/>
      <c r="H22" s="20"/>
      <c r="I22" s="14"/>
      <c r="J22" s="14">
        <f t="shared" si="1"/>
        <v>1729</v>
      </c>
      <c r="K22" s="13">
        <f t="shared" si="2"/>
        <v>2017</v>
      </c>
      <c r="O22" s="145">
        <f>VLOOKUP(A22,'Value MF'!$A$6:$O$17,13,FALSE)</f>
        <v>1283.6783609999995</v>
      </c>
      <c r="P22" s="113"/>
    </row>
    <row r="23" spans="1:27" s="16" customFormat="1" ht="11.25" x14ac:dyDescent="0.2">
      <c r="A23" s="17"/>
      <c r="B23" s="14"/>
      <c r="C23" s="14"/>
      <c r="E23" s="14"/>
      <c r="G23" s="14"/>
      <c r="H23" s="14"/>
      <c r="I23" s="14"/>
      <c r="J23" s="14"/>
      <c r="K23" s="13"/>
      <c r="O23" s="146"/>
    </row>
    <row r="24" spans="1:27" s="16" customFormat="1" ht="11.25" x14ac:dyDescent="0.2">
      <c r="A24" s="17" t="s">
        <v>104</v>
      </c>
      <c r="B24" s="21">
        <f>SUM(B13:B23)</f>
        <v>15547.61</v>
      </c>
      <c r="C24" s="20" t="s">
        <v>9</v>
      </c>
      <c r="D24" s="22">
        <f>SUM(D13:D23)</f>
        <v>8687.2167528869959</v>
      </c>
      <c r="E24" s="14"/>
      <c r="G24" s="14"/>
      <c r="H24" s="14"/>
      <c r="I24" s="14"/>
      <c r="J24" s="14"/>
      <c r="K24" s="13"/>
      <c r="O24" s="146"/>
      <c r="P24" s="147" t="s">
        <v>87</v>
      </c>
    </row>
    <row r="25" spans="1:27" s="16" customFormat="1" x14ac:dyDescent="0.2">
      <c r="A25" s="5"/>
      <c r="B25" s="5"/>
      <c r="C25" s="5"/>
      <c r="D25" s="25"/>
      <c r="E25" s="5"/>
      <c r="F25" s="5"/>
      <c r="G25" s="5"/>
      <c r="H25" s="5"/>
      <c r="I25" s="5"/>
      <c r="J25" s="5"/>
      <c r="K25" s="5"/>
      <c r="O25" s="146">
        <f>SUM(O8:O24)</f>
        <v>21945.828269286991</v>
      </c>
      <c r="P25" s="120"/>
    </row>
    <row r="26" spans="1:27" s="16" customFormat="1" ht="12" thickBot="1" x14ac:dyDescent="0.25">
      <c r="A26" s="26"/>
      <c r="B26" s="27">
        <f>+B12+B24</f>
        <v>20662.099999999999</v>
      </c>
      <c r="C26" s="20"/>
      <c r="D26" s="28">
        <f>+D12+D24</f>
        <v>10973.132219286996</v>
      </c>
      <c r="E26" s="20" t="s">
        <v>10</v>
      </c>
      <c r="F26" s="16">
        <f>(D26/B26)</f>
        <v>0.53107536113400844</v>
      </c>
      <c r="G26" s="20" t="s">
        <v>11</v>
      </c>
      <c r="H26" s="14"/>
      <c r="I26" s="14"/>
      <c r="J26" s="27">
        <f>SUM(J8:J25)</f>
        <v>20662.099999999999</v>
      </c>
      <c r="K26" s="20" t="s">
        <v>12</v>
      </c>
      <c r="O26" s="148">
        <f>ROUND(O25/J26,3)</f>
        <v>1.0620000000000001</v>
      </c>
      <c r="P26" s="113" t="s">
        <v>88</v>
      </c>
    </row>
    <row r="27" spans="1:27" s="16" customFormat="1" ht="12" thickTop="1" x14ac:dyDescent="0.2">
      <c r="B27" s="14"/>
      <c r="C27" s="20"/>
      <c r="D27" s="14"/>
      <c r="E27" s="14"/>
      <c r="F27" s="14"/>
      <c r="G27" s="14"/>
      <c r="H27" s="14"/>
      <c r="I27" s="14"/>
      <c r="J27" s="14"/>
      <c r="K27" s="14"/>
      <c r="O27" s="149">
        <f>+J22</f>
        <v>1729</v>
      </c>
      <c r="P27" s="113" t="s">
        <v>89</v>
      </c>
    </row>
    <row r="28" spans="1:27" s="16" customFormat="1" ht="11.25" x14ac:dyDescent="0.2">
      <c r="B28" s="14"/>
      <c r="C28" s="14"/>
      <c r="D28" s="14"/>
      <c r="E28" s="14"/>
      <c r="F28" s="14"/>
      <c r="G28" s="14"/>
      <c r="H28" s="14"/>
      <c r="I28" s="14"/>
      <c r="J28" s="14"/>
      <c r="K28" s="14"/>
      <c r="O28" s="113"/>
      <c r="P28" s="113" t="s">
        <v>90</v>
      </c>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6">
        <f>+D26</f>
        <v>10973.132219286996</v>
      </c>
      <c r="H31" s="20" t="s">
        <v>10</v>
      </c>
      <c r="I31" s="14"/>
      <c r="J31" s="14"/>
      <c r="K31" s="14"/>
    </row>
    <row r="32" spans="1:27" s="13" customFormat="1" ht="11.25" x14ac:dyDescent="0.2">
      <c r="A32" s="33"/>
      <c r="B32" s="31"/>
      <c r="C32" s="14"/>
      <c r="D32" s="14"/>
      <c r="E32" s="14"/>
      <c r="F32" s="14"/>
      <c r="G32" s="14"/>
      <c r="H32" s="20"/>
      <c r="I32" s="14"/>
      <c r="J32" s="14"/>
      <c r="K32" s="14"/>
      <c r="O32" s="16">
        <f>12*O27*O26</f>
        <v>22034.376</v>
      </c>
      <c r="P32" s="13" t="s">
        <v>91</v>
      </c>
      <c r="W32" s="14"/>
      <c r="X32" s="16"/>
      <c r="Y32" s="16"/>
      <c r="AA32" s="14"/>
    </row>
    <row r="33" spans="2:27" s="16" customFormat="1" ht="11.25" x14ac:dyDescent="0.2">
      <c r="B33" s="14" t="s">
        <v>105</v>
      </c>
      <c r="C33" s="14"/>
      <c r="D33" s="14"/>
      <c r="E33" s="14"/>
      <c r="F33" s="34">
        <v>0.52</v>
      </c>
      <c r="G33" s="14"/>
      <c r="H33" s="14"/>
      <c r="I33" s="14"/>
      <c r="J33" s="14"/>
      <c r="K33" s="14"/>
      <c r="O33" s="16">
        <f>12*O27*G56</f>
        <v>11018.532601506298</v>
      </c>
      <c r="P33" s="16" t="s">
        <v>92</v>
      </c>
    </row>
    <row r="34" spans="2:27" s="16" customFormat="1" ht="11.25" x14ac:dyDescent="0.2">
      <c r="B34" s="14"/>
      <c r="C34" s="14" t="str">
        <f>"Customers from "&amp;TEXT($A$8,"mm/yy")&amp;" - "&amp;TEXT($A$10,"mm/yy")</f>
        <v>Customers from 05/16 - 07/16</v>
      </c>
      <c r="D34" s="14"/>
      <c r="E34" s="14"/>
      <c r="F34" s="14">
        <f>+B12</f>
        <v>5114.49</v>
      </c>
      <c r="G34" s="20" t="s">
        <v>8</v>
      </c>
      <c r="H34" s="14"/>
      <c r="I34" s="14"/>
      <c r="J34" s="14"/>
      <c r="K34" s="14"/>
      <c r="O34" s="150">
        <f>+O33/O32</f>
        <v>0.50006102289923249</v>
      </c>
    </row>
    <row r="35" spans="2:27" s="16" customFormat="1" ht="11.25" x14ac:dyDescent="0.2">
      <c r="B35" s="14"/>
      <c r="C35" s="14" t="s">
        <v>16</v>
      </c>
      <c r="D35" s="14"/>
      <c r="E35" s="14"/>
      <c r="F35" s="22">
        <f>F33*B12</f>
        <v>2659.5347999999999</v>
      </c>
      <c r="G35" s="20"/>
      <c r="H35" s="14"/>
      <c r="I35" s="14"/>
      <c r="J35" s="34"/>
      <c r="K35" s="14"/>
    </row>
    <row r="36" spans="2:27" s="16" customFormat="1" ht="11.25" x14ac:dyDescent="0.2">
      <c r="B36" s="14"/>
      <c r="C36" s="14"/>
      <c r="D36" s="14"/>
      <c r="E36" s="14"/>
      <c r="F36" s="35"/>
      <c r="G36" s="20"/>
      <c r="H36" s="14"/>
      <c r="I36" s="14"/>
      <c r="J36" s="14"/>
      <c r="K36" s="14"/>
    </row>
    <row r="37" spans="2:27" s="16" customFormat="1" ht="11.25" x14ac:dyDescent="0.2">
      <c r="B37" s="14" t="s">
        <v>105</v>
      </c>
      <c r="C37" s="14"/>
      <c r="D37" s="14"/>
      <c r="E37" s="14"/>
      <c r="F37" s="162">
        <v>0.55000000000000004</v>
      </c>
      <c r="G37" s="14"/>
      <c r="H37" s="14"/>
      <c r="I37" s="14"/>
      <c r="J37" s="14"/>
      <c r="K37" s="14"/>
    </row>
    <row r="38" spans="2:27" s="16" customFormat="1" ht="11.25" x14ac:dyDescent="0.2">
      <c r="B38" s="14"/>
      <c r="C38" s="14" t="str">
        <f>"Customers from "&amp;TEXT($A$14,"mm/yy")&amp;" - "&amp;TEXT($A$22,"mm/yy")</f>
        <v>Customers from 08/16 - 04/17</v>
      </c>
      <c r="D38" s="14"/>
      <c r="E38" s="14"/>
      <c r="F38" s="14">
        <f>+B26-F34</f>
        <v>15547.609999999999</v>
      </c>
      <c r="G38" s="20" t="s">
        <v>9</v>
      </c>
      <c r="H38" s="14"/>
      <c r="I38" s="14"/>
      <c r="J38" s="14"/>
      <c r="K38" s="14"/>
    </row>
    <row r="39" spans="2:27" s="16" customFormat="1" ht="11.25" x14ac:dyDescent="0.2">
      <c r="B39" s="14"/>
      <c r="C39" s="14" t="s">
        <v>16</v>
      </c>
      <c r="D39" s="14"/>
      <c r="E39" s="14"/>
      <c r="F39" s="22">
        <f>F37*F38</f>
        <v>8551.1854999999996</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8">
        <f>+F35+F39</f>
        <v>11210.720299999999</v>
      </c>
      <c r="G41" s="331">
        <f>+F41</f>
        <v>11210.720299999999</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106</v>
      </c>
      <c r="G44" s="57">
        <f>+G31-G41</f>
        <v>-237.58808071300336</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tr">
        <f>$K$22+1&amp;" Recycle Adjustment Calculation"</f>
        <v>2018 Recycle Adjustment Calculation</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tr">
        <f>$K$10&amp;"/"&amp;$K$22&amp;" True-up Computation"</f>
        <v>2016/2017 True-up Computation</v>
      </c>
      <c r="C49" s="14"/>
      <c r="D49" s="14"/>
      <c r="E49" s="14"/>
      <c r="F49" s="14"/>
      <c r="G49" s="14"/>
      <c r="H49" s="14"/>
      <c r="I49" s="14"/>
      <c r="J49" s="14"/>
      <c r="K49" s="14"/>
    </row>
    <row r="50" spans="1:25" s="16" customFormat="1" ht="11.25" x14ac:dyDescent="0.2">
      <c r="B50" s="14"/>
      <c r="C50" s="14"/>
      <c r="D50" s="14"/>
      <c r="E50" s="14"/>
      <c r="F50" s="32" t="s">
        <v>20</v>
      </c>
      <c r="G50" s="14">
        <f>+J26</f>
        <v>20662.099999999999</v>
      </c>
      <c r="H50" s="20" t="s">
        <v>12</v>
      </c>
      <c r="I50" s="14"/>
      <c r="J50" s="14"/>
      <c r="K50" s="14"/>
    </row>
    <row r="51" spans="1:25" s="16" customFormat="1" ht="11.25" x14ac:dyDescent="0.2">
      <c r="B51" s="14"/>
      <c r="C51" s="14"/>
      <c r="D51" s="14"/>
      <c r="E51" s="14"/>
      <c r="F51" s="32" t="s">
        <v>18</v>
      </c>
      <c r="G51" s="16">
        <f>+G44</f>
        <v>-237.58808071300336</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81</v>
      </c>
      <c r="G53" s="39">
        <f>ROUND(G51/G50,3)</f>
        <v>-1.0999999999999999E-2</v>
      </c>
      <c r="H53" s="14"/>
      <c r="I53" s="23">
        <f>+G53</f>
        <v>-1.0999999999999999E-2</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tr">
        <f>$K$22+1&amp;" Projected Credit"</f>
        <v>2018 Projected Credit</v>
      </c>
      <c r="C55" s="14"/>
      <c r="D55" s="14"/>
      <c r="E55" s="14"/>
      <c r="F55" s="32"/>
      <c r="G55" s="14"/>
      <c r="H55" s="14"/>
      <c r="I55" s="23"/>
      <c r="J55" s="14"/>
      <c r="K55" s="14"/>
      <c r="L55" s="151" t="s">
        <v>93</v>
      </c>
    </row>
    <row r="56" spans="1:25" s="16" customFormat="1" ht="12" thickBot="1" x14ac:dyDescent="0.25">
      <c r="B56" s="31"/>
      <c r="C56" s="14"/>
      <c r="D56" s="14"/>
      <c r="E56" s="14"/>
      <c r="F56" s="32" t="s">
        <v>107</v>
      </c>
      <c r="G56" s="163">
        <f>+F26/'Value MF'!P18*L56</f>
        <v>0.53106480631898489</v>
      </c>
      <c r="H56" s="14"/>
      <c r="I56" s="16">
        <f>+G56</f>
        <v>0.53106480631898489</v>
      </c>
      <c r="J56" s="20" t="s">
        <v>11</v>
      </c>
      <c r="K56" s="14"/>
      <c r="L56" s="164">
        <f>+'[10]WUTC_AW of Kent_MF'!$O$56</f>
        <v>0.5</v>
      </c>
    </row>
    <row r="57" spans="1:25" s="14" customFormat="1" ht="12" thickTop="1" x14ac:dyDescent="0.2">
      <c r="B57" s="31"/>
      <c r="I57" s="23"/>
      <c r="X57" s="16"/>
      <c r="Y57" s="16"/>
    </row>
    <row r="58" spans="1:25" s="16" customFormat="1" ht="12" thickBot="1" x14ac:dyDescent="0.25">
      <c r="B58" s="14"/>
      <c r="C58" s="14"/>
      <c r="D58" s="14"/>
      <c r="E58" s="14"/>
      <c r="F58" s="14"/>
      <c r="G58" s="32" t="str">
        <f>$K$22+1&amp;" Adjusted Credit"</f>
        <v>2018 Adjusted Credit</v>
      </c>
      <c r="H58" s="27"/>
      <c r="I58" s="28">
        <f>ROUND(+I53+I56,2)</f>
        <v>0.52</v>
      </c>
      <c r="J58" s="14"/>
      <c r="K58" s="14"/>
    </row>
    <row r="59" spans="1:25" s="16" customFormat="1" ht="12" thickTop="1" x14ac:dyDescent="0.2">
      <c r="I59" s="23"/>
    </row>
    <row r="60" spans="1:25" s="16" customFormat="1" ht="11.25" x14ac:dyDescent="0.2">
      <c r="G60" s="139" t="s">
        <v>108</v>
      </c>
      <c r="I60" s="16">
        <f>+I58*3.5</f>
        <v>1.82</v>
      </c>
    </row>
    <row r="61" spans="1:25" s="16" customFormat="1" ht="11.25" x14ac:dyDescent="0.2">
      <c r="A61" s="113"/>
      <c r="B61" s="113"/>
      <c r="C61" s="113"/>
      <c r="D61" s="113"/>
      <c r="E61" s="113"/>
      <c r="F61" s="113"/>
      <c r="G61" s="139" t="s">
        <v>109</v>
      </c>
      <c r="I61" s="16">
        <f>I58*5</f>
        <v>2.6</v>
      </c>
    </row>
    <row r="62" spans="1:25" s="16" customFormat="1" ht="10.5" customHeight="1" x14ac:dyDescent="0.2">
      <c r="A62" s="165"/>
      <c r="B62" s="166"/>
      <c r="C62" s="167"/>
      <c r="D62" s="167"/>
      <c r="E62" s="167"/>
      <c r="F62" s="168"/>
      <c r="G62" s="139"/>
    </row>
    <row r="63" spans="1:25" s="16" customFormat="1" ht="11.25" hidden="1" x14ac:dyDescent="0.2">
      <c r="A63" s="147"/>
      <c r="B63" s="168"/>
      <c r="C63" s="168"/>
      <c r="D63" s="168"/>
      <c r="E63" s="168"/>
      <c r="F63" s="168"/>
      <c r="G63" s="139" t="s">
        <v>84</v>
      </c>
      <c r="I63" s="140">
        <v>43980.831157862587</v>
      </c>
      <c r="J63" s="44"/>
      <c r="K63" s="44"/>
      <c r="Y63" s="14"/>
    </row>
    <row r="64" spans="1:25" s="16" customFormat="1" ht="11.25" hidden="1" x14ac:dyDescent="0.2">
      <c r="G64" s="139" t="s">
        <v>110</v>
      </c>
      <c r="I64" s="140">
        <v>6170.1583742714593</v>
      </c>
    </row>
    <row r="65" spans="1:27" s="14" customFormat="1" ht="11.25" x14ac:dyDescent="0.2">
      <c r="A65" s="116"/>
      <c r="B65" s="117"/>
      <c r="C65" s="35"/>
      <c r="D65" s="113"/>
      <c r="E65" s="35"/>
      <c r="F65" s="113"/>
      <c r="G65" s="16"/>
      <c r="H65" s="16"/>
      <c r="I65" s="16"/>
      <c r="X65" s="16"/>
      <c r="Y65" s="16"/>
    </row>
    <row r="66" spans="1:27" s="16" customFormat="1" ht="11.25" x14ac:dyDescent="0.2">
      <c r="A66" s="116"/>
      <c r="B66" s="35"/>
      <c r="C66" s="35"/>
      <c r="D66" s="113"/>
      <c r="E66" s="35"/>
      <c r="F66" s="113"/>
      <c r="G66" s="139" t="s">
        <v>111</v>
      </c>
      <c r="I66" s="286">
        <f>'[12]2016-2017'!$E$6</f>
        <v>7058.1480000000001</v>
      </c>
    </row>
    <row r="67" spans="1:27" s="16" customFormat="1" ht="11.25" x14ac:dyDescent="0.2">
      <c r="A67" s="116"/>
      <c r="B67" s="35"/>
      <c r="C67" s="118"/>
      <c r="D67" s="113"/>
      <c r="E67" s="35"/>
      <c r="F67" s="113"/>
      <c r="G67" s="14"/>
      <c r="H67" s="14"/>
      <c r="I67" s="14"/>
    </row>
    <row r="68" spans="1:27" s="16" customFormat="1" ht="11.25" x14ac:dyDescent="0.2">
      <c r="A68" s="116"/>
      <c r="B68" s="35"/>
      <c r="C68" s="35"/>
      <c r="D68" s="113"/>
      <c r="E68" s="35"/>
      <c r="F68" s="113"/>
      <c r="G68" s="139" t="s">
        <v>112</v>
      </c>
      <c r="I68" s="330">
        <f>I66/(G50)</f>
        <v>0.3415987726320171</v>
      </c>
    </row>
    <row r="69" spans="1:27" s="16" customFormat="1" ht="11.25" x14ac:dyDescent="0.2">
      <c r="A69" s="116"/>
      <c r="B69" s="117"/>
      <c r="C69" s="35"/>
      <c r="D69" s="113"/>
      <c r="E69" s="35"/>
      <c r="F69" s="113"/>
    </row>
    <row r="70" spans="1:27" s="16" customFormat="1" ht="12" thickBot="1" x14ac:dyDescent="0.25">
      <c r="A70" s="116"/>
      <c r="B70" s="117"/>
      <c r="C70" s="35"/>
      <c r="D70" s="113"/>
      <c r="E70" s="35"/>
      <c r="F70" s="113"/>
      <c r="G70" s="32" t="str">
        <f>$K$22+1&amp;" Net Credit"</f>
        <v>2018 Net Credit</v>
      </c>
      <c r="H70" s="27"/>
      <c r="I70" s="329">
        <f>I58+I68</f>
        <v>0.86159877263201712</v>
      </c>
    </row>
    <row r="71" spans="1:27" s="16" customFormat="1" ht="12" thickTop="1" x14ac:dyDescent="0.2">
      <c r="A71" s="116"/>
      <c r="B71" s="117"/>
      <c r="C71" s="35"/>
      <c r="D71" s="113"/>
      <c r="E71" s="35"/>
      <c r="F71" s="113"/>
      <c r="Y71" s="14"/>
    </row>
    <row r="72" spans="1:27" s="16" customFormat="1" ht="11.25" x14ac:dyDescent="0.2">
      <c r="A72" s="116"/>
      <c r="B72" s="117"/>
      <c r="C72" s="35"/>
      <c r="D72" s="113"/>
      <c r="E72" s="35"/>
      <c r="F72" s="113"/>
      <c r="G72" s="139" t="s">
        <v>108</v>
      </c>
      <c r="I72" s="16">
        <f>+I70*3.5</f>
        <v>3.01559570421206</v>
      </c>
    </row>
    <row r="73" spans="1:27" s="16" customFormat="1" ht="11.25" x14ac:dyDescent="0.2">
      <c r="A73" s="116"/>
      <c r="B73" s="117"/>
      <c r="C73" s="35"/>
      <c r="D73" s="113"/>
      <c r="E73" s="35"/>
      <c r="F73" s="113"/>
      <c r="G73" s="139" t="s">
        <v>109</v>
      </c>
      <c r="I73" s="16">
        <f>I70*5</f>
        <v>4.3079938631600854</v>
      </c>
    </row>
    <row r="74" spans="1:27" s="16" customFormat="1" ht="11.25" x14ac:dyDescent="0.2">
      <c r="A74" s="116"/>
      <c r="B74" s="117"/>
      <c r="C74" s="35"/>
      <c r="D74" s="113"/>
      <c r="E74" s="35"/>
      <c r="F74" s="113"/>
    </row>
    <row r="75" spans="1:27" s="16" customFormat="1" ht="11.25" x14ac:dyDescent="0.2">
      <c r="A75" s="116"/>
      <c r="B75" s="117"/>
      <c r="C75" s="35"/>
      <c r="D75" s="113"/>
      <c r="E75" s="35"/>
      <c r="F75" s="113"/>
      <c r="G75" s="14"/>
      <c r="H75" s="13"/>
      <c r="I75" s="14"/>
      <c r="J75" s="14"/>
      <c r="K75" s="13"/>
      <c r="L75" s="14"/>
      <c r="M75" s="14"/>
      <c r="N75" s="14"/>
      <c r="O75" s="14"/>
      <c r="P75" s="14"/>
      <c r="Q75" s="14"/>
      <c r="R75" s="14"/>
      <c r="S75" s="14"/>
      <c r="T75" s="14"/>
      <c r="U75" s="14"/>
      <c r="V75" s="13"/>
      <c r="W75" s="14"/>
      <c r="AA75" s="14"/>
    </row>
    <row r="76" spans="1:27" s="16" customFormat="1" ht="11.25" x14ac:dyDescent="0.2">
      <c r="A76" s="116"/>
      <c r="B76" s="117"/>
      <c r="C76" s="35"/>
      <c r="D76" s="113"/>
      <c r="E76" s="35"/>
      <c r="F76" s="113"/>
    </row>
    <row r="77" spans="1:27" s="16" customFormat="1" ht="11.25" x14ac:dyDescent="0.2">
      <c r="A77" s="116"/>
      <c r="B77" s="117"/>
      <c r="C77" s="35"/>
      <c r="D77" s="113"/>
      <c r="E77" s="35"/>
      <c r="F77" s="113"/>
    </row>
    <row r="78" spans="1:27" s="16" customFormat="1" ht="11.25" x14ac:dyDescent="0.2">
      <c r="A78" s="116"/>
      <c r="B78" s="35"/>
      <c r="C78" s="35"/>
      <c r="D78" s="113"/>
      <c r="E78" s="35"/>
      <c r="F78" s="113"/>
    </row>
    <row r="79" spans="1:27" s="16" customFormat="1" ht="11.25" x14ac:dyDescent="0.2">
      <c r="A79" s="116"/>
      <c r="B79" s="35"/>
      <c r="C79" s="118"/>
      <c r="D79" s="113"/>
      <c r="E79" s="35"/>
      <c r="F79" s="113"/>
    </row>
    <row r="80" spans="1:27" s="16" customFormat="1" x14ac:dyDescent="0.2">
      <c r="A80" s="120"/>
      <c r="B80" s="120"/>
      <c r="C80" s="120"/>
      <c r="D80" s="121"/>
      <c r="E80" s="120"/>
      <c r="F80" s="120"/>
      <c r="Y80" s="14"/>
    </row>
    <row r="81" spans="1:27" s="16" customFormat="1" ht="11.25" x14ac:dyDescent="0.2">
      <c r="A81" s="122"/>
      <c r="B81" s="35"/>
      <c r="C81" s="118"/>
      <c r="D81" s="113"/>
      <c r="E81" s="118"/>
      <c r="F81" s="123"/>
    </row>
    <row r="82" spans="1:27" s="16" customFormat="1" ht="11.25" x14ac:dyDescent="0.2"/>
    <row r="83" spans="1:27" s="16" customFormat="1" ht="11.25" x14ac:dyDescent="0.2"/>
    <row r="84" spans="1:27" s="16" customFormat="1" ht="11.25" x14ac:dyDescent="0.2">
      <c r="B84" s="8"/>
    </row>
    <row r="85" spans="1:27" s="14" customFormat="1" ht="11.25" x14ac:dyDescent="0.2">
      <c r="B85" s="31"/>
      <c r="X85" s="16"/>
      <c r="Y85" s="16"/>
    </row>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row r="94" spans="1:27" s="16" customFormat="1" ht="11.25" x14ac:dyDescent="0.2">
      <c r="A94" s="6"/>
    </row>
    <row r="95" spans="1:27" s="16" customFormat="1" x14ac:dyDescent="0.2">
      <c r="AA95" s="5"/>
    </row>
    <row r="96" spans="1:27" s="16" customFormat="1" x14ac:dyDescent="0.2">
      <c r="AA96" s="5"/>
    </row>
    <row r="97" spans="7:27" s="16" customFormat="1" x14ac:dyDescent="0.2">
      <c r="AA97" s="5"/>
    </row>
    <row r="98" spans="7:27" s="16" customFormat="1" x14ac:dyDescent="0.2">
      <c r="AA98" s="5"/>
    </row>
    <row r="99" spans="7:27" s="16" customFormat="1" x14ac:dyDescent="0.2">
      <c r="G99" s="56"/>
      <c r="I99" s="56"/>
      <c r="J99" s="56"/>
      <c r="L99" s="56"/>
      <c r="M99" s="56"/>
      <c r="N99" s="56"/>
      <c r="O99" s="56"/>
      <c r="P99" s="56"/>
      <c r="Q99" s="56"/>
      <c r="R99" s="56"/>
      <c r="S99" s="56"/>
      <c r="T99" s="56"/>
      <c r="U99" s="56"/>
      <c r="V99" s="56"/>
      <c r="W99" s="56"/>
      <c r="X99" s="56"/>
      <c r="Y99" s="56"/>
      <c r="AA99" s="5"/>
    </row>
    <row r="100" spans="7:27" s="16" customFormat="1" x14ac:dyDescent="0.2">
      <c r="AA100" s="5"/>
    </row>
    <row r="101" spans="7:27" s="16" customFormat="1" ht="13.5" thickBot="1" x14ac:dyDescent="0.25">
      <c r="G101" s="57"/>
      <c r="I101" s="57"/>
      <c r="J101" s="57"/>
      <c r="L101" s="57"/>
      <c r="M101" s="57"/>
      <c r="N101" s="57"/>
      <c r="O101" s="57"/>
      <c r="P101" s="57"/>
      <c r="Q101" s="57"/>
      <c r="R101" s="57"/>
      <c r="S101" s="57"/>
      <c r="T101" s="57"/>
      <c r="U101" s="57"/>
      <c r="V101" s="57"/>
      <c r="W101" s="57"/>
      <c r="X101" s="57"/>
      <c r="Y101" s="57"/>
      <c r="AA101" s="5"/>
    </row>
    <row r="102" spans="7:27" ht="13.5" thickTop="1" x14ac:dyDescent="0.2"/>
    <row r="103" spans="7:27" x14ac:dyDescent="0.2">
      <c r="W103" s="58"/>
      <c r="X103" s="58"/>
      <c r="Y103" s="58"/>
    </row>
    <row r="104" spans="7:27" x14ac:dyDescent="0.2">
      <c r="W104" s="58"/>
      <c r="AA104" s="58"/>
    </row>
  </sheetData>
  <printOptions horizontalCentered="1"/>
  <pageMargins left="0" right="0" top="0.26" bottom="0.33" header="0" footer="0"/>
  <pageSetup scale="58" orientation="portrait" horizontalDpi="4294967292" verticalDpi="4294967292" r:id="rId1"/>
  <headerFooter alignWithMargins="0">
    <oddFooter>&amp;R&amp;"Helv,Regular"&amp;6\\SERVER1\DPUBLIC\EXCEL\WUTC\&amp;F, &amp;A, &amp;D, &amp;T, Page &amp;P of &amp;N</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118"/>
  <sheetViews>
    <sheetView showGridLines="0" zoomScaleNormal="100" workbookViewId="0">
      <selection activeCell="L26" sqref="L26"/>
    </sheetView>
  </sheetViews>
  <sheetFormatPr defaultRowHeight="12.75" x14ac:dyDescent="0.2"/>
  <cols>
    <col min="1" max="1" width="8.140625" style="195" customWidth="1"/>
    <col min="2" max="2" width="2.140625" style="195" customWidth="1"/>
    <col min="3" max="13" width="11.7109375" style="195" customWidth="1"/>
    <col min="14" max="14" width="2.85546875" style="195" customWidth="1"/>
    <col min="15" max="15" width="9" style="287" bestFit="1" customWidth="1"/>
    <col min="16" max="16" width="15.85546875" style="195" customWidth="1"/>
    <col min="17" max="17" width="10.28515625" style="195" bestFit="1" customWidth="1"/>
    <col min="18" max="16384" width="9.140625" style="195"/>
  </cols>
  <sheetData>
    <row r="1" spans="1:18" x14ac:dyDescent="0.2">
      <c r="A1" s="305" t="s">
        <v>46</v>
      </c>
      <c r="B1" s="304"/>
    </row>
    <row r="2" spans="1:18" x14ac:dyDescent="0.2">
      <c r="A2" s="303" t="str">
        <f>'WUTC_AW of Bellevue_MF (2)'!A1</f>
        <v>Rabanco Ltd (dba Allied Waste of Bellevue)</v>
      </c>
      <c r="B2" s="303"/>
    </row>
    <row r="3" spans="1:18" x14ac:dyDescent="0.2">
      <c r="B3" s="302"/>
    </row>
    <row r="4" spans="1:18" x14ac:dyDescent="0.2">
      <c r="B4" s="302"/>
      <c r="C4" s="302"/>
      <c r="D4" s="302"/>
      <c r="E4" s="302"/>
      <c r="F4" s="302"/>
      <c r="G4" s="302"/>
      <c r="H4" s="302"/>
      <c r="I4" s="302"/>
      <c r="J4" s="302"/>
      <c r="K4" s="302"/>
      <c r="L4" s="302"/>
      <c r="M4" s="302"/>
      <c r="O4" s="301" t="str">
        <f>+TEXT(P18,"00.0%")&amp;" of"</f>
        <v>50.0% of</v>
      </c>
    </row>
    <row r="5" spans="1:18" x14ac:dyDescent="0.2">
      <c r="B5" s="302"/>
      <c r="C5" s="300" t="s">
        <v>21</v>
      </c>
      <c r="D5" s="300" t="s">
        <v>22</v>
      </c>
      <c r="E5" s="300" t="s">
        <v>33</v>
      </c>
      <c r="F5" s="300" t="s">
        <v>23</v>
      </c>
      <c r="G5" s="300" t="s">
        <v>24</v>
      </c>
      <c r="H5" s="300" t="s">
        <v>25</v>
      </c>
      <c r="I5" s="300" t="s">
        <v>26</v>
      </c>
      <c r="J5" s="300" t="s">
        <v>27</v>
      </c>
      <c r="K5" s="300" t="s">
        <v>28</v>
      </c>
      <c r="L5" s="300" t="s">
        <v>29</v>
      </c>
      <c r="M5" s="300" t="s">
        <v>30</v>
      </c>
      <c r="O5" s="301" t="s">
        <v>30</v>
      </c>
      <c r="P5" s="300" t="s">
        <v>96</v>
      </c>
      <c r="Q5" s="299" t="s">
        <v>97</v>
      </c>
    </row>
    <row r="6" spans="1:18" ht="15.75" customHeight="1" x14ac:dyDescent="0.2">
      <c r="A6" s="298">
        <f>+'Pricing MF'!A4</f>
        <v>42491</v>
      </c>
      <c r="B6" s="302"/>
      <c r="C6" s="291">
        <f>'Commodity Tonnages MF'!C6*'Pricing MF'!C4</f>
        <v>156.74715</v>
      </c>
      <c r="D6" s="297">
        <f>'Commodity Tonnages MF'!D6*'Pricing MF'!D4</f>
        <v>-10.186862400000003</v>
      </c>
      <c r="E6" s="297">
        <f>'Commodity Tonnages MF'!E6*'Pricing MF'!E4</f>
        <v>0</v>
      </c>
      <c r="F6" s="297">
        <f>'Commodity Tonnages MF'!F6*'Pricing MF'!F4</f>
        <v>31.947740550000006</v>
      </c>
      <c r="G6" s="297">
        <f>'Commodity Tonnages MF'!G6*'Pricing MF'!G4</f>
        <v>368.98436250000003</v>
      </c>
      <c r="H6" s="297">
        <f>'Commodity Tonnages MF'!H6*'Pricing MF'!H4</f>
        <v>584.73061595999991</v>
      </c>
      <c r="I6" s="297">
        <f>'Commodity Tonnages MF'!I6*'Pricing MF'!I4</f>
        <v>78.669783900000013</v>
      </c>
      <c r="J6" s="297">
        <f>'Commodity Tonnages MF'!J6*'Pricing MF'!J4</f>
        <v>78.669783900000013</v>
      </c>
      <c r="K6" s="297">
        <f>'Commodity Tonnages MF'!K6*'Pricing MF'!K4</f>
        <v>409.76769239999999</v>
      </c>
      <c r="L6" s="297">
        <f>'Commodity Tonnages MF'!L6*'Pricing MF'!L4</f>
        <v>-186.63206139000042</v>
      </c>
      <c r="M6" s="296">
        <f t="shared" ref="M6:M18" si="0">SUM(C6:L6)</f>
        <v>1512.6982054199998</v>
      </c>
      <c r="O6" s="98">
        <f t="shared" ref="O6:O16" si="1">+M6-Q6</f>
        <v>756.33100541999977</v>
      </c>
      <c r="P6" s="155">
        <f t="shared" ref="P6:P17" si="2">IFERROR(O6/M6,0)</f>
        <v>0.49998803641735323</v>
      </c>
      <c r="Q6" s="156">
        <v>756.36720000000003</v>
      </c>
      <c r="R6" s="170"/>
    </row>
    <row r="7" spans="1:18" ht="15.75" customHeight="1" x14ac:dyDescent="0.2">
      <c r="A7" s="298">
        <f>+'Pricing MF'!A5</f>
        <v>42551</v>
      </c>
      <c r="B7" s="302"/>
      <c r="C7" s="291">
        <f>'Commodity Tonnages MF'!C7*'Pricing MF'!C5</f>
        <v>158.97160499999998</v>
      </c>
      <c r="D7" s="297">
        <f>'Commodity Tonnages MF'!D7*'Pricing MF'!D5</f>
        <v>-37.585593760000002</v>
      </c>
      <c r="E7" s="297">
        <f>'Commodity Tonnages MF'!E7*'Pricing MF'!E5</f>
        <v>0</v>
      </c>
      <c r="F7" s="297">
        <f>'Commodity Tonnages MF'!F7*'Pricing MF'!F5</f>
        <v>29.148537000000005</v>
      </c>
      <c r="G7" s="297">
        <f>'Commodity Tonnages MF'!G7*'Pricing MF'!G5</f>
        <v>401.43647699999997</v>
      </c>
      <c r="H7" s="297">
        <f>'Commodity Tonnages MF'!H7*'Pricing MF'!H5</f>
        <v>630.41373011999985</v>
      </c>
      <c r="I7" s="297">
        <f>'Commodity Tonnages MF'!I7*'Pricing MF'!I5</f>
        <v>79.105471049999991</v>
      </c>
      <c r="J7" s="297">
        <f>'Commodity Tonnages MF'!J7*'Pricing MF'!J5</f>
        <v>79.105471049999991</v>
      </c>
      <c r="K7" s="297">
        <f>'Commodity Tonnages MF'!K7*'Pricing MF'!K5</f>
        <v>438.30057743999998</v>
      </c>
      <c r="L7" s="297">
        <f>'Commodity Tonnages MF'!L7*'Pricing MF'!L5</f>
        <v>-193.97192482000042</v>
      </c>
      <c r="M7" s="296">
        <f t="shared" si="0"/>
        <v>1584.9243500799994</v>
      </c>
      <c r="O7" s="98">
        <f t="shared" si="1"/>
        <v>792.41405007999947</v>
      </c>
      <c r="P7" s="155">
        <f t="shared" si="2"/>
        <v>0.49996963579996873</v>
      </c>
      <c r="Q7" s="156">
        <v>792.51029999999992</v>
      </c>
      <c r="R7" s="170"/>
    </row>
    <row r="8" spans="1:18" ht="15.75" customHeight="1" x14ac:dyDescent="0.2">
      <c r="A8" s="298">
        <f>+'Pricing MF'!A6</f>
        <v>42582</v>
      </c>
      <c r="B8" s="288"/>
      <c r="C8" s="291">
        <f>'Commodity Tonnages MF'!C8*'Pricing MF'!C6</f>
        <v>134.61525</v>
      </c>
      <c r="D8" s="297">
        <f>'Commodity Tonnages MF'!D8*'Pricing MF'!D6</f>
        <v>-32.795162399999995</v>
      </c>
      <c r="E8" s="297">
        <f>'Commodity Tonnages MF'!E8*'Pricing MF'!E6</f>
        <v>0</v>
      </c>
      <c r="F8" s="297">
        <f>'Commodity Tonnages MF'!F8*'Pricing MF'!F6</f>
        <v>22.2324795</v>
      </c>
      <c r="G8" s="297">
        <f>'Commodity Tonnages MF'!G8*'Pricing MF'!G6</f>
        <v>376.57619999999997</v>
      </c>
      <c r="H8" s="297">
        <f>'Commodity Tonnages MF'!H8*'Pricing MF'!H6</f>
        <v>581.08294860000001</v>
      </c>
      <c r="I8" s="297">
        <f>'Commodity Tonnages MF'!I8*'Pricing MF'!I6</f>
        <v>69.704353949999998</v>
      </c>
      <c r="J8" s="297">
        <f>'Commodity Tonnages MF'!J8*'Pricing MF'!J6</f>
        <v>69.704353949999998</v>
      </c>
      <c r="K8" s="297">
        <f>'Commodity Tonnages MF'!K8*'Pricing MF'!K6</f>
        <v>417.89895840000003</v>
      </c>
      <c r="L8" s="297">
        <f>'Commodity Tonnages MF'!L8*'Pricing MF'!L6</f>
        <v>-164.61247110000036</v>
      </c>
      <c r="M8" s="296">
        <f t="shared" si="0"/>
        <v>1474.4069108999997</v>
      </c>
      <c r="O8" s="98">
        <f t="shared" si="1"/>
        <v>737.17041089999975</v>
      </c>
      <c r="P8" s="155">
        <f t="shared" si="2"/>
        <v>0.49997758790347779</v>
      </c>
      <c r="Q8" s="156">
        <v>737.23649999999998</v>
      </c>
      <c r="R8" s="170"/>
    </row>
    <row r="9" spans="1:18" ht="15.75" customHeight="1" x14ac:dyDescent="0.2">
      <c r="A9" s="298">
        <f>+'Pricing MF'!A7</f>
        <v>42613</v>
      </c>
      <c r="B9" s="288"/>
      <c r="C9" s="291">
        <f>'Commodity Tonnages MF'!C9*'Pricing MF'!C7</f>
        <v>170.63235</v>
      </c>
      <c r="D9" s="297">
        <f>'Commodity Tonnages MF'!D9*'Pricing MF'!D7</f>
        <v>-7.6616633600000004</v>
      </c>
      <c r="E9" s="297">
        <f>'Commodity Tonnages MF'!E9*'Pricing MF'!E7</f>
        <v>0</v>
      </c>
      <c r="F9" s="297">
        <f>'Commodity Tonnages MF'!F9*'Pricing MF'!F7</f>
        <v>27.872088750000003</v>
      </c>
      <c r="G9" s="297">
        <f>'Commodity Tonnages MF'!G9*'Pricing MF'!G7</f>
        <v>519.08584650000012</v>
      </c>
      <c r="H9" s="297">
        <f>'Commodity Tonnages MF'!H9*'Pricing MF'!H7</f>
        <v>802.49508945999992</v>
      </c>
      <c r="I9" s="297">
        <f>'Commodity Tonnages MF'!I9*'Pricing MF'!I7</f>
        <v>83.475255789999991</v>
      </c>
      <c r="J9" s="297">
        <f>'Commodity Tonnages MF'!J9*'Pricing MF'!J7</f>
        <v>83.475255789999991</v>
      </c>
      <c r="K9" s="297">
        <f>'Commodity Tonnages MF'!K9*'Pricing MF'!K7</f>
        <v>562.71418632000007</v>
      </c>
      <c r="L9" s="297">
        <f>'Commodity Tonnages MF'!L9*'Pricing MF'!L7</f>
        <v>-203.16456931000047</v>
      </c>
      <c r="M9" s="296">
        <f t="shared" si="0"/>
        <v>2038.9238399399997</v>
      </c>
      <c r="O9" s="98">
        <f t="shared" si="1"/>
        <v>1019.4638399399996</v>
      </c>
      <c r="P9" s="155">
        <f t="shared" si="2"/>
        <v>0.50000094165851716</v>
      </c>
      <c r="Q9" s="156">
        <v>1019.46</v>
      </c>
      <c r="R9" s="170"/>
    </row>
    <row r="10" spans="1:18" ht="15.75" customHeight="1" x14ac:dyDescent="0.2">
      <c r="A10" s="298">
        <f>+'Pricing MF'!A8</f>
        <v>42643</v>
      </c>
      <c r="B10" s="288"/>
      <c r="C10" s="291">
        <f>'Commodity Tonnages MF'!C10*'Pricing MF'!C8</f>
        <v>168.28560000000002</v>
      </c>
      <c r="D10" s="297">
        <f>'Commodity Tonnages MF'!D10*'Pricing MF'!D8</f>
        <v>-29.904694560000006</v>
      </c>
      <c r="E10" s="297">
        <f>'Commodity Tonnages MF'!E10*'Pricing MF'!E8</f>
        <v>0</v>
      </c>
      <c r="F10" s="297">
        <f>'Commodity Tonnages MF'!F10*'Pricing MF'!F8</f>
        <v>27.998516700000003</v>
      </c>
      <c r="G10" s="297">
        <f>'Commodity Tonnages MF'!G10*'Pricing MF'!G8</f>
        <v>505.96439400000003</v>
      </c>
      <c r="H10" s="297">
        <f>'Commodity Tonnages MF'!H10*'Pricing MF'!H8</f>
        <v>716.62356395999996</v>
      </c>
      <c r="I10" s="297">
        <f>'Commodity Tonnages MF'!I10*'Pricing MF'!I8</f>
        <v>71.24893191000001</v>
      </c>
      <c r="J10" s="297">
        <f>'Commodity Tonnages MF'!J10*'Pricing MF'!J8</f>
        <v>71.24893191000001</v>
      </c>
      <c r="K10" s="297">
        <f>'Commodity Tonnages MF'!K10*'Pricing MF'!K8</f>
        <v>509.29438823999999</v>
      </c>
      <c r="L10" s="297">
        <f>'Commodity Tonnages MF'!L10*'Pricing MF'!L8</f>
        <v>-203.94843822000044</v>
      </c>
      <c r="M10" s="296">
        <f t="shared" si="0"/>
        <v>1836.8111939399994</v>
      </c>
      <c r="O10" s="98">
        <f t="shared" si="1"/>
        <v>918.39539393999928</v>
      </c>
      <c r="P10" s="155">
        <f t="shared" si="2"/>
        <v>0.49999444524835535</v>
      </c>
      <c r="Q10" s="156">
        <v>918.4158000000001</v>
      </c>
      <c r="R10" s="170"/>
    </row>
    <row r="11" spans="1:18" ht="15.75" customHeight="1" x14ac:dyDescent="0.2">
      <c r="A11" s="298">
        <f>+'Pricing MF'!A9</f>
        <v>42674</v>
      </c>
      <c r="B11" s="288"/>
      <c r="C11" s="291">
        <f>'Commodity Tonnages MF'!C11*'Pricing MF'!C9</f>
        <v>180.0813</v>
      </c>
      <c r="D11" s="297">
        <f>'Commodity Tonnages MF'!D11*'Pricing MF'!D9</f>
        <v>-35.079718960000008</v>
      </c>
      <c r="E11" s="297">
        <f>'Commodity Tonnages MF'!E11*'Pricing MF'!E9</f>
        <v>0</v>
      </c>
      <c r="F11" s="297">
        <f>'Commodity Tonnages MF'!F11*'Pricing MF'!F9</f>
        <v>25.601351160000004</v>
      </c>
      <c r="G11" s="297">
        <f>'Commodity Tonnages MF'!G11*'Pricing MF'!G9</f>
        <v>510.13129050000003</v>
      </c>
      <c r="H11" s="297">
        <f>'Commodity Tonnages MF'!H11*'Pricing MF'!H9</f>
        <v>727.18413892000001</v>
      </c>
      <c r="I11" s="297">
        <f>'Commodity Tonnages MF'!I11*'Pricing MF'!I9</f>
        <v>66.816150225000001</v>
      </c>
      <c r="J11" s="297">
        <f>'Commodity Tonnages MF'!J11*'Pricing MF'!J9</f>
        <v>66.816150225000001</v>
      </c>
      <c r="K11" s="297">
        <f>'Commodity Tonnages MF'!K11*'Pricing MF'!K9</f>
        <v>546.11792135999997</v>
      </c>
      <c r="L11" s="297">
        <f>'Commodity Tonnages MF'!L11*'Pricing MF'!L9</f>
        <v>-210.71821517000049</v>
      </c>
      <c r="M11" s="296">
        <f t="shared" si="0"/>
        <v>1876.9503682599995</v>
      </c>
      <c r="O11" s="98">
        <f t="shared" si="1"/>
        <v>938.54641825999954</v>
      </c>
      <c r="P11" s="155">
        <f t="shared" si="2"/>
        <v>0.50003795205840518</v>
      </c>
      <c r="Q11" s="156">
        <v>938.40395000000001</v>
      </c>
      <c r="R11" s="170"/>
    </row>
    <row r="12" spans="1:18" ht="15.75" customHeight="1" x14ac:dyDescent="0.2">
      <c r="A12" s="298">
        <f>+'Pricing MF'!A10</f>
        <v>42704</v>
      </c>
      <c r="B12" s="288"/>
      <c r="C12" s="291">
        <f>'Commodity Tonnages MF'!C12*'Pricing MF'!C10</f>
        <v>172.21237874999997</v>
      </c>
      <c r="D12" s="297">
        <f>'Commodity Tonnages MF'!D12*'Pricing MF'!D10</f>
        <v>-79.300634399999993</v>
      </c>
      <c r="E12" s="297">
        <f>'Commodity Tonnages MF'!E12*'Pricing MF'!E10</f>
        <v>0</v>
      </c>
      <c r="F12" s="297">
        <f>'Commodity Tonnages MF'!F12*'Pricing MF'!F10</f>
        <v>29.894408775000002</v>
      </c>
      <c r="G12" s="297">
        <f>'Commodity Tonnages MF'!G12*'Pricing MF'!G10</f>
        <v>489.34840500000001</v>
      </c>
      <c r="H12" s="297">
        <f>'Commodity Tonnages MF'!H12*'Pricing MF'!H10</f>
        <v>720.71792189999996</v>
      </c>
      <c r="I12" s="297">
        <f>'Commodity Tonnages MF'!I12*'Pricing MF'!I10</f>
        <v>66.006805274999991</v>
      </c>
      <c r="J12" s="297">
        <f>'Commodity Tonnages MF'!J12*'Pricing MF'!J10</f>
        <v>66.006805274999991</v>
      </c>
      <c r="K12" s="297">
        <f>'Commodity Tonnages MF'!K12*'Pricing MF'!K10</f>
        <v>541.3033494</v>
      </c>
      <c r="L12" s="297">
        <f>'Commodity Tonnages MF'!L12*'Pricing MF'!L10</f>
        <v>-195.61092345000043</v>
      </c>
      <c r="M12" s="296">
        <f t="shared" si="0"/>
        <v>1810.5785165249995</v>
      </c>
      <c r="O12" s="98">
        <f t="shared" si="1"/>
        <v>905.23851652499945</v>
      </c>
      <c r="P12" s="155">
        <f t="shared" si="2"/>
        <v>0.49997197484834976</v>
      </c>
      <c r="Q12" s="156">
        <v>905.34</v>
      </c>
      <c r="R12" s="170"/>
    </row>
    <row r="13" spans="1:18" ht="15.75" customHeight="1" x14ac:dyDescent="0.2">
      <c r="A13" s="298">
        <f>+'Pricing MF'!A11</f>
        <v>42735</v>
      </c>
      <c r="B13" s="288"/>
      <c r="C13" s="291">
        <f>'Commodity Tonnages MF'!C13*'Pricing MF'!C11</f>
        <v>211.20738817499998</v>
      </c>
      <c r="D13" s="297">
        <f>'Commodity Tonnages MF'!D13*'Pricing MF'!D11</f>
        <v>-113.63698008</v>
      </c>
      <c r="E13" s="297">
        <f>'Commodity Tonnages MF'!E13*'Pricing MF'!E11</f>
        <v>0</v>
      </c>
      <c r="F13" s="297">
        <f>'Commodity Tonnages MF'!F13*'Pricing MF'!F11</f>
        <v>36.342524294999997</v>
      </c>
      <c r="G13" s="297">
        <f>'Commodity Tonnages MF'!G13*'Pricing MF'!G11</f>
        <v>573.27841934999992</v>
      </c>
      <c r="H13" s="297">
        <f>'Commodity Tonnages MF'!H13*'Pricing MF'!H11</f>
        <v>901.90855750799994</v>
      </c>
      <c r="I13" s="297">
        <f>'Commodity Tonnages MF'!I13*'Pricing MF'!I11</f>
        <v>72.831689237999996</v>
      </c>
      <c r="J13" s="297">
        <f>'Commodity Tonnages MF'!J13*'Pricing MF'!J11</f>
        <v>72.831689237999996</v>
      </c>
      <c r="K13" s="297">
        <f>'Commodity Tonnages MF'!K13*'Pricing MF'!K11</f>
        <v>654.34170740399998</v>
      </c>
      <c r="L13" s="297">
        <f>'Commodity Tonnages MF'!L13*'Pricing MF'!L11</f>
        <v>-232.38150141000051</v>
      </c>
      <c r="M13" s="296">
        <f t="shared" si="0"/>
        <v>2176.7234937179992</v>
      </c>
      <c r="O13" s="98">
        <f t="shared" si="1"/>
        <v>1088.3634937179993</v>
      </c>
      <c r="P13" s="155">
        <f t="shared" si="2"/>
        <v>0.50000080251763934</v>
      </c>
      <c r="Q13" s="156">
        <v>1088.3599999999999</v>
      </c>
      <c r="R13" s="170"/>
    </row>
    <row r="14" spans="1:18" ht="15.75" customHeight="1" x14ac:dyDescent="0.2">
      <c r="A14" s="298">
        <f>+'Pricing MF'!A12</f>
        <v>42766</v>
      </c>
      <c r="B14" s="288"/>
      <c r="C14" s="291">
        <f>'Commodity Tonnages MF'!C14*'Pricing MF'!C12</f>
        <v>193.73102489999997</v>
      </c>
      <c r="D14" s="297">
        <f>'Commodity Tonnages MF'!D14*'Pricing MF'!D12</f>
        <v>-56.671472000000009</v>
      </c>
      <c r="E14" s="297">
        <f>'Commodity Tonnages MF'!E14*'Pricing MF'!E12</f>
        <v>0</v>
      </c>
      <c r="F14" s="297">
        <f>'Commodity Tonnages MF'!F14*'Pricing MF'!F12</f>
        <v>39.650958270000004</v>
      </c>
      <c r="G14" s="297">
        <f>'Commodity Tonnages MF'!G14*'Pricing MF'!G12</f>
        <v>534.63056010000003</v>
      </c>
      <c r="H14" s="297">
        <f>'Commodity Tonnages MF'!H14*'Pricing MF'!H12</f>
        <v>753.88417453999989</v>
      </c>
      <c r="I14" s="297">
        <f>'Commodity Tonnages MF'!I14*'Pricing MF'!I12</f>
        <v>73.246719244999994</v>
      </c>
      <c r="J14" s="297">
        <f>'Commodity Tonnages MF'!J14*'Pricing MF'!J12</f>
        <v>73.246719244999994</v>
      </c>
      <c r="K14" s="297">
        <f>'Commodity Tonnages MF'!K14*'Pricing MF'!K12</f>
        <v>620.9176493519999</v>
      </c>
      <c r="L14" s="297">
        <f>'Commodity Tonnages MF'!L14*'Pricing MF'!L12</f>
        <v>-207.65400034000047</v>
      </c>
      <c r="M14" s="296">
        <f t="shared" si="0"/>
        <v>2024.9823333119989</v>
      </c>
      <c r="O14" s="98">
        <f t="shared" si="1"/>
        <v>1012.5130333119989</v>
      </c>
      <c r="P14" s="155">
        <f t="shared" si="2"/>
        <v>0.50001079844285046</v>
      </c>
      <c r="Q14" s="156">
        <v>1012.4693</v>
      </c>
      <c r="R14" s="170"/>
    </row>
    <row r="15" spans="1:18" ht="15.75" customHeight="1" x14ac:dyDescent="0.2">
      <c r="A15" s="298">
        <f>+'Pricing MF'!A13</f>
        <v>42794</v>
      </c>
      <c r="B15" s="288"/>
      <c r="C15" s="291">
        <f>'Commodity Tonnages MF'!C15*'Pricing MF'!C13</f>
        <v>166.20829889999999</v>
      </c>
      <c r="D15" s="297">
        <f>'Commodity Tonnages MF'!D15*'Pricing MF'!D13</f>
        <v>-44.001011600000005</v>
      </c>
      <c r="E15" s="297">
        <f>'Commodity Tonnages MF'!E15*'Pricing MF'!E13</f>
        <v>0</v>
      </c>
      <c r="F15" s="297">
        <f>'Commodity Tonnages MF'!F15*'Pricing MF'!F13</f>
        <v>28.614221789999998</v>
      </c>
      <c r="G15" s="297">
        <f>'Commodity Tonnages MF'!G15*'Pricing MF'!G13</f>
        <v>511.95336465000008</v>
      </c>
      <c r="H15" s="297">
        <f>'Commodity Tonnages MF'!H15*'Pricing MF'!H13</f>
        <v>782.15049764599985</v>
      </c>
      <c r="I15" s="297">
        <f>'Commodity Tonnages MF'!I15*'Pricing MF'!I13</f>
        <v>66.21744374699999</v>
      </c>
      <c r="J15" s="297">
        <f>'Commodity Tonnages MF'!J15*'Pricing MF'!J13</f>
        <v>66.21744374699999</v>
      </c>
      <c r="K15" s="297">
        <f>'Commodity Tonnages MF'!K15*'Pricing MF'!K13</f>
        <v>594.52625786399994</v>
      </c>
      <c r="L15" s="297">
        <f>'Commodity Tonnages MF'!L15*'Pricing MF'!L13</f>
        <v>-168.10425079000038</v>
      </c>
      <c r="M15" s="296">
        <f t="shared" si="0"/>
        <v>2003.7822659539995</v>
      </c>
      <c r="O15" s="98">
        <f t="shared" si="1"/>
        <v>1001.9149659539995</v>
      </c>
      <c r="P15" s="155">
        <f t="shared" si="2"/>
        <v>0.50001189399537305</v>
      </c>
      <c r="Q15" s="156">
        <v>1001.8673</v>
      </c>
      <c r="R15" s="170"/>
    </row>
    <row r="16" spans="1:18" ht="15.75" customHeight="1" x14ac:dyDescent="0.2">
      <c r="A16" s="298">
        <f>+'Pricing MF'!A14</f>
        <v>42825</v>
      </c>
      <c r="B16" s="288"/>
      <c r="C16" s="291">
        <f>'Commodity Tonnages MF'!C16*'Pricing MF'!C14</f>
        <v>195.68839290000003</v>
      </c>
      <c r="D16" s="297">
        <f>'Commodity Tonnages MF'!D16*'Pricing MF'!D14</f>
        <v>-50.150168640000011</v>
      </c>
      <c r="E16" s="297">
        <f>'Commodity Tonnages MF'!E16*'Pricing MF'!E14</f>
        <v>0</v>
      </c>
      <c r="F16" s="297">
        <f>'Commodity Tonnages MF'!F16*'Pricing MF'!F14</f>
        <v>40.033188195000008</v>
      </c>
      <c r="G16" s="297">
        <f>'Commodity Tonnages MF'!G16*'Pricing MF'!G14</f>
        <v>563.87150819999999</v>
      </c>
      <c r="H16" s="297">
        <f>'Commodity Tonnages MF'!H16*'Pricing MF'!H14</f>
        <v>896.13640516400005</v>
      </c>
      <c r="I16" s="297">
        <f>'Commodity Tonnages MF'!I16*'Pricing MF'!I14</f>
        <v>66.475979069500013</v>
      </c>
      <c r="J16" s="297">
        <f>'Commodity Tonnages MF'!J16*'Pricing MF'!J14</f>
        <v>66.475979069500013</v>
      </c>
      <c r="K16" s="297">
        <f>'Commodity Tonnages MF'!K16*'Pricing MF'!K14</f>
        <v>759.6859970700001</v>
      </c>
      <c r="L16" s="297">
        <f>'Commodity Tonnages MF'!L16*'Pricing MF'!L14</f>
        <v>-216.84885079000051</v>
      </c>
      <c r="M16" s="296">
        <f t="shared" si="0"/>
        <v>2321.3684302379997</v>
      </c>
      <c r="O16" s="98">
        <f t="shared" si="1"/>
        <v>1160.6660302379996</v>
      </c>
      <c r="P16" s="155">
        <f t="shared" si="2"/>
        <v>0.49999216630985266</v>
      </c>
      <c r="Q16" s="156">
        <v>1160.7024000000001</v>
      </c>
      <c r="R16" s="170"/>
    </row>
    <row r="17" spans="1:18" ht="15.75" customHeight="1" x14ac:dyDescent="0.2">
      <c r="A17" s="298">
        <f>+'Pricing MF'!A15</f>
        <v>42855</v>
      </c>
      <c r="B17" s="288"/>
      <c r="C17" s="291">
        <f>'Commodity Tonnages MF'!C17*'Pricing MF'!C15</f>
        <v>170.19005850000002</v>
      </c>
      <c r="D17" s="297">
        <f>'Commodity Tonnages MF'!D17*'Pricing MF'!D15</f>
        <v>-44.2305864</v>
      </c>
      <c r="E17" s="297">
        <f>'Commodity Tonnages MF'!E17*'Pricing MF'!E15</f>
        <v>0</v>
      </c>
      <c r="F17" s="297">
        <f>'Commodity Tonnages MF'!F17*'Pricing MF'!F15</f>
        <v>30.723877800000004</v>
      </c>
      <c r="G17" s="297">
        <f>'Commodity Tonnages MF'!G17*'Pricing MF'!G15</f>
        <v>284.85966600000006</v>
      </c>
      <c r="H17" s="297">
        <f>'Commodity Tonnages MF'!H17*'Pricing MF'!H15</f>
        <v>417.16575179999995</v>
      </c>
      <c r="I17" s="297">
        <f>'Commodity Tonnages MF'!I17*'Pricing MF'!I15</f>
        <v>54.207509580000007</v>
      </c>
      <c r="J17" s="297">
        <f>'Commodity Tonnages MF'!J17*'Pricing MF'!J15</f>
        <v>54.207509580000007</v>
      </c>
      <c r="K17" s="297">
        <f>'Commodity Tonnages MF'!K17*'Pricing MF'!K15</f>
        <v>507.62419091999999</v>
      </c>
      <c r="L17" s="297">
        <f>'Commodity Tonnages MF'!L17*'Pricing MF'!L15</f>
        <v>-191.06961678000044</v>
      </c>
      <c r="M17" s="296">
        <f t="shared" si="0"/>
        <v>1283.6783609999995</v>
      </c>
      <c r="O17" s="98">
        <f>M17-Q17</f>
        <v>642.11506099999963</v>
      </c>
      <c r="P17" s="155">
        <f t="shared" si="2"/>
        <v>0.50021491403795648</v>
      </c>
      <c r="Q17" s="156">
        <v>641.56329999999991</v>
      </c>
      <c r="R17" s="170"/>
    </row>
    <row r="18" spans="1:18" ht="15.75" customHeight="1" x14ac:dyDescent="0.2">
      <c r="A18" s="295" t="s">
        <v>32</v>
      </c>
      <c r="B18" s="288"/>
      <c r="C18" s="294">
        <f t="shared" ref="C18:L18" si="3">SUM(C6:C17)</f>
        <v>2078.5707971249999</v>
      </c>
      <c r="D18" s="293">
        <f t="shared" si="3"/>
        <v>-541.20454856000003</v>
      </c>
      <c r="E18" s="293">
        <f t="shared" si="3"/>
        <v>0</v>
      </c>
      <c r="F18" s="294">
        <f t="shared" si="3"/>
        <v>370.05989278500005</v>
      </c>
      <c r="G18" s="294">
        <f t="shared" si="3"/>
        <v>5640.120493800001</v>
      </c>
      <c r="H18" s="294">
        <f t="shared" si="3"/>
        <v>8514.4933955779998</v>
      </c>
      <c r="I18" s="294">
        <f t="shared" si="3"/>
        <v>848.00609297949995</v>
      </c>
      <c r="J18" s="294">
        <f t="shared" si="3"/>
        <v>848.00609297949995</v>
      </c>
      <c r="K18" s="294">
        <f t="shared" si="3"/>
        <v>6562.4928761699985</v>
      </c>
      <c r="L18" s="293">
        <f t="shared" si="3"/>
        <v>-2374.7168235700055</v>
      </c>
      <c r="M18" s="292">
        <f t="shared" si="0"/>
        <v>21945.828269286994</v>
      </c>
      <c r="O18" s="135">
        <f>SUM(O6:O17)</f>
        <v>10973.132219286996</v>
      </c>
      <c r="P18" s="172">
        <f>+O18/M18</f>
        <v>0.50000993740773059</v>
      </c>
      <c r="Q18" s="135">
        <f>M18-O18</f>
        <v>10972.696049999999</v>
      </c>
    </row>
    <row r="19" spans="1:18" x14ac:dyDescent="0.2">
      <c r="A19" s="288"/>
      <c r="B19" s="288"/>
      <c r="C19" s="291"/>
      <c r="D19" s="291"/>
      <c r="E19" s="291"/>
      <c r="F19" s="291"/>
      <c r="G19" s="291"/>
      <c r="H19" s="291"/>
      <c r="I19" s="291"/>
      <c r="J19" s="291"/>
      <c r="K19" s="291"/>
      <c r="L19" s="291"/>
      <c r="M19" s="291"/>
      <c r="O19" s="80"/>
    </row>
    <row r="20" spans="1:18" x14ac:dyDescent="0.2">
      <c r="A20" s="288"/>
      <c r="B20" s="288"/>
      <c r="C20" s="288"/>
      <c r="D20" s="288"/>
      <c r="E20" s="288"/>
      <c r="F20" s="288"/>
      <c r="G20" s="288"/>
      <c r="H20" s="288"/>
      <c r="I20" s="288"/>
      <c r="J20" s="288"/>
      <c r="K20" s="288"/>
      <c r="L20" s="288"/>
      <c r="M20" s="289"/>
      <c r="O20" s="290"/>
    </row>
    <row r="21" spans="1:18" x14ac:dyDescent="0.2">
      <c r="A21" s="288"/>
      <c r="B21" s="288"/>
      <c r="C21" s="288"/>
      <c r="D21" s="288"/>
      <c r="E21" s="288"/>
      <c r="F21" s="288"/>
      <c r="G21" s="288"/>
      <c r="H21" s="288"/>
      <c r="I21" s="288"/>
      <c r="J21" s="288"/>
      <c r="K21" s="288"/>
      <c r="L21" s="288"/>
      <c r="M21" s="289"/>
      <c r="O21" s="82"/>
    </row>
    <row r="22" spans="1:18" x14ac:dyDescent="0.2">
      <c r="A22" s="288"/>
      <c r="B22" s="288"/>
      <c r="C22" s="288"/>
      <c r="D22" s="288"/>
      <c r="E22" s="288"/>
      <c r="F22" s="288"/>
      <c r="G22" s="288"/>
      <c r="H22" s="288"/>
      <c r="I22" s="288"/>
      <c r="J22" s="288"/>
      <c r="K22" s="288"/>
      <c r="L22" s="288"/>
      <c r="M22" s="289"/>
    </row>
    <row r="23" spans="1:18" x14ac:dyDescent="0.2">
      <c r="A23" s="288"/>
      <c r="B23" s="288"/>
      <c r="C23" s="288"/>
      <c r="D23" s="288"/>
      <c r="E23" s="288"/>
      <c r="F23" s="288"/>
      <c r="G23" s="288"/>
      <c r="H23" s="288"/>
      <c r="I23" s="288"/>
      <c r="J23" s="288"/>
      <c r="K23" s="288"/>
      <c r="L23" s="288"/>
      <c r="M23" s="289"/>
    </row>
    <row r="24" spans="1:18" x14ac:dyDescent="0.2">
      <c r="A24" s="288"/>
      <c r="B24" s="288"/>
      <c r="C24" s="288"/>
      <c r="D24" s="288"/>
      <c r="E24" s="288"/>
      <c r="F24" s="288"/>
      <c r="G24" s="288"/>
      <c r="H24" s="288"/>
      <c r="I24" s="288"/>
      <c r="J24" s="288"/>
      <c r="K24" s="288"/>
      <c r="L24" s="288"/>
      <c r="M24" s="289"/>
    </row>
    <row r="25" spans="1:18" x14ac:dyDescent="0.2">
      <c r="A25" s="288"/>
      <c r="B25" s="288"/>
      <c r="C25" s="288"/>
      <c r="D25" s="288"/>
      <c r="E25" s="288"/>
      <c r="F25" s="288"/>
      <c r="G25" s="288"/>
      <c r="H25" s="288"/>
      <c r="I25" s="288"/>
      <c r="J25" s="288"/>
      <c r="K25" s="288"/>
      <c r="L25" s="288"/>
      <c r="M25" s="289"/>
    </row>
    <row r="26" spans="1:18" x14ac:dyDescent="0.2">
      <c r="A26" s="288"/>
      <c r="B26" s="288"/>
      <c r="C26" s="288"/>
      <c r="D26" s="288"/>
      <c r="E26" s="288"/>
      <c r="F26" s="288"/>
      <c r="G26" s="288"/>
      <c r="H26" s="288"/>
      <c r="I26" s="288"/>
      <c r="J26" s="288"/>
      <c r="K26" s="288"/>
      <c r="L26" s="288"/>
      <c r="M26" s="289"/>
    </row>
    <row r="27" spans="1:18" x14ac:dyDescent="0.2">
      <c r="A27" s="288"/>
      <c r="B27" s="288"/>
      <c r="C27" s="288"/>
      <c r="D27" s="288"/>
      <c r="E27" s="288"/>
      <c r="F27" s="288"/>
      <c r="G27" s="288"/>
      <c r="H27" s="288"/>
      <c r="I27" s="288"/>
      <c r="J27" s="288"/>
      <c r="K27" s="288"/>
      <c r="L27" s="288"/>
      <c r="M27" s="289"/>
    </row>
    <row r="28" spans="1:18" x14ac:dyDescent="0.2">
      <c r="A28" s="288"/>
      <c r="B28" s="288"/>
      <c r="C28" s="288"/>
      <c r="D28" s="288"/>
      <c r="E28" s="288"/>
      <c r="F28" s="288"/>
      <c r="G28" s="288"/>
      <c r="H28" s="288"/>
      <c r="I28" s="288"/>
      <c r="J28" s="288"/>
      <c r="K28" s="288"/>
      <c r="L28" s="288"/>
      <c r="M28" s="288"/>
    </row>
    <row r="29" spans="1:18" x14ac:dyDescent="0.2">
      <c r="A29" s="288"/>
      <c r="B29" s="288"/>
      <c r="C29" s="288"/>
      <c r="D29" s="288"/>
      <c r="E29" s="288"/>
      <c r="F29" s="288"/>
      <c r="G29" s="288"/>
      <c r="H29" s="288"/>
      <c r="I29" s="288"/>
      <c r="J29" s="288"/>
      <c r="K29" s="288"/>
      <c r="L29" s="288"/>
      <c r="M29" s="288"/>
    </row>
    <row r="30" spans="1:18" x14ac:dyDescent="0.2">
      <c r="A30" s="288"/>
      <c r="B30" s="288"/>
      <c r="C30" s="288"/>
      <c r="D30" s="288"/>
      <c r="E30" s="288"/>
      <c r="F30" s="288"/>
      <c r="G30" s="288"/>
      <c r="H30" s="288"/>
      <c r="I30" s="288"/>
      <c r="J30" s="288"/>
      <c r="K30" s="288"/>
      <c r="L30" s="288"/>
      <c r="M30" s="288"/>
    </row>
    <row r="31" spans="1:18" x14ac:dyDescent="0.2">
      <c r="A31" s="288"/>
      <c r="B31" s="288"/>
      <c r="C31" s="288"/>
      <c r="D31" s="288"/>
      <c r="E31" s="288"/>
      <c r="F31" s="288"/>
      <c r="G31" s="288"/>
      <c r="H31" s="288"/>
      <c r="I31" s="288"/>
      <c r="J31" s="288"/>
      <c r="K31" s="288"/>
      <c r="L31" s="288"/>
      <c r="M31" s="288"/>
    </row>
    <row r="32" spans="1:18" x14ac:dyDescent="0.2">
      <c r="A32" s="288"/>
      <c r="B32" s="288"/>
      <c r="C32" s="288"/>
      <c r="D32" s="288"/>
      <c r="E32" s="288"/>
      <c r="F32" s="288"/>
      <c r="G32" s="288"/>
      <c r="H32" s="288"/>
      <c r="I32" s="288"/>
      <c r="J32" s="288"/>
      <c r="K32" s="288"/>
      <c r="L32" s="288"/>
      <c r="M32" s="288"/>
    </row>
    <row r="33" spans="1:13" x14ac:dyDescent="0.2">
      <c r="A33" s="288"/>
      <c r="B33" s="288"/>
      <c r="C33" s="288"/>
      <c r="D33" s="288"/>
      <c r="E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sheetData>
  <pageMargins left="0.25" right="0.25" top="0.75" bottom="0.75" header="0.3" footer="0.3"/>
  <pageSetup scale="77"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18"/>
  <sheetViews>
    <sheetView showGridLines="0" zoomScaleNormal="100" workbookViewId="0">
      <selection activeCell="C6" sqref="C6"/>
    </sheetView>
  </sheetViews>
  <sheetFormatPr defaultRowHeight="12.75" x14ac:dyDescent="0.2"/>
  <cols>
    <col min="1" max="1" width="9.140625" style="195"/>
    <col min="2" max="2" width="2.5703125" style="195" customWidth="1"/>
    <col min="3" max="12" width="11.7109375" style="195" customWidth="1"/>
    <col min="13" max="13" width="2.7109375" style="195" customWidth="1"/>
    <col min="14" max="14" width="11.7109375" style="195" customWidth="1"/>
    <col min="15" max="15" width="14.85546875" style="195" bestFit="1" customWidth="1"/>
    <col min="16" max="16384" width="9.140625" style="195"/>
  </cols>
  <sheetData>
    <row r="1" spans="1:16" x14ac:dyDescent="0.2">
      <c r="A1" s="305" t="str">
        <f>"Multi-Family Tonnages by Commodity ("&amp;TEXT(A6,"mmmm yyyy")&amp;" through "&amp;TEXT(A17,"mmmm yyyy")&amp;")"</f>
        <v>Multi-Family Tonnages by Commodity (May 2016 through April 2017)</v>
      </c>
      <c r="B1" s="304"/>
    </row>
    <row r="2" spans="1:16" x14ac:dyDescent="0.2">
      <c r="A2" s="303" t="s">
        <v>113</v>
      </c>
      <c r="B2" s="303"/>
    </row>
    <row r="3" spans="1:16" x14ac:dyDescent="0.2">
      <c r="A3" s="304"/>
      <c r="B3" s="309"/>
      <c r="C3" s="300" t="s">
        <v>21</v>
      </c>
      <c r="D3" s="300" t="s">
        <v>22</v>
      </c>
      <c r="E3" s="300" t="s">
        <v>33</v>
      </c>
      <c r="F3" s="300" t="s">
        <v>23</v>
      </c>
      <c r="G3" s="300" t="s">
        <v>24</v>
      </c>
      <c r="H3" s="300" t="s">
        <v>25</v>
      </c>
      <c r="I3" s="300" t="s">
        <v>26</v>
      </c>
      <c r="J3" s="300" t="s">
        <v>27</v>
      </c>
      <c r="K3" s="300" t="s">
        <v>28</v>
      </c>
      <c r="L3" s="300" t="s">
        <v>29</v>
      </c>
      <c r="M3" s="300"/>
      <c r="N3" s="300" t="s">
        <v>30</v>
      </c>
    </row>
    <row r="4" spans="1:16" s="306" customFormat="1" x14ac:dyDescent="0.2">
      <c r="A4" s="333"/>
      <c r="B4" s="333"/>
      <c r="D4" s="332"/>
      <c r="E4" s="332"/>
    </row>
    <row r="5" spans="1:16" x14ac:dyDescent="0.2">
      <c r="A5" s="298"/>
      <c r="B5" s="288"/>
      <c r="C5" s="289"/>
      <c r="D5" s="289"/>
      <c r="E5" s="289"/>
      <c r="F5" s="289"/>
      <c r="G5" s="289"/>
      <c r="H5" s="289"/>
      <c r="I5" s="289"/>
      <c r="J5" s="289"/>
      <c r="L5" s="288"/>
      <c r="M5" s="306"/>
      <c r="N5" s="289" t="s">
        <v>31</v>
      </c>
    </row>
    <row r="6" spans="1:16" x14ac:dyDescent="0.2">
      <c r="A6" s="308">
        <f>'Multi_Family (2)'!$C$6</f>
        <v>42491</v>
      </c>
      <c r="B6" s="288" t="s">
        <v>67</v>
      </c>
      <c r="C6" s="108">
        <f>'Multi_Family (2)'!C32</f>
        <v>0.19642499999999999</v>
      </c>
      <c r="D6" s="109">
        <f>'Multi_Family (2)'!C34</f>
        <v>4.6303920000000005</v>
      </c>
      <c r="E6" s="108">
        <f>'Multi_Family (2)'!C35</f>
        <v>0</v>
      </c>
      <c r="F6" s="108">
        <f>'Multi_Family (2)'!C30</f>
        <v>0.43213500000000005</v>
      </c>
      <c r="G6" s="108">
        <f>'Multi_Family (2)'!C27</f>
        <v>5.1070500000000001</v>
      </c>
      <c r="H6" s="108">
        <f>'Multi_Family (2)'!C37</f>
        <v>8.4279419999999998</v>
      </c>
      <c r="I6" s="108">
        <f>'Multi_Family (2)'!C31/2</f>
        <v>0.58796550000000003</v>
      </c>
      <c r="J6" s="108">
        <f>'Multi_Family (2)'!C31/2</f>
        <v>0.58796550000000003</v>
      </c>
      <c r="K6" s="108">
        <f>'Multi_Family (2)'!C28</f>
        <v>4.6670579999999999</v>
      </c>
      <c r="L6" s="108">
        <f>'Multi_Family (2)'!C36</f>
        <v>1.5530670000000035</v>
      </c>
      <c r="M6" s="306"/>
      <c r="N6" s="175">
        <f t="shared" ref="N6:N17" si="0">SUM(C6:L6)</f>
        <v>26.19</v>
      </c>
      <c r="O6" s="75"/>
      <c r="P6" s="307"/>
    </row>
    <row r="7" spans="1:16" x14ac:dyDescent="0.2">
      <c r="A7" s="298">
        <f t="shared" ref="A7:A17" si="1">EOMONTH(A6,1)</f>
        <v>42551</v>
      </c>
      <c r="B7" s="288" t="s">
        <v>68</v>
      </c>
      <c r="C7" s="108">
        <f>'Multi_Family (2)'!D32</f>
        <v>0.20414999999999997</v>
      </c>
      <c r="D7" s="109">
        <f>'Multi_Family (2)'!D34</f>
        <v>4.8124960000000003</v>
      </c>
      <c r="E7" s="108">
        <f>'Multi_Family (2)'!D35</f>
        <v>0</v>
      </c>
      <c r="F7" s="108">
        <f>'Multi_Family (2)'!D30</f>
        <v>0.44913000000000003</v>
      </c>
      <c r="G7" s="108">
        <f>'Multi_Family (2)'!D27</f>
        <v>5.3079000000000001</v>
      </c>
      <c r="H7" s="108">
        <f>'Multi_Family (2)'!D37</f>
        <v>8.7593959999999988</v>
      </c>
      <c r="I7" s="108">
        <f>'Multi_Family (2)'!D31/2</f>
        <v>0.61108899999999999</v>
      </c>
      <c r="J7" s="108">
        <f>'Multi_Family (2)'!D31/2</f>
        <v>0.61108899999999999</v>
      </c>
      <c r="K7" s="108">
        <f>'Multi_Family (2)'!D28</f>
        <v>4.8506039999999997</v>
      </c>
      <c r="L7" s="108">
        <f>'Multi_Family (2)'!D36</f>
        <v>1.6141460000000034</v>
      </c>
      <c r="M7" s="306"/>
      <c r="N7" s="175">
        <f t="shared" si="0"/>
        <v>27.220000000000006</v>
      </c>
      <c r="P7" s="307"/>
    </row>
    <row r="8" spans="1:16" x14ac:dyDescent="0.2">
      <c r="A8" s="298">
        <f t="shared" si="1"/>
        <v>42582</v>
      </c>
      <c r="B8" s="288" t="s">
        <v>69</v>
      </c>
      <c r="C8" s="108">
        <f>'Multi_Family (2)'!E32</f>
        <v>0.17325000000000002</v>
      </c>
      <c r="D8" s="109">
        <f>'Multi_Family (2)'!E34</f>
        <v>4.0840800000000002</v>
      </c>
      <c r="E8" s="108">
        <f>'Multi_Family (2)'!E35</f>
        <v>0</v>
      </c>
      <c r="F8" s="108">
        <f>'Multi_Family (2)'!E30</f>
        <v>0.38115000000000004</v>
      </c>
      <c r="G8" s="108">
        <f>'Multi_Family (2)'!E27</f>
        <v>4.5045000000000002</v>
      </c>
      <c r="H8" s="108">
        <f>'Multi_Family (2)'!E37</f>
        <v>7.4335800000000001</v>
      </c>
      <c r="I8" s="108">
        <f>'Multi_Family (2)'!E31/2</f>
        <v>0.51859500000000003</v>
      </c>
      <c r="J8" s="108">
        <f>'Multi_Family (2)'!E31/2</f>
        <v>0.51859500000000003</v>
      </c>
      <c r="K8" s="108">
        <f>'Multi_Family (2)'!E28</f>
        <v>4.1164200000000006</v>
      </c>
      <c r="L8" s="108">
        <f>'Multi_Family (2)'!E36</f>
        <v>1.369830000000003</v>
      </c>
      <c r="M8" s="306"/>
      <c r="N8" s="175">
        <f t="shared" si="0"/>
        <v>23.100000000000009</v>
      </c>
      <c r="P8" s="307"/>
    </row>
    <row r="9" spans="1:16" x14ac:dyDescent="0.2">
      <c r="A9" s="298">
        <f t="shared" si="1"/>
        <v>42613</v>
      </c>
      <c r="B9" s="288" t="s">
        <v>70</v>
      </c>
      <c r="C9" s="108">
        <f>'Multi_Family (2)'!F32</f>
        <v>0.21382500000000002</v>
      </c>
      <c r="D9" s="109">
        <f>'Multi_Family (2)'!F34</f>
        <v>5.0405680000000004</v>
      </c>
      <c r="E9" s="108">
        <f>'Multi_Family (2)'!F35</f>
        <v>0</v>
      </c>
      <c r="F9" s="108">
        <f>'Multi_Family (2)'!F30</f>
        <v>0.47041500000000003</v>
      </c>
      <c r="G9" s="108">
        <f>'Multi_Family (2)'!F27</f>
        <v>5.5594500000000009</v>
      </c>
      <c r="H9" s="108">
        <f>'Multi_Family (2)'!F37</f>
        <v>9.1745179999999991</v>
      </c>
      <c r="I9" s="108">
        <f>'Multi_Family (2)'!F31/2</f>
        <v>0.64004950000000005</v>
      </c>
      <c r="J9" s="108">
        <f>'Multi_Family (2)'!F31/2</f>
        <v>0.64004950000000005</v>
      </c>
      <c r="K9" s="108">
        <f>'Multi_Family (2)'!F28</f>
        <v>5.0804819999999999</v>
      </c>
      <c r="L9" s="108">
        <f>'Multi_Family (2)'!F36</f>
        <v>1.6906430000000039</v>
      </c>
      <c r="M9" s="306"/>
      <c r="N9" s="175">
        <f t="shared" si="0"/>
        <v>28.510000000000005</v>
      </c>
      <c r="P9" s="307"/>
    </row>
    <row r="10" spans="1:16" x14ac:dyDescent="0.2">
      <c r="A10" s="298">
        <f t="shared" si="1"/>
        <v>42643</v>
      </c>
      <c r="B10" s="288" t="s">
        <v>71</v>
      </c>
      <c r="C10" s="108">
        <f>'Multi_Family (2)'!G32</f>
        <v>0.21465000000000001</v>
      </c>
      <c r="D10" s="109">
        <f>'Multi_Family (2)'!G34</f>
        <v>5.060016000000001</v>
      </c>
      <c r="E10" s="108">
        <f>'Multi_Family (2)'!G35</f>
        <v>0</v>
      </c>
      <c r="F10" s="108">
        <f>'Multi_Family (2)'!G30</f>
        <v>0.47223000000000004</v>
      </c>
      <c r="G10" s="108">
        <f>'Multi_Family (2)'!G27</f>
        <v>5.5809000000000006</v>
      </c>
      <c r="H10" s="108">
        <f>'Multi_Family (2)'!G37</f>
        <v>9.2099159999999998</v>
      </c>
      <c r="I10" s="108">
        <f>'Multi_Family (2)'!G31/2</f>
        <v>0.64251900000000006</v>
      </c>
      <c r="J10" s="108">
        <f>'Multi_Family (2)'!G31/2</f>
        <v>0.64251900000000006</v>
      </c>
      <c r="K10" s="108">
        <f>'Multi_Family (2)'!G28</f>
        <v>5.1000839999999998</v>
      </c>
      <c r="L10" s="108">
        <f>'Multi_Family (2)'!G36</f>
        <v>1.6971660000000037</v>
      </c>
      <c r="M10" s="306"/>
      <c r="N10" s="175">
        <f t="shared" si="0"/>
        <v>28.62</v>
      </c>
      <c r="P10" s="307"/>
    </row>
    <row r="11" spans="1:16" x14ac:dyDescent="0.2">
      <c r="A11" s="298">
        <f t="shared" si="1"/>
        <v>42674</v>
      </c>
      <c r="B11" s="288" t="s">
        <v>72</v>
      </c>
      <c r="C11" s="108">
        <f>'Multi_Family (2)'!H32</f>
        <v>0.221775</v>
      </c>
      <c r="D11" s="109">
        <f>'Multi_Family (2)'!H34</f>
        <v>5.2279760000000008</v>
      </c>
      <c r="E11" s="108">
        <f>'Multi_Family (2)'!H35</f>
        <v>0</v>
      </c>
      <c r="F11" s="108">
        <f>'Multi_Family (2)'!H30</f>
        <v>0.48790500000000003</v>
      </c>
      <c r="G11" s="108">
        <f>'Multi_Family (2)'!H27</f>
        <v>5.7661500000000006</v>
      </c>
      <c r="H11" s="108">
        <f>'Multi_Family (2)'!H37</f>
        <v>9.5156259999999993</v>
      </c>
      <c r="I11" s="108">
        <f>'Multi_Family (2)'!H31/2</f>
        <v>0.66384650000000001</v>
      </c>
      <c r="J11" s="108">
        <f>'Multi_Family (2)'!H31/2</f>
        <v>0.66384650000000001</v>
      </c>
      <c r="K11" s="108">
        <f>'Multi_Family (2)'!H28</f>
        <v>5.269374</v>
      </c>
      <c r="L11" s="108">
        <f>'Multi_Family (2)'!H36</f>
        <v>1.753501000000004</v>
      </c>
      <c r="M11" s="306"/>
      <c r="N11" s="175">
        <f t="shared" si="0"/>
        <v>29.569999999999997</v>
      </c>
      <c r="P11" s="307"/>
    </row>
    <row r="12" spans="1:16" x14ac:dyDescent="0.2">
      <c r="A12" s="298">
        <f t="shared" si="1"/>
        <v>42704</v>
      </c>
      <c r="B12" s="288" t="s">
        <v>73</v>
      </c>
      <c r="C12" s="108">
        <f>'Multi_Family (2)'!I32</f>
        <v>0.20587499999999997</v>
      </c>
      <c r="D12" s="109">
        <f>'Multi_Family (2)'!I34</f>
        <v>4.8531599999999999</v>
      </c>
      <c r="E12" s="108">
        <f>'Multi_Family (2)'!I35</f>
        <v>0</v>
      </c>
      <c r="F12" s="108">
        <f>'Multi_Family (2)'!I30</f>
        <v>0.45292500000000002</v>
      </c>
      <c r="G12" s="108">
        <f>'Multi_Family (2)'!I27</f>
        <v>5.3527500000000003</v>
      </c>
      <c r="H12" s="108">
        <f>'Multi_Family (2)'!I37</f>
        <v>8.8334099999999989</v>
      </c>
      <c r="I12" s="108">
        <f>'Multi_Family (2)'!I31/2</f>
        <v>0.61625249999999998</v>
      </c>
      <c r="J12" s="108">
        <f>'Multi_Family (2)'!I31/2</f>
        <v>0.61625249999999998</v>
      </c>
      <c r="K12" s="108">
        <f>'Multi_Family (2)'!I28</f>
        <v>4.8915899999999999</v>
      </c>
      <c r="L12" s="108">
        <f>'Multi_Family (2)'!I36</f>
        <v>1.6277850000000036</v>
      </c>
      <c r="M12" s="306"/>
      <c r="N12" s="175">
        <f t="shared" si="0"/>
        <v>27.450000000000006</v>
      </c>
      <c r="P12" s="307"/>
    </row>
    <row r="13" spans="1:16" x14ac:dyDescent="0.2">
      <c r="A13" s="298">
        <f t="shared" si="1"/>
        <v>42735</v>
      </c>
      <c r="B13" s="288" t="s">
        <v>74</v>
      </c>
      <c r="C13" s="108">
        <f>'Multi_Family (2)'!J32</f>
        <v>0.24457499999999999</v>
      </c>
      <c r="D13" s="109">
        <f>'Multi_Family (2)'!J34</f>
        <v>5.7654480000000001</v>
      </c>
      <c r="E13" s="108">
        <f>'Multi_Family (2)'!J35</f>
        <v>0</v>
      </c>
      <c r="F13" s="108">
        <f>'Multi_Family (2)'!J30</f>
        <v>0.53806500000000002</v>
      </c>
      <c r="G13" s="108">
        <f>'Multi_Family (2)'!J27</f>
        <v>6.3589500000000001</v>
      </c>
      <c r="H13" s="108">
        <f>'Multi_Family (2)'!J37</f>
        <v>10.493898</v>
      </c>
      <c r="I13" s="108">
        <f>'Multi_Family (2)'!J31/2</f>
        <v>0.73209449999999998</v>
      </c>
      <c r="J13" s="108">
        <f>'Multi_Family (2)'!J31/2</f>
        <v>0.73209449999999998</v>
      </c>
      <c r="K13" s="108">
        <f>'Multi_Family (2)'!J28</f>
        <v>5.811102</v>
      </c>
      <c r="L13" s="108">
        <f>'Multi_Family (2)'!J36</f>
        <v>1.9337730000000042</v>
      </c>
      <c r="M13" s="306"/>
      <c r="N13" s="175">
        <f t="shared" si="0"/>
        <v>32.61</v>
      </c>
      <c r="P13" s="307"/>
    </row>
    <row r="14" spans="1:16" x14ac:dyDescent="0.2">
      <c r="A14" s="298">
        <f t="shared" si="1"/>
        <v>42766</v>
      </c>
      <c r="B14" s="288" t="s">
        <v>75</v>
      </c>
      <c r="C14" s="108">
        <f>'Multi_Family (2)'!K32</f>
        <v>0.21854999999999999</v>
      </c>
      <c r="D14" s="109">
        <f>'Multi_Family (2)'!K34</f>
        <v>5.1519520000000005</v>
      </c>
      <c r="E14" s="108">
        <f>'Multi_Family (2)'!K35</f>
        <v>0</v>
      </c>
      <c r="F14" s="108">
        <f>'Multi_Family (2)'!K30</f>
        <v>0.48081000000000002</v>
      </c>
      <c r="G14" s="108">
        <f>'Multi_Family (2)'!K27</f>
        <v>5.6823000000000006</v>
      </c>
      <c r="H14" s="108">
        <f>'Multi_Family (2)'!K37</f>
        <v>9.3772519999999986</v>
      </c>
      <c r="I14" s="108">
        <f>'Multi_Family (2)'!K31/2</f>
        <v>0.65419300000000002</v>
      </c>
      <c r="J14" s="108">
        <f>'Multi_Family (2)'!K31/2</f>
        <v>0.65419300000000002</v>
      </c>
      <c r="K14" s="108">
        <f>'Multi_Family (2)'!K28</f>
        <v>5.1927479999999999</v>
      </c>
      <c r="L14" s="108">
        <f>'Multi_Family (2)'!K36</f>
        <v>1.7280020000000038</v>
      </c>
      <c r="M14" s="306"/>
      <c r="N14" s="175">
        <f t="shared" si="0"/>
        <v>29.14</v>
      </c>
      <c r="P14" s="307"/>
    </row>
    <row r="15" spans="1:16" x14ac:dyDescent="0.2">
      <c r="A15" s="298">
        <f t="shared" si="1"/>
        <v>42794</v>
      </c>
      <c r="B15" s="288" t="s">
        <v>76</v>
      </c>
      <c r="C15" s="108">
        <f>'Multi_Family (2)'!L32</f>
        <v>0.176925</v>
      </c>
      <c r="D15" s="109">
        <f>'Multi_Family (2)'!L34</f>
        <v>4.170712</v>
      </c>
      <c r="E15" s="108">
        <f>'Multi_Family (2)'!L35</f>
        <v>0</v>
      </c>
      <c r="F15" s="108">
        <f>'Multi_Family (2)'!L30</f>
        <v>0.389235</v>
      </c>
      <c r="G15" s="108">
        <f>'Multi_Family (2)'!L27</f>
        <v>4.6000500000000004</v>
      </c>
      <c r="H15" s="108">
        <f>'Multi_Family (2)'!L37</f>
        <v>7.5912619999999995</v>
      </c>
      <c r="I15" s="108">
        <f>'Multi_Family (2)'!L31/2</f>
        <v>0.5295955</v>
      </c>
      <c r="J15" s="108">
        <f>'Multi_Family (2)'!L31/2</f>
        <v>0.5295955</v>
      </c>
      <c r="K15" s="108">
        <f>'Multi_Family (2)'!L28</f>
        <v>4.2037379999999995</v>
      </c>
      <c r="L15" s="108">
        <f>'Multi_Family (2)'!L36</f>
        <v>1.3988870000000031</v>
      </c>
      <c r="M15" s="306"/>
      <c r="N15" s="175">
        <f t="shared" si="0"/>
        <v>23.590000000000003</v>
      </c>
      <c r="P15" s="307"/>
    </row>
    <row r="16" spans="1:16" x14ac:dyDescent="0.2">
      <c r="A16" s="298">
        <f t="shared" si="1"/>
        <v>42825</v>
      </c>
      <c r="B16" s="288" t="s">
        <v>77</v>
      </c>
      <c r="C16" s="108">
        <f>'Multi_Family (2)'!M32</f>
        <v>0.20377500000000001</v>
      </c>
      <c r="D16" s="109">
        <f>'Multi_Family (2)'!M34</f>
        <v>4.803656000000001</v>
      </c>
      <c r="E16" s="108">
        <f>'Multi_Family (2)'!M35</f>
        <v>0</v>
      </c>
      <c r="F16" s="108">
        <f>'Multi_Family (2)'!M30</f>
        <v>0.44830500000000006</v>
      </c>
      <c r="G16" s="108">
        <f>'Multi_Family (2)'!M27</f>
        <v>5.2981500000000006</v>
      </c>
      <c r="H16" s="108">
        <f>'Multi_Family (2)'!M37</f>
        <v>8.7433060000000005</v>
      </c>
      <c r="I16" s="108">
        <f>'Multi_Family (2)'!M31/2</f>
        <v>0.60996650000000008</v>
      </c>
      <c r="J16" s="108">
        <f>'Multi_Family (2)'!M31/2</f>
        <v>0.60996650000000008</v>
      </c>
      <c r="K16" s="108">
        <f>'Multi_Family (2)'!M28</f>
        <v>4.8416940000000004</v>
      </c>
      <c r="L16" s="108">
        <f>'Multi_Family (2)'!M36</f>
        <v>1.6111810000000037</v>
      </c>
      <c r="M16" s="306"/>
      <c r="N16" s="175">
        <f t="shared" si="0"/>
        <v>27.17</v>
      </c>
      <c r="P16" s="307"/>
    </row>
    <row r="17" spans="1:16" x14ac:dyDescent="0.2">
      <c r="A17" s="298">
        <f t="shared" si="1"/>
        <v>42855</v>
      </c>
      <c r="B17" s="288" t="s">
        <v>78</v>
      </c>
      <c r="C17" s="108">
        <f>'Multi_Family (2)'!N32</f>
        <v>0.17955000000000002</v>
      </c>
      <c r="D17" s="109">
        <f>'Multi_Family (2)'!N34</f>
        <v>4.2325920000000004</v>
      </c>
      <c r="E17" s="108">
        <f>'Multi_Family (2)'!N35</f>
        <v>0</v>
      </c>
      <c r="F17" s="108">
        <f>'Multi_Family (2)'!N30</f>
        <v>0.39501000000000003</v>
      </c>
      <c r="G17" s="108">
        <f>'Multi_Family (2)'!N27</f>
        <v>4.6683000000000003</v>
      </c>
      <c r="H17" s="108">
        <f>'Multi_Family (2)'!N37</f>
        <v>7.7038919999999997</v>
      </c>
      <c r="I17" s="108">
        <f>'Multi_Family (2)'!N31/2</f>
        <v>0.53745300000000007</v>
      </c>
      <c r="J17" s="108">
        <f>'Multi_Family (2)'!N31/2</f>
        <v>0.53745300000000007</v>
      </c>
      <c r="K17" s="108">
        <f>'Multi_Family (2)'!N28</f>
        <v>4.266108</v>
      </c>
      <c r="L17" s="108">
        <f>'Multi_Family (2)'!N36</f>
        <v>1.4196420000000032</v>
      </c>
      <c r="M17" s="306"/>
      <c r="N17" s="175">
        <f t="shared" si="0"/>
        <v>23.94</v>
      </c>
      <c r="P17" s="307"/>
    </row>
    <row r="18" spans="1:16" x14ac:dyDescent="0.2">
      <c r="A18" s="295" t="s">
        <v>32</v>
      </c>
      <c r="B18" s="288"/>
      <c r="C18" s="137">
        <f t="shared" ref="C18:L18" si="2">SUM(C6:C17)</f>
        <v>2.453325</v>
      </c>
      <c r="D18" s="137">
        <f t="shared" si="2"/>
        <v>57.833048000000005</v>
      </c>
      <c r="E18" s="137">
        <f t="shared" si="2"/>
        <v>0</v>
      </c>
      <c r="F18" s="137">
        <f t="shared" si="2"/>
        <v>5.3973150000000008</v>
      </c>
      <c r="G18" s="137">
        <f t="shared" si="2"/>
        <v>63.786450000000009</v>
      </c>
      <c r="H18" s="137">
        <f t="shared" si="2"/>
        <v>105.26399799999999</v>
      </c>
      <c r="I18" s="137">
        <f t="shared" si="2"/>
        <v>7.3436195</v>
      </c>
      <c r="J18" s="137">
        <f t="shared" si="2"/>
        <v>7.3436195</v>
      </c>
      <c r="K18" s="137">
        <f t="shared" si="2"/>
        <v>58.291002000000006</v>
      </c>
      <c r="L18" s="137">
        <f t="shared" si="2"/>
        <v>19.397623000000038</v>
      </c>
      <c r="M18" s="306"/>
      <c r="N18" s="176">
        <f>SUM(N6:N17)</f>
        <v>327.11</v>
      </c>
      <c r="O18" s="289"/>
    </row>
    <row r="19" spans="1:16" x14ac:dyDescent="0.2">
      <c r="A19" s="298"/>
      <c r="B19" s="288"/>
      <c r="C19" s="288"/>
      <c r="D19" s="288"/>
      <c r="E19" s="288"/>
      <c r="F19" s="288"/>
      <c r="G19" s="288"/>
      <c r="H19" s="288"/>
      <c r="I19" s="288"/>
      <c r="J19" s="288"/>
      <c r="K19" s="288"/>
      <c r="L19" s="288"/>
      <c r="M19" s="306"/>
      <c r="N19" s="289"/>
    </row>
    <row r="20" spans="1:16" x14ac:dyDescent="0.2">
      <c r="A20" s="305"/>
      <c r="B20" s="288"/>
      <c r="C20" s="288"/>
      <c r="D20" s="288"/>
      <c r="E20" s="288"/>
      <c r="F20" s="288"/>
      <c r="G20" s="288"/>
      <c r="H20" s="288"/>
      <c r="I20" s="288"/>
      <c r="J20" s="288"/>
      <c r="K20" s="288"/>
      <c r="L20" s="288"/>
      <c r="M20" s="306"/>
      <c r="N20" s="289"/>
    </row>
    <row r="21" spans="1:16" x14ac:dyDescent="0.2">
      <c r="A21" s="298"/>
      <c r="B21" s="288"/>
      <c r="C21" s="288"/>
      <c r="D21" s="288"/>
      <c r="E21" s="288"/>
      <c r="F21" s="288"/>
      <c r="G21" s="288"/>
      <c r="H21" s="288"/>
      <c r="I21" s="288"/>
      <c r="J21" s="288"/>
      <c r="K21" s="288"/>
      <c r="L21" s="288"/>
      <c r="M21" s="306"/>
      <c r="N21" s="289"/>
    </row>
    <row r="22" spans="1:16" x14ac:dyDescent="0.2">
      <c r="A22" s="298"/>
      <c r="B22" s="288"/>
      <c r="C22" s="288"/>
      <c r="D22" s="288"/>
      <c r="E22" s="288"/>
      <c r="F22" s="288"/>
      <c r="G22" s="288"/>
      <c r="H22" s="288"/>
      <c r="I22" s="288"/>
      <c r="J22" s="288"/>
      <c r="K22" s="288"/>
      <c r="L22" s="288"/>
      <c r="M22" s="306"/>
      <c r="N22" s="289"/>
    </row>
    <row r="23" spans="1:16" x14ac:dyDescent="0.2">
      <c r="A23" s="288"/>
      <c r="B23" s="288"/>
      <c r="C23" s="288"/>
      <c r="D23" s="288"/>
      <c r="E23" s="288"/>
      <c r="F23" s="288"/>
      <c r="G23" s="288"/>
      <c r="H23" s="288"/>
      <c r="I23" s="288"/>
      <c r="J23" s="288"/>
      <c r="K23" s="288"/>
      <c r="L23" s="288"/>
      <c r="M23" s="306"/>
      <c r="N23" s="289"/>
    </row>
    <row r="24" spans="1:16" x14ac:dyDescent="0.2">
      <c r="A24" s="288"/>
      <c r="B24" s="288"/>
      <c r="C24" s="288"/>
      <c r="D24" s="288"/>
      <c r="E24" s="288"/>
      <c r="F24" s="288"/>
      <c r="G24" s="288"/>
      <c r="H24" s="288"/>
      <c r="I24" s="288"/>
      <c r="J24" s="288"/>
      <c r="K24" s="288"/>
      <c r="L24" s="288"/>
      <c r="M24" s="306"/>
      <c r="N24" s="289"/>
    </row>
    <row r="25" spans="1:16" x14ac:dyDescent="0.2">
      <c r="A25" s="288"/>
      <c r="B25" s="288"/>
      <c r="C25" s="288"/>
      <c r="E25" s="288"/>
      <c r="F25" s="288"/>
      <c r="G25" s="288"/>
      <c r="H25" s="288"/>
      <c r="I25" s="288"/>
      <c r="J25" s="288"/>
      <c r="K25" s="288"/>
      <c r="L25" s="288"/>
      <c r="M25" s="306"/>
      <c r="N25" s="289"/>
    </row>
    <row r="26" spans="1:16" x14ac:dyDescent="0.2">
      <c r="A26" s="288"/>
      <c r="B26" s="288"/>
      <c r="C26" s="288"/>
      <c r="D26" s="288"/>
      <c r="E26" s="288"/>
      <c r="F26" s="288"/>
      <c r="G26" s="288"/>
      <c r="H26" s="288"/>
      <c r="I26" s="288"/>
      <c r="J26" s="288"/>
      <c r="K26" s="288"/>
      <c r="L26" s="288"/>
      <c r="M26" s="306"/>
      <c r="N26" s="289"/>
    </row>
    <row r="27" spans="1:16" x14ac:dyDescent="0.2">
      <c r="A27" s="288"/>
      <c r="B27" s="288"/>
      <c r="C27" s="288"/>
      <c r="D27" s="288"/>
      <c r="E27" s="288"/>
      <c r="F27" s="288"/>
      <c r="G27" s="288"/>
      <c r="H27" s="288"/>
      <c r="I27" s="288"/>
      <c r="J27" s="288"/>
      <c r="K27" s="288"/>
      <c r="L27" s="288"/>
      <c r="M27" s="306"/>
      <c r="N27" s="289"/>
    </row>
    <row r="28" spans="1:16" x14ac:dyDescent="0.2">
      <c r="A28" s="288"/>
      <c r="B28" s="288"/>
      <c r="C28" s="288"/>
      <c r="D28" s="288"/>
      <c r="E28" s="288"/>
      <c r="F28" s="288"/>
      <c r="G28" s="288"/>
      <c r="H28" s="288"/>
      <c r="I28" s="288"/>
      <c r="J28" s="288"/>
      <c r="K28" s="288"/>
      <c r="L28" s="288"/>
      <c r="M28" s="306"/>
      <c r="N28" s="288"/>
    </row>
    <row r="29" spans="1:16" x14ac:dyDescent="0.2">
      <c r="A29" s="288"/>
      <c r="B29" s="288"/>
      <c r="C29" s="288"/>
      <c r="D29" s="288"/>
      <c r="E29" s="288"/>
      <c r="F29" s="288"/>
      <c r="G29" s="288"/>
      <c r="H29" s="288"/>
      <c r="I29" s="288"/>
      <c r="J29" s="288"/>
      <c r="K29" s="288"/>
      <c r="L29" s="288"/>
      <c r="M29" s="306"/>
      <c r="N29" s="288"/>
    </row>
    <row r="30" spans="1:16" x14ac:dyDescent="0.2">
      <c r="A30" s="288"/>
      <c r="B30" s="288"/>
      <c r="C30" s="288"/>
      <c r="D30" s="288"/>
      <c r="E30" s="288"/>
      <c r="F30" s="288"/>
      <c r="G30" s="288"/>
      <c r="H30" s="288"/>
      <c r="I30" s="288"/>
      <c r="J30" s="288"/>
      <c r="K30" s="288"/>
      <c r="L30" s="288"/>
      <c r="M30" s="306"/>
      <c r="N30" s="288"/>
    </row>
    <row r="31" spans="1:16" x14ac:dyDescent="0.2">
      <c r="A31" s="288"/>
      <c r="B31" s="288"/>
      <c r="C31" s="288"/>
      <c r="D31" s="288"/>
      <c r="E31" s="288"/>
      <c r="F31" s="288"/>
      <c r="G31" s="288"/>
      <c r="H31" s="288"/>
      <c r="I31" s="288"/>
      <c r="J31" s="288"/>
      <c r="K31" s="288"/>
      <c r="L31" s="288"/>
      <c r="M31" s="306"/>
      <c r="N31" s="288"/>
    </row>
    <row r="32" spans="1:16" x14ac:dyDescent="0.2">
      <c r="A32" s="288"/>
      <c r="B32" s="288"/>
      <c r="C32" s="288"/>
      <c r="D32" s="288"/>
      <c r="E32" s="288"/>
      <c r="F32" s="288"/>
      <c r="G32" s="288"/>
      <c r="H32" s="288"/>
      <c r="I32" s="288"/>
      <c r="J32" s="288"/>
      <c r="K32" s="288"/>
      <c r="L32" s="288"/>
      <c r="M32" s="306"/>
      <c r="N32" s="288"/>
    </row>
    <row r="33" spans="1:14" x14ac:dyDescent="0.2">
      <c r="A33" s="288"/>
      <c r="B33" s="288"/>
      <c r="C33" s="288"/>
      <c r="D33" s="288"/>
      <c r="E33" s="288"/>
      <c r="F33" s="288"/>
      <c r="G33" s="288"/>
      <c r="H33" s="288"/>
      <c r="I33" s="288"/>
      <c r="J33" s="288"/>
      <c r="K33" s="288"/>
      <c r="L33" s="288"/>
      <c r="M33" s="306"/>
      <c r="N33" s="288"/>
    </row>
    <row r="34" spans="1:14" x14ac:dyDescent="0.2">
      <c r="A34" s="288"/>
      <c r="B34" s="288"/>
      <c r="C34" s="288"/>
      <c r="D34" s="288"/>
      <c r="E34" s="288"/>
      <c r="F34" s="288"/>
      <c r="G34" s="288"/>
      <c r="H34" s="288"/>
      <c r="I34" s="288"/>
      <c r="J34" s="288"/>
      <c r="K34" s="288"/>
      <c r="L34" s="288"/>
      <c r="M34" s="306"/>
      <c r="N34" s="288"/>
    </row>
    <row r="35" spans="1:14" x14ac:dyDescent="0.2">
      <c r="A35" s="288"/>
      <c r="B35" s="288"/>
      <c r="C35" s="288"/>
      <c r="D35" s="288"/>
      <c r="E35" s="288"/>
      <c r="F35" s="288"/>
      <c r="G35" s="288"/>
      <c r="H35" s="288"/>
      <c r="I35" s="288"/>
      <c r="J35" s="288"/>
      <c r="K35" s="288"/>
      <c r="L35" s="288"/>
      <c r="M35" s="306"/>
      <c r="N35" s="288"/>
    </row>
    <row r="36" spans="1:14" x14ac:dyDescent="0.2">
      <c r="A36" s="288"/>
      <c r="B36" s="288"/>
      <c r="C36" s="288"/>
      <c r="D36" s="288"/>
      <c r="E36" s="288"/>
      <c r="F36" s="288"/>
      <c r="G36" s="288"/>
      <c r="H36" s="288"/>
      <c r="I36" s="288"/>
      <c r="J36" s="288"/>
      <c r="K36" s="288"/>
      <c r="L36" s="288"/>
      <c r="M36" s="306"/>
      <c r="N36" s="288"/>
    </row>
    <row r="37" spans="1:14" x14ac:dyDescent="0.2">
      <c r="A37" s="288"/>
      <c r="B37" s="288"/>
      <c r="C37" s="288"/>
      <c r="D37" s="288"/>
      <c r="E37" s="288"/>
      <c r="F37" s="288"/>
      <c r="G37" s="288"/>
      <c r="H37" s="288"/>
      <c r="I37" s="288"/>
      <c r="J37" s="288"/>
      <c r="K37" s="288"/>
      <c r="L37" s="288"/>
      <c r="M37" s="306"/>
      <c r="N37" s="288"/>
    </row>
    <row r="38" spans="1:14" x14ac:dyDescent="0.2">
      <c r="A38" s="288"/>
      <c r="B38" s="288"/>
      <c r="C38" s="288"/>
      <c r="D38" s="288"/>
      <c r="E38" s="288"/>
      <c r="F38" s="288"/>
      <c r="G38" s="288"/>
      <c r="H38" s="288"/>
      <c r="I38" s="288"/>
      <c r="J38" s="288"/>
      <c r="K38" s="288"/>
      <c r="L38" s="288"/>
      <c r="M38" s="306"/>
      <c r="N38" s="288"/>
    </row>
    <row r="39" spans="1:14" x14ac:dyDescent="0.2">
      <c r="A39" s="288"/>
      <c r="B39" s="288"/>
      <c r="C39" s="288"/>
      <c r="D39" s="288"/>
      <c r="E39" s="288"/>
      <c r="F39" s="288"/>
      <c r="G39" s="288"/>
      <c r="H39" s="288"/>
      <c r="I39" s="288"/>
      <c r="J39" s="288"/>
      <c r="K39" s="288"/>
      <c r="L39" s="288"/>
      <c r="M39" s="288"/>
      <c r="N39" s="288"/>
    </row>
    <row r="40" spans="1:14" x14ac:dyDescent="0.2">
      <c r="A40" s="288"/>
      <c r="B40" s="288"/>
      <c r="C40" s="288"/>
      <c r="D40" s="288"/>
      <c r="E40" s="288"/>
      <c r="F40" s="288"/>
      <c r="G40" s="288"/>
      <c r="H40" s="288"/>
      <c r="I40" s="288"/>
      <c r="J40" s="288"/>
      <c r="K40" s="288"/>
      <c r="L40" s="288"/>
      <c r="M40" s="288"/>
      <c r="N40" s="288"/>
    </row>
    <row r="41" spans="1:14" x14ac:dyDescent="0.2">
      <c r="A41" s="288"/>
      <c r="B41" s="288"/>
      <c r="C41" s="288"/>
      <c r="D41" s="288"/>
      <c r="E41" s="288"/>
      <c r="F41" s="288"/>
      <c r="G41" s="288"/>
      <c r="H41" s="288"/>
      <c r="I41" s="288"/>
      <c r="J41" s="288"/>
      <c r="K41" s="288"/>
      <c r="L41" s="288"/>
      <c r="M41" s="288"/>
      <c r="N41" s="288"/>
    </row>
    <row r="42" spans="1:14" x14ac:dyDescent="0.2">
      <c r="A42" s="288"/>
      <c r="B42" s="288"/>
      <c r="C42" s="288"/>
      <c r="D42" s="288"/>
      <c r="E42" s="288"/>
      <c r="F42" s="288"/>
      <c r="G42" s="288"/>
      <c r="H42" s="288"/>
      <c r="I42" s="288"/>
      <c r="J42" s="288"/>
      <c r="K42" s="288"/>
      <c r="L42" s="288"/>
      <c r="M42" s="288"/>
      <c r="N42" s="288"/>
    </row>
    <row r="43" spans="1:14" x14ac:dyDescent="0.2">
      <c r="A43" s="288"/>
      <c r="B43" s="288"/>
      <c r="C43" s="288"/>
      <c r="D43" s="288"/>
      <c r="E43" s="288"/>
      <c r="F43" s="288"/>
      <c r="G43" s="288"/>
      <c r="H43" s="288"/>
      <c r="I43" s="288"/>
      <c r="J43" s="288"/>
      <c r="K43" s="288"/>
      <c r="L43" s="288"/>
      <c r="M43" s="288"/>
      <c r="N43" s="288"/>
    </row>
    <row r="44" spans="1:14" x14ac:dyDescent="0.2">
      <c r="A44" s="288"/>
      <c r="B44" s="288"/>
      <c r="C44" s="288"/>
      <c r="D44" s="288"/>
      <c r="E44" s="288"/>
      <c r="F44" s="288"/>
      <c r="G44" s="288"/>
      <c r="H44" s="288"/>
      <c r="I44" s="288"/>
      <c r="J44" s="288"/>
      <c r="K44" s="288"/>
      <c r="L44" s="288"/>
      <c r="M44" s="288"/>
      <c r="N44" s="288"/>
    </row>
    <row r="45" spans="1:14" x14ac:dyDescent="0.2">
      <c r="A45" s="288"/>
      <c r="B45" s="288"/>
      <c r="C45" s="288"/>
      <c r="D45" s="288"/>
      <c r="E45" s="288"/>
      <c r="F45" s="288"/>
      <c r="G45" s="288"/>
      <c r="H45" s="288"/>
      <c r="I45" s="288"/>
      <c r="J45" s="288"/>
      <c r="K45" s="288"/>
      <c r="L45" s="288"/>
      <c r="M45" s="288"/>
      <c r="N45" s="288"/>
    </row>
    <row r="46" spans="1:14" x14ac:dyDescent="0.2">
      <c r="A46" s="288"/>
      <c r="B46" s="288"/>
      <c r="C46" s="288"/>
      <c r="D46" s="288"/>
      <c r="E46" s="288"/>
      <c r="F46" s="288"/>
      <c r="G46" s="288"/>
      <c r="H46" s="288"/>
      <c r="I46" s="288"/>
      <c r="J46" s="288"/>
      <c r="K46" s="288"/>
      <c r="L46" s="288"/>
      <c r="M46" s="288"/>
      <c r="N46" s="288"/>
    </row>
    <row r="47" spans="1:14" x14ac:dyDescent="0.2">
      <c r="A47" s="288"/>
      <c r="B47" s="288"/>
      <c r="C47" s="288"/>
      <c r="D47" s="288"/>
      <c r="E47" s="288"/>
      <c r="F47" s="288"/>
      <c r="G47" s="288"/>
      <c r="H47" s="288"/>
      <c r="I47" s="288"/>
      <c r="J47" s="288"/>
      <c r="K47" s="288"/>
      <c r="L47" s="288"/>
      <c r="M47" s="288"/>
      <c r="N47" s="288"/>
    </row>
    <row r="48" spans="1:14" x14ac:dyDescent="0.2">
      <c r="A48" s="288"/>
      <c r="B48" s="288"/>
      <c r="C48" s="288"/>
      <c r="D48" s="288"/>
      <c r="E48" s="288"/>
      <c r="F48" s="288"/>
      <c r="G48" s="288"/>
      <c r="H48" s="288"/>
      <c r="I48" s="288"/>
      <c r="J48" s="288"/>
      <c r="K48" s="288"/>
      <c r="L48" s="288"/>
      <c r="M48" s="288"/>
      <c r="N48" s="288"/>
    </row>
    <row r="49" spans="1:14" x14ac:dyDescent="0.2">
      <c r="A49" s="288"/>
      <c r="B49" s="288"/>
      <c r="C49" s="288"/>
      <c r="D49" s="288"/>
      <c r="E49" s="288"/>
      <c r="F49" s="288"/>
      <c r="G49" s="288"/>
      <c r="H49" s="288"/>
      <c r="I49" s="288"/>
      <c r="J49" s="288"/>
      <c r="K49" s="288"/>
      <c r="L49" s="288"/>
      <c r="M49" s="288"/>
      <c r="N49" s="288"/>
    </row>
    <row r="50" spans="1:14" x14ac:dyDescent="0.2">
      <c r="A50" s="288"/>
      <c r="B50" s="288"/>
      <c r="C50" s="288"/>
      <c r="D50" s="288"/>
      <c r="E50" s="288"/>
      <c r="F50" s="288"/>
      <c r="G50" s="288"/>
      <c r="H50" s="288"/>
      <c r="I50" s="288"/>
      <c r="J50" s="288"/>
      <c r="K50" s="288"/>
      <c r="L50" s="288"/>
      <c r="M50" s="288"/>
      <c r="N50" s="288"/>
    </row>
    <row r="51" spans="1:14" x14ac:dyDescent="0.2">
      <c r="A51" s="288"/>
      <c r="B51" s="288"/>
      <c r="C51" s="288"/>
      <c r="D51" s="288"/>
      <c r="E51" s="288"/>
      <c r="F51" s="288"/>
      <c r="G51" s="288"/>
      <c r="H51" s="288"/>
      <c r="I51" s="288"/>
      <c r="J51" s="288"/>
      <c r="K51" s="288"/>
      <c r="L51" s="288"/>
      <c r="M51" s="288"/>
      <c r="N51" s="288"/>
    </row>
    <row r="52" spans="1:14" x14ac:dyDescent="0.2">
      <c r="A52" s="288"/>
      <c r="B52" s="288"/>
      <c r="C52" s="288"/>
      <c r="D52" s="288"/>
      <c r="E52" s="288"/>
      <c r="F52" s="288"/>
      <c r="G52" s="288"/>
      <c r="H52" s="288"/>
      <c r="I52" s="288"/>
      <c r="J52" s="288"/>
      <c r="K52" s="288"/>
      <c r="L52" s="288"/>
      <c r="M52" s="288"/>
      <c r="N52" s="288"/>
    </row>
    <row r="53" spans="1:14" x14ac:dyDescent="0.2">
      <c r="A53" s="288"/>
      <c r="B53" s="288"/>
      <c r="C53" s="288"/>
      <c r="D53" s="288"/>
      <c r="E53" s="288"/>
      <c r="F53" s="288"/>
      <c r="G53" s="288"/>
      <c r="H53" s="288"/>
      <c r="I53" s="288"/>
      <c r="J53" s="288"/>
      <c r="K53" s="288"/>
      <c r="L53" s="288"/>
      <c r="M53" s="288"/>
      <c r="N53" s="288"/>
    </row>
    <row r="54" spans="1:14" x14ac:dyDescent="0.2">
      <c r="A54" s="288"/>
      <c r="B54" s="288"/>
      <c r="C54" s="288"/>
      <c r="D54" s="288"/>
      <c r="E54" s="288"/>
      <c r="F54" s="288"/>
      <c r="G54" s="288"/>
      <c r="H54" s="288"/>
      <c r="I54" s="288"/>
      <c r="J54" s="288"/>
      <c r="K54" s="288"/>
      <c r="L54" s="288"/>
      <c r="M54" s="288"/>
      <c r="N54" s="288"/>
    </row>
    <row r="55" spans="1:14" x14ac:dyDescent="0.2">
      <c r="A55" s="288"/>
      <c r="B55" s="288"/>
      <c r="C55" s="288"/>
      <c r="D55" s="288"/>
      <c r="E55" s="288"/>
      <c r="F55" s="288"/>
      <c r="G55" s="288"/>
      <c r="H55" s="288"/>
      <c r="I55" s="288"/>
      <c r="J55" s="288"/>
      <c r="K55" s="288"/>
      <c r="L55" s="288"/>
      <c r="M55" s="288"/>
      <c r="N55" s="288"/>
    </row>
    <row r="56" spans="1:14" x14ac:dyDescent="0.2">
      <c r="A56" s="288"/>
      <c r="B56" s="288"/>
      <c r="C56" s="288"/>
      <c r="D56" s="288"/>
      <c r="E56" s="288"/>
      <c r="F56" s="288"/>
      <c r="G56" s="288"/>
      <c r="H56" s="288"/>
      <c r="I56" s="288"/>
      <c r="J56" s="288"/>
      <c r="K56" s="288"/>
      <c r="L56" s="288"/>
      <c r="M56" s="288"/>
      <c r="N56" s="288"/>
    </row>
    <row r="57" spans="1:14" x14ac:dyDescent="0.2">
      <c r="A57" s="288"/>
      <c r="B57" s="288"/>
      <c r="C57" s="288"/>
      <c r="D57" s="288"/>
      <c r="E57" s="288"/>
      <c r="F57" s="288"/>
      <c r="G57" s="288"/>
      <c r="H57" s="288"/>
      <c r="I57" s="288"/>
      <c r="J57" s="288"/>
      <c r="K57" s="288"/>
      <c r="L57" s="288"/>
      <c r="M57" s="288"/>
      <c r="N57" s="288"/>
    </row>
    <row r="58" spans="1:14" x14ac:dyDescent="0.2">
      <c r="A58" s="288"/>
      <c r="B58" s="288"/>
      <c r="C58" s="288"/>
      <c r="D58" s="288"/>
      <c r="E58" s="288"/>
      <c r="F58" s="288"/>
      <c r="G58" s="288"/>
      <c r="H58" s="288"/>
      <c r="I58" s="288"/>
      <c r="J58" s="288"/>
      <c r="K58" s="288"/>
      <c r="L58" s="288"/>
      <c r="M58" s="288"/>
      <c r="N58" s="288"/>
    </row>
    <row r="59" spans="1:14" x14ac:dyDescent="0.2">
      <c r="A59" s="288"/>
      <c r="B59" s="288"/>
      <c r="C59" s="288"/>
      <c r="D59" s="288"/>
      <c r="E59" s="288"/>
      <c r="F59" s="288"/>
      <c r="G59" s="288"/>
      <c r="H59" s="288"/>
      <c r="I59" s="288"/>
      <c r="J59" s="288"/>
      <c r="K59" s="288"/>
      <c r="L59" s="288"/>
      <c r="M59" s="288"/>
      <c r="N59" s="288"/>
    </row>
    <row r="60" spans="1:14" x14ac:dyDescent="0.2">
      <c r="A60" s="288"/>
      <c r="B60" s="288"/>
      <c r="C60" s="288"/>
      <c r="D60" s="288"/>
      <c r="E60" s="288"/>
      <c r="F60" s="288"/>
      <c r="G60" s="288"/>
      <c r="H60" s="288"/>
      <c r="I60" s="288"/>
      <c r="J60" s="288"/>
      <c r="K60" s="288"/>
      <c r="L60" s="288"/>
      <c r="M60" s="288"/>
      <c r="N60" s="288"/>
    </row>
    <row r="61" spans="1:14" x14ac:dyDescent="0.2">
      <c r="A61" s="288"/>
      <c r="B61" s="288"/>
      <c r="C61" s="288"/>
      <c r="D61" s="288"/>
      <c r="E61" s="288"/>
      <c r="F61" s="288"/>
      <c r="G61" s="288"/>
      <c r="H61" s="288"/>
      <c r="I61" s="288"/>
      <c r="J61" s="288"/>
      <c r="K61" s="288"/>
      <c r="L61" s="288"/>
      <c r="M61" s="288"/>
      <c r="N61" s="288"/>
    </row>
    <row r="62" spans="1:14" x14ac:dyDescent="0.2">
      <c r="A62" s="288"/>
      <c r="B62" s="288"/>
      <c r="C62" s="288"/>
      <c r="D62" s="288"/>
      <c r="E62" s="288"/>
      <c r="F62" s="288"/>
      <c r="G62" s="288"/>
      <c r="H62" s="288"/>
      <c r="I62" s="288"/>
      <c r="J62" s="288"/>
      <c r="K62" s="288"/>
      <c r="L62" s="288"/>
      <c r="M62" s="288"/>
      <c r="N62" s="288"/>
    </row>
    <row r="63" spans="1:14" x14ac:dyDescent="0.2">
      <c r="A63" s="288"/>
      <c r="B63" s="288"/>
      <c r="C63" s="288"/>
      <c r="D63" s="288"/>
      <c r="E63" s="288"/>
      <c r="F63" s="288"/>
      <c r="G63" s="288"/>
      <c r="H63" s="288"/>
      <c r="I63" s="288"/>
      <c r="J63" s="288"/>
      <c r="K63" s="288"/>
      <c r="L63" s="288"/>
      <c r="M63" s="288"/>
      <c r="N63" s="288"/>
    </row>
    <row r="64" spans="1:14" x14ac:dyDescent="0.2">
      <c r="A64" s="288"/>
      <c r="B64" s="288"/>
      <c r="C64" s="288"/>
      <c r="D64" s="288"/>
      <c r="E64" s="288"/>
      <c r="F64" s="288"/>
      <c r="G64" s="288"/>
      <c r="H64" s="288"/>
      <c r="I64" s="288"/>
      <c r="J64" s="288"/>
      <c r="K64" s="288"/>
      <c r="L64" s="288"/>
      <c r="M64" s="288"/>
      <c r="N64" s="288"/>
    </row>
    <row r="65" spans="1:14" x14ac:dyDescent="0.2">
      <c r="A65" s="288"/>
      <c r="B65" s="288"/>
      <c r="C65" s="288"/>
      <c r="D65" s="288"/>
      <c r="E65" s="288"/>
      <c r="F65" s="288"/>
      <c r="G65" s="288"/>
      <c r="H65" s="288"/>
      <c r="I65" s="288"/>
      <c r="J65" s="288"/>
      <c r="K65" s="288"/>
      <c r="L65" s="288"/>
      <c r="M65" s="288"/>
      <c r="N65" s="288"/>
    </row>
    <row r="66" spans="1:14" x14ac:dyDescent="0.2">
      <c r="A66" s="288"/>
      <c r="B66" s="288"/>
      <c r="C66" s="288"/>
      <c r="D66" s="288"/>
      <c r="E66" s="288"/>
      <c r="F66" s="288"/>
      <c r="G66" s="288"/>
      <c r="H66" s="288"/>
      <c r="I66" s="288"/>
      <c r="J66" s="288"/>
      <c r="K66" s="288"/>
      <c r="L66" s="288"/>
      <c r="M66" s="288"/>
      <c r="N66" s="288"/>
    </row>
    <row r="67" spans="1:14" x14ac:dyDescent="0.2">
      <c r="A67" s="288"/>
      <c r="B67" s="288"/>
      <c r="C67" s="288"/>
      <c r="D67" s="288"/>
      <c r="E67" s="288"/>
      <c r="F67" s="288"/>
      <c r="G67" s="288"/>
      <c r="H67" s="288"/>
      <c r="I67" s="288"/>
      <c r="J67" s="288"/>
      <c r="K67" s="288"/>
      <c r="L67" s="288"/>
      <c r="M67" s="288"/>
      <c r="N67" s="288"/>
    </row>
    <row r="68" spans="1:14" x14ac:dyDescent="0.2">
      <c r="A68" s="288"/>
      <c r="B68" s="288"/>
      <c r="C68" s="288"/>
      <c r="D68" s="288"/>
      <c r="E68" s="288"/>
      <c r="F68" s="288"/>
      <c r="G68" s="288"/>
      <c r="H68" s="288"/>
      <c r="I68" s="288"/>
      <c r="J68" s="288"/>
      <c r="K68" s="288"/>
      <c r="L68" s="288"/>
      <c r="M68" s="288"/>
      <c r="N68" s="288"/>
    </row>
    <row r="69" spans="1:14" x14ac:dyDescent="0.2">
      <c r="A69" s="288"/>
      <c r="B69" s="288"/>
      <c r="C69" s="288"/>
      <c r="D69" s="288"/>
      <c r="E69" s="288"/>
      <c r="F69" s="288"/>
      <c r="G69" s="288"/>
      <c r="H69" s="288"/>
      <c r="I69" s="288"/>
      <c r="J69" s="288"/>
      <c r="K69" s="288"/>
      <c r="L69" s="288"/>
      <c r="M69" s="288"/>
      <c r="N69" s="288"/>
    </row>
    <row r="70" spans="1:14" x14ac:dyDescent="0.2">
      <c r="A70" s="288"/>
      <c r="B70" s="288"/>
      <c r="C70" s="288"/>
      <c r="D70" s="288"/>
      <c r="E70" s="288"/>
      <c r="F70" s="288"/>
      <c r="G70" s="288"/>
      <c r="H70" s="288"/>
      <c r="I70" s="288"/>
      <c r="J70" s="288"/>
      <c r="K70" s="288"/>
      <c r="L70" s="288"/>
      <c r="M70" s="288"/>
      <c r="N70" s="288"/>
    </row>
    <row r="71" spans="1:14" x14ac:dyDescent="0.2">
      <c r="A71" s="288"/>
      <c r="B71" s="288"/>
      <c r="C71" s="288"/>
      <c r="D71" s="288"/>
      <c r="E71" s="288"/>
      <c r="F71" s="288"/>
      <c r="G71" s="288"/>
      <c r="H71" s="288"/>
      <c r="I71" s="288"/>
      <c r="J71" s="288"/>
      <c r="K71" s="288"/>
      <c r="L71" s="288"/>
      <c r="M71" s="288"/>
      <c r="N71" s="288"/>
    </row>
    <row r="72" spans="1:14" x14ac:dyDescent="0.2">
      <c r="A72" s="288"/>
      <c r="B72" s="288"/>
      <c r="C72" s="288"/>
      <c r="D72" s="288"/>
      <c r="E72" s="288"/>
      <c r="F72" s="288"/>
      <c r="G72" s="288"/>
      <c r="H72" s="288"/>
      <c r="I72" s="288"/>
      <c r="J72" s="288"/>
      <c r="K72" s="288"/>
      <c r="L72" s="288"/>
      <c r="M72" s="288"/>
      <c r="N72" s="288"/>
    </row>
    <row r="73" spans="1:14" x14ac:dyDescent="0.2">
      <c r="A73" s="288"/>
      <c r="B73" s="288"/>
      <c r="C73" s="288"/>
      <c r="D73" s="288"/>
      <c r="E73" s="288"/>
      <c r="F73" s="288"/>
      <c r="G73" s="288"/>
      <c r="H73" s="288"/>
      <c r="I73" s="288"/>
      <c r="J73" s="288"/>
      <c r="K73" s="288"/>
      <c r="L73" s="288"/>
      <c r="M73" s="288"/>
      <c r="N73" s="288"/>
    </row>
    <row r="74" spans="1:14" x14ac:dyDescent="0.2">
      <c r="A74" s="288"/>
      <c r="B74" s="288"/>
      <c r="C74" s="288"/>
      <c r="D74" s="288"/>
      <c r="E74" s="288"/>
      <c r="F74" s="288"/>
      <c r="G74" s="288"/>
      <c r="H74" s="288"/>
      <c r="I74" s="288"/>
      <c r="J74" s="288"/>
      <c r="K74" s="288"/>
      <c r="L74" s="288"/>
      <c r="M74" s="288"/>
      <c r="N74" s="288"/>
    </row>
    <row r="75" spans="1:14" x14ac:dyDescent="0.2">
      <c r="A75" s="288"/>
      <c r="B75" s="288"/>
      <c r="C75" s="288"/>
      <c r="D75" s="288"/>
      <c r="E75" s="288"/>
      <c r="F75" s="288"/>
      <c r="G75" s="288"/>
      <c r="H75" s="288"/>
      <c r="I75" s="288"/>
      <c r="J75" s="288"/>
      <c r="K75" s="288"/>
      <c r="L75" s="288"/>
      <c r="M75" s="288"/>
      <c r="N75" s="288"/>
    </row>
    <row r="76" spans="1:14" x14ac:dyDescent="0.2">
      <c r="A76" s="288"/>
      <c r="B76" s="288"/>
      <c r="C76" s="288"/>
      <c r="D76" s="288"/>
      <c r="E76" s="288"/>
      <c r="F76" s="288"/>
      <c r="G76" s="288"/>
      <c r="H76" s="288"/>
      <c r="I76" s="288"/>
      <c r="J76" s="288"/>
      <c r="K76" s="288"/>
      <c r="L76" s="288"/>
      <c r="M76" s="288"/>
      <c r="N76" s="288"/>
    </row>
    <row r="77" spans="1:14" x14ac:dyDescent="0.2">
      <c r="A77" s="288"/>
      <c r="B77" s="288"/>
      <c r="C77" s="288"/>
      <c r="D77" s="288"/>
      <c r="E77" s="288"/>
      <c r="F77" s="288"/>
      <c r="G77" s="288"/>
      <c r="H77" s="288"/>
      <c r="I77" s="288"/>
      <c r="J77" s="288"/>
      <c r="K77" s="288"/>
      <c r="L77" s="288"/>
      <c r="M77" s="288"/>
      <c r="N77" s="288"/>
    </row>
    <row r="78" spans="1:14" x14ac:dyDescent="0.2">
      <c r="A78" s="288"/>
      <c r="B78" s="288"/>
      <c r="C78" s="288"/>
      <c r="D78" s="288"/>
      <c r="E78" s="288"/>
      <c r="F78" s="288"/>
      <c r="G78" s="288"/>
      <c r="H78" s="288"/>
      <c r="I78" s="288"/>
      <c r="J78" s="288"/>
      <c r="K78" s="288"/>
      <c r="L78" s="288"/>
      <c r="M78" s="288"/>
      <c r="N78" s="288"/>
    </row>
    <row r="79" spans="1:14" x14ac:dyDescent="0.2">
      <c r="A79" s="288"/>
      <c r="B79" s="288"/>
      <c r="C79" s="288"/>
      <c r="D79" s="288"/>
      <c r="E79" s="288"/>
      <c r="F79" s="288"/>
      <c r="G79" s="288"/>
      <c r="H79" s="288"/>
      <c r="I79" s="288"/>
      <c r="J79" s="288"/>
      <c r="K79" s="288"/>
      <c r="L79" s="288"/>
      <c r="M79" s="288"/>
      <c r="N79" s="288"/>
    </row>
    <row r="80" spans="1:14" x14ac:dyDescent="0.2">
      <c r="A80" s="288"/>
      <c r="B80" s="288"/>
      <c r="C80" s="288"/>
      <c r="D80" s="288"/>
      <c r="E80" s="288"/>
      <c r="F80" s="288"/>
      <c r="G80" s="288"/>
      <c r="H80" s="288"/>
      <c r="I80" s="288"/>
      <c r="J80" s="288"/>
      <c r="K80" s="288"/>
      <c r="L80" s="288"/>
      <c r="M80" s="288"/>
      <c r="N80" s="288"/>
    </row>
    <row r="81" spans="1:14" x14ac:dyDescent="0.2">
      <c r="A81" s="288"/>
      <c r="B81" s="288"/>
      <c r="C81" s="288"/>
      <c r="D81" s="288"/>
      <c r="E81" s="288"/>
      <c r="F81" s="288"/>
      <c r="G81" s="288"/>
      <c r="H81" s="288"/>
      <c r="I81" s="288"/>
      <c r="J81" s="288"/>
      <c r="K81" s="288"/>
      <c r="L81" s="288"/>
      <c r="M81" s="288"/>
      <c r="N81" s="288"/>
    </row>
    <row r="82" spans="1:14" x14ac:dyDescent="0.2">
      <c r="A82" s="288"/>
      <c r="B82" s="288"/>
      <c r="C82" s="288"/>
      <c r="D82" s="288"/>
      <c r="E82" s="288"/>
      <c r="F82" s="288"/>
      <c r="G82" s="288"/>
      <c r="H82" s="288"/>
      <c r="I82" s="288"/>
      <c r="J82" s="288"/>
      <c r="K82" s="288"/>
      <c r="L82" s="288"/>
      <c r="M82" s="288"/>
      <c r="N82" s="288"/>
    </row>
    <row r="83" spans="1:14" x14ac:dyDescent="0.2">
      <c r="A83" s="288"/>
      <c r="B83" s="288"/>
      <c r="C83" s="288"/>
      <c r="D83" s="288"/>
      <c r="E83" s="288"/>
      <c r="F83" s="288"/>
      <c r="G83" s="288"/>
      <c r="H83" s="288"/>
      <c r="I83" s="288"/>
      <c r="J83" s="288"/>
      <c r="K83" s="288"/>
      <c r="L83" s="288"/>
      <c r="M83" s="288"/>
      <c r="N83" s="288"/>
    </row>
    <row r="84" spans="1:14" x14ac:dyDescent="0.2">
      <c r="A84" s="288"/>
      <c r="B84" s="288"/>
      <c r="C84" s="288"/>
      <c r="D84" s="288"/>
      <c r="E84" s="288"/>
      <c r="F84" s="288"/>
      <c r="G84" s="288"/>
      <c r="H84" s="288"/>
      <c r="I84" s="288"/>
      <c r="J84" s="288"/>
      <c r="K84" s="288"/>
      <c r="L84" s="288"/>
      <c r="M84" s="288"/>
      <c r="N84" s="288"/>
    </row>
    <row r="85" spans="1:14" x14ac:dyDescent="0.2">
      <c r="A85" s="288"/>
      <c r="B85" s="288"/>
      <c r="C85" s="288"/>
      <c r="D85" s="288"/>
      <c r="E85" s="288"/>
      <c r="F85" s="288"/>
      <c r="G85" s="288"/>
      <c r="H85" s="288"/>
      <c r="I85" s="288"/>
      <c r="J85" s="288"/>
      <c r="K85" s="288"/>
      <c r="L85" s="288"/>
      <c r="M85" s="288"/>
      <c r="N85" s="288"/>
    </row>
    <row r="86" spans="1:14" x14ac:dyDescent="0.2">
      <c r="A86" s="288"/>
      <c r="B86" s="288"/>
      <c r="C86" s="288"/>
      <c r="D86" s="288"/>
      <c r="E86" s="288"/>
      <c r="F86" s="288"/>
      <c r="G86" s="288"/>
      <c r="H86" s="288"/>
      <c r="I86" s="288"/>
      <c r="J86" s="288"/>
      <c r="K86" s="288"/>
      <c r="L86" s="288"/>
      <c r="M86" s="288"/>
      <c r="N86" s="288"/>
    </row>
    <row r="87" spans="1:14" x14ac:dyDescent="0.2">
      <c r="A87" s="288"/>
      <c r="B87" s="288"/>
      <c r="C87" s="288"/>
      <c r="D87" s="288"/>
      <c r="E87" s="288"/>
      <c r="F87" s="288"/>
      <c r="G87" s="288"/>
      <c r="H87" s="288"/>
      <c r="I87" s="288"/>
      <c r="J87" s="288"/>
      <c r="K87" s="288"/>
      <c r="L87" s="288"/>
      <c r="M87" s="288"/>
      <c r="N87" s="288"/>
    </row>
    <row r="88" spans="1:14" x14ac:dyDescent="0.2">
      <c r="A88" s="288"/>
      <c r="B88" s="288"/>
      <c r="C88" s="288"/>
      <c r="D88" s="288"/>
      <c r="E88" s="288"/>
      <c r="F88" s="288"/>
      <c r="G88" s="288"/>
      <c r="H88" s="288"/>
      <c r="I88" s="288"/>
      <c r="J88" s="288"/>
      <c r="K88" s="288"/>
      <c r="L88" s="288"/>
      <c r="M88" s="288"/>
      <c r="N88" s="288"/>
    </row>
    <row r="89" spans="1:14" x14ac:dyDescent="0.2">
      <c r="A89" s="288"/>
      <c r="B89" s="288"/>
      <c r="C89" s="288"/>
      <c r="D89" s="288"/>
      <c r="E89" s="288"/>
      <c r="F89" s="288"/>
      <c r="G89" s="288"/>
      <c r="H89" s="288"/>
      <c r="I89" s="288"/>
      <c r="J89" s="288"/>
      <c r="K89" s="288"/>
      <c r="L89" s="288"/>
      <c r="M89" s="288"/>
      <c r="N89" s="288"/>
    </row>
    <row r="90" spans="1:14" x14ac:dyDescent="0.2">
      <c r="A90" s="288"/>
      <c r="B90" s="288"/>
      <c r="C90" s="288"/>
      <c r="D90" s="288"/>
      <c r="E90" s="288"/>
      <c r="F90" s="288"/>
      <c r="G90" s="288"/>
      <c r="H90" s="288"/>
      <c r="I90" s="288"/>
      <c r="J90" s="288"/>
      <c r="K90" s="288"/>
      <c r="L90" s="288"/>
      <c r="M90" s="288"/>
      <c r="N90" s="288"/>
    </row>
    <row r="91" spans="1:14" x14ac:dyDescent="0.2">
      <c r="A91" s="288"/>
      <c r="B91" s="288"/>
      <c r="C91" s="288"/>
      <c r="D91" s="288"/>
      <c r="E91" s="288"/>
      <c r="F91" s="288"/>
      <c r="G91" s="288"/>
      <c r="H91" s="288"/>
      <c r="I91" s="288"/>
      <c r="J91" s="288"/>
      <c r="K91" s="288"/>
      <c r="L91" s="288"/>
      <c r="M91" s="288"/>
      <c r="N91" s="288"/>
    </row>
    <row r="92" spans="1:14" x14ac:dyDescent="0.2">
      <c r="A92" s="288"/>
      <c r="B92" s="288"/>
      <c r="C92" s="288"/>
      <c r="D92" s="288"/>
      <c r="E92" s="288"/>
      <c r="F92" s="288"/>
      <c r="G92" s="288"/>
      <c r="H92" s="288"/>
      <c r="I92" s="288"/>
      <c r="J92" s="288"/>
      <c r="K92" s="288"/>
      <c r="L92" s="288"/>
      <c r="M92" s="288"/>
      <c r="N92" s="288"/>
    </row>
    <row r="93" spans="1:14" x14ac:dyDescent="0.2">
      <c r="A93" s="288"/>
      <c r="B93" s="288"/>
      <c r="C93" s="288"/>
      <c r="D93" s="288"/>
      <c r="E93" s="288"/>
      <c r="F93" s="288"/>
      <c r="G93" s="288"/>
      <c r="H93" s="288"/>
      <c r="I93" s="288"/>
      <c r="J93" s="288"/>
      <c r="K93" s="288"/>
      <c r="L93" s="288"/>
      <c r="M93" s="288"/>
      <c r="N93" s="288"/>
    </row>
    <row r="94" spans="1:14" x14ac:dyDescent="0.2">
      <c r="A94" s="288"/>
      <c r="B94" s="288"/>
      <c r="C94" s="288"/>
      <c r="D94" s="288"/>
      <c r="E94" s="288"/>
      <c r="F94" s="288"/>
      <c r="G94" s="288"/>
      <c r="H94" s="288"/>
      <c r="I94" s="288"/>
      <c r="J94" s="288"/>
      <c r="K94" s="288"/>
      <c r="L94" s="288"/>
      <c r="M94" s="288"/>
      <c r="N94" s="288"/>
    </row>
    <row r="95" spans="1:14" x14ac:dyDescent="0.2">
      <c r="A95" s="288"/>
      <c r="B95" s="288"/>
      <c r="C95" s="288"/>
      <c r="D95" s="288"/>
      <c r="E95" s="288"/>
      <c r="F95" s="288"/>
      <c r="G95" s="288"/>
      <c r="H95" s="288"/>
      <c r="I95" s="288"/>
      <c r="J95" s="288"/>
      <c r="K95" s="288"/>
      <c r="L95" s="288"/>
      <c r="M95" s="288"/>
      <c r="N95" s="288"/>
    </row>
    <row r="96" spans="1:14" x14ac:dyDescent="0.2">
      <c r="A96" s="288"/>
      <c r="B96" s="288"/>
      <c r="C96" s="288"/>
      <c r="D96" s="288"/>
      <c r="E96" s="288"/>
      <c r="F96" s="288"/>
      <c r="G96" s="288"/>
      <c r="H96" s="288"/>
      <c r="I96" s="288"/>
      <c r="J96" s="288"/>
      <c r="K96" s="288"/>
      <c r="L96" s="288"/>
      <c r="M96" s="288"/>
      <c r="N96" s="288"/>
    </row>
    <row r="97" spans="1:14" x14ac:dyDescent="0.2">
      <c r="A97" s="288"/>
      <c r="B97" s="288"/>
      <c r="C97" s="288"/>
      <c r="D97" s="288"/>
      <c r="E97" s="288"/>
      <c r="F97" s="288"/>
      <c r="G97" s="288"/>
      <c r="H97" s="288"/>
      <c r="I97" s="288"/>
      <c r="J97" s="288"/>
      <c r="K97" s="288"/>
      <c r="L97" s="288"/>
      <c r="M97" s="288"/>
      <c r="N97" s="288"/>
    </row>
    <row r="98" spans="1:14" x14ac:dyDescent="0.2">
      <c r="A98" s="288"/>
      <c r="B98" s="288"/>
      <c r="C98" s="288"/>
      <c r="D98" s="288"/>
      <c r="E98" s="288"/>
      <c r="F98" s="288"/>
      <c r="G98" s="288"/>
      <c r="H98" s="288"/>
      <c r="I98" s="288"/>
      <c r="J98" s="288"/>
      <c r="K98" s="288"/>
      <c r="L98" s="288"/>
      <c r="M98" s="288"/>
      <c r="N98" s="288"/>
    </row>
    <row r="99" spans="1:14" x14ac:dyDescent="0.2">
      <c r="A99" s="288"/>
      <c r="B99" s="288"/>
      <c r="C99" s="288"/>
      <c r="D99" s="288"/>
      <c r="E99" s="288"/>
      <c r="F99" s="288"/>
      <c r="G99" s="288"/>
      <c r="H99" s="288"/>
      <c r="I99" s="288"/>
      <c r="J99" s="288"/>
      <c r="K99" s="288"/>
      <c r="L99" s="288"/>
      <c r="M99" s="288"/>
      <c r="N99" s="288"/>
    </row>
    <row r="100" spans="1:14" x14ac:dyDescent="0.2">
      <c r="A100" s="288"/>
      <c r="B100" s="288"/>
      <c r="C100" s="288"/>
      <c r="D100" s="288"/>
      <c r="E100" s="288"/>
      <c r="F100" s="288"/>
      <c r="G100" s="288"/>
      <c r="H100" s="288"/>
      <c r="I100" s="288"/>
      <c r="J100" s="288"/>
      <c r="K100" s="288"/>
      <c r="L100" s="288"/>
      <c r="M100" s="288"/>
      <c r="N100" s="288"/>
    </row>
    <row r="101" spans="1:14" x14ac:dyDescent="0.2">
      <c r="A101" s="288"/>
      <c r="B101" s="288"/>
      <c r="C101" s="288"/>
      <c r="D101" s="288"/>
      <c r="E101" s="288"/>
      <c r="F101" s="288"/>
      <c r="G101" s="288"/>
      <c r="H101" s="288"/>
      <c r="I101" s="288"/>
      <c r="J101" s="288"/>
      <c r="K101" s="288"/>
      <c r="L101" s="288"/>
      <c r="M101" s="288"/>
      <c r="N101" s="288"/>
    </row>
    <row r="102" spans="1:14" x14ac:dyDescent="0.2">
      <c r="A102" s="288"/>
      <c r="B102" s="288"/>
      <c r="C102" s="288"/>
      <c r="D102" s="288"/>
      <c r="E102" s="288"/>
      <c r="F102" s="288"/>
      <c r="G102" s="288"/>
      <c r="H102" s="288"/>
      <c r="I102" s="288"/>
      <c r="J102" s="288"/>
      <c r="K102" s="288"/>
      <c r="L102" s="288"/>
      <c r="M102" s="288"/>
      <c r="N102" s="288"/>
    </row>
    <row r="103" spans="1:14" x14ac:dyDescent="0.2">
      <c r="A103" s="288"/>
      <c r="B103" s="288"/>
      <c r="C103" s="288"/>
      <c r="D103" s="288"/>
      <c r="E103" s="288"/>
      <c r="F103" s="288"/>
      <c r="G103" s="288"/>
      <c r="H103" s="288"/>
      <c r="I103" s="288"/>
      <c r="J103" s="288"/>
      <c r="K103" s="288"/>
      <c r="L103" s="288"/>
      <c r="M103" s="288"/>
      <c r="N103" s="288"/>
    </row>
    <row r="104" spans="1:14" x14ac:dyDescent="0.2">
      <c r="A104" s="288"/>
      <c r="B104" s="288"/>
      <c r="C104" s="288"/>
      <c r="D104" s="288"/>
      <c r="E104" s="288"/>
      <c r="F104" s="288"/>
      <c r="G104" s="288"/>
      <c r="H104" s="288"/>
      <c r="I104" s="288"/>
      <c r="J104" s="288"/>
      <c r="K104" s="288"/>
      <c r="L104" s="288"/>
      <c r="M104" s="288"/>
      <c r="N104" s="288"/>
    </row>
    <row r="105" spans="1:14" x14ac:dyDescent="0.2">
      <c r="A105" s="288"/>
      <c r="B105" s="288"/>
      <c r="C105" s="288"/>
      <c r="D105" s="288"/>
      <c r="E105" s="288"/>
      <c r="F105" s="288"/>
      <c r="G105" s="288"/>
      <c r="H105" s="288"/>
      <c r="I105" s="288"/>
      <c r="J105" s="288"/>
      <c r="K105" s="288"/>
      <c r="L105" s="288"/>
      <c r="M105" s="288"/>
      <c r="N105" s="288"/>
    </row>
    <row r="106" spans="1:14" x14ac:dyDescent="0.2">
      <c r="A106" s="288"/>
      <c r="B106" s="288"/>
      <c r="C106" s="288"/>
      <c r="D106" s="288"/>
      <c r="E106" s="288"/>
      <c r="F106" s="288"/>
      <c r="G106" s="288"/>
      <c r="H106" s="288"/>
      <c r="I106" s="288"/>
      <c r="J106" s="288"/>
      <c r="K106" s="288"/>
      <c r="L106" s="288"/>
      <c r="M106" s="288"/>
      <c r="N106" s="288"/>
    </row>
    <row r="107" spans="1:14" x14ac:dyDescent="0.2">
      <c r="A107" s="288"/>
      <c r="B107" s="288"/>
      <c r="C107" s="288"/>
      <c r="D107" s="288"/>
      <c r="E107" s="288"/>
      <c r="F107" s="288"/>
      <c r="G107" s="288"/>
      <c r="H107" s="288"/>
      <c r="I107" s="288"/>
      <c r="J107" s="288"/>
      <c r="K107" s="288"/>
      <c r="L107" s="288"/>
      <c r="M107" s="288"/>
      <c r="N107" s="288"/>
    </row>
    <row r="108" spans="1:14" x14ac:dyDescent="0.2">
      <c r="A108" s="288"/>
      <c r="B108" s="288"/>
      <c r="C108" s="288"/>
      <c r="D108" s="288"/>
      <c r="E108" s="288"/>
      <c r="F108" s="288"/>
      <c r="G108" s="288"/>
      <c r="H108" s="288"/>
      <c r="I108" s="288"/>
      <c r="J108" s="288"/>
      <c r="K108" s="288"/>
      <c r="L108" s="288"/>
      <c r="M108" s="288"/>
      <c r="N108" s="288"/>
    </row>
    <row r="109" spans="1:14" x14ac:dyDescent="0.2">
      <c r="A109" s="288"/>
      <c r="B109" s="288"/>
      <c r="C109" s="288"/>
      <c r="D109" s="288"/>
      <c r="E109" s="288"/>
      <c r="F109" s="288"/>
      <c r="G109" s="288"/>
      <c r="H109" s="288"/>
      <c r="I109" s="288"/>
      <c r="J109" s="288"/>
      <c r="K109" s="288"/>
      <c r="L109" s="288"/>
      <c r="M109" s="288"/>
      <c r="N109" s="288"/>
    </row>
    <row r="110" spans="1:14" x14ac:dyDescent="0.2">
      <c r="A110" s="288"/>
      <c r="B110" s="288"/>
      <c r="C110" s="288"/>
      <c r="D110" s="288"/>
      <c r="E110" s="288"/>
      <c r="F110" s="288"/>
      <c r="G110" s="288"/>
      <c r="H110" s="288"/>
      <c r="I110" s="288"/>
      <c r="J110" s="288"/>
      <c r="K110" s="288"/>
      <c r="L110" s="288"/>
      <c r="M110" s="288"/>
      <c r="N110" s="288"/>
    </row>
    <row r="111" spans="1:14" x14ac:dyDescent="0.2">
      <c r="A111" s="288"/>
      <c r="B111" s="288"/>
      <c r="C111" s="288"/>
      <c r="D111" s="288"/>
      <c r="E111" s="288"/>
      <c r="F111" s="288"/>
      <c r="G111" s="288"/>
      <c r="H111" s="288"/>
      <c r="I111" s="288"/>
      <c r="J111" s="288"/>
      <c r="K111" s="288"/>
      <c r="L111" s="288"/>
      <c r="M111" s="288"/>
      <c r="N111" s="288"/>
    </row>
    <row r="112" spans="1:14" x14ac:dyDescent="0.2">
      <c r="A112" s="288"/>
      <c r="B112" s="288"/>
      <c r="C112" s="288"/>
      <c r="D112" s="288"/>
      <c r="E112" s="288"/>
      <c r="F112" s="288"/>
      <c r="G112" s="288"/>
      <c r="H112" s="288"/>
      <c r="I112" s="288"/>
      <c r="J112" s="288"/>
      <c r="K112" s="288"/>
      <c r="L112" s="288"/>
      <c r="M112" s="288"/>
      <c r="N112" s="288"/>
    </row>
    <row r="113" spans="1:14" x14ac:dyDescent="0.2">
      <c r="A113" s="288"/>
      <c r="B113" s="288"/>
      <c r="C113" s="288"/>
      <c r="D113" s="288"/>
      <c r="E113" s="288"/>
      <c r="F113" s="288"/>
      <c r="G113" s="288"/>
      <c r="H113" s="288"/>
      <c r="I113" s="288"/>
      <c r="J113" s="288"/>
      <c r="K113" s="288"/>
      <c r="L113" s="288"/>
      <c r="M113" s="288"/>
      <c r="N113" s="288"/>
    </row>
    <row r="114" spans="1:14" x14ac:dyDescent="0.2">
      <c r="A114" s="288"/>
      <c r="B114" s="288"/>
      <c r="C114" s="288"/>
      <c r="D114" s="288"/>
      <c r="E114" s="288"/>
      <c r="F114" s="288"/>
      <c r="G114" s="288"/>
      <c r="H114" s="288"/>
      <c r="I114" s="288"/>
      <c r="J114" s="288"/>
      <c r="K114" s="288"/>
      <c r="L114" s="288"/>
      <c r="M114" s="288"/>
      <c r="N114" s="288"/>
    </row>
    <row r="115" spans="1:14" x14ac:dyDescent="0.2">
      <c r="A115" s="288"/>
      <c r="B115" s="288"/>
      <c r="C115" s="288"/>
      <c r="D115" s="288"/>
      <c r="E115" s="288"/>
      <c r="F115" s="288"/>
      <c r="G115" s="288"/>
      <c r="H115" s="288"/>
      <c r="I115" s="288"/>
      <c r="J115" s="288"/>
      <c r="K115" s="288"/>
      <c r="L115" s="288"/>
      <c r="M115" s="288"/>
      <c r="N115" s="288"/>
    </row>
    <row r="116" spans="1:14" x14ac:dyDescent="0.2">
      <c r="A116" s="288"/>
      <c r="B116" s="288"/>
      <c r="C116" s="288"/>
      <c r="D116" s="288"/>
      <c r="E116" s="288"/>
      <c r="F116" s="288"/>
      <c r="G116" s="288"/>
      <c r="H116" s="288"/>
      <c r="I116" s="288"/>
      <c r="J116" s="288"/>
      <c r="K116" s="288"/>
      <c r="L116" s="288"/>
      <c r="M116" s="288"/>
      <c r="N116" s="288"/>
    </row>
    <row r="117" spans="1:14" x14ac:dyDescent="0.2">
      <c r="A117" s="288"/>
      <c r="B117" s="288"/>
      <c r="C117" s="288"/>
      <c r="D117" s="288"/>
      <c r="E117" s="288"/>
      <c r="F117" s="288"/>
      <c r="G117" s="288"/>
      <c r="H117" s="288"/>
      <c r="I117" s="288"/>
      <c r="J117" s="288"/>
      <c r="K117" s="288"/>
      <c r="L117" s="288"/>
      <c r="M117" s="288"/>
      <c r="N117" s="288"/>
    </row>
    <row r="118" spans="1:14" x14ac:dyDescent="0.2">
      <c r="A118" s="288"/>
      <c r="B118" s="288"/>
      <c r="C118" s="288"/>
      <c r="D118" s="288"/>
      <c r="E118" s="288"/>
      <c r="F118" s="288"/>
      <c r="G118" s="288"/>
      <c r="H118" s="288"/>
      <c r="I118" s="288"/>
      <c r="J118" s="288"/>
      <c r="K118" s="288"/>
      <c r="L118" s="288"/>
      <c r="M118" s="288"/>
      <c r="N118" s="288"/>
    </row>
  </sheetData>
  <pageMargins left="0.5" right="0.5" top="0.75" bottom="0.75" header="0.5" footer="0.5"/>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BB60"/>
  <sheetViews>
    <sheetView tabSelected="1" zoomScale="80" zoomScaleNormal="80" workbookViewId="0">
      <selection activeCell="A29" sqref="A29"/>
    </sheetView>
  </sheetViews>
  <sheetFormatPr defaultColWidth="8.85546875" defaultRowHeight="12.75" x14ac:dyDescent="0.2"/>
  <cols>
    <col min="1" max="1" width="32.5703125" style="195" customWidth="1"/>
    <col min="2" max="2" width="17.140625" style="195" customWidth="1"/>
    <col min="3" max="3" width="12.28515625" style="195" customWidth="1"/>
    <col min="4" max="4" width="15.85546875" style="195" customWidth="1"/>
    <col min="5" max="5" width="16" style="195" customWidth="1"/>
    <col min="6" max="6" width="15.85546875" style="195" customWidth="1"/>
    <col min="7" max="7" width="32.5703125" style="195" customWidth="1"/>
    <col min="8" max="8" width="17.140625" style="195" customWidth="1"/>
    <col min="9" max="9" width="12.28515625" style="195" customWidth="1"/>
    <col min="10" max="10" width="15.85546875" style="195" customWidth="1"/>
    <col min="11" max="11" width="16" style="195" customWidth="1"/>
    <col min="12" max="12" width="15.85546875" style="195" customWidth="1"/>
    <col min="13" max="13" width="71.7109375" style="195" bestFit="1" customWidth="1"/>
    <col min="14" max="14" width="8.85546875" style="195"/>
    <col min="15" max="15" width="33.42578125" style="195" bestFit="1" customWidth="1"/>
    <col min="16" max="16" width="12.7109375" style="195" bestFit="1" customWidth="1"/>
    <col min="17" max="17" width="10.7109375" style="195" bestFit="1" customWidth="1"/>
    <col min="18" max="18" width="10.42578125" style="195" customWidth="1"/>
    <col min="19" max="19" width="71.7109375" style="195" bestFit="1" customWidth="1"/>
    <col min="20" max="20" width="8.85546875" style="195"/>
    <col min="21" max="21" width="33.42578125" style="195" bestFit="1" customWidth="1"/>
    <col min="22" max="22" width="12.7109375" style="195" bestFit="1" customWidth="1"/>
    <col min="23" max="23" width="10.28515625" style="195" bestFit="1" customWidth="1"/>
    <col min="24" max="24" width="9.28515625" style="195" bestFit="1" customWidth="1"/>
    <col min="25" max="25" width="40.28515625" style="195" customWidth="1"/>
    <col min="26" max="26" width="6.28515625" style="195" customWidth="1"/>
    <col min="27" max="27" width="12.42578125" style="195" customWidth="1"/>
    <col min="28" max="28" width="14.85546875" style="195" bestFit="1" customWidth="1"/>
    <col min="29" max="29" width="11.5703125" style="195" customWidth="1"/>
    <col min="30" max="30" width="10.5703125" style="195" bestFit="1" customWidth="1"/>
    <col min="31" max="31" width="40.28515625" style="195" customWidth="1"/>
    <col min="32" max="32" width="6.28515625" style="195" customWidth="1"/>
    <col min="33" max="33" width="12.42578125" style="195" customWidth="1"/>
    <col min="34" max="34" width="14.85546875" style="195" bestFit="1" customWidth="1"/>
    <col min="35" max="35" width="11.5703125" style="195" customWidth="1"/>
    <col min="36" max="36" width="10.5703125" style="195" bestFit="1" customWidth="1"/>
    <col min="37" max="37" width="40.28515625" style="195" customWidth="1"/>
    <col min="38" max="38" width="6.28515625" style="195" customWidth="1"/>
    <col min="39" max="39" width="12.42578125" style="195" customWidth="1"/>
    <col min="40" max="40" width="14.85546875" style="195" bestFit="1" customWidth="1"/>
    <col min="41" max="41" width="11.5703125" style="195" customWidth="1"/>
    <col min="42" max="42" width="10.5703125" style="195" bestFit="1" customWidth="1"/>
    <col min="43" max="43" width="11" style="195" customWidth="1"/>
    <col min="44" max="44" width="41.5703125" style="195" customWidth="1"/>
    <col min="45" max="45" width="10.42578125" style="195" bestFit="1" customWidth="1"/>
    <col min="46" max="46" width="13.42578125" style="195" customWidth="1"/>
    <col min="47" max="47" width="11" style="195" customWidth="1"/>
    <col min="48" max="48" width="11.85546875" style="195" customWidth="1"/>
    <col min="49" max="49" width="35.85546875" style="195" customWidth="1"/>
    <col min="50" max="50" width="8.85546875" style="195"/>
    <col min="51" max="51" width="24.140625" style="195" customWidth="1"/>
    <col min="52" max="52" width="11" style="195" bestFit="1" customWidth="1"/>
    <col min="53" max="53" width="10.5703125" style="195" bestFit="1" customWidth="1"/>
    <col min="54" max="54" width="10.42578125" style="195" customWidth="1"/>
    <col min="55" max="16384" width="8.85546875" style="195"/>
  </cols>
  <sheetData>
    <row r="1" spans="1:54" ht="19.5" customHeight="1" x14ac:dyDescent="0.4">
      <c r="A1" s="191" t="s">
        <v>117</v>
      </c>
      <c r="B1" s="192"/>
      <c r="C1" s="193"/>
      <c r="D1" s="193"/>
      <c r="E1" s="193"/>
      <c r="F1" s="194"/>
      <c r="G1" s="191" t="s">
        <v>117</v>
      </c>
      <c r="H1" s="192"/>
      <c r="I1" s="193"/>
      <c r="J1" s="193"/>
      <c r="K1" s="193"/>
      <c r="L1" s="194"/>
      <c r="M1" s="191" t="s">
        <v>117</v>
      </c>
      <c r="N1" s="192"/>
      <c r="O1" s="193"/>
      <c r="P1" s="193"/>
      <c r="Q1" s="193"/>
      <c r="R1" s="194"/>
      <c r="S1" s="191" t="s">
        <v>117</v>
      </c>
      <c r="T1" s="192"/>
      <c r="U1" s="193"/>
      <c r="V1" s="193"/>
      <c r="W1" s="193"/>
      <c r="X1" s="194"/>
      <c r="Y1" s="191" t="s">
        <v>117</v>
      </c>
      <c r="Z1" s="192"/>
      <c r="AA1" s="193"/>
      <c r="AB1" s="193"/>
      <c r="AC1" s="193"/>
      <c r="AD1" s="194"/>
      <c r="AE1" s="191" t="s">
        <v>117</v>
      </c>
      <c r="AF1" s="192"/>
      <c r="AG1" s="193"/>
      <c r="AH1" s="193"/>
      <c r="AI1" s="193"/>
      <c r="AJ1" s="194"/>
      <c r="AK1" s="191" t="s">
        <v>117</v>
      </c>
      <c r="AL1" s="192"/>
      <c r="AM1" s="193"/>
      <c r="AN1" s="193"/>
      <c r="AO1" s="193"/>
      <c r="AP1" s="194"/>
      <c r="AQ1" s="191" t="str">
        <f>AK1</f>
        <v>Republic Services of Bellevue (Eastside) commodity adjustment</v>
      </c>
      <c r="AR1" s="192"/>
      <c r="AS1" s="193"/>
      <c r="AT1" s="193"/>
      <c r="AU1" s="193"/>
      <c r="AV1" s="194"/>
      <c r="AW1" s="191" t="str">
        <f>AQ1</f>
        <v>Republic Services of Bellevue (Eastside) commodity adjustment</v>
      </c>
      <c r="AX1" s="192"/>
      <c r="AY1" s="193"/>
      <c r="AZ1" s="193"/>
      <c r="BA1" s="193"/>
      <c r="BB1" s="194"/>
    </row>
    <row r="2" spans="1:54" ht="18" x14ac:dyDescent="0.35">
      <c r="A2" s="196" t="s">
        <v>118</v>
      </c>
      <c r="B2" s="197"/>
      <c r="C2" s="198" t="s">
        <v>119</v>
      </c>
      <c r="D2" s="199"/>
      <c r="E2" s="199"/>
      <c r="F2" s="200"/>
      <c r="G2" s="196" t="s">
        <v>118</v>
      </c>
      <c r="H2" s="197"/>
      <c r="I2" s="198" t="s">
        <v>119</v>
      </c>
      <c r="J2" s="199"/>
      <c r="K2" s="199"/>
      <c r="L2" s="200"/>
      <c r="M2" s="196" t="s">
        <v>118</v>
      </c>
      <c r="N2" s="197"/>
      <c r="O2" s="198" t="s">
        <v>119</v>
      </c>
      <c r="P2" s="199"/>
      <c r="Q2" s="199"/>
      <c r="R2" s="200"/>
      <c r="S2" s="196" t="s">
        <v>118</v>
      </c>
      <c r="T2" s="197"/>
      <c r="U2" s="198" t="s">
        <v>119</v>
      </c>
      <c r="V2" s="199"/>
      <c r="W2" s="199"/>
      <c r="X2" s="200"/>
      <c r="Y2" s="196" t="s">
        <v>118</v>
      </c>
      <c r="Z2" s="197"/>
      <c r="AA2" s="198" t="s">
        <v>119</v>
      </c>
      <c r="AB2" s="199"/>
      <c r="AC2" s="199"/>
      <c r="AD2" s="200"/>
      <c r="AE2" s="196" t="s">
        <v>118</v>
      </c>
      <c r="AF2" s="197"/>
      <c r="AG2" s="198" t="s">
        <v>119</v>
      </c>
      <c r="AH2" s="199"/>
      <c r="AI2" s="199"/>
      <c r="AJ2" s="200"/>
      <c r="AK2" s="196" t="s">
        <v>118</v>
      </c>
      <c r="AL2" s="197"/>
      <c r="AM2" s="198" t="s">
        <v>119</v>
      </c>
      <c r="AN2" s="199"/>
      <c r="AO2" s="199"/>
      <c r="AP2" s="200"/>
      <c r="AQ2" s="196" t="s">
        <v>118</v>
      </c>
      <c r="AR2" s="197"/>
      <c r="AS2" s="198" t="s">
        <v>119</v>
      </c>
      <c r="AT2" s="199"/>
      <c r="AU2" s="199"/>
      <c r="AV2" s="200"/>
      <c r="AW2" s="196" t="s">
        <v>118</v>
      </c>
      <c r="AX2" s="197"/>
      <c r="AY2" s="198" t="s">
        <v>119</v>
      </c>
      <c r="AZ2" s="199"/>
      <c r="BA2" s="199"/>
      <c r="BB2" s="200"/>
    </row>
    <row r="3" spans="1:54" x14ac:dyDescent="0.2">
      <c r="A3" s="201" t="s">
        <v>218</v>
      </c>
      <c r="B3" s="202"/>
      <c r="C3" s="199"/>
      <c r="D3" s="199"/>
      <c r="E3" s="199"/>
      <c r="F3" s="200"/>
      <c r="G3" s="201" t="s">
        <v>218</v>
      </c>
      <c r="H3" s="202"/>
      <c r="I3" s="199"/>
      <c r="J3" s="199"/>
      <c r="K3" s="199"/>
      <c r="L3" s="200"/>
      <c r="M3" s="201" t="s">
        <v>215</v>
      </c>
      <c r="N3" s="202"/>
      <c r="O3" s="199"/>
      <c r="P3" s="199"/>
      <c r="Q3" s="199"/>
      <c r="R3" s="200"/>
      <c r="S3" s="201" t="s">
        <v>158</v>
      </c>
      <c r="T3" s="202"/>
      <c r="U3" s="199"/>
      <c r="V3" s="199"/>
      <c r="W3" s="199"/>
      <c r="X3" s="200"/>
      <c r="Y3" s="201" t="s">
        <v>150</v>
      </c>
      <c r="Z3" s="202"/>
      <c r="AA3" s="199"/>
      <c r="AB3" s="199"/>
      <c r="AC3" s="199"/>
      <c r="AD3" s="200"/>
      <c r="AE3" s="201" t="s">
        <v>155</v>
      </c>
      <c r="AF3" s="202"/>
      <c r="AG3" s="199"/>
      <c r="AH3" s="199"/>
      <c r="AI3" s="199"/>
      <c r="AJ3" s="200"/>
      <c r="AK3" s="201" t="s">
        <v>120</v>
      </c>
      <c r="AL3" s="202"/>
      <c r="AM3" s="199"/>
      <c r="AN3" s="199"/>
      <c r="AO3" s="199"/>
      <c r="AP3" s="200"/>
      <c r="AQ3" s="201" t="s">
        <v>121</v>
      </c>
      <c r="AR3" s="202"/>
      <c r="AS3" s="199"/>
      <c r="AT3" s="199"/>
      <c r="AU3" s="199"/>
      <c r="AV3" s="200"/>
      <c r="AW3" s="201" t="s">
        <v>122</v>
      </c>
      <c r="AX3" s="202"/>
      <c r="AY3" s="199"/>
      <c r="AZ3" s="199"/>
      <c r="BA3" s="199"/>
      <c r="BB3" s="200"/>
    </row>
    <row r="4" spans="1:54" ht="20.25" x14ac:dyDescent="0.3">
      <c r="A4" s="356" t="s">
        <v>237</v>
      </c>
      <c r="B4" s="357"/>
      <c r="C4" s="357"/>
      <c r="D4" s="357"/>
      <c r="E4" s="357"/>
      <c r="F4" s="358"/>
      <c r="G4" s="356" t="s">
        <v>220</v>
      </c>
      <c r="H4" s="357"/>
      <c r="I4" s="357"/>
      <c r="J4" s="357"/>
      <c r="K4" s="357"/>
      <c r="L4" s="358"/>
      <c r="M4" s="356" t="s">
        <v>214</v>
      </c>
      <c r="N4" s="357"/>
      <c r="O4" s="357"/>
      <c r="P4" s="357"/>
      <c r="Q4" s="357"/>
      <c r="R4" s="358"/>
      <c r="S4" s="356" t="s">
        <v>157</v>
      </c>
      <c r="T4" s="357"/>
      <c r="U4" s="357"/>
      <c r="V4" s="357"/>
      <c r="W4" s="357"/>
      <c r="X4" s="358"/>
      <c r="Y4" s="356" t="s">
        <v>151</v>
      </c>
      <c r="Z4" s="357"/>
      <c r="AA4" s="357"/>
      <c r="AB4" s="357"/>
      <c r="AC4" s="357"/>
      <c r="AD4" s="358"/>
      <c r="AE4" s="356" t="s">
        <v>156</v>
      </c>
      <c r="AF4" s="357"/>
      <c r="AG4" s="357"/>
      <c r="AH4" s="357"/>
      <c r="AI4" s="357"/>
      <c r="AJ4" s="358"/>
      <c r="AK4" s="356" t="s">
        <v>123</v>
      </c>
      <c r="AL4" s="357"/>
      <c r="AM4" s="357"/>
      <c r="AN4" s="357"/>
      <c r="AO4" s="357"/>
      <c r="AP4" s="358"/>
      <c r="AQ4" s="203"/>
      <c r="AR4" s="357" t="s">
        <v>124</v>
      </c>
      <c r="AS4" s="357"/>
      <c r="AT4" s="357"/>
      <c r="AU4" s="357"/>
      <c r="AV4" s="200"/>
      <c r="AW4" s="203"/>
      <c r="AX4" s="357" t="s">
        <v>125</v>
      </c>
      <c r="AY4" s="357"/>
      <c r="AZ4" s="357"/>
      <c r="BA4" s="357"/>
      <c r="BB4" s="200"/>
    </row>
    <row r="5" spans="1:54" x14ac:dyDescent="0.2">
      <c r="A5" s="203"/>
      <c r="B5" s="199"/>
      <c r="C5" s="199"/>
      <c r="D5" s="199"/>
      <c r="E5" s="199"/>
      <c r="F5" s="200"/>
      <c r="G5" s="203"/>
      <c r="H5" s="199"/>
      <c r="I5" s="199"/>
      <c r="J5" s="199"/>
      <c r="K5" s="199"/>
      <c r="L5" s="200"/>
      <c r="M5" s="203"/>
      <c r="N5" s="199"/>
      <c r="O5" s="199"/>
      <c r="P5" s="199"/>
      <c r="Q5" s="199"/>
      <c r="R5" s="200"/>
      <c r="S5" s="203"/>
      <c r="T5" s="199"/>
      <c r="U5" s="199"/>
      <c r="V5" s="199"/>
      <c r="W5" s="199"/>
      <c r="X5" s="200"/>
      <c r="Y5" s="203"/>
      <c r="Z5" s="199"/>
      <c r="AA5" s="199"/>
      <c r="AB5" s="199"/>
      <c r="AC5" s="199"/>
      <c r="AD5" s="200"/>
      <c r="AE5" s="203"/>
      <c r="AF5" s="199"/>
      <c r="AG5" s="199"/>
      <c r="AH5" s="199"/>
      <c r="AI5" s="199"/>
      <c r="AJ5" s="200"/>
      <c r="AK5" s="203"/>
      <c r="AL5" s="199"/>
      <c r="AM5" s="199"/>
      <c r="AN5" s="199"/>
      <c r="AO5" s="199"/>
      <c r="AP5" s="200"/>
      <c r="AQ5" s="203"/>
      <c r="AR5" s="199"/>
      <c r="AS5" s="199"/>
      <c r="AT5" s="199"/>
      <c r="AU5" s="199"/>
      <c r="AV5" s="200"/>
      <c r="AW5" s="203"/>
      <c r="AX5" s="199"/>
      <c r="AY5" s="199"/>
      <c r="AZ5" s="199"/>
      <c r="BA5" s="199"/>
      <c r="BB5" s="200"/>
    </row>
    <row r="6" spans="1:54" ht="19.5" x14ac:dyDescent="0.4">
      <c r="A6" s="353" t="s">
        <v>126</v>
      </c>
      <c r="B6" s="354"/>
      <c r="C6" s="354"/>
      <c r="D6" s="354"/>
      <c r="E6" s="354"/>
      <c r="F6" s="355"/>
      <c r="G6" s="353" t="s">
        <v>126</v>
      </c>
      <c r="H6" s="354"/>
      <c r="I6" s="354"/>
      <c r="J6" s="354"/>
      <c r="K6" s="354"/>
      <c r="L6" s="355"/>
      <c r="M6" s="353" t="s">
        <v>126</v>
      </c>
      <c r="N6" s="354"/>
      <c r="O6" s="354"/>
      <c r="P6" s="354"/>
      <c r="Q6" s="354"/>
      <c r="R6" s="355"/>
      <c r="S6" s="353" t="s">
        <v>126</v>
      </c>
      <c r="T6" s="354"/>
      <c r="U6" s="354"/>
      <c r="V6" s="354"/>
      <c r="W6" s="354"/>
      <c r="X6" s="355"/>
      <c r="Y6" s="353" t="s">
        <v>126</v>
      </c>
      <c r="Z6" s="354"/>
      <c r="AA6" s="354"/>
      <c r="AB6" s="354"/>
      <c r="AC6" s="354"/>
      <c r="AD6" s="355"/>
      <c r="AE6" s="353" t="s">
        <v>126</v>
      </c>
      <c r="AF6" s="354"/>
      <c r="AG6" s="354"/>
      <c r="AH6" s="354"/>
      <c r="AI6" s="354"/>
      <c r="AJ6" s="355"/>
      <c r="AK6" s="353" t="s">
        <v>126</v>
      </c>
      <c r="AL6" s="354"/>
      <c r="AM6" s="354"/>
      <c r="AN6" s="354"/>
      <c r="AO6" s="354"/>
      <c r="AP6" s="355"/>
      <c r="AQ6" s="353" t="s">
        <v>126</v>
      </c>
      <c r="AR6" s="354"/>
      <c r="AS6" s="354"/>
      <c r="AT6" s="354"/>
      <c r="AU6" s="354"/>
      <c r="AV6" s="355"/>
      <c r="AW6" s="353" t="s">
        <v>126</v>
      </c>
      <c r="AX6" s="354"/>
      <c r="AY6" s="354"/>
      <c r="AZ6" s="354"/>
      <c r="BA6" s="354"/>
      <c r="BB6" s="355"/>
    </row>
    <row r="7" spans="1:54" x14ac:dyDescent="0.2">
      <c r="A7" s="203"/>
      <c r="B7" s="199"/>
      <c r="C7" s="199"/>
      <c r="D7" s="199"/>
      <c r="E7" s="199"/>
      <c r="F7" s="200"/>
      <c r="G7" s="203"/>
      <c r="H7" s="199"/>
      <c r="I7" s="199"/>
      <c r="J7" s="199"/>
      <c r="K7" s="199"/>
      <c r="L7" s="200"/>
      <c r="M7" s="203"/>
      <c r="N7" s="199"/>
      <c r="O7" s="199"/>
      <c r="P7" s="199"/>
      <c r="Q7" s="199"/>
      <c r="R7" s="200"/>
      <c r="S7" s="203"/>
      <c r="T7" s="199"/>
      <c r="U7" s="199"/>
      <c r="V7" s="199"/>
      <c r="W7" s="199"/>
      <c r="X7" s="200"/>
      <c r="Y7" s="203"/>
      <c r="Z7" s="199"/>
      <c r="AA7" s="199"/>
      <c r="AB7" s="199"/>
      <c r="AC7" s="199"/>
      <c r="AD7" s="200"/>
      <c r="AE7" s="203"/>
      <c r="AF7" s="199"/>
      <c r="AG7" s="199"/>
      <c r="AH7" s="199"/>
      <c r="AI7" s="199"/>
      <c r="AJ7" s="200"/>
      <c r="AK7" s="203"/>
      <c r="AL7" s="199"/>
      <c r="AM7" s="199"/>
      <c r="AN7" s="199"/>
      <c r="AO7" s="199"/>
      <c r="AP7" s="200"/>
      <c r="AQ7" s="203"/>
      <c r="AR7" s="199"/>
      <c r="AS7" s="199"/>
      <c r="AT7" s="199"/>
      <c r="AU7" s="199"/>
      <c r="AV7" s="200"/>
      <c r="AW7" s="203"/>
      <c r="AX7" s="199"/>
      <c r="AY7" s="199"/>
      <c r="AZ7" s="199"/>
      <c r="BA7" s="199"/>
      <c r="BB7" s="200"/>
    </row>
    <row r="8" spans="1:54" x14ac:dyDescent="0.2">
      <c r="A8" s="203"/>
      <c r="B8" s="199"/>
      <c r="C8" s="204"/>
      <c r="D8" s="204" t="s">
        <v>2</v>
      </c>
      <c r="E8" s="204" t="s">
        <v>30</v>
      </c>
      <c r="F8" s="200"/>
      <c r="G8" s="203"/>
      <c r="H8" s="199"/>
      <c r="I8" s="204"/>
      <c r="J8" s="204" t="s">
        <v>2</v>
      </c>
      <c r="K8" s="204" t="s">
        <v>30</v>
      </c>
      <c r="L8" s="200"/>
      <c r="M8" s="203"/>
      <c r="N8" s="199"/>
      <c r="O8" s="204"/>
      <c r="P8" s="204" t="s">
        <v>2</v>
      </c>
      <c r="Q8" s="204" t="s">
        <v>30</v>
      </c>
      <c r="R8" s="200"/>
      <c r="S8" s="203"/>
      <c r="T8" s="199"/>
      <c r="U8" s="204"/>
      <c r="V8" s="204" t="s">
        <v>2</v>
      </c>
      <c r="W8" s="204" t="s">
        <v>30</v>
      </c>
      <c r="X8" s="200"/>
      <c r="Y8" s="203"/>
      <c r="Z8" s="199"/>
      <c r="AA8" s="204"/>
      <c r="AB8" s="204" t="s">
        <v>2</v>
      </c>
      <c r="AC8" s="204" t="s">
        <v>30</v>
      </c>
      <c r="AD8" s="200"/>
      <c r="AE8" s="203"/>
      <c r="AF8" s="199"/>
      <c r="AG8" s="204"/>
      <c r="AH8" s="204" t="s">
        <v>2</v>
      </c>
      <c r="AI8" s="204" t="s">
        <v>30</v>
      </c>
      <c r="AJ8" s="200"/>
      <c r="AK8" s="203"/>
      <c r="AL8" s="199"/>
      <c r="AM8" s="204"/>
      <c r="AN8" s="204" t="s">
        <v>2</v>
      </c>
      <c r="AO8" s="204" t="s">
        <v>30</v>
      </c>
      <c r="AP8" s="200"/>
      <c r="AQ8" s="203"/>
      <c r="AR8" s="199"/>
      <c r="AS8" s="204"/>
      <c r="AT8" s="204" t="s">
        <v>2</v>
      </c>
      <c r="AU8" s="204" t="s">
        <v>30</v>
      </c>
      <c r="AV8" s="200"/>
      <c r="AW8" s="203"/>
      <c r="AX8" s="199"/>
      <c r="AY8" s="204"/>
      <c r="AZ8" s="204" t="s">
        <v>2</v>
      </c>
      <c r="BA8" s="204" t="s">
        <v>30</v>
      </c>
      <c r="BB8" s="200"/>
    </row>
    <row r="9" spans="1:54" x14ac:dyDescent="0.2">
      <c r="A9" s="203"/>
      <c r="B9" s="199"/>
      <c r="C9" s="205" t="s">
        <v>6</v>
      </c>
      <c r="D9" s="205" t="s">
        <v>127</v>
      </c>
      <c r="E9" s="205" t="s">
        <v>128</v>
      </c>
      <c r="F9" s="200"/>
      <c r="G9" s="203"/>
      <c r="H9" s="199"/>
      <c r="I9" s="205" t="s">
        <v>6</v>
      </c>
      <c r="J9" s="205" t="s">
        <v>127</v>
      </c>
      <c r="K9" s="205" t="s">
        <v>128</v>
      </c>
      <c r="L9" s="200"/>
      <c r="M9" s="203"/>
      <c r="N9" s="199"/>
      <c r="O9" s="205" t="s">
        <v>6</v>
      </c>
      <c r="P9" s="205" t="s">
        <v>127</v>
      </c>
      <c r="Q9" s="205" t="s">
        <v>128</v>
      </c>
      <c r="R9" s="200"/>
      <c r="S9" s="203"/>
      <c r="T9" s="199"/>
      <c r="U9" s="205" t="s">
        <v>6</v>
      </c>
      <c r="V9" s="205" t="s">
        <v>127</v>
      </c>
      <c r="W9" s="205" t="s">
        <v>128</v>
      </c>
      <c r="X9" s="200"/>
      <c r="Y9" s="203"/>
      <c r="Z9" s="199"/>
      <c r="AA9" s="205" t="s">
        <v>6</v>
      </c>
      <c r="AB9" s="205" t="s">
        <v>127</v>
      </c>
      <c r="AC9" s="205" t="s">
        <v>128</v>
      </c>
      <c r="AD9" s="200"/>
      <c r="AE9" s="203"/>
      <c r="AF9" s="199"/>
      <c r="AG9" s="205" t="s">
        <v>6</v>
      </c>
      <c r="AH9" s="205" t="s">
        <v>127</v>
      </c>
      <c r="AI9" s="205" t="s">
        <v>128</v>
      </c>
      <c r="AJ9" s="200"/>
      <c r="AK9" s="203"/>
      <c r="AL9" s="199"/>
      <c r="AM9" s="205" t="s">
        <v>6</v>
      </c>
      <c r="AN9" s="205" t="s">
        <v>127</v>
      </c>
      <c r="AO9" s="205" t="s">
        <v>128</v>
      </c>
      <c r="AP9" s="200"/>
      <c r="AQ9" s="203"/>
      <c r="AR9" s="199"/>
      <c r="AS9" s="205" t="s">
        <v>6</v>
      </c>
      <c r="AT9" s="205" t="s">
        <v>127</v>
      </c>
      <c r="AU9" s="205" t="s">
        <v>128</v>
      </c>
      <c r="AV9" s="200"/>
      <c r="AW9" s="203"/>
      <c r="AX9" s="199"/>
      <c r="AY9" s="205" t="s">
        <v>6</v>
      </c>
      <c r="AZ9" s="205" t="s">
        <v>127</v>
      </c>
      <c r="BA9" s="205" t="s">
        <v>128</v>
      </c>
      <c r="BB9" s="200"/>
    </row>
    <row r="10" spans="1:54" ht="16.5" x14ac:dyDescent="0.35">
      <c r="A10" s="206" t="s">
        <v>239</v>
      </c>
      <c r="B10" s="207"/>
      <c r="C10" s="208"/>
      <c r="D10" s="208"/>
      <c r="E10" s="208"/>
      <c r="F10" s="200"/>
      <c r="G10" s="206" t="s">
        <v>216</v>
      </c>
      <c r="H10" s="207"/>
      <c r="I10" s="208"/>
      <c r="J10" s="208"/>
      <c r="K10" s="208"/>
      <c r="L10" s="200"/>
      <c r="M10" s="206" t="s">
        <v>213</v>
      </c>
      <c r="N10" s="207"/>
      <c r="O10" s="208"/>
      <c r="P10" s="208"/>
      <c r="Q10" s="208"/>
      <c r="R10" s="200"/>
      <c r="S10" s="206" t="s">
        <v>153</v>
      </c>
      <c r="T10" s="207"/>
      <c r="U10" s="208"/>
      <c r="V10" s="208"/>
      <c r="W10" s="208"/>
      <c r="X10" s="200"/>
      <c r="Y10" s="206" t="s">
        <v>152</v>
      </c>
      <c r="Z10" s="207"/>
      <c r="AA10" s="208"/>
      <c r="AB10" s="208"/>
      <c r="AC10" s="208"/>
      <c r="AD10" s="200"/>
      <c r="AE10" s="206" t="s">
        <v>129</v>
      </c>
      <c r="AF10" s="207"/>
      <c r="AG10" s="208"/>
      <c r="AH10" s="208"/>
      <c r="AI10" s="208"/>
      <c r="AJ10" s="200"/>
      <c r="AK10" s="206" t="s">
        <v>130</v>
      </c>
      <c r="AL10" s="207"/>
      <c r="AM10" s="208"/>
      <c r="AN10" s="208"/>
      <c r="AO10" s="208"/>
      <c r="AP10" s="200"/>
      <c r="AQ10" s="206" t="s">
        <v>131</v>
      </c>
      <c r="AR10" s="207"/>
      <c r="AS10" s="208"/>
      <c r="AT10" s="208"/>
      <c r="AU10" s="208"/>
      <c r="AV10" s="200"/>
      <c r="AW10" s="206" t="s">
        <v>132</v>
      </c>
      <c r="AX10" s="207"/>
      <c r="AY10" s="208"/>
      <c r="AZ10" s="208"/>
      <c r="BA10" s="208"/>
      <c r="BB10" s="200"/>
    </row>
    <row r="11" spans="1:54" x14ac:dyDescent="0.2">
      <c r="A11" s="209" t="s">
        <v>133</v>
      </c>
      <c r="B11" s="199"/>
      <c r="C11" s="210">
        <f>'181020 WUTC_AW Bellevue SF'!B12</f>
        <v>32847</v>
      </c>
      <c r="D11" s="211">
        <f>J12</f>
        <v>1.1405924706620256</v>
      </c>
      <c r="E11" s="210">
        <f>C11*D11</f>
        <v>37465.040883835558</v>
      </c>
      <c r="F11" s="200"/>
      <c r="G11" s="209" t="s">
        <v>133</v>
      </c>
      <c r="H11" s="199"/>
      <c r="I11" s="210">
        <f>'WUTC_AW of Bellevue_SF 2018'!B12</f>
        <v>32489</v>
      </c>
      <c r="J11" s="211">
        <f>P12</f>
        <v>0.8611476336375079</v>
      </c>
      <c r="K11" s="210">
        <f>I11*J11</f>
        <v>27977.825469248994</v>
      </c>
      <c r="L11" s="200"/>
      <c r="M11" s="209" t="s">
        <v>133</v>
      </c>
      <c r="N11" s="199"/>
      <c r="O11" s="210">
        <f>'WUTC_AW of Bellevue_SF (2)'!B12</f>
        <v>32187</v>
      </c>
      <c r="P11" s="211">
        <f>V12</f>
        <v>0.97447470723074148</v>
      </c>
      <c r="Q11" s="210">
        <f>O11*P11</f>
        <v>31365.417401635877</v>
      </c>
      <c r="R11" s="200"/>
      <c r="S11" s="209" t="s">
        <v>133</v>
      </c>
      <c r="T11" s="199"/>
      <c r="U11" s="210">
        <f>SUM('2016 Staff Summary'!C49:C51)</f>
        <v>31667</v>
      </c>
      <c r="V11" s="211">
        <f>AB12</f>
        <v>1.0043239402166397</v>
      </c>
      <c r="W11" s="210">
        <f>U11*V11</f>
        <v>31803.926214840329</v>
      </c>
      <c r="X11" s="200"/>
      <c r="Y11" s="209" t="s">
        <v>133</v>
      </c>
      <c r="Z11" s="199"/>
      <c r="AA11" s="210">
        <f>SUM('WUTC_AW of Bellevue_SF'!B8:B10)</f>
        <v>31336</v>
      </c>
      <c r="AB11" s="211">
        <f>AH12</f>
        <v>1.0000098082428996</v>
      </c>
      <c r="AC11" s="210">
        <f>AA11*AB11</f>
        <v>31336.307351099502</v>
      </c>
      <c r="AD11" s="200"/>
      <c r="AE11" s="209" t="s">
        <v>133</v>
      </c>
      <c r="AF11" s="199"/>
      <c r="AG11" s="210">
        <f>SUM('[1]WUTC_AW of Bellevue_SF'!B8:B10)</f>
        <v>31143</v>
      </c>
      <c r="AH11" s="211">
        <f>AN12</f>
        <v>1.8244607204744585</v>
      </c>
      <c r="AI11" s="210">
        <f>AG11*AH11</f>
        <v>56819.180217736059</v>
      </c>
      <c r="AJ11" s="200"/>
      <c r="AK11" s="209" t="s">
        <v>133</v>
      </c>
      <c r="AL11" s="199"/>
      <c r="AM11" s="210">
        <v>32362</v>
      </c>
      <c r="AN11" s="211">
        <f>AT12</f>
        <v>1.3965630091773782</v>
      </c>
      <c r="AO11" s="210">
        <f>AM11*AN11</f>
        <v>45195.572102998311</v>
      </c>
      <c r="AP11" s="200"/>
      <c r="AQ11" s="209" t="s">
        <v>134</v>
      </c>
      <c r="AR11" s="199"/>
      <c r="AS11" s="210">
        <f>SUM('[2]WUTC_AW of Bellevue_SF'!$B$8:$B$10)</f>
        <v>35121</v>
      </c>
      <c r="AT11" s="211">
        <f>AZ12</f>
        <v>0.80500000000000005</v>
      </c>
      <c r="AU11" s="210">
        <f>AS11*AT11</f>
        <v>28272.405000000002</v>
      </c>
      <c r="AV11" s="200"/>
      <c r="AW11" s="209" t="s">
        <v>134</v>
      </c>
      <c r="AX11" s="199"/>
      <c r="AY11" s="210">
        <f>SUM('[3]WUTC_AW of Bellevue_SF'!$B$8:$B$10)</f>
        <v>60213</v>
      </c>
      <c r="AZ11" s="211">
        <f>'[3]WUTC_AW of Bellevue_SF'!$F$33</f>
        <v>0.84499999999999997</v>
      </c>
      <c r="BA11" s="210">
        <f>AY11*AZ11</f>
        <v>50879.985000000001</v>
      </c>
      <c r="BB11" s="200"/>
    </row>
    <row r="12" spans="1:54" ht="15" x14ac:dyDescent="0.35">
      <c r="A12" s="212" t="s">
        <v>135</v>
      </c>
      <c r="B12" s="213"/>
      <c r="C12" s="214">
        <f>'181020 WUTC_AW Bellevue SF'!B24</f>
        <v>32831</v>
      </c>
      <c r="D12" s="211">
        <f>L25</f>
        <v>0.47251863526560778</v>
      </c>
      <c r="E12" s="214">
        <f>C12*D12</f>
        <v>15513.25931440517</v>
      </c>
      <c r="F12" s="200"/>
      <c r="G12" s="212" t="s">
        <v>135</v>
      </c>
      <c r="H12" s="213"/>
      <c r="I12" s="214">
        <f>'WUTC_AW of Bellevue_SF 2018'!B24</f>
        <v>98269</v>
      </c>
      <c r="J12" s="211">
        <f>R25</f>
        <v>1.1405924706620256</v>
      </c>
      <c r="K12" s="214">
        <f>I12*J12</f>
        <v>112084.8814994866</v>
      </c>
      <c r="L12" s="200"/>
      <c r="M12" s="212" t="s">
        <v>135</v>
      </c>
      <c r="N12" s="213"/>
      <c r="O12" s="214">
        <f>'WUTC_AW of Bellevue_SF (2)'!B24</f>
        <v>96885</v>
      </c>
      <c r="P12" s="211">
        <f>X25</f>
        <v>0.8611476336375079</v>
      </c>
      <c r="Q12" s="214">
        <f>O12*P12</f>
        <v>83432.288484969948</v>
      </c>
      <c r="R12" s="200"/>
      <c r="S12" s="212" t="s">
        <v>135</v>
      </c>
      <c r="T12" s="213"/>
      <c r="U12" s="214">
        <f>SUM('2016 Staff Summary'!C52:C60)</f>
        <v>95718</v>
      </c>
      <c r="V12" s="211">
        <f>AD25</f>
        <v>0.97447470723074148</v>
      </c>
      <c r="W12" s="214">
        <f>U12*V12</f>
        <v>93274.770026712111</v>
      </c>
      <c r="X12" s="200"/>
      <c r="Y12" s="212" t="s">
        <v>135</v>
      </c>
      <c r="Z12" s="213"/>
      <c r="AA12" s="214">
        <f>SUM('WUTC_AW of Bellevue_SF'!B14:B22)</f>
        <v>94460</v>
      </c>
      <c r="AB12" s="211">
        <f>AJ25</f>
        <v>1.0043239402166397</v>
      </c>
      <c r="AC12" s="214">
        <f>AA12*AB12</f>
        <v>94868.439392863787</v>
      </c>
      <c r="AD12" s="200"/>
      <c r="AE12" s="212" t="s">
        <v>135</v>
      </c>
      <c r="AF12" s="213"/>
      <c r="AG12" s="214">
        <f>SUM('[1]WUTC_AW of Bellevue_SF'!B14:B22)</f>
        <v>93495</v>
      </c>
      <c r="AH12" s="211">
        <f>AP25</f>
        <v>1.0000098082428996</v>
      </c>
      <c r="AI12" s="214">
        <f>AG12*AH12</f>
        <v>93495.917021669899</v>
      </c>
      <c r="AJ12" s="200"/>
      <c r="AK12" s="212" t="s">
        <v>135</v>
      </c>
      <c r="AL12" s="213"/>
      <c r="AM12" s="214">
        <v>92601</v>
      </c>
      <c r="AN12" s="211">
        <f>AV25</f>
        <v>1.8244607204744585</v>
      </c>
      <c r="AO12" s="214">
        <f>AM12*AN12</f>
        <v>168946.88717665532</v>
      </c>
      <c r="AP12" s="200"/>
      <c r="AQ12" s="212" t="s">
        <v>136</v>
      </c>
      <c r="AR12" s="213"/>
      <c r="AS12" s="214">
        <f>SUM('[2]WUTC_AW of Bellevue_SF'!$B$14:$B$22)</f>
        <v>46825</v>
      </c>
      <c r="AT12" s="211">
        <f>BB25</f>
        <v>1.3965630091773782</v>
      </c>
      <c r="AU12" s="214">
        <f>AS12*AT12</f>
        <v>65394.06290473073</v>
      </c>
      <c r="AV12" s="200"/>
      <c r="AW12" s="212" t="s">
        <v>137</v>
      </c>
      <c r="AX12" s="213"/>
      <c r="AY12" s="214">
        <f>SUM('[3]WUTC_AW of Bellevue_SF'!$B$14:$B$22)</f>
        <v>155208</v>
      </c>
      <c r="AZ12" s="211">
        <f>'[3]WUTC_AW of Bellevue_SF'!$F$37</f>
        <v>0.80500000000000005</v>
      </c>
      <c r="BA12" s="214">
        <f>AY12*AZ12</f>
        <v>124942.44</v>
      </c>
      <c r="BB12" s="200"/>
    </row>
    <row r="13" spans="1:54" x14ac:dyDescent="0.2">
      <c r="A13" s="203" t="s">
        <v>30</v>
      </c>
      <c r="B13" s="199"/>
      <c r="C13" s="210">
        <f>SUM(C11:C12)</f>
        <v>65678</v>
      </c>
      <c r="D13" s="199"/>
      <c r="E13" s="210">
        <f>SUM(E11:E12)</f>
        <v>52978.30019824073</v>
      </c>
      <c r="F13" s="200"/>
      <c r="G13" s="203" t="s">
        <v>30</v>
      </c>
      <c r="H13" s="199"/>
      <c r="I13" s="210">
        <f>SUM(I11:I12)</f>
        <v>130758</v>
      </c>
      <c r="J13" s="199"/>
      <c r="K13" s="210">
        <f>SUM(K11:K12)</f>
        <v>140062.70696873558</v>
      </c>
      <c r="L13" s="200"/>
      <c r="M13" s="203" t="s">
        <v>30</v>
      </c>
      <c r="N13" s="199"/>
      <c r="O13" s="210">
        <f>SUM(O11:O12)</f>
        <v>129072</v>
      </c>
      <c r="P13" s="199"/>
      <c r="Q13" s="210">
        <f>SUM(Q11:Q12)</f>
        <v>114797.70588660582</v>
      </c>
      <c r="R13" s="200"/>
      <c r="S13" s="203" t="s">
        <v>30</v>
      </c>
      <c r="T13" s="199"/>
      <c r="U13" s="210">
        <f>SUM(U11:U12)</f>
        <v>127385</v>
      </c>
      <c r="V13" s="199"/>
      <c r="W13" s="210">
        <f>SUM(W11:W12)</f>
        <v>125078.69624155245</v>
      </c>
      <c r="X13" s="200"/>
      <c r="Y13" s="203" t="s">
        <v>30</v>
      </c>
      <c r="Z13" s="199"/>
      <c r="AA13" s="210">
        <f>SUM(AA11:AA12)</f>
        <v>125796</v>
      </c>
      <c r="AB13" s="199"/>
      <c r="AC13" s="210">
        <f>SUM(AC11:AC12)</f>
        <v>126204.74674396329</v>
      </c>
      <c r="AD13" s="200"/>
      <c r="AE13" s="203" t="s">
        <v>30</v>
      </c>
      <c r="AF13" s="199"/>
      <c r="AG13" s="210">
        <f>SUM(AG11:AG12)</f>
        <v>124638</v>
      </c>
      <c r="AH13" s="199"/>
      <c r="AI13" s="210">
        <f>SUM(AI11:AI12)</f>
        <v>150315.09723940596</v>
      </c>
      <c r="AJ13" s="200"/>
      <c r="AK13" s="203" t="s">
        <v>30</v>
      </c>
      <c r="AL13" s="199"/>
      <c r="AM13" s="210">
        <f>SUM(AM11:AM12)</f>
        <v>124963</v>
      </c>
      <c r="AN13" s="199"/>
      <c r="AO13" s="210">
        <f>SUM(AO11:AO12)</f>
        <v>214142.45927965362</v>
      </c>
      <c r="AP13" s="200"/>
      <c r="AQ13" s="203" t="s">
        <v>30</v>
      </c>
      <c r="AR13" s="199"/>
      <c r="AS13" s="210">
        <f>SUM(AS11:AS12)</f>
        <v>81946</v>
      </c>
      <c r="AT13" s="199"/>
      <c r="AU13" s="210">
        <f>SUM(AU11:AU12)</f>
        <v>93666.467904730729</v>
      </c>
      <c r="AV13" s="200"/>
      <c r="AW13" s="203" t="s">
        <v>30</v>
      </c>
      <c r="AX13" s="199"/>
      <c r="AY13" s="210">
        <f>SUM(AY11:AY12)</f>
        <v>215421</v>
      </c>
      <c r="AZ13" s="199"/>
      <c r="BA13" s="210">
        <f>SUM(BA11:BA12)</f>
        <v>175822.42499999999</v>
      </c>
      <c r="BB13" s="200"/>
    </row>
    <row r="14" spans="1:54" x14ac:dyDescent="0.2">
      <c r="A14" s="203"/>
      <c r="B14" s="199"/>
      <c r="C14" s="199"/>
      <c r="D14" s="199"/>
      <c r="E14" s="199"/>
      <c r="F14" s="200"/>
      <c r="G14" s="203"/>
      <c r="H14" s="199"/>
      <c r="I14" s="199"/>
      <c r="J14" s="199"/>
      <c r="K14" s="199"/>
      <c r="L14" s="200"/>
      <c r="M14" s="203"/>
      <c r="N14" s="199"/>
      <c r="O14" s="199"/>
      <c r="P14" s="199"/>
      <c r="Q14" s="199"/>
      <c r="R14" s="200"/>
      <c r="S14" s="203"/>
      <c r="T14" s="199"/>
      <c r="U14" s="199"/>
      <c r="V14" s="199"/>
      <c r="W14" s="199"/>
      <c r="X14" s="200"/>
      <c r="Y14" s="203"/>
      <c r="Z14" s="199"/>
      <c r="AA14" s="199"/>
      <c r="AB14" s="199"/>
      <c r="AC14" s="199"/>
      <c r="AD14" s="200"/>
      <c r="AE14" s="203"/>
      <c r="AF14" s="199"/>
      <c r="AG14" s="199"/>
      <c r="AH14" s="199"/>
      <c r="AI14" s="199"/>
      <c r="AJ14" s="200"/>
      <c r="AK14" s="203"/>
      <c r="AL14" s="199"/>
      <c r="AM14" s="199"/>
      <c r="AN14" s="199"/>
      <c r="AO14" s="199"/>
      <c r="AP14" s="200"/>
      <c r="AQ14" s="203"/>
      <c r="AR14" s="199"/>
      <c r="AS14" s="199"/>
      <c r="AT14" s="199"/>
      <c r="AU14" s="199"/>
      <c r="AV14" s="200"/>
      <c r="AW14" s="203"/>
      <c r="AX14" s="199"/>
      <c r="AY14" s="199"/>
      <c r="AZ14" s="199"/>
      <c r="BA14" s="199"/>
      <c r="BB14" s="200"/>
    </row>
    <row r="15" spans="1:54" x14ac:dyDescent="0.2">
      <c r="A15" s="203" t="s">
        <v>138</v>
      </c>
      <c r="B15" s="199"/>
      <c r="C15" s="199"/>
      <c r="D15" s="199"/>
      <c r="E15" s="210">
        <f>'181020 SF Value'!M18</f>
        <v>36565.463891959967</v>
      </c>
      <c r="F15" s="200"/>
      <c r="G15" s="203" t="s">
        <v>138</v>
      </c>
      <c r="H15" s="199"/>
      <c r="I15" s="199"/>
      <c r="J15" s="199"/>
      <c r="K15" s="210">
        <f>'WUTC_AW of Bellevue_SF 2018'!D26</f>
        <v>99082.725620784971</v>
      </c>
      <c r="L15" s="200"/>
      <c r="M15" s="203" t="s">
        <v>138</v>
      </c>
      <c r="N15" s="199"/>
      <c r="O15" s="199"/>
      <c r="P15" s="199"/>
      <c r="Q15" s="210">
        <f>'WUTC_AW of Bellevue_SF (2)'!D26</f>
        <v>147218.55137328897</v>
      </c>
      <c r="R15" s="200"/>
      <c r="S15" s="203" t="s">
        <v>138</v>
      </c>
      <c r="T15" s="199"/>
      <c r="U15" s="199"/>
      <c r="V15" s="199"/>
      <c r="W15" s="210">
        <f>'2016 Staff Summary'!F4</f>
        <v>109697.29131091395</v>
      </c>
      <c r="X15" s="200"/>
      <c r="Y15" s="203" t="s">
        <v>138</v>
      </c>
      <c r="Z15" s="199"/>
      <c r="AA15" s="199"/>
      <c r="AB15" s="199"/>
      <c r="AC15" s="210">
        <f>'Single Family'!P93</f>
        <v>122585.02027079836</v>
      </c>
      <c r="AD15" s="200"/>
      <c r="AE15" s="203" t="s">
        <v>138</v>
      </c>
      <c r="AF15" s="199"/>
      <c r="AG15" s="199"/>
      <c r="AH15" s="199"/>
      <c r="AI15" s="210">
        <f>[1]Value!O18</f>
        <v>137247.90547064302</v>
      </c>
      <c r="AJ15" s="200"/>
      <c r="AK15" s="203" t="s">
        <v>138</v>
      </c>
      <c r="AL15" s="199"/>
      <c r="AM15" s="199"/>
      <c r="AN15" s="199"/>
      <c r="AO15" s="210">
        <v>162277</v>
      </c>
      <c r="AP15" s="200"/>
      <c r="AQ15" s="196" t="s">
        <v>139</v>
      </c>
      <c r="AR15" s="199"/>
      <c r="AS15" s="199"/>
      <c r="AT15" s="199"/>
      <c r="AU15" s="210">
        <f>'[2]WUTC_AW of Bellevue_SF'!$G$31</f>
        <v>103258</v>
      </c>
      <c r="AV15" s="200"/>
      <c r="AW15" s="196" t="s">
        <v>139</v>
      </c>
      <c r="AX15" s="199"/>
      <c r="AY15" s="199"/>
      <c r="AZ15" s="199"/>
      <c r="BA15" s="210">
        <f>'[3]WUTC_AW of Bellevue_SF'!$G$31</f>
        <v>300849</v>
      </c>
      <c r="BB15" s="200"/>
    </row>
    <row r="16" spans="1:54" x14ac:dyDescent="0.2">
      <c r="A16" s="203" t="s">
        <v>240</v>
      </c>
      <c r="B16" s="199"/>
      <c r="C16" s="199"/>
      <c r="D16" s="199"/>
      <c r="E16" s="352">
        <f>'181020 SF Value'!O18</f>
        <v>18282.731945979984</v>
      </c>
      <c r="F16" s="200"/>
      <c r="G16" s="203"/>
      <c r="H16" s="199"/>
      <c r="I16" s="199"/>
      <c r="J16" s="199"/>
      <c r="K16" s="199"/>
      <c r="L16" s="200"/>
      <c r="M16" s="203"/>
      <c r="N16" s="199"/>
      <c r="O16" s="199"/>
      <c r="P16" s="199"/>
      <c r="Q16" s="199"/>
      <c r="R16" s="200"/>
      <c r="S16" s="203"/>
      <c r="T16" s="199"/>
      <c r="U16" s="199"/>
      <c r="V16" s="199"/>
      <c r="W16" s="199"/>
      <c r="X16" s="200"/>
      <c r="Y16" s="203"/>
      <c r="Z16" s="199"/>
      <c r="AA16" s="199"/>
      <c r="AB16" s="199"/>
      <c r="AC16" s="199"/>
      <c r="AD16" s="200"/>
      <c r="AE16" s="203"/>
      <c r="AF16" s="199"/>
      <c r="AG16" s="199"/>
      <c r="AH16" s="199"/>
      <c r="AI16" s="199"/>
      <c r="AJ16" s="200"/>
      <c r="AK16" s="203"/>
      <c r="AL16" s="199"/>
      <c r="AM16" s="199"/>
      <c r="AN16" s="199"/>
      <c r="AO16" s="199"/>
      <c r="AP16" s="200"/>
      <c r="AQ16" s="203"/>
      <c r="AR16" s="199"/>
      <c r="AS16" s="199"/>
      <c r="AT16" s="199"/>
      <c r="AU16" s="199"/>
      <c r="AV16" s="200"/>
      <c r="AW16" s="203"/>
      <c r="AX16" s="199"/>
      <c r="AY16" s="199"/>
      <c r="AZ16" s="199"/>
      <c r="BA16" s="199"/>
      <c r="BB16" s="200"/>
    </row>
    <row r="17" spans="1:54" x14ac:dyDescent="0.2">
      <c r="A17" s="203" t="s">
        <v>140</v>
      </c>
      <c r="B17" s="199"/>
      <c r="C17" s="199"/>
      <c r="D17" s="199"/>
      <c r="E17" s="210">
        <f>E15-E13-E16</f>
        <v>-34695.568252260746</v>
      </c>
      <c r="F17" s="200"/>
      <c r="G17" s="203" t="s">
        <v>140</v>
      </c>
      <c r="H17" s="199"/>
      <c r="I17" s="199"/>
      <c r="J17" s="199"/>
      <c r="K17" s="210">
        <f>K15-K13</f>
        <v>-40979.981347950612</v>
      </c>
      <c r="L17" s="200"/>
      <c r="M17" s="203" t="s">
        <v>140</v>
      </c>
      <c r="N17" s="199"/>
      <c r="O17" s="199"/>
      <c r="P17" s="199"/>
      <c r="Q17" s="210">
        <f>Q15-Q13</f>
        <v>32420.845486683145</v>
      </c>
      <c r="R17" s="200"/>
      <c r="S17" s="203" t="s">
        <v>140</v>
      </c>
      <c r="T17" s="199"/>
      <c r="U17" s="199"/>
      <c r="V17" s="199"/>
      <c r="W17" s="210">
        <f>W15-W13</f>
        <v>-15381.404930638499</v>
      </c>
      <c r="X17" s="200"/>
      <c r="Y17" s="203" t="s">
        <v>140</v>
      </c>
      <c r="Z17" s="199"/>
      <c r="AA17" s="199"/>
      <c r="AB17" s="199"/>
      <c r="AC17" s="210">
        <f>AC15-AC13</f>
        <v>-3619.7264731649339</v>
      </c>
      <c r="AD17" s="200"/>
      <c r="AE17" s="203" t="s">
        <v>140</v>
      </c>
      <c r="AF17" s="199"/>
      <c r="AG17" s="199"/>
      <c r="AH17" s="199"/>
      <c r="AI17" s="210">
        <f>AI15-AI13</f>
        <v>-13067.191768762947</v>
      </c>
      <c r="AJ17" s="200"/>
      <c r="AK17" s="203" t="s">
        <v>140</v>
      </c>
      <c r="AL17" s="199"/>
      <c r="AM17" s="199"/>
      <c r="AN17" s="199"/>
      <c r="AO17" s="210">
        <f>AO15-AO13</f>
        <v>-51865.459279653616</v>
      </c>
      <c r="AP17" s="200"/>
      <c r="AQ17" s="203" t="s">
        <v>140</v>
      </c>
      <c r="AR17" s="199"/>
      <c r="AS17" s="199"/>
      <c r="AT17" s="199"/>
      <c r="AU17" s="210">
        <f>+AU15-AU13</f>
        <v>9591.5320952692709</v>
      </c>
      <c r="AV17" s="200"/>
      <c r="AW17" s="203" t="s">
        <v>140</v>
      </c>
      <c r="AX17" s="199"/>
      <c r="AY17" s="199"/>
      <c r="AZ17" s="199"/>
      <c r="BA17" s="210">
        <f>+BA15-BA13</f>
        <v>125026.57500000001</v>
      </c>
      <c r="BB17" s="200"/>
    </row>
    <row r="18" spans="1:54" x14ac:dyDescent="0.2">
      <c r="A18" s="203"/>
      <c r="B18" s="199"/>
      <c r="C18" s="199"/>
      <c r="D18" s="199"/>
      <c r="E18" s="199"/>
      <c r="F18" s="200"/>
      <c r="G18" s="203"/>
      <c r="H18" s="199"/>
      <c r="I18" s="199"/>
      <c r="J18" s="199"/>
      <c r="K18" s="199"/>
      <c r="L18" s="200"/>
      <c r="M18" s="203"/>
      <c r="N18" s="199"/>
      <c r="O18" s="199"/>
      <c r="P18" s="199"/>
      <c r="Q18" s="199"/>
      <c r="R18" s="200"/>
      <c r="S18" s="203"/>
      <c r="T18" s="199"/>
      <c r="U18" s="199"/>
      <c r="V18" s="199"/>
      <c r="W18" s="199"/>
      <c r="X18" s="200"/>
      <c r="Y18" s="203"/>
      <c r="Z18" s="199"/>
      <c r="AA18" s="199"/>
      <c r="AB18" s="199"/>
      <c r="AC18" s="199"/>
      <c r="AD18" s="200"/>
      <c r="AE18" s="203"/>
      <c r="AF18" s="199"/>
      <c r="AG18" s="199"/>
      <c r="AH18" s="199"/>
      <c r="AI18" s="199"/>
      <c r="AJ18" s="200"/>
      <c r="AK18" s="203"/>
      <c r="AL18" s="199"/>
      <c r="AM18" s="199"/>
      <c r="AN18" s="199"/>
      <c r="AO18" s="199"/>
      <c r="AP18" s="200"/>
      <c r="AQ18" s="203"/>
      <c r="AR18" s="199"/>
      <c r="AS18" s="199"/>
      <c r="AT18" s="199"/>
      <c r="AU18" s="199"/>
      <c r="AV18" s="200"/>
      <c r="AW18" s="203"/>
      <c r="AX18" s="199"/>
      <c r="AY18" s="199"/>
      <c r="AZ18" s="199"/>
      <c r="BA18" s="199"/>
      <c r="BB18" s="200"/>
    </row>
    <row r="19" spans="1:54" x14ac:dyDescent="0.2">
      <c r="A19" s="203" t="s">
        <v>141</v>
      </c>
      <c r="B19" s="199"/>
      <c r="C19" s="199"/>
      <c r="D19" s="199"/>
      <c r="E19" s="210">
        <f>+C13</f>
        <v>65678</v>
      </c>
      <c r="F19" s="200"/>
      <c r="G19" s="203" t="s">
        <v>141</v>
      </c>
      <c r="H19" s="199"/>
      <c r="I19" s="199"/>
      <c r="J19" s="199"/>
      <c r="K19" s="210">
        <f>+I13</f>
        <v>130758</v>
      </c>
      <c r="L19" s="200"/>
      <c r="M19" s="203" t="s">
        <v>141</v>
      </c>
      <c r="N19" s="199"/>
      <c r="O19" s="199"/>
      <c r="P19" s="199"/>
      <c r="Q19" s="210">
        <f>+O13</f>
        <v>129072</v>
      </c>
      <c r="R19" s="200"/>
      <c r="S19" s="203" t="s">
        <v>141</v>
      </c>
      <c r="T19" s="199"/>
      <c r="U19" s="199"/>
      <c r="V19" s="199"/>
      <c r="W19" s="210">
        <f>+U13</f>
        <v>127385</v>
      </c>
      <c r="X19" s="200"/>
      <c r="Y19" s="203" t="s">
        <v>141</v>
      </c>
      <c r="Z19" s="199"/>
      <c r="AA19" s="199"/>
      <c r="AB19" s="199"/>
      <c r="AC19" s="210">
        <f>+AA13</f>
        <v>125796</v>
      </c>
      <c r="AD19" s="200"/>
      <c r="AE19" s="203" t="s">
        <v>141</v>
      </c>
      <c r="AF19" s="199"/>
      <c r="AG19" s="199"/>
      <c r="AH19" s="199"/>
      <c r="AI19" s="210">
        <f>+AG13</f>
        <v>124638</v>
      </c>
      <c r="AJ19" s="200"/>
      <c r="AK19" s="203" t="s">
        <v>141</v>
      </c>
      <c r="AL19" s="199"/>
      <c r="AM19" s="199"/>
      <c r="AN19" s="199"/>
      <c r="AO19" s="210">
        <f>+AM13</f>
        <v>124963</v>
      </c>
      <c r="AP19" s="200"/>
      <c r="AQ19" s="212" t="s">
        <v>141</v>
      </c>
      <c r="AR19" s="199"/>
      <c r="AS19" s="199"/>
      <c r="AT19" s="199"/>
      <c r="AU19" s="210">
        <f>'[2]WUTC_AW of Bellevue_SF'!$G$50</f>
        <v>140478.85714285716</v>
      </c>
      <c r="AV19" s="200"/>
      <c r="AW19" s="212" t="s">
        <v>141</v>
      </c>
      <c r="AX19" s="199"/>
      <c r="AY19" s="199"/>
      <c r="AZ19" s="199"/>
      <c r="BA19" s="210">
        <f>+AY13</f>
        <v>215421</v>
      </c>
      <c r="BB19" s="200"/>
    </row>
    <row r="20" spans="1:54" x14ac:dyDescent="0.2">
      <c r="A20" s="203"/>
      <c r="B20" s="199"/>
      <c r="C20" s="199"/>
      <c r="D20" s="199"/>
      <c r="E20" s="199"/>
      <c r="F20" s="200"/>
      <c r="G20" s="203"/>
      <c r="H20" s="199"/>
      <c r="I20" s="199"/>
      <c r="J20" s="199"/>
      <c r="K20" s="199"/>
      <c r="L20" s="200"/>
      <c r="M20" s="203"/>
      <c r="N20" s="199"/>
      <c r="O20" s="199"/>
      <c r="P20" s="199"/>
      <c r="Q20" s="199"/>
      <c r="R20" s="200"/>
      <c r="S20" s="203"/>
      <c r="T20" s="199"/>
      <c r="U20" s="199"/>
      <c r="V20" s="199"/>
      <c r="W20" s="199"/>
      <c r="X20" s="200"/>
      <c r="Y20" s="203"/>
      <c r="Z20" s="199"/>
      <c r="AA20" s="199"/>
      <c r="AB20" s="199"/>
      <c r="AC20" s="199"/>
      <c r="AD20" s="200"/>
      <c r="AE20" s="203"/>
      <c r="AF20" s="199"/>
      <c r="AG20" s="199"/>
      <c r="AH20" s="199"/>
      <c r="AI20" s="199"/>
      <c r="AJ20" s="200"/>
      <c r="AK20" s="203"/>
      <c r="AL20" s="199"/>
      <c r="AM20" s="199"/>
      <c r="AN20" s="199"/>
      <c r="AO20" s="199"/>
      <c r="AP20" s="200"/>
      <c r="AQ20" s="203"/>
      <c r="AR20" s="199"/>
      <c r="AS20" s="199"/>
      <c r="AT20" s="199"/>
      <c r="AU20" s="199"/>
      <c r="AV20" s="200"/>
      <c r="AW20" s="203"/>
      <c r="AX20" s="199"/>
      <c r="AY20" s="199"/>
      <c r="AZ20" s="199"/>
      <c r="BA20" s="199"/>
      <c r="BB20" s="200"/>
    </row>
    <row r="21" spans="1:54" x14ac:dyDescent="0.2">
      <c r="A21" s="203" t="s">
        <v>142</v>
      </c>
      <c r="B21" s="199"/>
      <c r="C21" s="199"/>
      <c r="D21" s="199"/>
      <c r="E21" s="199"/>
      <c r="F21" s="215">
        <f>(E17/E19)</f>
        <v>-0.52826773428333307</v>
      </c>
      <c r="G21" s="203" t="s">
        <v>142</v>
      </c>
      <c r="H21" s="199"/>
      <c r="I21" s="199"/>
      <c r="J21" s="199"/>
      <c r="K21" s="199"/>
      <c r="L21" s="215">
        <f>(K17/K19)</f>
        <v>-0.31340324376291018</v>
      </c>
      <c r="M21" s="203" t="s">
        <v>142</v>
      </c>
      <c r="N21" s="199"/>
      <c r="O21" s="199"/>
      <c r="P21" s="199"/>
      <c r="Q21" s="199"/>
      <c r="R21" s="215">
        <f>(Q17/Q19)</f>
        <v>0.25118418779195445</v>
      </c>
      <c r="S21" s="203" t="s">
        <v>142</v>
      </c>
      <c r="T21" s="199"/>
      <c r="U21" s="199"/>
      <c r="V21" s="199"/>
      <c r="W21" s="199"/>
      <c r="X21" s="215">
        <f>(W17/W19)</f>
        <v>-0.12074737944529182</v>
      </c>
      <c r="Y21" s="203" t="s">
        <v>142</v>
      </c>
      <c r="Z21" s="199"/>
      <c r="AA21" s="199"/>
      <c r="AB21" s="199"/>
      <c r="AC21" s="199"/>
      <c r="AD21" s="215">
        <f>(AC17/AC19)</f>
        <v>-2.8774575289873556E-2</v>
      </c>
      <c r="AE21" s="203" t="s">
        <v>142</v>
      </c>
      <c r="AF21" s="199"/>
      <c r="AG21" s="199"/>
      <c r="AH21" s="199"/>
      <c r="AI21" s="199"/>
      <c r="AJ21" s="215">
        <f>(AI17/AI19)</f>
        <v>-0.10484115413247121</v>
      </c>
      <c r="AK21" s="203" t="s">
        <v>142</v>
      </c>
      <c r="AL21" s="199"/>
      <c r="AM21" s="199"/>
      <c r="AN21" s="199"/>
      <c r="AO21" s="199"/>
      <c r="AP21" s="215">
        <f>(AO17/AO19)</f>
        <v>-0.41504652800951974</v>
      </c>
      <c r="AQ21" s="203" t="s">
        <v>142</v>
      </c>
      <c r="AR21" s="199"/>
      <c r="AS21" s="199"/>
      <c r="AT21" s="199"/>
      <c r="AU21" s="199"/>
      <c r="AV21" s="215">
        <f>(AU17/AU19)</f>
        <v>6.8277406937581747E-2</v>
      </c>
      <c r="AW21" s="203" t="s">
        <v>142</v>
      </c>
      <c r="AX21" s="199"/>
      <c r="AY21" s="199"/>
      <c r="AZ21" s="199"/>
      <c r="BA21" s="199"/>
      <c r="BB21" s="215">
        <f>(BA17/BA19)</f>
        <v>0.58038248360187727</v>
      </c>
    </row>
    <row r="22" spans="1:54" x14ac:dyDescent="0.2">
      <c r="A22" s="203"/>
      <c r="B22" s="199"/>
      <c r="C22" s="199"/>
      <c r="D22" s="199"/>
      <c r="E22" s="199"/>
      <c r="F22" s="215"/>
      <c r="G22" s="203"/>
      <c r="H22" s="199"/>
      <c r="I22" s="199"/>
      <c r="J22" s="199"/>
      <c r="K22" s="199"/>
      <c r="L22" s="215"/>
      <c r="M22" s="203"/>
      <c r="N22" s="199"/>
      <c r="O22" s="199"/>
      <c r="P22" s="199"/>
      <c r="Q22" s="199"/>
      <c r="R22" s="215"/>
      <c r="S22" s="203"/>
      <c r="T22" s="199"/>
      <c r="U22" s="199"/>
      <c r="V22" s="199"/>
      <c r="W22" s="199"/>
      <c r="X22" s="215"/>
      <c r="Y22" s="203"/>
      <c r="Z22" s="199"/>
      <c r="AA22" s="199"/>
      <c r="AB22" s="199"/>
      <c r="AC22" s="199"/>
      <c r="AD22" s="215"/>
      <c r="AE22" s="203"/>
      <c r="AF22" s="199"/>
      <c r="AG22" s="199"/>
      <c r="AH22" s="199"/>
      <c r="AI22" s="199"/>
      <c r="AJ22" s="215"/>
      <c r="AK22" s="203"/>
      <c r="AL22" s="199"/>
      <c r="AM22" s="199"/>
      <c r="AN22" s="199"/>
      <c r="AO22" s="199"/>
      <c r="AP22" s="215"/>
      <c r="AQ22" s="203"/>
      <c r="AR22" s="199"/>
      <c r="AS22" s="199"/>
      <c r="AT22" s="199"/>
      <c r="AU22" s="199"/>
      <c r="AV22" s="215"/>
      <c r="AW22" s="203"/>
      <c r="AX22" s="199"/>
      <c r="AY22" s="199"/>
      <c r="AZ22" s="199"/>
      <c r="BA22" s="199"/>
      <c r="BB22" s="215"/>
    </row>
    <row r="23" spans="1:54" ht="16.5" x14ac:dyDescent="0.35">
      <c r="A23" s="206" t="s">
        <v>238</v>
      </c>
      <c r="B23" s="207"/>
      <c r="C23" s="199"/>
      <c r="D23" s="199"/>
      <c r="E23" s="216">
        <f>E15</f>
        <v>36565.463891959967</v>
      </c>
      <c r="F23" s="215"/>
      <c r="G23" s="206" t="s">
        <v>219</v>
      </c>
      <c r="H23" s="207"/>
      <c r="I23" s="199"/>
      <c r="J23" s="199"/>
      <c r="K23" s="216">
        <f>'WUTC_AW of Bellevue_SF 2018'!D28</f>
        <v>31008.090402034981</v>
      </c>
      <c r="L23" s="215"/>
      <c r="M23" s="206" t="s">
        <v>216</v>
      </c>
      <c r="N23" s="207"/>
      <c r="O23" s="199"/>
      <c r="P23" s="199"/>
      <c r="Q23" s="216">
        <f>Q15</f>
        <v>147218.55137328897</v>
      </c>
      <c r="R23" s="215"/>
      <c r="S23" s="206" t="s">
        <v>213</v>
      </c>
      <c r="T23" s="207"/>
      <c r="U23" s="199"/>
      <c r="V23" s="199"/>
      <c r="W23" s="216">
        <f>W15</f>
        <v>109697.29131091395</v>
      </c>
      <c r="X23" s="215"/>
      <c r="Y23" s="206" t="s">
        <v>153</v>
      </c>
      <c r="Z23" s="207"/>
      <c r="AA23" s="199"/>
      <c r="AB23" s="199"/>
      <c r="AC23" s="216">
        <f>AC15</f>
        <v>122585.02027079836</v>
      </c>
      <c r="AD23" s="215"/>
      <c r="AE23" s="206" t="s">
        <v>152</v>
      </c>
      <c r="AF23" s="207"/>
      <c r="AG23" s="199"/>
      <c r="AH23" s="199"/>
      <c r="AI23" s="216">
        <f>[1]Value!M18*'[1]WUTC_AW of Bellevue_SF'!N56</f>
        <v>125176.92726072155</v>
      </c>
      <c r="AJ23" s="215"/>
      <c r="AK23" s="206" t="s">
        <v>129</v>
      </c>
      <c r="AL23" s="207"/>
      <c r="AM23" s="199"/>
      <c r="AN23" s="199"/>
      <c r="AO23" s="216">
        <v>124964.22566745746</v>
      </c>
      <c r="AP23" s="215"/>
      <c r="AQ23" s="206" t="s">
        <v>131</v>
      </c>
      <c r="AR23" s="207"/>
      <c r="AS23" s="199"/>
      <c r="AT23" s="199"/>
      <c r="AU23" s="216">
        <f>AU15/7*12</f>
        <v>177013.71428571429</v>
      </c>
      <c r="AV23" s="215"/>
      <c r="AW23" s="206" t="s">
        <v>143</v>
      </c>
      <c r="AX23" s="207"/>
      <c r="AY23" s="199"/>
      <c r="AZ23" s="199"/>
      <c r="BA23" s="217">
        <f>+BA15</f>
        <v>300849</v>
      </c>
      <c r="BB23" s="215"/>
    </row>
    <row r="24" spans="1:54" x14ac:dyDescent="0.2">
      <c r="A24" s="203" t="s">
        <v>144</v>
      </c>
      <c r="B24" s="199"/>
      <c r="C24" s="199"/>
      <c r="D24" s="199"/>
      <c r="E24" s="210">
        <f>E19</f>
        <v>65678</v>
      </c>
      <c r="F24" s="215"/>
      <c r="G24" s="203" t="s">
        <v>141</v>
      </c>
      <c r="H24" s="199"/>
      <c r="I24" s="199"/>
      <c r="J24" s="199"/>
      <c r="K24" s="210">
        <f>'WUTC_AW of Bellevue_SF 2018'!B28</f>
        <v>65623</v>
      </c>
      <c r="L24" s="215"/>
      <c r="M24" s="203" t="s">
        <v>141</v>
      </c>
      <c r="N24" s="199"/>
      <c r="O24" s="199"/>
      <c r="P24" s="199"/>
      <c r="Q24" s="210">
        <f>O13</f>
        <v>129072</v>
      </c>
      <c r="R24" s="215"/>
      <c r="S24" s="203" t="s">
        <v>141</v>
      </c>
      <c r="T24" s="199"/>
      <c r="U24" s="199"/>
      <c r="V24" s="199"/>
      <c r="W24" s="210">
        <f>U13</f>
        <v>127385</v>
      </c>
      <c r="X24" s="215"/>
      <c r="Y24" s="203" t="s">
        <v>141</v>
      </c>
      <c r="Z24" s="199"/>
      <c r="AA24" s="199"/>
      <c r="AB24" s="199"/>
      <c r="AC24" s="210">
        <f>AA13</f>
        <v>125796</v>
      </c>
      <c r="AD24" s="215"/>
      <c r="AE24" s="203" t="s">
        <v>141</v>
      </c>
      <c r="AF24" s="199"/>
      <c r="AG24" s="199"/>
      <c r="AH24" s="199"/>
      <c r="AI24" s="210">
        <f>AG13</f>
        <v>124638</v>
      </c>
      <c r="AJ24" s="215"/>
      <c r="AK24" s="203" t="s">
        <v>141</v>
      </c>
      <c r="AL24" s="199"/>
      <c r="AM24" s="199"/>
      <c r="AN24" s="199"/>
      <c r="AO24" s="210">
        <f>AM13</f>
        <v>124963</v>
      </c>
      <c r="AP24" s="215"/>
      <c r="AQ24" s="203" t="s">
        <v>141</v>
      </c>
      <c r="AR24" s="199"/>
      <c r="AS24" s="199"/>
      <c r="AT24" s="199"/>
      <c r="AU24" s="218">
        <f>AS13/7*12</f>
        <v>140478.85714285716</v>
      </c>
      <c r="AV24" s="215"/>
      <c r="AW24" s="203" t="s">
        <v>141</v>
      </c>
      <c r="AX24" s="199"/>
      <c r="AY24" s="199"/>
      <c r="AZ24" s="199"/>
      <c r="BA24" s="210">
        <f>BA19</f>
        <v>215421</v>
      </c>
      <c r="BB24" s="215"/>
    </row>
    <row r="25" spans="1:54" ht="15" x14ac:dyDescent="0.35">
      <c r="A25" s="203" t="s">
        <v>141</v>
      </c>
      <c r="B25" s="199"/>
      <c r="C25" s="199"/>
      <c r="D25" s="199"/>
      <c r="E25" s="199"/>
      <c r="F25" s="219">
        <f>(E23/E24)</f>
        <v>0.55673838868357695</v>
      </c>
      <c r="G25" s="203" t="s">
        <v>144</v>
      </c>
      <c r="H25" s="199"/>
      <c r="I25" s="199"/>
      <c r="J25" s="199"/>
      <c r="K25" s="199"/>
      <c r="L25" s="219">
        <f>(K23/K24)</f>
        <v>0.47251863526560778</v>
      </c>
      <c r="M25" s="203" t="s">
        <v>144</v>
      </c>
      <c r="N25" s="199"/>
      <c r="O25" s="199"/>
      <c r="P25" s="199"/>
      <c r="Q25" s="199"/>
      <c r="R25" s="219">
        <f>(Q23/Q24)</f>
        <v>1.1405924706620256</v>
      </c>
      <c r="S25" s="203" t="s">
        <v>144</v>
      </c>
      <c r="T25" s="199"/>
      <c r="U25" s="199"/>
      <c r="V25" s="199"/>
      <c r="W25" s="199"/>
      <c r="X25" s="219">
        <f>(W23/W24)</f>
        <v>0.8611476336375079</v>
      </c>
      <c r="Y25" s="203" t="s">
        <v>144</v>
      </c>
      <c r="Z25" s="199"/>
      <c r="AA25" s="199"/>
      <c r="AB25" s="199"/>
      <c r="AC25" s="199"/>
      <c r="AD25" s="219">
        <f>(AC23/AC24)</f>
        <v>0.97447470723074148</v>
      </c>
      <c r="AE25" s="203" t="s">
        <v>144</v>
      </c>
      <c r="AF25" s="199"/>
      <c r="AG25" s="199"/>
      <c r="AH25" s="199"/>
      <c r="AI25" s="199"/>
      <c r="AJ25" s="219">
        <f>(AI23/AI24)</f>
        <v>1.0043239402166397</v>
      </c>
      <c r="AK25" s="203" t="s">
        <v>144</v>
      </c>
      <c r="AL25" s="199"/>
      <c r="AM25" s="199"/>
      <c r="AN25" s="199"/>
      <c r="AO25" s="199"/>
      <c r="AP25" s="219">
        <f>(AO23/AO24)</f>
        <v>1.0000098082428996</v>
      </c>
      <c r="AQ25" s="203" t="s">
        <v>144</v>
      </c>
      <c r="AR25" s="199"/>
      <c r="AS25" s="199"/>
      <c r="AT25" s="199"/>
      <c r="AU25" s="199"/>
      <c r="AV25" s="220">
        <f>AU23/AU24/0.5*0.72395</f>
        <v>1.8244607204744585</v>
      </c>
      <c r="AW25" s="203" t="s">
        <v>144</v>
      </c>
      <c r="AX25" s="199"/>
      <c r="AY25" s="199"/>
      <c r="AZ25" s="199"/>
      <c r="BA25" s="199"/>
      <c r="BB25" s="220">
        <f>(BA23/BA24)</f>
        <v>1.3965630091773782</v>
      </c>
    </row>
    <row r="26" spans="1:54" x14ac:dyDescent="0.2">
      <c r="A26" s="203"/>
      <c r="B26" s="199"/>
      <c r="C26" s="199"/>
      <c r="D26" s="199"/>
      <c r="E26" s="199"/>
      <c r="F26" s="215"/>
      <c r="G26" s="203"/>
      <c r="H26" s="199"/>
      <c r="I26" s="199"/>
      <c r="J26" s="199"/>
      <c r="K26" s="199"/>
      <c r="L26" s="215"/>
      <c r="M26" s="203"/>
      <c r="N26" s="199"/>
      <c r="O26" s="199"/>
      <c r="P26" s="199"/>
      <c r="Q26" s="199"/>
      <c r="R26" s="215"/>
      <c r="S26" s="203"/>
      <c r="T26" s="199"/>
      <c r="U26" s="199"/>
      <c r="V26" s="199"/>
      <c r="W26" s="199"/>
      <c r="X26" s="215"/>
      <c r="Y26" s="203"/>
      <c r="Z26" s="199"/>
      <c r="AA26" s="199"/>
      <c r="AB26" s="199"/>
      <c r="AC26" s="199"/>
      <c r="AD26" s="215"/>
      <c r="AE26" s="203"/>
      <c r="AF26" s="199"/>
      <c r="AG26" s="199"/>
      <c r="AH26" s="199"/>
      <c r="AI26" s="199"/>
      <c r="AJ26" s="215"/>
      <c r="AK26" s="203"/>
      <c r="AL26" s="199"/>
      <c r="AM26" s="199"/>
      <c r="AN26" s="199"/>
      <c r="AO26" s="199"/>
      <c r="AP26" s="215"/>
      <c r="AQ26" s="203"/>
      <c r="AR26" s="199"/>
      <c r="AS26" s="199"/>
      <c r="AT26" s="199"/>
      <c r="AU26" s="199"/>
      <c r="AV26" s="215"/>
      <c r="AW26" s="203"/>
      <c r="AX26" s="199"/>
      <c r="AY26" s="199"/>
      <c r="AZ26" s="199"/>
      <c r="BA26" s="199"/>
      <c r="BB26" s="215"/>
    </row>
    <row r="27" spans="1:54" ht="18.75" thickBot="1" x14ac:dyDescent="0.4">
      <c r="A27" s="196" t="s">
        <v>145</v>
      </c>
      <c r="B27" s="197"/>
      <c r="C27" s="199"/>
      <c r="D27" s="199"/>
      <c r="E27" s="199"/>
      <c r="F27" s="221">
        <f>+F21+F25</f>
        <v>2.8470654400243878E-2</v>
      </c>
      <c r="G27" s="196" t="s">
        <v>145</v>
      </c>
      <c r="H27" s="197"/>
      <c r="I27" s="199"/>
      <c r="J27" s="199"/>
      <c r="K27" s="199"/>
      <c r="L27" s="221">
        <f>+L21+L25</f>
        <v>0.1591153915026976</v>
      </c>
      <c r="M27" s="196" t="s">
        <v>145</v>
      </c>
      <c r="N27" s="197"/>
      <c r="O27" s="199"/>
      <c r="P27" s="199"/>
      <c r="Q27" s="199"/>
      <c r="R27" s="221">
        <f>+R21+R25</f>
        <v>1.3917766584539801</v>
      </c>
      <c r="S27" s="196" t="s">
        <v>145</v>
      </c>
      <c r="T27" s="197"/>
      <c r="U27" s="199"/>
      <c r="V27" s="199"/>
      <c r="W27" s="199"/>
      <c r="X27" s="221">
        <f>+X21+X25</f>
        <v>0.74040025419221611</v>
      </c>
      <c r="Y27" s="196" t="s">
        <v>145</v>
      </c>
      <c r="Z27" s="197"/>
      <c r="AA27" s="199"/>
      <c r="AB27" s="199"/>
      <c r="AC27" s="199"/>
      <c r="AD27" s="221">
        <f>+AD21+AD25</f>
        <v>0.94570013194086788</v>
      </c>
      <c r="AE27" s="196" t="s">
        <v>145</v>
      </c>
      <c r="AF27" s="197"/>
      <c r="AG27" s="199"/>
      <c r="AH27" s="199"/>
      <c r="AI27" s="199"/>
      <c r="AJ27" s="221">
        <f>+AJ21+AJ25</f>
        <v>0.89948278608416854</v>
      </c>
      <c r="AK27" s="196" t="s">
        <v>145</v>
      </c>
      <c r="AL27" s="197"/>
      <c r="AM27" s="199"/>
      <c r="AN27" s="199"/>
      <c r="AO27" s="199"/>
      <c r="AP27" s="221">
        <f>+AP21+AP25</f>
        <v>0.58496328023337996</v>
      </c>
      <c r="AQ27" s="196" t="s">
        <v>145</v>
      </c>
      <c r="AR27" s="197"/>
      <c r="AS27" s="199"/>
      <c r="AT27" s="199"/>
      <c r="AU27" s="199"/>
      <c r="AV27" s="222">
        <f>+AV25+AV21</f>
        <v>1.8927381274120403</v>
      </c>
      <c r="AW27" s="196" t="s">
        <v>145</v>
      </c>
      <c r="AX27" s="197"/>
      <c r="AY27" s="199"/>
      <c r="AZ27" s="199"/>
      <c r="BA27" s="199"/>
      <c r="BB27" s="222">
        <f>+BB25+BB21</f>
        <v>1.9769454927792554</v>
      </c>
    </row>
    <row r="28" spans="1:54" ht="19.5" thickTop="1" thickBot="1" x14ac:dyDescent="0.4">
      <c r="A28" s="209" t="s">
        <v>146</v>
      </c>
      <c r="B28" s="199"/>
      <c r="C28" s="223">
        <v>0</v>
      </c>
      <c r="D28" s="199"/>
      <c r="E28" s="199"/>
      <c r="F28" s="224">
        <v>0</v>
      </c>
      <c r="G28" s="209" t="s">
        <v>146</v>
      </c>
      <c r="H28" s="199"/>
      <c r="I28" s="223">
        <v>0</v>
      </c>
      <c r="J28" s="199"/>
      <c r="K28" s="199"/>
      <c r="L28" s="224">
        <v>0</v>
      </c>
      <c r="M28" s="209" t="s">
        <v>146</v>
      </c>
      <c r="N28" s="199"/>
      <c r="O28" s="223">
        <v>0</v>
      </c>
      <c r="P28" s="199"/>
      <c r="Q28" s="199"/>
      <c r="R28" s="224">
        <v>0.33</v>
      </c>
      <c r="S28" s="209" t="s">
        <v>146</v>
      </c>
      <c r="T28" s="199"/>
      <c r="U28" s="223">
        <v>0</v>
      </c>
      <c r="V28" s="199"/>
      <c r="W28" s="199"/>
      <c r="X28" s="224">
        <f>U29</f>
        <v>0</v>
      </c>
      <c r="Y28" s="209" t="s">
        <v>146</v>
      </c>
      <c r="Z28" s="199"/>
      <c r="AA28" s="223">
        <f>'[4]2014-2015'!$C$6</f>
        <v>1777.3063396774123</v>
      </c>
      <c r="AB28" s="199"/>
      <c r="AC28" s="199"/>
      <c r="AD28" s="224">
        <f>AA29</f>
        <v>1.4128480553256164E-2</v>
      </c>
      <c r="AE28" s="209" t="s">
        <v>146</v>
      </c>
      <c r="AF28" s="199"/>
      <c r="AG28" s="223">
        <f>[5]KC!$C$6</f>
        <v>47764.269</v>
      </c>
      <c r="AH28" s="199"/>
      <c r="AI28" s="199"/>
      <c r="AJ28" s="224">
        <f>AG29</f>
        <v>0.38322396861310354</v>
      </c>
      <c r="AK28" s="209" t="s">
        <v>146</v>
      </c>
      <c r="AL28" s="199"/>
      <c r="AM28" s="199"/>
      <c r="AN28" s="199"/>
      <c r="AO28" s="199"/>
      <c r="AP28" s="224">
        <v>3.7803189744164273E-2</v>
      </c>
      <c r="AQ28" s="209" t="s">
        <v>146</v>
      </c>
      <c r="AR28" s="199"/>
      <c r="AS28" s="199"/>
      <c r="AT28" s="199"/>
      <c r="AU28" s="199"/>
      <c r="AV28" s="222">
        <f>'[2]WUTC_AW of Bellevue_SF'!$I$69</f>
        <v>0.32778110562594148</v>
      </c>
      <c r="AW28" s="209" t="s">
        <v>146</v>
      </c>
      <c r="AX28" s="199"/>
      <c r="AY28" s="199"/>
      <c r="AZ28" s="199"/>
      <c r="BA28" s="199"/>
      <c r="BB28" s="225">
        <v>0</v>
      </c>
    </row>
    <row r="29" spans="1:54" ht="19.5" thickTop="1" thickBot="1" x14ac:dyDescent="0.4">
      <c r="A29" s="203"/>
      <c r="B29" s="199"/>
      <c r="C29" s="226">
        <f>C28/E24</f>
        <v>0</v>
      </c>
      <c r="D29" s="199"/>
      <c r="E29" s="199"/>
      <c r="F29" s="227"/>
      <c r="G29" s="203"/>
      <c r="H29" s="199"/>
      <c r="I29" s="226">
        <f>I28/K24</f>
        <v>0</v>
      </c>
      <c r="J29" s="199"/>
      <c r="K29" s="199"/>
      <c r="L29" s="227"/>
      <c r="M29" s="203"/>
      <c r="N29" s="199"/>
      <c r="O29" s="226">
        <f>O28/Q24</f>
        <v>0</v>
      </c>
      <c r="P29" s="199"/>
      <c r="Q29" s="199"/>
      <c r="R29" s="227"/>
      <c r="S29" s="203"/>
      <c r="T29" s="199"/>
      <c r="U29" s="226">
        <f>U28/W24</f>
        <v>0</v>
      </c>
      <c r="V29" s="199"/>
      <c r="W29" s="199"/>
      <c r="X29" s="227"/>
      <c r="Y29" s="203"/>
      <c r="Z29" s="199"/>
      <c r="AA29" s="226">
        <f>AA28/AC24</f>
        <v>1.4128480553256164E-2</v>
      </c>
      <c r="AB29" s="199"/>
      <c r="AC29" s="199"/>
      <c r="AD29" s="227"/>
      <c r="AE29" s="203"/>
      <c r="AF29" s="199"/>
      <c r="AG29" s="226">
        <f>AG28/AI24</f>
        <v>0.38322396861310354</v>
      </c>
      <c r="AH29" s="199"/>
      <c r="AI29" s="199"/>
      <c r="AJ29" s="227"/>
      <c r="AK29" s="203"/>
      <c r="AL29" s="199"/>
      <c r="AM29" s="199"/>
      <c r="AN29" s="199"/>
      <c r="AO29" s="199"/>
      <c r="AP29" s="227"/>
      <c r="AQ29" s="203"/>
      <c r="AR29" s="199"/>
      <c r="AS29" s="199"/>
      <c r="AT29" s="199"/>
      <c r="AU29" s="199"/>
      <c r="AV29" s="222"/>
      <c r="AW29" s="203"/>
      <c r="AX29" s="199"/>
      <c r="AY29" s="199"/>
      <c r="AZ29" s="199"/>
      <c r="BA29" s="228"/>
      <c r="BB29" s="229"/>
    </row>
    <row r="30" spans="1:54" ht="19.5" thickTop="1" thickBot="1" x14ac:dyDescent="0.4">
      <c r="A30" s="209" t="s">
        <v>147</v>
      </c>
      <c r="B30" s="199"/>
      <c r="C30" s="199"/>
      <c r="D30" s="230"/>
      <c r="E30" s="199"/>
      <c r="F30" s="221">
        <f>ROUND(SUM(F27:F29),2)</f>
        <v>0.03</v>
      </c>
      <c r="G30" s="209" t="s">
        <v>147</v>
      </c>
      <c r="H30" s="199"/>
      <c r="I30" s="199"/>
      <c r="J30" s="230"/>
      <c r="K30" s="199"/>
      <c r="L30" s="221">
        <f>ROUND(SUM(L27:L29),2)</f>
        <v>0.16</v>
      </c>
      <c r="M30" s="209" t="s">
        <v>147</v>
      </c>
      <c r="N30" s="199"/>
      <c r="O30" s="199"/>
      <c r="P30" s="230"/>
      <c r="Q30" s="199"/>
      <c r="R30" s="221">
        <f>ROUND(SUM(R27:R29),2)</f>
        <v>1.72</v>
      </c>
      <c r="S30" s="209" t="s">
        <v>147</v>
      </c>
      <c r="T30" s="199"/>
      <c r="U30" s="199"/>
      <c r="V30" s="230"/>
      <c r="W30" s="199"/>
      <c r="X30" s="221">
        <f>ROUND(SUM(X27:X29),2)</f>
        <v>0.74</v>
      </c>
      <c r="Y30" s="209" t="s">
        <v>147</v>
      </c>
      <c r="Z30" s="199"/>
      <c r="AA30" s="199"/>
      <c r="AB30" s="230"/>
      <c r="AC30" s="199"/>
      <c r="AD30" s="221">
        <f>ROUND(SUM(AD27:AD29),2)</f>
        <v>0.96</v>
      </c>
      <c r="AE30" s="209" t="s">
        <v>147</v>
      </c>
      <c r="AF30" s="199"/>
      <c r="AG30" s="199"/>
      <c r="AH30" s="230"/>
      <c r="AI30" s="199"/>
      <c r="AJ30" s="221">
        <f>ROUND(SUM(AJ27:AJ29),2)</f>
        <v>1.28</v>
      </c>
      <c r="AK30" s="209" t="s">
        <v>147</v>
      </c>
      <c r="AL30" s="199"/>
      <c r="AM30" s="199"/>
      <c r="AN30" s="230"/>
      <c r="AO30" s="199"/>
      <c r="AP30" s="221">
        <f>ROUND(SUM(AP27:AP29),2)</f>
        <v>0.62</v>
      </c>
      <c r="AQ30" s="209" t="s">
        <v>147</v>
      </c>
      <c r="AR30" s="199"/>
      <c r="AS30" s="199"/>
      <c r="AT30" s="199"/>
      <c r="AU30" s="199"/>
      <c r="AV30" s="222">
        <f>SUM(AV27:AV29)</f>
        <v>2.2205192330379817</v>
      </c>
      <c r="AW30" s="209" t="s">
        <v>147</v>
      </c>
      <c r="AX30" s="199"/>
      <c r="AY30" s="199"/>
      <c r="AZ30" s="199"/>
      <c r="BA30" s="199"/>
      <c r="BB30" s="231">
        <f>SUM(BB27:BB29)</f>
        <v>1.9769454927792554</v>
      </c>
    </row>
    <row r="31" spans="1:54" ht="13.5" thickTop="1" x14ac:dyDescent="0.2">
      <c r="A31" s="203"/>
      <c r="B31" s="199"/>
      <c r="C31" s="199"/>
      <c r="D31" s="230"/>
      <c r="E31" s="199"/>
      <c r="F31" s="200"/>
      <c r="G31" s="203"/>
      <c r="H31" s="199"/>
      <c r="I31" s="199"/>
      <c r="J31" s="230"/>
      <c r="K31" s="199"/>
      <c r="L31" s="200"/>
      <c r="M31" s="203"/>
      <c r="N31" s="199"/>
      <c r="O31" s="199"/>
      <c r="P31" s="230"/>
      <c r="Q31" s="199"/>
      <c r="R31" s="200"/>
      <c r="S31" s="203"/>
      <c r="T31" s="199"/>
      <c r="U31" s="199"/>
      <c r="V31" s="230"/>
      <c r="W31" s="199"/>
      <c r="X31" s="200"/>
      <c r="Y31" s="203"/>
      <c r="Z31" s="199"/>
      <c r="AA31" s="199"/>
      <c r="AB31" s="230"/>
      <c r="AC31" s="199"/>
      <c r="AD31" s="200"/>
      <c r="AE31" s="203"/>
      <c r="AF31" s="199"/>
      <c r="AG31" s="199"/>
      <c r="AH31" s="230"/>
      <c r="AI31" s="199"/>
      <c r="AJ31" s="200"/>
      <c r="AK31" s="203"/>
      <c r="AL31" s="199"/>
      <c r="AM31" s="199"/>
      <c r="AN31" s="230"/>
      <c r="AO31" s="199"/>
      <c r="AP31" s="200"/>
      <c r="AQ31" s="203"/>
      <c r="AR31" s="199"/>
      <c r="AS31" s="199"/>
      <c r="AT31" s="199"/>
      <c r="AU31" s="232"/>
      <c r="AV31" s="200"/>
      <c r="AW31" s="203"/>
      <c r="AX31" s="199"/>
      <c r="AY31" s="199"/>
      <c r="AZ31" s="199"/>
      <c r="BA31" s="228"/>
      <c r="BB31" s="233"/>
    </row>
    <row r="32" spans="1:54" x14ac:dyDescent="0.2">
      <c r="A32" s="203"/>
      <c r="B32" s="199"/>
      <c r="C32" s="199"/>
      <c r="D32" s="199"/>
      <c r="E32" s="199"/>
      <c r="F32" s="200"/>
      <c r="G32" s="203"/>
      <c r="H32" s="199"/>
      <c r="I32" s="199"/>
      <c r="J32" s="199"/>
      <c r="K32" s="199"/>
      <c r="L32" s="200"/>
      <c r="M32" s="203"/>
      <c r="N32" s="199"/>
      <c r="O32" s="199"/>
      <c r="P32" s="199"/>
      <c r="Q32" s="199"/>
      <c r="R32" s="200"/>
      <c r="S32" s="203"/>
      <c r="T32" s="199"/>
      <c r="U32" s="199"/>
      <c r="V32" s="199"/>
      <c r="W32" s="199"/>
      <c r="X32" s="200"/>
      <c r="Y32" s="203"/>
      <c r="Z32" s="199"/>
      <c r="AA32" s="199"/>
      <c r="AB32" s="199"/>
      <c r="AC32" s="199"/>
      <c r="AD32" s="200"/>
      <c r="AE32" s="203"/>
      <c r="AF32" s="199"/>
      <c r="AG32" s="199"/>
      <c r="AH32" s="199"/>
      <c r="AI32" s="199"/>
      <c r="AJ32" s="200"/>
      <c r="AK32" s="203"/>
      <c r="AL32" s="199"/>
      <c r="AM32" s="199"/>
      <c r="AN32" s="199"/>
      <c r="AO32" s="199"/>
      <c r="AP32" s="200"/>
      <c r="AQ32" s="203"/>
      <c r="AR32" s="199"/>
      <c r="AS32" s="199"/>
      <c r="AT32" s="199"/>
      <c r="AU32" s="199"/>
      <c r="AV32" s="200"/>
      <c r="AW32" s="203"/>
      <c r="AX32" s="199"/>
      <c r="AY32" s="199"/>
      <c r="AZ32" s="199"/>
      <c r="BA32" s="199"/>
      <c r="BB32" s="200"/>
    </row>
    <row r="33" spans="1:54" ht="19.5" x14ac:dyDescent="0.4">
      <c r="A33" s="353" t="s">
        <v>148</v>
      </c>
      <c r="B33" s="354"/>
      <c r="C33" s="354"/>
      <c r="D33" s="354"/>
      <c r="E33" s="354"/>
      <c r="F33" s="355"/>
      <c r="G33" s="353" t="s">
        <v>148</v>
      </c>
      <c r="H33" s="354"/>
      <c r="I33" s="354"/>
      <c r="J33" s="354"/>
      <c r="K33" s="354"/>
      <c r="L33" s="355"/>
      <c r="M33" s="353" t="s">
        <v>148</v>
      </c>
      <c r="N33" s="354"/>
      <c r="O33" s="354"/>
      <c r="P33" s="354"/>
      <c r="Q33" s="354"/>
      <c r="R33" s="355"/>
      <c r="S33" s="353" t="s">
        <v>148</v>
      </c>
      <c r="T33" s="354"/>
      <c r="U33" s="354"/>
      <c r="V33" s="354"/>
      <c r="W33" s="354"/>
      <c r="X33" s="355"/>
      <c r="Y33" s="353" t="s">
        <v>148</v>
      </c>
      <c r="Z33" s="354"/>
      <c r="AA33" s="354"/>
      <c r="AB33" s="354"/>
      <c r="AC33" s="354"/>
      <c r="AD33" s="355"/>
      <c r="AE33" s="353" t="s">
        <v>148</v>
      </c>
      <c r="AF33" s="354"/>
      <c r="AG33" s="354"/>
      <c r="AH33" s="354"/>
      <c r="AI33" s="354"/>
      <c r="AJ33" s="355"/>
      <c r="AK33" s="353" t="s">
        <v>148</v>
      </c>
      <c r="AL33" s="354"/>
      <c r="AM33" s="354"/>
      <c r="AN33" s="354"/>
      <c r="AO33" s="354"/>
      <c r="AP33" s="355"/>
      <c r="AQ33" s="353" t="s">
        <v>148</v>
      </c>
      <c r="AR33" s="354"/>
      <c r="AS33" s="354"/>
      <c r="AT33" s="354"/>
      <c r="AU33" s="354"/>
      <c r="AV33" s="355"/>
      <c r="AW33" s="353" t="s">
        <v>148</v>
      </c>
      <c r="AX33" s="354"/>
      <c r="AY33" s="354"/>
      <c r="AZ33" s="354"/>
      <c r="BA33" s="354"/>
      <c r="BB33" s="355"/>
    </row>
    <row r="34" spans="1:54" x14ac:dyDescent="0.2">
      <c r="A34" s="203"/>
      <c r="B34" s="199"/>
      <c r="C34" s="199"/>
      <c r="D34" s="199"/>
      <c r="E34" s="199"/>
      <c r="F34" s="200"/>
      <c r="G34" s="203"/>
      <c r="H34" s="199"/>
      <c r="I34" s="199"/>
      <c r="J34" s="199"/>
      <c r="K34" s="199"/>
      <c r="L34" s="200"/>
      <c r="M34" s="203"/>
      <c r="N34" s="199"/>
      <c r="O34" s="199"/>
      <c r="P34" s="199"/>
      <c r="Q34" s="199"/>
      <c r="R34" s="200"/>
      <c r="S34" s="203"/>
      <c r="T34" s="199"/>
      <c r="U34" s="199"/>
      <c r="V34" s="199"/>
      <c r="W34" s="199"/>
      <c r="X34" s="200"/>
      <c r="Y34" s="203"/>
      <c r="Z34" s="199"/>
      <c r="AA34" s="199"/>
      <c r="AB34" s="199"/>
      <c r="AC34" s="199"/>
      <c r="AD34" s="200"/>
      <c r="AE34" s="203"/>
      <c r="AF34" s="199"/>
      <c r="AG34" s="199"/>
      <c r="AH34" s="199"/>
      <c r="AI34" s="199"/>
      <c r="AJ34" s="200"/>
      <c r="AK34" s="203"/>
      <c r="AL34" s="199"/>
      <c r="AM34" s="199"/>
      <c r="AN34" s="199"/>
      <c r="AO34" s="199"/>
      <c r="AP34" s="200"/>
      <c r="AQ34" s="203"/>
      <c r="AR34" s="199"/>
      <c r="AS34" s="199"/>
      <c r="AT34" s="199"/>
      <c r="AU34" s="199"/>
      <c r="AV34" s="200"/>
      <c r="AW34" s="203"/>
      <c r="AX34" s="199"/>
      <c r="AY34" s="199"/>
      <c r="AZ34" s="199"/>
      <c r="BA34" s="199"/>
      <c r="BB34" s="200"/>
    </row>
    <row r="35" spans="1:54" x14ac:dyDescent="0.2">
      <c r="A35" s="203"/>
      <c r="B35" s="199"/>
      <c r="C35" s="204"/>
      <c r="D35" s="204" t="s">
        <v>2</v>
      </c>
      <c r="E35" s="204" t="s">
        <v>30</v>
      </c>
      <c r="F35" s="200"/>
      <c r="G35" s="203"/>
      <c r="H35" s="199"/>
      <c r="I35" s="204"/>
      <c r="J35" s="204" t="s">
        <v>2</v>
      </c>
      <c r="K35" s="204" t="s">
        <v>30</v>
      </c>
      <c r="L35" s="200"/>
      <c r="M35" s="203"/>
      <c r="N35" s="199"/>
      <c r="O35" s="204"/>
      <c r="P35" s="204" t="s">
        <v>2</v>
      </c>
      <c r="Q35" s="204" t="s">
        <v>30</v>
      </c>
      <c r="R35" s="200"/>
      <c r="S35" s="203"/>
      <c r="T35" s="199"/>
      <c r="U35" s="204"/>
      <c r="V35" s="204" t="s">
        <v>2</v>
      </c>
      <c r="W35" s="204" t="s">
        <v>30</v>
      </c>
      <c r="X35" s="200"/>
      <c r="Y35" s="203"/>
      <c r="Z35" s="199"/>
      <c r="AA35" s="204"/>
      <c r="AB35" s="204" t="s">
        <v>2</v>
      </c>
      <c r="AC35" s="204" t="s">
        <v>30</v>
      </c>
      <c r="AD35" s="200"/>
      <c r="AE35" s="203"/>
      <c r="AF35" s="199"/>
      <c r="AG35" s="204"/>
      <c r="AH35" s="204" t="s">
        <v>2</v>
      </c>
      <c r="AI35" s="204" t="s">
        <v>30</v>
      </c>
      <c r="AJ35" s="200"/>
      <c r="AK35" s="203"/>
      <c r="AL35" s="199"/>
      <c r="AM35" s="204"/>
      <c r="AN35" s="204" t="s">
        <v>2</v>
      </c>
      <c r="AO35" s="204" t="s">
        <v>30</v>
      </c>
      <c r="AP35" s="200"/>
      <c r="AQ35" s="203"/>
      <c r="AR35" s="199"/>
      <c r="AS35" s="204"/>
      <c r="AT35" s="204" t="s">
        <v>2</v>
      </c>
      <c r="AU35" s="204" t="s">
        <v>30</v>
      </c>
      <c r="AV35" s="200"/>
      <c r="AW35" s="203"/>
      <c r="AX35" s="199"/>
      <c r="AY35" s="204"/>
      <c r="AZ35" s="204" t="s">
        <v>2</v>
      </c>
      <c r="BA35" s="204" t="s">
        <v>30</v>
      </c>
      <c r="BB35" s="200"/>
    </row>
    <row r="36" spans="1:54" x14ac:dyDescent="0.2">
      <c r="A36" s="203"/>
      <c r="B36" s="199"/>
      <c r="C36" s="234" t="s">
        <v>100</v>
      </c>
      <c r="D36" s="234" t="s">
        <v>127</v>
      </c>
      <c r="E36" s="234" t="s">
        <v>128</v>
      </c>
      <c r="F36" s="200"/>
      <c r="G36" s="203"/>
      <c r="H36" s="199"/>
      <c r="I36" s="234" t="s">
        <v>100</v>
      </c>
      <c r="J36" s="234" t="s">
        <v>127</v>
      </c>
      <c r="K36" s="234" t="s">
        <v>128</v>
      </c>
      <c r="L36" s="200"/>
      <c r="M36" s="203"/>
      <c r="N36" s="199"/>
      <c r="O36" s="234" t="s">
        <v>100</v>
      </c>
      <c r="P36" s="234" t="s">
        <v>127</v>
      </c>
      <c r="Q36" s="234" t="s">
        <v>128</v>
      </c>
      <c r="R36" s="200"/>
      <c r="S36" s="203"/>
      <c r="T36" s="199"/>
      <c r="U36" s="234" t="s">
        <v>100</v>
      </c>
      <c r="V36" s="234" t="s">
        <v>127</v>
      </c>
      <c r="W36" s="234" t="s">
        <v>128</v>
      </c>
      <c r="X36" s="200"/>
      <c r="Y36" s="203"/>
      <c r="Z36" s="199"/>
      <c r="AA36" s="234" t="s">
        <v>100</v>
      </c>
      <c r="AB36" s="234" t="s">
        <v>127</v>
      </c>
      <c r="AC36" s="234" t="s">
        <v>128</v>
      </c>
      <c r="AD36" s="200"/>
      <c r="AE36" s="203"/>
      <c r="AF36" s="199"/>
      <c r="AG36" s="234" t="s">
        <v>100</v>
      </c>
      <c r="AH36" s="234" t="s">
        <v>127</v>
      </c>
      <c r="AI36" s="234" t="s">
        <v>128</v>
      </c>
      <c r="AJ36" s="200"/>
      <c r="AK36" s="203"/>
      <c r="AL36" s="199"/>
      <c r="AM36" s="234" t="s">
        <v>100</v>
      </c>
      <c r="AN36" s="234" t="s">
        <v>127</v>
      </c>
      <c r="AO36" s="234" t="s">
        <v>128</v>
      </c>
      <c r="AP36" s="200"/>
      <c r="AQ36" s="203"/>
      <c r="AR36" s="199"/>
      <c r="AS36" s="234" t="s">
        <v>100</v>
      </c>
      <c r="AT36" s="234" t="s">
        <v>127</v>
      </c>
      <c r="AU36" s="234" t="s">
        <v>128</v>
      </c>
      <c r="AV36" s="200"/>
      <c r="AW36" s="203"/>
      <c r="AX36" s="199"/>
      <c r="AY36" s="234" t="s">
        <v>100</v>
      </c>
      <c r="AZ36" s="234" t="s">
        <v>127</v>
      </c>
      <c r="BA36" s="234" t="s">
        <v>128</v>
      </c>
      <c r="BB36" s="200"/>
    </row>
    <row r="37" spans="1:54" ht="16.5" x14ac:dyDescent="0.35">
      <c r="A37" s="206" t="str">
        <f>A10</f>
        <v>Projected Revenue May 2018-Oct 2018</v>
      </c>
      <c r="B37" s="207"/>
      <c r="C37" s="208"/>
      <c r="D37" s="208"/>
      <c r="E37" s="208"/>
      <c r="F37" s="200"/>
      <c r="G37" s="206" t="str">
        <f>G10</f>
        <v>Projected Revenue May 2017-April 2018</v>
      </c>
      <c r="H37" s="207"/>
      <c r="I37" s="208"/>
      <c r="J37" s="208"/>
      <c r="K37" s="208"/>
      <c r="L37" s="200"/>
      <c r="M37" s="206" t="str">
        <f>M10</f>
        <v>Projected Revenue May 2016-April 2017</v>
      </c>
      <c r="N37" s="207"/>
      <c r="O37" s="208"/>
      <c r="P37" s="208"/>
      <c r="Q37" s="208"/>
      <c r="R37" s="200"/>
      <c r="S37" s="206" t="str">
        <f>S10</f>
        <v>Projected Revenue May 2015-April 2016</v>
      </c>
      <c r="T37" s="207"/>
      <c r="U37" s="208"/>
      <c r="V37" s="208"/>
      <c r="W37" s="208"/>
      <c r="X37" s="200"/>
      <c r="Y37" s="206" t="str">
        <f>Y10</f>
        <v>Projected Revenue May 2014-April 2015</v>
      </c>
      <c r="Z37" s="207"/>
      <c r="AA37" s="208"/>
      <c r="AB37" s="208"/>
      <c r="AC37" s="208"/>
      <c r="AD37" s="200"/>
      <c r="AE37" s="206" t="str">
        <f>AE10</f>
        <v>Projected Revenue May 2013-April 2014</v>
      </c>
      <c r="AF37" s="207"/>
      <c r="AG37" s="208"/>
      <c r="AH37" s="208"/>
      <c r="AI37" s="208"/>
      <c r="AJ37" s="200"/>
      <c r="AK37" s="206" t="str">
        <f>AK10</f>
        <v>Projected Revenue May 2012-April 2013</v>
      </c>
      <c r="AL37" s="207"/>
      <c r="AM37" s="208"/>
      <c r="AN37" s="208"/>
      <c r="AO37" s="208"/>
      <c r="AP37" s="200"/>
      <c r="AQ37" s="206" t="str">
        <f>AQ10</f>
        <v>Projected Revenue October 2011-April 2012</v>
      </c>
      <c r="AR37" s="207"/>
      <c r="AS37" s="208"/>
      <c r="AT37" s="208"/>
      <c r="AU37" s="208"/>
      <c r="AV37" s="200"/>
      <c r="AW37" s="206" t="str">
        <f>AW10</f>
        <v>Projected Revenue October 2010-September 2011</v>
      </c>
      <c r="AX37" s="207"/>
      <c r="AY37" s="208"/>
      <c r="AZ37" s="208"/>
      <c r="BA37" s="208"/>
      <c r="BB37" s="200"/>
    </row>
    <row r="38" spans="1:54" x14ac:dyDescent="0.2">
      <c r="A38" s="203" t="str">
        <f>A11</f>
        <v>May-Jul projected value without adjustment factor</v>
      </c>
      <c r="B38" s="213"/>
      <c r="C38" s="210">
        <f>'181020 WUTC_AW Bellevue MF'!B12</f>
        <v>5464.8099999999995</v>
      </c>
      <c r="D38" s="211">
        <f>J39</f>
        <v>0.53107536113400844</v>
      </c>
      <c r="E38" s="210">
        <f>D38*C38</f>
        <v>2902.2259442787404</v>
      </c>
      <c r="F38" s="200"/>
      <c r="G38" s="203" t="str">
        <f>G11</f>
        <v>May-Jul projected value without adjustment factor</v>
      </c>
      <c r="H38" s="213"/>
      <c r="I38" s="210">
        <f>'WUTC_AW of Bellevue_MF 2018'!B12</f>
        <v>5382</v>
      </c>
      <c r="J38" s="211">
        <f>P39</f>
        <v>0.54582435454076217</v>
      </c>
      <c r="K38" s="210">
        <f>J38*I38</f>
        <v>2937.6266761383822</v>
      </c>
      <c r="L38" s="200"/>
      <c r="M38" s="203" t="str">
        <f>M11</f>
        <v>May-Jul projected value without adjustment factor</v>
      </c>
      <c r="N38" s="213"/>
      <c r="O38" s="210">
        <f>'WUTC_AW of Bellevue_MF (2)'!B12</f>
        <v>5114.49</v>
      </c>
      <c r="P38" s="211">
        <f>V39</f>
        <v>0.52397595063637259</v>
      </c>
      <c r="Q38" s="210">
        <f>P38*O38</f>
        <v>2679.8697597702212</v>
      </c>
      <c r="R38" s="200"/>
      <c r="S38" s="203" t="str">
        <f>S11</f>
        <v>May-Jul projected value without adjustment factor</v>
      </c>
      <c r="T38" s="213"/>
      <c r="U38" s="210">
        <f>SUM('2016 Staff Summary'!C65:C67)</f>
        <v>6522.93</v>
      </c>
      <c r="V38" s="211">
        <f>AB39</f>
        <v>0.52241839804302437</v>
      </c>
      <c r="W38" s="210">
        <f>V38*U38</f>
        <v>3407.6986411467851</v>
      </c>
      <c r="X38" s="200"/>
      <c r="Y38" s="203" t="str">
        <f>Y11</f>
        <v>May-Jul projected value without adjustment factor</v>
      </c>
      <c r="Z38" s="213"/>
      <c r="AA38" s="210">
        <f>SUM('WUTC_AW of Bellevue_MF'!B8:B10)</f>
        <v>6482</v>
      </c>
      <c r="AB38" s="211">
        <f>AH39</f>
        <v>0.49456726099021026</v>
      </c>
      <c r="AC38" s="210">
        <f>AB38*AA38</f>
        <v>3205.7849857385427</v>
      </c>
      <c r="AD38" s="200"/>
      <c r="AE38" s="203" t="str">
        <f>AE11</f>
        <v>May-Jul projected value without adjustment factor</v>
      </c>
      <c r="AF38" s="213"/>
      <c r="AG38" s="210">
        <f>SUM('[6]WUTC_AW of Bellevue_MF'!$B$8:$B$10)</f>
        <v>6726.43</v>
      </c>
      <c r="AH38" s="211">
        <f>AN39</f>
        <v>0.81136513062291504</v>
      </c>
      <c r="AI38" s="210">
        <f>AH38*AG38</f>
        <v>5457.5907555758949</v>
      </c>
      <c r="AJ38" s="200"/>
      <c r="AK38" s="203" t="str">
        <f>AK11</f>
        <v>May-Jul projected value without adjustment factor</v>
      </c>
      <c r="AL38" s="213"/>
      <c r="AM38" s="210">
        <v>6673</v>
      </c>
      <c r="AN38" s="211">
        <f>AT39</f>
        <v>0.40327800077633275</v>
      </c>
      <c r="AO38" s="210">
        <f>AN38*AM38</f>
        <v>2691.0740991804682</v>
      </c>
      <c r="AP38" s="200"/>
      <c r="AQ38" s="203" t="str">
        <f>AQ11</f>
        <v>Oct-Dec projected value without adjustment factor</v>
      </c>
      <c r="AR38" s="213"/>
      <c r="AS38" s="210">
        <f>SUM('[7]WUTC_AW of Bellevue_MF'!$B$8:$B$10)</f>
        <v>7173.98</v>
      </c>
      <c r="AT38" s="211">
        <f>AZ39</f>
        <v>0.18571428571428572</v>
      </c>
      <c r="AU38" s="210">
        <f>AS38*AT38</f>
        <v>1332.3105714285714</v>
      </c>
      <c r="AV38" s="200"/>
      <c r="AW38" s="203" t="str">
        <f>AW11</f>
        <v>Oct-Dec projected value without adjustment factor</v>
      </c>
      <c r="AX38" s="213"/>
      <c r="AY38" s="210">
        <f>SUM('[8]WUTC_AW of Bellevue_MF'!$B$8:$B$10)</f>
        <v>16624.53</v>
      </c>
      <c r="AZ38" s="211">
        <f>'[8]WUTC_AW of Bellevue_MF'!$F$33</f>
        <v>0.16900000000000001</v>
      </c>
      <c r="BA38" s="210">
        <f>AY38*AZ38</f>
        <v>2809.5455699999998</v>
      </c>
      <c r="BB38" s="200"/>
    </row>
    <row r="39" spans="1:54" ht="15" x14ac:dyDescent="0.35">
      <c r="A39" s="212" t="str">
        <f>A12</f>
        <v>Aug-April projected value without adjustment factor</v>
      </c>
      <c r="B39" s="213"/>
      <c r="C39" s="214">
        <f>'181020 WUTC_AW Bellevue MF'!B24</f>
        <v>5585.17</v>
      </c>
      <c r="D39" s="211">
        <f>L52</f>
        <v>0.2129594983331789</v>
      </c>
      <c r="E39" s="214">
        <f>D39*C39</f>
        <v>1189.4150013055207</v>
      </c>
      <c r="F39" s="200"/>
      <c r="G39" s="212" t="str">
        <f>G12</f>
        <v>Aug-April projected value without adjustment factor</v>
      </c>
      <c r="H39" s="213"/>
      <c r="I39" s="214">
        <f>'WUTC_AW of Bellevue_MF 2018'!B24</f>
        <v>16316.99</v>
      </c>
      <c r="J39" s="211">
        <f>R52</f>
        <v>0.53107536113400844</v>
      </c>
      <c r="K39" s="214">
        <f>J39*I39</f>
        <v>8665.5513568700044</v>
      </c>
      <c r="L39" s="200"/>
      <c r="M39" s="212" t="str">
        <f>M12</f>
        <v>Aug-April projected value without adjustment factor</v>
      </c>
      <c r="N39" s="213"/>
      <c r="O39" s="214">
        <f>'WUTC_AW of Bellevue_MF (2)'!B24</f>
        <v>15547.61</v>
      </c>
      <c r="P39" s="211">
        <f>X52</f>
        <v>0.54582435454076217</v>
      </c>
      <c r="Q39" s="214">
        <f>P39*O39</f>
        <v>8486.264192901499</v>
      </c>
      <c r="R39" s="200"/>
      <c r="S39" s="212" t="str">
        <f>S12</f>
        <v>Aug-April projected value without adjustment factor</v>
      </c>
      <c r="T39" s="213"/>
      <c r="U39" s="214">
        <f>SUM('2016 Staff Summary'!C68:C76)</f>
        <v>18430.29</v>
      </c>
      <c r="V39" s="211">
        <f>AD52</f>
        <v>0.52397595063637259</v>
      </c>
      <c r="W39" s="214">
        <f>V39*U39</f>
        <v>9657.0287232540322</v>
      </c>
      <c r="X39" s="200"/>
      <c r="Y39" s="212" t="str">
        <f>Y12</f>
        <v>Aug-April projected value without adjustment factor</v>
      </c>
      <c r="Z39" s="213"/>
      <c r="AA39" s="214">
        <f>SUM('WUTC_AW of Bellevue_MF'!B14:B22)</f>
        <v>17739.080000000002</v>
      </c>
      <c r="AB39" s="211">
        <f>AJ52</f>
        <v>0.52241839804302437</v>
      </c>
      <c r="AC39" s="214">
        <f>AB39*AA39</f>
        <v>9267.2217563570539</v>
      </c>
      <c r="AD39" s="200"/>
      <c r="AE39" s="212" t="str">
        <f>AE12</f>
        <v>Aug-April projected value without adjustment factor</v>
      </c>
      <c r="AF39" s="213"/>
      <c r="AG39" s="214">
        <f>SUM('[6]WUTC_AW of Bellevue_MF'!$B$14:$B$22)</f>
        <v>18842.48</v>
      </c>
      <c r="AH39" s="211">
        <f>AP52</f>
        <v>0.49456726099021026</v>
      </c>
      <c r="AI39" s="214">
        <f>AH39*AG39</f>
        <v>9318.8737238628164</v>
      </c>
      <c r="AJ39" s="200"/>
      <c r="AK39" s="212" t="str">
        <f>AK12</f>
        <v>Aug-April projected value without adjustment factor</v>
      </c>
      <c r="AL39" s="213"/>
      <c r="AM39" s="214">
        <v>20499</v>
      </c>
      <c r="AN39" s="211">
        <f>AV52</f>
        <v>0.81136513062291504</v>
      </c>
      <c r="AO39" s="214">
        <f>AN39*AM39</f>
        <v>16632.173812639136</v>
      </c>
      <c r="AP39" s="200"/>
      <c r="AQ39" s="212" t="str">
        <f>AQ12</f>
        <v>Jan-Apr projected value without adjustment factor</v>
      </c>
      <c r="AR39" s="213"/>
      <c r="AS39" s="214">
        <f>SUM('[7]WUTC_AW of Bellevue_MF'!$B$14:$B$22)</f>
        <v>9252</v>
      </c>
      <c r="AT39" s="211">
        <f>BB52</f>
        <v>0.40327800077633275</v>
      </c>
      <c r="AU39" s="214">
        <f>AS39*AT39</f>
        <v>3731.1280631826307</v>
      </c>
      <c r="AV39" s="200"/>
      <c r="AW39" s="212" t="str">
        <f>AW12</f>
        <v>Jan-Sep projected value without adjustment factor</v>
      </c>
      <c r="AX39" s="213"/>
      <c r="AY39" s="214">
        <f>SUM('[8]WUTC_AW of Bellevue_MF'!$B$14:$B$22)</f>
        <v>38715.25</v>
      </c>
      <c r="AZ39" s="211">
        <f>'[8]WUTC_AW of Bellevue_MF'!$F$37</f>
        <v>0.18571428571428572</v>
      </c>
      <c r="BA39" s="214">
        <f>AY39*AZ39</f>
        <v>7189.9750000000004</v>
      </c>
      <c r="BB39" s="200"/>
    </row>
    <row r="40" spans="1:54" x14ac:dyDescent="0.2">
      <c r="A40" s="203" t="s">
        <v>30</v>
      </c>
      <c r="B40" s="199"/>
      <c r="C40" s="210">
        <f>SUM(C38:C39)</f>
        <v>11049.98</v>
      </c>
      <c r="D40" s="199"/>
      <c r="E40" s="210">
        <f>SUM(E38:E39)</f>
        <v>4091.6409455842613</v>
      </c>
      <c r="F40" s="200"/>
      <c r="G40" s="203" t="s">
        <v>30</v>
      </c>
      <c r="H40" s="199"/>
      <c r="I40" s="210">
        <f>SUM(I38:I39)</f>
        <v>21698.989999999998</v>
      </c>
      <c r="J40" s="199"/>
      <c r="K40" s="210">
        <f>SUM(K38:K39)</f>
        <v>11603.178033008386</v>
      </c>
      <c r="L40" s="200"/>
      <c r="M40" s="203" t="s">
        <v>30</v>
      </c>
      <c r="N40" s="199"/>
      <c r="O40" s="210">
        <f>SUM(O38:O39)</f>
        <v>20662.099999999999</v>
      </c>
      <c r="P40" s="199"/>
      <c r="Q40" s="210">
        <f>SUM(Q38:Q39)</f>
        <v>11166.13395267172</v>
      </c>
      <c r="R40" s="200"/>
      <c r="S40" s="203" t="s">
        <v>30</v>
      </c>
      <c r="T40" s="199"/>
      <c r="U40" s="210">
        <f>SUM(U38:U39)</f>
        <v>24953.22</v>
      </c>
      <c r="V40" s="199"/>
      <c r="W40" s="210">
        <f>SUM(W38:W39)</f>
        <v>13064.727364400816</v>
      </c>
      <c r="X40" s="200"/>
      <c r="Y40" s="203" t="s">
        <v>30</v>
      </c>
      <c r="Z40" s="199"/>
      <c r="AA40" s="210">
        <f>SUM(AA38:AA39)</f>
        <v>24221.08</v>
      </c>
      <c r="AB40" s="199"/>
      <c r="AC40" s="210">
        <f>SUM(AC38:AC39)</f>
        <v>12473.006742095597</v>
      </c>
      <c r="AD40" s="200"/>
      <c r="AE40" s="203" t="s">
        <v>30</v>
      </c>
      <c r="AF40" s="199"/>
      <c r="AG40" s="210">
        <f>SUM(AG38:AG39)</f>
        <v>25568.91</v>
      </c>
      <c r="AH40" s="199"/>
      <c r="AI40" s="210">
        <f>SUM(AI38:AI39)</f>
        <v>14776.464479438711</v>
      </c>
      <c r="AJ40" s="200"/>
      <c r="AK40" s="203" t="s">
        <v>30</v>
      </c>
      <c r="AL40" s="199"/>
      <c r="AM40" s="210">
        <f>SUM(AM38:AM39)</f>
        <v>27172</v>
      </c>
      <c r="AN40" s="199"/>
      <c r="AO40" s="210">
        <f>SUM(AO38:AO39)</f>
        <v>19323.247911819602</v>
      </c>
      <c r="AP40" s="200"/>
      <c r="AQ40" s="203" t="s">
        <v>30</v>
      </c>
      <c r="AR40" s="199"/>
      <c r="AS40" s="210">
        <f>SUM(AS38:AS39)</f>
        <v>16425.98</v>
      </c>
      <c r="AT40" s="199"/>
      <c r="AU40" s="210">
        <f>+AU39+AU38</f>
        <v>5063.4386346112024</v>
      </c>
      <c r="AV40" s="200"/>
      <c r="AW40" s="203" t="s">
        <v>30</v>
      </c>
      <c r="AX40" s="199"/>
      <c r="AY40" s="210">
        <f>SUM(AY38:AY39)</f>
        <v>55339.78</v>
      </c>
      <c r="AZ40" s="199"/>
      <c r="BA40" s="210">
        <f>+BA39+BA38</f>
        <v>9999.5205700000006</v>
      </c>
      <c r="BB40" s="200"/>
    </row>
    <row r="41" spans="1:54" x14ac:dyDescent="0.2">
      <c r="A41" s="203"/>
      <c r="B41" s="199"/>
      <c r="C41" s="199"/>
      <c r="D41" s="199"/>
      <c r="E41" s="199"/>
      <c r="F41" s="200"/>
      <c r="G41" s="203"/>
      <c r="H41" s="199"/>
      <c r="I41" s="199"/>
      <c r="J41" s="199"/>
      <c r="K41" s="199"/>
      <c r="L41" s="200"/>
      <c r="M41" s="203"/>
      <c r="N41" s="199"/>
      <c r="O41" s="199"/>
      <c r="P41" s="199"/>
      <c r="Q41" s="199"/>
      <c r="R41" s="200"/>
      <c r="S41" s="203"/>
      <c r="T41" s="199"/>
      <c r="U41" s="199"/>
      <c r="V41" s="199"/>
      <c r="W41" s="199"/>
      <c r="X41" s="200"/>
      <c r="Y41" s="203"/>
      <c r="Z41" s="199"/>
      <c r="AA41" s="199"/>
      <c r="AB41" s="199"/>
      <c r="AC41" s="199"/>
      <c r="AD41" s="200"/>
      <c r="AE41" s="203"/>
      <c r="AF41" s="199"/>
      <c r="AG41" s="199"/>
      <c r="AH41" s="199"/>
      <c r="AI41" s="199"/>
      <c r="AJ41" s="200"/>
      <c r="AK41" s="203"/>
      <c r="AL41" s="199"/>
      <c r="AM41" s="199"/>
      <c r="AN41" s="199"/>
      <c r="AO41" s="199"/>
      <c r="AP41" s="200"/>
      <c r="AQ41" s="203"/>
      <c r="AR41" s="199"/>
      <c r="AS41" s="199"/>
      <c r="AT41" s="199"/>
      <c r="AU41" s="199"/>
      <c r="AV41" s="200"/>
      <c r="AW41" s="203"/>
      <c r="AX41" s="199"/>
      <c r="AY41" s="199"/>
      <c r="AZ41" s="199"/>
      <c r="BA41" s="199"/>
      <c r="BB41" s="200"/>
    </row>
    <row r="42" spans="1:54" x14ac:dyDescent="0.2">
      <c r="A42" s="203" t="s">
        <v>138</v>
      </c>
      <c r="B42" s="199"/>
      <c r="C42" s="199"/>
      <c r="D42" s="199"/>
      <c r="E42" s="210">
        <f>'181020 MF Value'!M18</f>
        <v>3058.407145729997</v>
      </c>
      <c r="F42" s="200"/>
      <c r="G42" s="203" t="s">
        <v>138</v>
      </c>
      <c r="H42" s="199"/>
      <c r="I42" s="199"/>
      <c r="J42" s="199"/>
      <c r="K42" s="210">
        <f>'WUTC_AW of Bellevue_MF 2018'!D26</f>
        <v>7567.735342719996</v>
      </c>
      <c r="L42" s="200"/>
      <c r="M42" s="203" t="s">
        <v>138</v>
      </c>
      <c r="N42" s="199"/>
      <c r="O42" s="199"/>
      <c r="P42" s="199"/>
      <c r="Q42" s="210">
        <f>'WUTC_AW of Bellevue_MF (2)'!D26</f>
        <v>10973.132219286996</v>
      </c>
      <c r="R42" s="200"/>
      <c r="S42" s="203" t="s">
        <v>138</v>
      </c>
      <c r="T42" s="199"/>
      <c r="U42" s="199"/>
      <c r="V42" s="199"/>
      <c r="W42" s="210">
        <f>'2016 Staff Summary'!F13</f>
        <v>13744.841300213639</v>
      </c>
      <c r="X42" s="200"/>
      <c r="Y42" s="203" t="s">
        <v>138</v>
      </c>
      <c r="Z42" s="199"/>
      <c r="AA42" s="199"/>
      <c r="AB42" s="199"/>
      <c r="AC42" s="210">
        <f>Multi_Family!P93</f>
        <v>12812.368818439632</v>
      </c>
      <c r="AD42" s="200"/>
      <c r="AE42" s="203" t="s">
        <v>138</v>
      </c>
      <c r="AF42" s="199"/>
      <c r="AG42" s="199"/>
      <c r="AH42" s="199"/>
      <c r="AI42" s="210">
        <f>[6]Value!$O$18</f>
        <v>14738.704503412531</v>
      </c>
      <c r="AJ42" s="200"/>
      <c r="AK42" s="203" t="s">
        <v>138</v>
      </c>
      <c r="AL42" s="199"/>
      <c r="AM42" s="199"/>
      <c r="AN42" s="199"/>
      <c r="AO42" s="210">
        <v>17800.148452361354</v>
      </c>
      <c r="AP42" s="200"/>
      <c r="AQ42" s="203" t="s">
        <v>138</v>
      </c>
      <c r="AR42" s="199"/>
      <c r="AS42" s="199"/>
      <c r="AT42" s="199"/>
      <c r="AU42" s="210">
        <f>'[7]WUTC_AW of Bellevue_MF'!$G$31</f>
        <v>9204.6877604181154</v>
      </c>
      <c r="AV42" s="200"/>
      <c r="AW42" s="203" t="s">
        <v>138</v>
      </c>
      <c r="AX42" s="199"/>
      <c r="AY42" s="199"/>
      <c r="AZ42" s="199"/>
      <c r="BA42" s="210">
        <f>'[8]WUTC_AW of Bellevue_MF'!$G$31</f>
        <v>22317.315841802083</v>
      </c>
      <c r="BB42" s="200"/>
    </row>
    <row r="43" spans="1:54" x14ac:dyDescent="0.2">
      <c r="A43" s="203" t="str">
        <f>A16</f>
        <v>company retained</v>
      </c>
      <c r="B43" s="199"/>
      <c r="C43" s="199"/>
      <c r="D43" s="199"/>
      <c r="E43" s="352">
        <f>'181020 MF Value'!O18</f>
        <v>1529.2035728649985</v>
      </c>
      <c r="F43" s="200"/>
      <c r="G43" s="203"/>
      <c r="H43" s="199"/>
      <c r="I43" s="199"/>
      <c r="J43" s="199"/>
      <c r="K43" s="199"/>
      <c r="L43" s="200"/>
      <c r="M43" s="203"/>
      <c r="N43" s="199"/>
      <c r="O43" s="199"/>
      <c r="P43" s="199"/>
      <c r="Q43" s="199"/>
      <c r="R43" s="200"/>
      <c r="S43" s="203"/>
      <c r="T43" s="199"/>
      <c r="U43" s="199"/>
      <c r="V43" s="199"/>
      <c r="W43" s="199"/>
      <c r="X43" s="200"/>
      <c r="Y43" s="203"/>
      <c r="Z43" s="199"/>
      <c r="AA43" s="199"/>
      <c r="AB43" s="199"/>
      <c r="AC43" s="199"/>
      <c r="AD43" s="200"/>
      <c r="AE43" s="203"/>
      <c r="AF43" s="199"/>
      <c r="AG43" s="199"/>
      <c r="AH43" s="199"/>
      <c r="AI43" s="199"/>
      <c r="AJ43" s="200"/>
      <c r="AK43" s="203"/>
      <c r="AL43" s="199"/>
      <c r="AM43" s="199"/>
      <c r="AN43" s="199"/>
      <c r="AO43" s="199"/>
      <c r="AP43" s="200"/>
      <c r="AQ43" s="203"/>
      <c r="AR43" s="199"/>
      <c r="AS43" s="199"/>
      <c r="AT43" s="199"/>
      <c r="AU43" s="199"/>
      <c r="AV43" s="200"/>
      <c r="AW43" s="203"/>
      <c r="AX43" s="199"/>
      <c r="AY43" s="199"/>
      <c r="AZ43" s="199"/>
      <c r="BA43" s="199"/>
      <c r="BB43" s="200"/>
    </row>
    <row r="44" spans="1:54" x14ac:dyDescent="0.2">
      <c r="A44" s="203" t="s">
        <v>140</v>
      </c>
      <c r="B44" s="199"/>
      <c r="C44" s="199"/>
      <c r="D44" s="199"/>
      <c r="E44" s="210">
        <f>(E42-E43)-E40</f>
        <v>-2562.4373727192628</v>
      </c>
      <c r="F44" s="200"/>
      <c r="G44" s="203" t="s">
        <v>140</v>
      </c>
      <c r="H44" s="199"/>
      <c r="I44" s="199"/>
      <c r="J44" s="199"/>
      <c r="K44" s="210">
        <f>K42-K40</f>
        <v>-4035.4426902883897</v>
      </c>
      <c r="L44" s="200"/>
      <c r="M44" s="203" t="s">
        <v>140</v>
      </c>
      <c r="N44" s="199"/>
      <c r="O44" s="199"/>
      <c r="P44" s="199"/>
      <c r="Q44" s="210">
        <f>Q42-Q40</f>
        <v>-193.0017333847245</v>
      </c>
      <c r="R44" s="200"/>
      <c r="S44" s="203" t="s">
        <v>140</v>
      </c>
      <c r="T44" s="199"/>
      <c r="U44" s="199"/>
      <c r="V44" s="199"/>
      <c r="W44" s="210">
        <f>W42-W40</f>
        <v>680.11393581282209</v>
      </c>
      <c r="X44" s="200"/>
      <c r="Y44" s="203" t="s">
        <v>140</v>
      </c>
      <c r="Z44" s="199"/>
      <c r="AA44" s="199"/>
      <c r="AB44" s="199"/>
      <c r="AC44" s="210">
        <f>AC42-AC40</f>
        <v>339.36207634403581</v>
      </c>
      <c r="AD44" s="200"/>
      <c r="AE44" s="203" t="s">
        <v>140</v>
      </c>
      <c r="AF44" s="199"/>
      <c r="AG44" s="199"/>
      <c r="AH44" s="199"/>
      <c r="AI44" s="210">
        <f>AI42-AI40</f>
        <v>-37.759976026180084</v>
      </c>
      <c r="AJ44" s="200"/>
      <c r="AK44" s="203" t="s">
        <v>140</v>
      </c>
      <c r="AL44" s="199"/>
      <c r="AM44" s="199"/>
      <c r="AN44" s="199"/>
      <c r="AO44" s="210">
        <f>AO42-AO40</f>
        <v>-1523.099459458248</v>
      </c>
      <c r="AP44" s="200"/>
      <c r="AQ44" s="203" t="s">
        <v>140</v>
      </c>
      <c r="AR44" s="199"/>
      <c r="AS44" s="199"/>
      <c r="AT44" s="199"/>
      <c r="AU44" s="210">
        <f>AU42-AU40</f>
        <v>4141.2491258069131</v>
      </c>
      <c r="AV44" s="200"/>
      <c r="AW44" s="203" t="s">
        <v>140</v>
      </c>
      <c r="AX44" s="199"/>
      <c r="AY44" s="199"/>
      <c r="AZ44" s="199"/>
      <c r="BA44" s="210">
        <f>BA42-BA40</f>
        <v>12317.795271802082</v>
      </c>
      <c r="BB44" s="200"/>
    </row>
    <row r="45" spans="1:54" x14ac:dyDescent="0.2">
      <c r="A45" s="203"/>
      <c r="B45" s="199"/>
      <c r="C45" s="199"/>
      <c r="D45" s="199"/>
      <c r="E45" s="199"/>
      <c r="F45" s="200"/>
      <c r="G45" s="203"/>
      <c r="H45" s="199"/>
      <c r="I45" s="199"/>
      <c r="J45" s="199"/>
      <c r="K45" s="199"/>
      <c r="L45" s="200"/>
      <c r="M45" s="203"/>
      <c r="N45" s="199"/>
      <c r="O45" s="199"/>
      <c r="P45" s="199"/>
      <c r="Q45" s="199"/>
      <c r="R45" s="200"/>
      <c r="S45" s="203"/>
      <c r="T45" s="199"/>
      <c r="U45" s="199"/>
      <c r="V45" s="199"/>
      <c r="W45" s="199"/>
      <c r="X45" s="200"/>
      <c r="Y45" s="203"/>
      <c r="Z45" s="199"/>
      <c r="AA45" s="199"/>
      <c r="AB45" s="199"/>
      <c r="AC45" s="199"/>
      <c r="AD45" s="200"/>
      <c r="AE45" s="203"/>
      <c r="AF45" s="199"/>
      <c r="AG45" s="199"/>
      <c r="AH45" s="199"/>
      <c r="AI45" s="199"/>
      <c r="AJ45" s="200"/>
      <c r="AK45" s="203"/>
      <c r="AL45" s="199"/>
      <c r="AM45" s="199"/>
      <c r="AN45" s="199"/>
      <c r="AO45" s="199"/>
      <c r="AP45" s="200"/>
      <c r="AQ45" s="203"/>
      <c r="AR45" s="199"/>
      <c r="AS45" s="199"/>
      <c r="AT45" s="199"/>
      <c r="AU45" s="199"/>
      <c r="AV45" s="200"/>
      <c r="AW45" s="203"/>
      <c r="AX45" s="199"/>
      <c r="AY45" s="199"/>
      <c r="AZ45" s="199"/>
      <c r="BA45" s="199"/>
      <c r="BB45" s="200"/>
    </row>
    <row r="46" spans="1:54" x14ac:dyDescent="0.2">
      <c r="A46" s="203" t="s">
        <v>241</v>
      </c>
      <c r="B46" s="199"/>
      <c r="C46" s="199"/>
      <c r="D46" s="199"/>
      <c r="E46" s="210">
        <f>+C40</f>
        <v>11049.98</v>
      </c>
      <c r="F46" s="200"/>
      <c r="G46" s="203" t="s">
        <v>141</v>
      </c>
      <c r="H46" s="199"/>
      <c r="I46" s="199"/>
      <c r="J46" s="199"/>
      <c r="K46" s="210">
        <f>+I40</f>
        <v>21698.989999999998</v>
      </c>
      <c r="L46" s="200"/>
      <c r="M46" s="203" t="s">
        <v>141</v>
      </c>
      <c r="N46" s="199"/>
      <c r="O46" s="199"/>
      <c r="P46" s="199"/>
      <c r="Q46" s="210">
        <f>+O40</f>
        <v>20662.099999999999</v>
      </c>
      <c r="R46" s="200"/>
      <c r="S46" s="203" t="s">
        <v>141</v>
      </c>
      <c r="T46" s="199"/>
      <c r="U46" s="199"/>
      <c r="V46" s="199"/>
      <c r="W46" s="210">
        <f>+U40</f>
        <v>24953.22</v>
      </c>
      <c r="X46" s="200"/>
      <c r="Y46" s="203" t="s">
        <v>141</v>
      </c>
      <c r="Z46" s="199"/>
      <c r="AA46" s="199"/>
      <c r="AB46" s="199"/>
      <c r="AC46" s="210">
        <f>+AA40</f>
        <v>24221.08</v>
      </c>
      <c r="AD46" s="200"/>
      <c r="AE46" s="203" t="s">
        <v>141</v>
      </c>
      <c r="AF46" s="199"/>
      <c r="AG46" s="199"/>
      <c r="AH46" s="199"/>
      <c r="AI46" s="210">
        <f>+AG40</f>
        <v>25568.91</v>
      </c>
      <c r="AJ46" s="200"/>
      <c r="AK46" s="203" t="s">
        <v>141</v>
      </c>
      <c r="AL46" s="199"/>
      <c r="AM46" s="199"/>
      <c r="AN46" s="199"/>
      <c r="AO46" s="210">
        <f>+AM40</f>
        <v>27172</v>
      </c>
      <c r="AP46" s="200"/>
      <c r="AQ46" s="203" t="s">
        <v>141</v>
      </c>
      <c r="AR46" s="199"/>
      <c r="AS46" s="199"/>
      <c r="AT46" s="199"/>
      <c r="AU46" s="210">
        <f>'[7]WUTC_AW of Bellevue_MF'!$G$50</f>
        <v>28158.822857142855</v>
      </c>
      <c r="AV46" s="200"/>
      <c r="AW46" s="203" t="s">
        <v>141</v>
      </c>
      <c r="AX46" s="199"/>
      <c r="AY46" s="199"/>
      <c r="AZ46" s="199"/>
      <c r="BA46" s="210">
        <f>+AY40</f>
        <v>55339.78</v>
      </c>
      <c r="BB46" s="200"/>
    </row>
    <row r="47" spans="1:54" x14ac:dyDescent="0.2">
      <c r="A47" s="203"/>
      <c r="B47" s="199"/>
      <c r="C47" s="199"/>
      <c r="D47" s="199"/>
      <c r="E47" s="199"/>
      <c r="F47" s="200"/>
      <c r="G47" s="203"/>
      <c r="H47" s="199"/>
      <c r="I47" s="199"/>
      <c r="J47" s="199"/>
      <c r="K47" s="199"/>
      <c r="L47" s="200"/>
      <c r="M47" s="203"/>
      <c r="N47" s="199"/>
      <c r="O47" s="199"/>
      <c r="P47" s="199"/>
      <c r="Q47" s="199"/>
      <c r="R47" s="200"/>
      <c r="S47" s="203"/>
      <c r="T47" s="199"/>
      <c r="U47" s="199"/>
      <c r="V47" s="199"/>
      <c r="W47" s="199"/>
      <c r="X47" s="200"/>
      <c r="Y47" s="203"/>
      <c r="Z47" s="199"/>
      <c r="AA47" s="199"/>
      <c r="AB47" s="199"/>
      <c r="AC47" s="199"/>
      <c r="AD47" s="200"/>
      <c r="AE47" s="203"/>
      <c r="AF47" s="199"/>
      <c r="AG47" s="199"/>
      <c r="AH47" s="199"/>
      <c r="AI47" s="199"/>
      <c r="AJ47" s="200"/>
      <c r="AK47" s="203"/>
      <c r="AL47" s="199"/>
      <c r="AM47" s="199"/>
      <c r="AN47" s="199"/>
      <c r="AO47" s="199"/>
      <c r="AP47" s="200"/>
      <c r="AQ47" s="203"/>
      <c r="AR47" s="199"/>
      <c r="AS47" s="199"/>
      <c r="AT47" s="199"/>
      <c r="AU47" s="199"/>
      <c r="AV47" s="200"/>
      <c r="AW47" s="203"/>
      <c r="AX47" s="199"/>
      <c r="AY47" s="199"/>
      <c r="AZ47" s="199"/>
      <c r="BA47" s="199"/>
      <c r="BB47" s="200"/>
    </row>
    <row r="48" spans="1:54" x14ac:dyDescent="0.2">
      <c r="A48" s="203" t="s">
        <v>142</v>
      </c>
      <c r="B48" s="199"/>
      <c r="C48" s="199"/>
      <c r="D48" s="199"/>
      <c r="E48" s="199"/>
      <c r="F48" s="235">
        <f>(E44/E46)</f>
        <v>-0.23189520458129906</v>
      </c>
      <c r="G48" s="203" t="s">
        <v>142</v>
      </c>
      <c r="H48" s="199"/>
      <c r="I48" s="199"/>
      <c r="J48" s="199"/>
      <c r="K48" s="199"/>
      <c r="L48" s="235">
        <f>(K44/K46)</f>
        <v>-0.18597375685635092</v>
      </c>
      <c r="M48" s="203" t="s">
        <v>142</v>
      </c>
      <c r="N48" s="199"/>
      <c r="O48" s="199"/>
      <c r="P48" s="199"/>
      <c r="Q48" s="199"/>
      <c r="R48" s="235">
        <f>(Q44/Q46)</f>
        <v>-9.3408575790807566E-3</v>
      </c>
      <c r="S48" s="203" t="s">
        <v>142</v>
      </c>
      <c r="T48" s="199"/>
      <c r="U48" s="199"/>
      <c r="V48" s="199"/>
      <c r="W48" s="199"/>
      <c r="X48" s="235">
        <f>(W44/W46)</f>
        <v>2.7255558032703679E-2</v>
      </c>
      <c r="Y48" s="203" t="s">
        <v>142</v>
      </c>
      <c r="Z48" s="199"/>
      <c r="AA48" s="199"/>
      <c r="AB48" s="199"/>
      <c r="AC48" s="199"/>
      <c r="AD48" s="235">
        <f>(AC44/AC46)</f>
        <v>1.4011021653206042E-2</v>
      </c>
      <c r="AE48" s="203" t="s">
        <v>142</v>
      </c>
      <c r="AF48" s="199"/>
      <c r="AG48" s="199"/>
      <c r="AH48" s="199"/>
      <c r="AI48" s="199"/>
      <c r="AJ48" s="235">
        <f>(AI44/AI46)</f>
        <v>-1.4767925588607448E-3</v>
      </c>
      <c r="AK48" s="203" t="s">
        <v>142</v>
      </c>
      <c r="AL48" s="199"/>
      <c r="AM48" s="199"/>
      <c r="AN48" s="199"/>
      <c r="AO48" s="199"/>
      <c r="AP48" s="235">
        <f>(AO44/AO46)</f>
        <v>-5.6054006310107755E-2</v>
      </c>
      <c r="AQ48" s="203" t="s">
        <v>142</v>
      </c>
      <c r="AR48" s="199"/>
      <c r="AS48" s="199"/>
      <c r="AT48" s="199"/>
      <c r="AU48" s="199"/>
      <c r="AV48" s="235">
        <f>(AU44/AU46)</f>
        <v>0.14706755132544294</v>
      </c>
      <c r="AW48" s="203" t="s">
        <v>142</v>
      </c>
      <c r="AX48" s="199"/>
      <c r="AY48" s="199"/>
      <c r="AZ48" s="199"/>
      <c r="BA48" s="199"/>
      <c r="BB48" s="235">
        <f>(BA44/BA46)</f>
        <v>0.22258482545109654</v>
      </c>
    </row>
    <row r="49" spans="1:54" x14ac:dyDescent="0.2">
      <c r="A49" s="203"/>
      <c r="B49" s="199"/>
      <c r="C49" s="199"/>
      <c r="D49" s="199"/>
      <c r="E49" s="210"/>
      <c r="F49" s="200"/>
      <c r="G49" s="203"/>
      <c r="H49" s="199"/>
      <c r="I49" s="199"/>
      <c r="J49" s="199"/>
      <c r="K49" s="210"/>
      <c r="L49" s="200"/>
      <c r="M49" s="203"/>
      <c r="N49" s="199"/>
      <c r="O49" s="199"/>
      <c r="P49" s="199"/>
      <c r="Q49" s="210"/>
      <c r="R49" s="200"/>
      <c r="S49" s="203"/>
      <c r="T49" s="199"/>
      <c r="U49" s="199"/>
      <c r="V49" s="199"/>
      <c r="W49" s="210"/>
      <c r="X49" s="200"/>
      <c r="Y49" s="203"/>
      <c r="Z49" s="199"/>
      <c r="AA49" s="199"/>
      <c r="AB49" s="199"/>
      <c r="AC49" s="210"/>
      <c r="AD49" s="200"/>
      <c r="AE49" s="203"/>
      <c r="AF49" s="199"/>
      <c r="AG49" s="199"/>
      <c r="AH49" s="199"/>
      <c r="AI49" s="210"/>
      <c r="AJ49" s="200"/>
      <c r="AK49" s="203"/>
      <c r="AL49" s="199"/>
      <c r="AM49" s="199"/>
      <c r="AN49" s="199"/>
      <c r="AO49" s="210"/>
      <c r="AP49" s="200"/>
      <c r="AQ49" s="203"/>
      <c r="AR49" s="199"/>
      <c r="AS49" s="199"/>
      <c r="AT49" s="199"/>
      <c r="AU49" s="210"/>
      <c r="AV49" s="200"/>
      <c r="AW49" s="203"/>
      <c r="AX49" s="199"/>
      <c r="AY49" s="199"/>
      <c r="AZ49" s="199"/>
      <c r="BA49" s="210"/>
      <c r="BB49" s="200"/>
    </row>
    <row r="50" spans="1:54" ht="16.5" x14ac:dyDescent="0.35">
      <c r="A50" s="206" t="str">
        <f>A23</f>
        <v>Projected Revenue November 2018-April 2018</v>
      </c>
      <c r="B50" s="207"/>
      <c r="C50" s="199"/>
      <c r="D50" s="199"/>
      <c r="E50" s="216">
        <f>E42</f>
        <v>3058.407145729997</v>
      </c>
      <c r="F50" s="200"/>
      <c r="G50" s="206" t="str">
        <f>G23</f>
        <v>Projected Revenue November 2017-April 2018</v>
      </c>
      <c r="H50" s="207"/>
      <c r="I50" s="199"/>
      <c r="J50" s="199"/>
      <c r="K50" s="216">
        <f>'WUTC_AW of Bellevue_MF 2018'!D28</f>
        <v>2324.024875714998</v>
      </c>
      <c r="L50" s="200"/>
      <c r="M50" s="206" t="str">
        <f>M23</f>
        <v>Projected Revenue May 2017-April 2018</v>
      </c>
      <c r="N50" s="207"/>
      <c r="O50" s="199"/>
      <c r="P50" s="199"/>
      <c r="Q50" s="216">
        <f>Q42</f>
        <v>10973.132219286996</v>
      </c>
      <c r="R50" s="200"/>
      <c r="S50" s="206" t="str">
        <f>S23</f>
        <v>Projected Revenue May 2016-April 2017</v>
      </c>
      <c r="T50" s="207"/>
      <c r="U50" s="199"/>
      <c r="V50" s="199"/>
      <c r="W50" s="216">
        <f>W42</f>
        <v>13744.841300213639</v>
      </c>
      <c r="X50" s="200"/>
      <c r="Y50" s="206" t="str">
        <f>Y23</f>
        <v>Projected Revenue May 2015-April 2016</v>
      </c>
      <c r="Z50" s="207"/>
      <c r="AA50" s="199"/>
      <c r="AB50" s="199"/>
      <c r="AC50" s="216">
        <f>AC42</f>
        <v>12812.368818439632</v>
      </c>
      <c r="AD50" s="200"/>
      <c r="AE50" s="206" t="str">
        <f>AE23</f>
        <v>Projected Revenue May 2014-April 2015</v>
      </c>
      <c r="AF50" s="207"/>
      <c r="AG50" s="199"/>
      <c r="AH50" s="199"/>
      <c r="AI50" s="216">
        <f>[6]Value!$M$18*'[6]WUTC_AW of Bellevue_MF'!$L$56</f>
        <v>13485.513551906266</v>
      </c>
      <c r="AJ50" s="200"/>
      <c r="AK50" s="206" t="str">
        <f>AK23</f>
        <v>Projected Revenue May 2013-April 2014</v>
      </c>
      <c r="AL50" s="207"/>
      <c r="AM50" s="199"/>
      <c r="AN50" s="199"/>
      <c r="AO50" s="216">
        <v>13574.241615625993</v>
      </c>
      <c r="AP50" s="200"/>
      <c r="AQ50" s="206" t="str">
        <f>AQ23</f>
        <v>Projected Revenue October 2011-April 2012</v>
      </c>
      <c r="AR50" s="207"/>
      <c r="AS50" s="199"/>
      <c r="AT50" s="199"/>
      <c r="AU50" s="216">
        <f>AU42</f>
        <v>9204.6877604181154</v>
      </c>
      <c r="AV50" s="200"/>
      <c r="AW50" s="206" t="str">
        <f>AW23</f>
        <v>Projected Revenue October 2011-September 2012</v>
      </c>
      <c r="AX50" s="207"/>
      <c r="AY50" s="199"/>
      <c r="AZ50" s="199"/>
      <c r="BA50" s="216">
        <f>+BA42</f>
        <v>22317.315841802083</v>
      </c>
      <c r="BB50" s="200"/>
    </row>
    <row r="51" spans="1:54" x14ac:dyDescent="0.2">
      <c r="A51" s="203" t="s">
        <v>144</v>
      </c>
      <c r="B51" s="199"/>
      <c r="C51" s="199"/>
      <c r="D51" s="199"/>
      <c r="E51" s="210">
        <f>E46</f>
        <v>11049.98</v>
      </c>
      <c r="F51" s="200"/>
      <c r="G51" s="203" t="s">
        <v>141</v>
      </c>
      <c r="H51" s="199"/>
      <c r="I51" s="199"/>
      <c r="J51" s="199"/>
      <c r="K51" s="210">
        <f>'WUTC_AW of Bellevue_MF 2018'!B28</f>
        <v>10912.99</v>
      </c>
      <c r="L51" s="200"/>
      <c r="M51" s="203" t="s">
        <v>141</v>
      </c>
      <c r="N51" s="199"/>
      <c r="O51" s="199"/>
      <c r="P51" s="199"/>
      <c r="Q51" s="210">
        <f>Q46</f>
        <v>20662.099999999999</v>
      </c>
      <c r="R51" s="200"/>
      <c r="S51" s="203" t="s">
        <v>141</v>
      </c>
      <c r="T51" s="199"/>
      <c r="U51" s="199"/>
      <c r="V51" s="199"/>
      <c r="W51" s="210">
        <f>W46</f>
        <v>24953.22</v>
      </c>
      <c r="X51" s="200"/>
      <c r="Y51" s="203" t="s">
        <v>141</v>
      </c>
      <c r="Z51" s="199"/>
      <c r="AA51" s="199"/>
      <c r="AB51" s="199"/>
      <c r="AC51" s="210">
        <f>AC46</f>
        <v>24221.08</v>
      </c>
      <c r="AD51" s="200"/>
      <c r="AE51" s="203" t="s">
        <v>141</v>
      </c>
      <c r="AF51" s="199"/>
      <c r="AG51" s="199"/>
      <c r="AH51" s="199"/>
      <c r="AI51" s="210">
        <f>AI46</f>
        <v>25568.91</v>
      </c>
      <c r="AJ51" s="200"/>
      <c r="AK51" s="203" t="s">
        <v>141</v>
      </c>
      <c r="AL51" s="199"/>
      <c r="AM51" s="199"/>
      <c r="AN51" s="199"/>
      <c r="AO51" s="210">
        <f>AO46</f>
        <v>27172</v>
      </c>
      <c r="AP51" s="200"/>
      <c r="AQ51" s="203" t="s">
        <v>141</v>
      </c>
      <c r="AR51" s="199"/>
      <c r="AS51" s="199"/>
      <c r="AT51" s="199"/>
      <c r="AU51" s="210">
        <f>AS40</f>
        <v>16425.98</v>
      </c>
      <c r="AV51" s="200"/>
      <c r="AW51" s="203" t="s">
        <v>141</v>
      </c>
      <c r="AX51" s="199"/>
      <c r="AY51" s="199"/>
      <c r="AZ51" s="199"/>
      <c r="BA51" s="210">
        <f>BA46</f>
        <v>55339.78</v>
      </c>
      <c r="BB51" s="200"/>
    </row>
    <row r="52" spans="1:54" ht="15" x14ac:dyDescent="0.35">
      <c r="A52" s="203" t="s">
        <v>241</v>
      </c>
      <c r="B52" s="199"/>
      <c r="C52" s="199"/>
      <c r="D52" s="199"/>
      <c r="E52" s="199"/>
      <c r="F52" s="236">
        <f>(E50/E51)</f>
        <v>0.27677942817362539</v>
      </c>
      <c r="G52" s="203" t="s">
        <v>144</v>
      </c>
      <c r="H52" s="199"/>
      <c r="I52" s="199"/>
      <c r="J52" s="199"/>
      <c r="K52" s="199"/>
      <c r="L52" s="236">
        <f>(K50/K51)</f>
        <v>0.2129594983331789</v>
      </c>
      <c r="M52" s="203" t="s">
        <v>144</v>
      </c>
      <c r="N52" s="199"/>
      <c r="O52" s="199"/>
      <c r="P52" s="199"/>
      <c r="Q52" s="199"/>
      <c r="R52" s="236">
        <f>(Q50/Q51)</f>
        <v>0.53107536113400844</v>
      </c>
      <c r="S52" s="203" t="s">
        <v>144</v>
      </c>
      <c r="T52" s="199"/>
      <c r="U52" s="199"/>
      <c r="V52" s="199"/>
      <c r="W52" s="199"/>
      <c r="X52" s="236">
        <f>(W50/W51)-0.005</f>
        <v>0.54582435454076217</v>
      </c>
      <c r="Y52" s="203" t="s">
        <v>144</v>
      </c>
      <c r="Z52" s="199"/>
      <c r="AA52" s="199"/>
      <c r="AB52" s="199"/>
      <c r="AC52" s="199"/>
      <c r="AD52" s="236">
        <f>(AC50/AC51)-0.005</f>
        <v>0.52397595063637259</v>
      </c>
      <c r="AE52" s="203" t="s">
        <v>144</v>
      </c>
      <c r="AF52" s="199"/>
      <c r="AG52" s="199"/>
      <c r="AH52" s="199"/>
      <c r="AI52" s="199"/>
      <c r="AJ52" s="236">
        <f>(AI50/AI51)-0.005</f>
        <v>0.52241839804302437</v>
      </c>
      <c r="AK52" s="203" t="s">
        <v>144</v>
      </c>
      <c r="AL52" s="199"/>
      <c r="AM52" s="199"/>
      <c r="AN52" s="199"/>
      <c r="AO52" s="199"/>
      <c r="AP52" s="236">
        <f>(AO50/AO51)-0.005</f>
        <v>0.49456726099021026</v>
      </c>
      <c r="AQ52" s="203" t="s">
        <v>144</v>
      </c>
      <c r="AR52" s="199"/>
      <c r="AS52" s="199"/>
      <c r="AT52" s="199"/>
      <c r="AU52" s="199"/>
      <c r="AV52" s="220">
        <f>(AU50/AU51)/0.5*0.72395</f>
        <v>0.81136513062291504</v>
      </c>
      <c r="AW52" s="203" t="s">
        <v>144</v>
      </c>
      <c r="AX52" s="199"/>
      <c r="AY52" s="199"/>
      <c r="AZ52" s="199"/>
      <c r="BA52" s="199"/>
      <c r="BB52" s="220">
        <f>(BA50/BA51)</f>
        <v>0.40327800077633275</v>
      </c>
    </row>
    <row r="53" spans="1:54" x14ac:dyDescent="0.2">
      <c r="A53" s="203"/>
      <c r="B53" s="199"/>
      <c r="C53" s="199"/>
      <c r="D53" s="199"/>
      <c r="E53" s="199"/>
      <c r="F53" s="200"/>
      <c r="G53" s="203"/>
      <c r="H53" s="199"/>
      <c r="I53" s="199"/>
      <c r="J53" s="199"/>
      <c r="K53" s="199"/>
      <c r="L53" s="200"/>
      <c r="M53" s="203"/>
      <c r="N53" s="199"/>
      <c r="O53" s="199"/>
      <c r="P53" s="199"/>
      <c r="Q53" s="199"/>
      <c r="R53" s="200"/>
      <c r="S53" s="203"/>
      <c r="T53" s="199"/>
      <c r="U53" s="199"/>
      <c r="V53" s="199"/>
      <c r="W53" s="199"/>
      <c r="X53" s="200"/>
      <c r="Y53" s="203"/>
      <c r="Z53" s="199"/>
      <c r="AA53" s="199"/>
      <c r="AB53" s="199"/>
      <c r="AC53" s="199"/>
      <c r="AD53" s="200"/>
      <c r="AE53" s="203"/>
      <c r="AF53" s="199"/>
      <c r="AG53" s="199"/>
      <c r="AH53" s="199"/>
      <c r="AI53" s="199"/>
      <c r="AJ53" s="200"/>
      <c r="AK53" s="203"/>
      <c r="AL53" s="199"/>
      <c r="AM53" s="199"/>
      <c r="AN53" s="199"/>
      <c r="AO53" s="199"/>
      <c r="AP53" s="200"/>
      <c r="AQ53" s="203"/>
      <c r="AR53" s="199"/>
      <c r="AS53" s="199"/>
      <c r="AT53" s="199"/>
      <c r="AU53" s="199"/>
      <c r="AV53" s="200"/>
      <c r="AW53" s="203"/>
      <c r="AX53" s="199"/>
      <c r="AY53" s="199"/>
      <c r="AZ53" s="199"/>
      <c r="BA53" s="199"/>
      <c r="BB53" s="200"/>
    </row>
    <row r="54" spans="1:54" ht="18.75" thickBot="1" x14ac:dyDescent="0.4">
      <c r="A54" s="196" t="s">
        <v>149</v>
      </c>
      <c r="B54" s="197"/>
      <c r="C54" s="199"/>
      <c r="D54" s="199"/>
      <c r="E54" s="199"/>
      <c r="F54" s="221">
        <f>ROUND(+F52+F48,2)</f>
        <v>0.04</v>
      </c>
      <c r="G54" s="196" t="s">
        <v>149</v>
      </c>
      <c r="H54" s="197"/>
      <c r="I54" s="199"/>
      <c r="J54" s="199"/>
      <c r="K54" s="199"/>
      <c r="L54" s="221">
        <f>ROUND(+L52+L48,2)</f>
        <v>0.03</v>
      </c>
      <c r="M54" s="196" t="s">
        <v>149</v>
      </c>
      <c r="N54" s="197"/>
      <c r="O54" s="199"/>
      <c r="P54" s="199"/>
      <c r="Q54" s="199"/>
      <c r="R54" s="221">
        <f>ROUND(+R52+R48,2)</f>
        <v>0.52</v>
      </c>
      <c r="S54" s="196" t="s">
        <v>149</v>
      </c>
      <c r="T54" s="197"/>
      <c r="U54" s="199"/>
      <c r="V54" s="199"/>
      <c r="W54" s="199"/>
      <c r="X54" s="221">
        <f>ROUND(+X52+X48,2)</f>
        <v>0.56999999999999995</v>
      </c>
      <c r="Y54" s="196" t="s">
        <v>149</v>
      </c>
      <c r="Z54" s="197"/>
      <c r="AA54" s="199"/>
      <c r="AB54" s="199"/>
      <c r="AC54" s="199"/>
      <c r="AD54" s="221">
        <f>ROUND(+AD52+AD48,2)</f>
        <v>0.54</v>
      </c>
      <c r="AE54" s="196" t="s">
        <v>149</v>
      </c>
      <c r="AF54" s="197"/>
      <c r="AG54" s="199"/>
      <c r="AH54" s="199"/>
      <c r="AI54" s="199"/>
      <c r="AJ54" s="221">
        <f>ROUND(+AJ52+AJ48,2)</f>
        <v>0.52</v>
      </c>
      <c r="AK54" s="196" t="s">
        <v>149</v>
      </c>
      <c r="AL54" s="197"/>
      <c r="AM54" s="199"/>
      <c r="AN54" s="199"/>
      <c r="AO54" s="199"/>
      <c r="AP54" s="221">
        <f>ROUND(+AP52+AP48,2)</f>
        <v>0.44</v>
      </c>
      <c r="AQ54" s="196" t="s">
        <v>149</v>
      </c>
      <c r="AR54" s="197"/>
      <c r="AS54" s="199"/>
      <c r="AT54" s="199"/>
      <c r="AU54" s="199"/>
      <c r="AV54" s="222">
        <f>+AV52+AV48</f>
        <v>0.95843268194835796</v>
      </c>
      <c r="AW54" s="196" t="s">
        <v>149</v>
      </c>
      <c r="AX54" s="197"/>
      <c r="AY54" s="199"/>
      <c r="AZ54" s="199"/>
      <c r="BA54" s="199"/>
      <c r="BB54" s="222">
        <f>+BB52+BB48</f>
        <v>0.62586282622742928</v>
      </c>
    </row>
    <row r="55" spans="1:54" ht="18.75" thickTop="1" x14ac:dyDescent="0.35">
      <c r="A55" s="209" t="s">
        <v>146</v>
      </c>
      <c r="B55" s="197"/>
      <c r="C55" s="223">
        <v>0</v>
      </c>
      <c r="D55" s="199"/>
      <c r="E55" s="199"/>
      <c r="F55" s="227">
        <v>0</v>
      </c>
      <c r="G55" s="209" t="s">
        <v>146</v>
      </c>
      <c r="H55" s="197"/>
      <c r="I55" s="223">
        <v>0</v>
      </c>
      <c r="J55" s="199"/>
      <c r="K55" s="199"/>
      <c r="L55" s="227">
        <v>0</v>
      </c>
      <c r="M55" s="209" t="s">
        <v>146</v>
      </c>
      <c r="N55" s="197"/>
      <c r="O55" s="223">
        <v>0</v>
      </c>
      <c r="P55" s="199"/>
      <c r="Q55" s="199"/>
      <c r="R55" s="227">
        <v>0.34200000000000003</v>
      </c>
      <c r="S55" s="209" t="s">
        <v>146</v>
      </c>
      <c r="T55" s="197"/>
      <c r="U55" s="223">
        <v>0</v>
      </c>
      <c r="V55" s="199"/>
      <c r="W55" s="199"/>
      <c r="X55" s="227">
        <f>U56</f>
        <v>0</v>
      </c>
      <c r="Y55" s="209" t="s">
        <v>146</v>
      </c>
      <c r="Z55" s="197"/>
      <c r="AA55" s="223">
        <f>'[4]2014-2015'!$E$6</f>
        <v>298.37989644219329</v>
      </c>
      <c r="AB55" s="199"/>
      <c r="AC55" s="199"/>
      <c r="AD55" s="227">
        <f>AA56</f>
        <v>1.2319017006764077E-2</v>
      </c>
      <c r="AE55" s="209" t="s">
        <v>146</v>
      </c>
      <c r="AF55" s="197"/>
      <c r="AG55" s="223">
        <f>[5]KC!$E$6</f>
        <v>5763.366</v>
      </c>
      <c r="AH55" s="199"/>
      <c r="AI55" s="199"/>
      <c r="AJ55" s="227">
        <f>AG56</f>
        <v>0.2254052284590935</v>
      </c>
      <c r="AK55" s="209" t="s">
        <v>146</v>
      </c>
      <c r="AL55" s="197"/>
      <c r="AM55" s="199"/>
      <c r="AN55" s="199"/>
      <c r="AO55" s="199"/>
      <c r="AP55" s="227">
        <v>3.5440895039010746E-2</v>
      </c>
      <c r="AQ55" s="209" t="s">
        <v>146</v>
      </c>
      <c r="AR55" s="197"/>
      <c r="AS55" s="199"/>
      <c r="AT55" s="199"/>
      <c r="AU55" s="199"/>
      <c r="AV55" s="237">
        <f>'[7]WUTC_AW of Bellevue_MF'!$I$71</f>
        <v>0.14576867937994886</v>
      </c>
      <c r="AW55" s="209" t="s">
        <v>146</v>
      </c>
      <c r="AX55" s="197"/>
      <c r="AY55" s="199"/>
      <c r="AZ55" s="228"/>
      <c r="BA55" s="199"/>
      <c r="BB55" s="237">
        <f>'[8]WUTC_AW of Bellevue_MF'!$I$70</f>
        <v>0.5245247597075805</v>
      </c>
    </row>
    <row r="56" spans="1:54" ht="15" x14ac:dyDescent="0.35">
      <c r="A56" s="203"/>
      <c r="B56" s="199"/>
      <c r="C56" s="238">
        <f>C55/E51</f>
        <v>0</v>
      </c>
      <c r="D56" s="199"/>
      <c r="E56" s="199"/>
      <c r="F56" s="239"/>
      <c r="G56" s="203"/>
      <c r="H56" s="199"/>
      <c r="I56" s="238">
        <f>I55/K51</f>
        <v>0</v>
      </c>
      <c r="J56" s="199"/>
      <c r="K56" s="199"/>
      <c r="L56" s="239"/>
      <c r="M56" s="203"/>
      <c r="N56" s="199"/>
      <c r="O56" s="238">
        <f>O55/Q51</f>
        <v>0</v>
      </c>
      <c r="P56" s="199"/>
      <c r="Q56" s="199"/>
      <c r="R56" s="239"/>
      <c r="S56" s="203"/>
      <c r="T56" s="199"/>
      <c r="U56" s="238">
        <f>U55/W51</f>
        <v>0</v>
      </c>
      <c r="V56" s="199"/>
      <c r="W56" s="199"/>
      <c r="X56" s="239"/>
      <c r="Y56" s="203"/>
      <c r="Z56" s="199"/>
      <c r="AA56" s="238">
        <f>AA55/AC51</f>
        <v>1.2319017006764077E-2</v>
      </c>
      <c r="AB56" s="199"/>
      <c r="AC56" s="199"/>
      <c r="AD56" s="239"/>
      <c r="AE56" s="203"/>
      <c r="AF56" s="199"/>
      <c r="AG56" s="238">
        <f>AG55/AI51</f>
        <v>0.2254052284590935</v>
      </c>
      <c r="AH56" s="199"/>
      <c r="AI56" s="199"/>
      <c r="AJ56" s="239"/>
      <c r="AK56" s="203"/>
      <c r="AL56" s="199"/>
      <c r="AM56" s="199"/>
      <c r="AN56" s="199"/>
      <c r="AO56" s="199"/>
      <c r="AP56" s="239"/>
      <c r="AQ56" s="203"/>
      <c r="AR56" s="199"/>
      <c r="AS56" s="199"/>
      <c r="AT56" s="199"/>
      <c r="AU56" s="199"/>
      <c r="AV56" s="200"/>
      <c r="AW56" s="203"/>
      <c r="AX56" s="199"/>
      <c r="AY56" s="199"/>
      <c r="AZ56" s="199"/>
      <c r="BA56" s="199"/>
      <c r="BB56" s="200"/>
    </row>
    <row r="57" spans="1:54" ht="18.75" thickBot="1" x14ac:dyDescent="0.4">
      <c r="A57" s="240" t="s">
        <v>147</v>
      </c>
      <c r="B57" s="241"/>
      <c r="C57" s="241"/>
      <c r="D57" s="241"/>
      <c r="E57" s="241"/>
      <c r="F57" s="242">
        <f>ROUND(SUM(F54:F56),2)</f>
        <v>0.04</v>
      </c>
      <c r="G57" s="240" t="s">
        <v>147</v>
      </c>
      <c r="H57" s="241"/>
      <c r="I57" s="241"/>
      <c r="J57" s="241"/>
      <c r="K57" s="241"/>
      <c r="L57" s="242">
        <f>ROUND(SUM(L54:L56),2)</f>
        <v>0.03</v>
      </c>
      <c r="M57" s="240" t="s">
        <v>147</v>
      </c>
      <c r="N57" s="241"/>
      <c r="O57" s="241"/>
      <c r="P57" s="241"/>
      <c r="Q57" s="241"/>
      <c r="R57" s="242">
        <f>ROUND(SUM(R54:R56),2)</f>
        <v>0.86</v>
      </c>
      <c r="S57" s="240" t="s">
        <v>147</v>
      </c>
      <c r="T57" s="241"/>
      <c r="U57" s="241"/>
      <c r="V57" s="241"/>
      <c r="W57" s="241"/>
      <c r="X57" s="242">
        <f>ROUND(SUM(X54:X56),2)</f>
        <v>0.56999999999999995</v>
      </c>
      <c r="Y57" s="240" t="s">
        <v>147</v>
      </c>
      <c r="Z57" s="241"/>
      <c r="AA57" s="241"/>
      <c r="AB57" s="241"/>
      <c r="AC57" s="241"/>
      <c r="AD57" s="242">
        <f>ROUND(SUM(AD54:AD56),2)</f>
        <v>0.55000000000000004</v>
      </c>
      <c r="AE57" s="240" t="s">
        <v>147</v>
      </c>
      <c r="AF57" s="241"/>
      <c r="AG57" s="241"/>
      <c r="AH57" s="241"/>
      <c r="AI57" s="241"/>
      <c r="AJ57" s="242">
        <f>ROUND(SUM(AJ54:AJ56),2)</f>
        <v>0.75</v>
      </c>
      <c r="AK57" s="240" t="s">
        <v>147</v>
      </c>
      <c r="AL57" s="241"/>
      <c r="AM57" s="241"/>
      <c r="AN57" s="241"/>
      <c r="AO57" s="241"/>
      <c r="AP57" s="242">
        <f>ROUND(SUM(AP54:AP56),2)</f>
        <v>0.48</v>
      </c>
      <c r="AQ57" s="240" t="s">
        <v>147</v>
      </c>
      <c r="AR57" s="243"/>
      <c r="AS57" s="243"/>
      <c r="AT57" s="243"/>
      <c r="AU57" s="243"/>
      <c r="AV57" s="244">
        <f>SUM(AV54:AV56)</f>
        <v>1.1042013613283068</v>
      </c>
      <c r="AW57" s="240" t="s">
        <v>147</v>
      </c>
      <c r="AX57" s="241"/>
      <c r="AY57" s="241"/>
      <c r="AZ57" s="245"/>
      <c r="BA57" s="241"/>
      <c r="BB57" s="244">
        <f>SUM(BB54:BB56)</f>
        <v>1.1503875859350097</v>
      </c>
    </row>
    <row r="58" spans="1:54" x14ac:dyDescent="0.2">
      <c r="S58" s="256">
        <f>R57-X57</f>
        <v>0.29000000000000004</v>
      </c>
    </row>
    <row r="59" spans="1:54" x14ac:dyDescent="0.2">
      <c r="AD59" s="256">
        <f>AD57*3.5</f>
        <v>1.9250000000000003</v>
      </c>
    </row>
    <row r="60" spans="1:54" x14ac:dyDescent="0.2">
      <c r="AD60" s="256">
        <f>AD57*5</f>
        <v>2.75</v>
      </c>
    </row>
  </sheetData>
  <mergeCells count="27">
    <mergeCell ref="S4:X4"/>
    <mergeCell ref="S6:X6"/>
    <mergeCell ref="S33:X33"/>
    <mergeCell ref="A4:F4"/>
    <mergeCell ref="A6:F6"/>
    <mergeCell ref="A33:F33"/>
    <mergeCell ref="M4:R4"/>
    <mergeCell ref="M6:R6"/>
    <mergeCell ref="M33:R33"/>
    <mergeCell ref="G4:L4"/>
    <mergeCell ref="G6:L6"/>
    <mergeCell ref="G33:L33"/>
    <mergeCell ref="AQ33:AV33"/>
    <mergeCell ref="AW33:BB33"/>
    <mergeCell ref="Y4:AD4"/>
    <mergeCell ref="Y6:AD6"/>
    <mergeCell ref="Y33:AD33"/>
    <mergeCell ref="AE4:AJ4"/>
    <mergeCell ref="AK4:AP4"/>
    <mergeCell ref="AR4:AU4"/>
    <mergeCell ref="AX4:BA4"/>
    <mergeCell ref="AE6:AJ6"/>
    <mergeCell ref="AK6:AP6"/>
    <mergeCell ref="AQ6:AV6"/>
    <mergeCell ref="AW6:BB6"/>
    <mergeCell ref="AE33:AJ33"/>
    <mergeCell ref="AK33:AP33"/>
  </mergeCells>
  <pageMargins left="0.25" right="0.25" top="0.25" bottom="0.25" header="0" footer="0"/>
  <pageSetup scale="93" fitToWidth="0" orientation="portrait" r:id="rId1"/>
  <colBreaks count="2" manualBreakCount="2">
    <brk id="30" max="1048575" man="1"/>
    <brk id="42"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118"/>
  <sheetViews>
    <sheetView showGridLines="0" zoomScaleNormal="100" workbookViewId="0">
      <selection activeCell="J35" sqref="J35"/>
    </sheetView>
  </sheetViews>
  <sheetFormatPr defaultRowHeight="12.75" x14ac:dyDescent="0.2"/>
  <cols>
    <col min="1" max="1" width="9.140625" style="195"/>
    <col min="2" max="2" width="2.28515625" style="288" bestFit="1" customWidth="1"/>
    <col min="3" max="12" width="11.7109375" style="195" customWidth="1"/>
    <col min="13" max="16384" width="9.140625" style="195"/>
  </cols>
  <sheetData>
    <row r="1" spans="1:13" x14ac:dyDescent="0.2">
      <c r="A1" s="305" t="str">
        <f>"Commodity Pricing ("&amp;TEXT(A4,"mmmm yyyy")&amp;" through "&amp;TEXT(A15,"mmmm yyyy")&amp;")"</f>
        <v>Commodity Pricing (May 2016 through April 2017)</v>
      </c>
      <c r="B1" s="313"/>
    </row>
    <row r="2" spans="1:13" x14ac:dyDescent="0.2">
      <c r="A2" s="303" t="s">
        <v>114</v>
      </c>
      <c r="B2" s="335"/>
    </row>
    <row r="3" spans="1:13" x14ac:dyDescent="0.2">
      <c r="B3" s="298"/>
      <c r="C3" s="300" t="s">
        <v>21</v>
      </c>
      <c r="D3" s="300" t="s">
        <v>22</v>
      </c>
      <c r="E3" s="300" t="s">
        <v>33</v>
      </c>
      <c r="F3" s="300" t="s">
        <v>23</v>
      </c>
      <c r="G3" s="300" t="s">
        <v>24</v>
      </c>
      <c r="H3" s="300" t="s">
        <v>25</v>
      </c>
      <c r="I3" s="300" t="s">
        <v>26</v>
      </c>
      <c r="J3" s="300" t="s">
        <v>27</v>
      </c>
      <c r="K3" s="300" t="s">
        <v>28</v>
      </c>
      <c r="L3" s="300" t="s">
        <v>29</v>
      </c>
      <c r="M3" s="300"/>
    </row>
    <row r="4" spans="1:13" ht="15.75" customHeight="1" x14ac:dyDescent="0.2">
      <c r="A4" s="308">
        <f>'Multi_Family (2)'!$C$6</f>
        <v>42491</v>
      </c>
      <c r="B4" s="298" t="s">
        <v>67</v>
      </c>
      <c r="C4" s="334">
        <f>'Multi_Family (2)'!C74</f>
        <v>798</v>
      </c>
      <c r="D4" s="334">
        <f>'Multi_Family (2)'!C76</f>
        <v>-2.2000000000000002</v>
      </c>
      <c r="E4" s="334">
        <f>'Multi_Family (2)'!C77</f>
        <v>-120.17</v>
      </c>
      <c r="F4" s="334">
        <f>'Multi_Family (2)'!C72</f>
        <v>73.930000000000007</v>
      </c>
      <c r="G4" s="334">
        <f>'Multi_Family (2)'!C69</f>
        <v>72.25</v>
      </c>
      <c r="H4" s="334">
        <f>'Multi_Family (2)'!C79</f>
        <v>69.38</v>
      </c>
      <c r="I4" s="334">
        <f>'Multi_Family (2)'!C73</f>
        <v>133.80000000000001</v>
      </c>
      <c r="J4" s="334">
        <f>'Multi_Family (2)'!C73</f>
        <v>133.80000000000001</v>
      </c>
      <c r="K4" s="334">
        <f>'Multi_Family (2)'!C70</f>
        <v>87.8</v>
      </c>
      <c r="L4" s="334">
        <f>'Multi_Family (2)'!C78</f>
        <v>-120.17</v>
      </c>
      <c r="M4" s="302"/>
    </row>
    <row r="5" spans="1:13" ht="15.75" customHeight="1" x14ac:dyDescent="0.2">
      <c r="A5" s="298">
        <f t="shared" ref="A5:A15" si="0">EOMONTH(A4,1)</f>
        <v>42551</v>
      </c>
      <c r="B5" s="298" t="s">
        <v>68</v>
      </c>
      <c r="C5" s="334">
        <f>'Multi_Family (2)'!D74</f>
        <v>778.7</v>
      </c>
      <c r="D5" s="334">
        <f>'Multi_Family (2)'!D76</f>
        <v>-7.81</v>
      </c>
      <c r="E5" s="334">
        <f>'Multi_Family (2)'!D77</f>
        <v>-120.17</v>
      </c>
      <c r="F5" s="334">
        <f>'Multi_Family (2)'!D72</f>
        <v>64.900000000000006</v>
      </c>
      <c r="G5" s="334">
        <f>'Multi_Family (2)'!D69</f>
        <v>75.63</v>
      </c>
      <c r="H5" s="334">
        <f>'Multi_Family (2)'!D79</f>
        <v>71.97</v>
      </c>
      <c r="I5" s="334">
        <f>'Multi_Family (2)'!D73</f>
        <v>129.44999999999999</v>
      </c>
      <c r="J5" s="334">
        <f>'Multi_Family (2)'!D73</f>
        <v>129.44999999999999</v>
      </c>
      <c r="K5" s="334">
        <f>'Multi_Family (2)'!D70</f>
        <v>90.36</v>
      </c>
      <c r="L5" s="178">
        <f>'Multi_Family (2)'!D78</f>
        <v>-120.17</v>
      </c>
      <c r="M5" s="302"/>
    </row>
    <row r="6" spans="1:13" ht="15.75" customHeight="1" x14ac:dyDescent="0.2">
      <c r="A6" s="298">
        <f t="shared" si="0"/>
        <v>42582</v>
      </c>
      <c r="B6" s="288" t="s">
        <v>69</v>
      </c>
      <c r="C6" s="334">
        <f>'Multi_Family (2)'!E74</f>
        <v>777</v>
      </c>
      <c r="D6" s="334">
        <f>'Multi_Family (2)'!E76</f>
        <v>-8.0299999999999994</v>
      </c>
      <c r="E6" s="178">
        <f>'Multi_Family (2)'!E77</f>
        <v>-120.17</v>
      </c>
      <c r="F6" s="334">
        <f>'Multi_Family (2)'!E72</f>
        <v>58.33</v>
      </c>
      <c r="G6" s="334">
        <f>'Multi_Family (2)'!E69</f>
        <v>83.6</v>
      </c>
      <c r="H6" s="334">
        <f>'Multi_Family (2)'!E79</f>
        <v>78.17</v>
      </c>
      <c r="I6" s="334">
        <f>'Multi_Family (2)'!E73</f>
        <v>134.41</v>
      </c>
      <c r="J6" s="334">
        <f>'Multi_Family (2)'!E73</f>
        <v>134.41</v>
      </c>
      <c r="K6" s="334">
        <f>'Multi_Family (2)'!E70</f>
        <v>101.52</v>
      </c>
      <c r="L6" s="334">
        <f>'Multi_Family (2)'!E78</f>
        <v>-120.17</v>
      </c>
      <c r="M6" s="289"/>
    </row>
    <row r="7" spans="1:13" ht="15.75" customHeight="1" x14ac:dyDescent="0.2">
      <c r="A7" s="298">
        <f t="shared" si="0"/>
        <v>42613</v>
      </c>
      <c r="B7" s="288" t="s">
        <v>70</v>
      </c>
      <c r="C7" s="178">
        <f>'Multi_Family (2)'!F74</f>
        <v>798</v>
      </c>
      <c r="D7" s="178">
        <f>'Multi_Family (2)'!F76</f>
        <v>-1.52</v>
      </c>
      <c r="E7" s="178">
        <f>'Multi_Family (2)'!F77</f>
        <v>-120.17</v>
      </c>
      <c r="F7" s="178">
        <f>'Multi_Family (2)'!F72</f>
        <v>59.25</v>
      </c>
      <c r="G7" s="178">
        <f>'Multi_Family (2)'!F69</f>
        <v>93.37</v>
      </c>
      <c r="H7" s="178">
        <f>'Multi_Family (2)'!F79</f>
        <v>87.47</v>
      </c>
      <c r="I7" s="178">
        <f>'Multi_Family (2)'!F73</f>
        <v>130.41999999999999</v>
      </c>
      <c r="J7" s="178">
        <f>'Multi_Family (2)'!F73</f>
        <v>130.41999999999999</v>
      </c>
      <c r="K7" s="178">
        <f>'Multi_Family (2)'!F70</f>
        <v>110.76</v>
      </c>
      <c r="L7" s="178">
        <f>'Multi_Family (2)'!F78</f>
        <v>-120.17</v>
      </c>
      <c r="M7" s="289"/>
    </row>
    <row r="8" spans="1:13" ht="15.75" customHeight="1" x14ac:dyDescent="0.2">
      <c r="A8" s="298">
        <f t="shared" si="0"/>
        <v>42643</v>
      </c>
      <c r="B8" s="288" t="s">
        <v>71</v>
      </c>
      <c r="C8" s="179">
        <f>'Multi_Family (2)'!G74</f>
        <v>784</v>
      </c>
      <c r="D8" s="179">
        <f>'Multi_Family (2)'!G76</f>
        <v>-5.91</v>
      </c>
      <c r="E8" s="179">
        <f>'Multi_Family (2)'!G77</f>
        <v>-120.17</v>
      </c>
      <c r="F8" s="179">
        <f>'Multi_Family (2)'!G72</f>
        <v>59.29</v>
      </c>
      <c r="G8" s="179">
        <f>'Multi_Family (2)'!G69</f>
        <v>90.66</v>
      </c>
      <c r="H8" s="179">
        <f>'Multi_Family (2)'!G79</f>
        <v>77.81</v>
      </c>
      <c r="I8" s="179">
        <f>'Multi_Family (2)'!G73</f>
        <v>110.89</v>
      </c>
      <c r="J8" s="179">
        <f>'Multi_Family (2)'!G73</f>
        <v>110.89</v>
      </c>
      <c r="K8" s="179">
        <f>'Multi_Family (2)'!G70</f>
        <v>99.86</v>
      </c>
      <c r="L8" s="178">
        <f>'Multi_Family (2)'!G78</f>
        <v>-120.17</v>
      </c>
      <c r="M8" s="289"/>
    </row>
    <row r="9" spans="1:13" ht="15.75" customHeight="1" x14ac:dyDescent="0.2">
      <c r="A9" s="298">
        <f t="shared" si="0"/>
        <v>42674</v>
      </c>
      <c r="B9" s="288" t="s">
        <v>72</v>
      </c>
      <c r="C9" s="179">
        <f>'Multi_Family (2)'!H74</f>
        <v>812</v>
      </c>
      <c r="D9" s="179">
        <f>'Multi_Family (2)'!H76</f>
        <v>-6.71</v>
      </c>
      <c r="E9" s="179">
        <f>'Multi_Family (2)'!H77</f>
        <v>-120.17</v>
      </c>
      <c r="F9" s="179">
        <f>'Multi_Family (2)'!H72</f>
        <v>52.472000000000001</v>
      </c>
      <c r="G9" s="179">
        <f>'Multi_Family (2)'!H69</f>
        <v>88.47</v>
      </c>
      <c r="H9" s="179">
        <f>'Multi_Family (2)'!H79</f>
        <v>76.42</v>
      </c>
      <c r="I9" s="179">
        <f>'Multi_Family (2)'!H73</f>
        <v>100.65</v>
      </c>
      <c r="J9" s="179">
        <f>'Multi_Family (2)'!H73</f>
        <v>100.65</v>
      </c>
      <c r="K9" s="179">
        <f>'Multi_Family (2)'!H70</f>
        <v>103.64</v>
      </c>
      <c r="L9" s="178">
        <f>'Multi_Family (2)'!H78</f>
        <v>-120.17</v>
      </c>
      <c r="M9" s="289"/>
    </row>
    <row r="10" spans="1:13" ht="15.75" customHeight="1" x14ac:dyDescent="0.2">
      <c r="A10" s="298">
        <f t="shared" si="0"/>
        <v>42704</v>
      </c>
      <c r="B10" s="288" t="s">
        <v>73</v>
      </c>
      <c r="C10" s="178">
        <f>'Multi_Family (2)'!I74</f>
        <v>836.49</v>
      </c>
      <c r="D10" s="178">
        <f>'Multi_Family (2)'!I76</f>
        <v>-16.34</v>
      </c>
      <c r="E10" s="178">
        <f>'Multi_Family (2)'!I77</f>
        <v>-120.17</v>
      </c>
      <c r="F10" s="178">
        <f>'Multi_Family (2)'!I72</f>
        <v>66.003</v>
      </c>
      <c r="G10" s="178">
        <f>'Multi_Family (2)'!I69</f>
        <v>91.42</v>
      </c>
      <c r="H10" s="178">
        <f>'Multi_Family (2)'!I79</f>
        <v>81.59</v>
      </c>
      <c r="I10" s="178">
        <f>'Multi_Family (2)'!I73</f>
        <v>107.11</v>
      </c>
      <c r="J10" s="178">
        <f>'Multi_Family (2)'!I73</f>
        <v>107.11</v>
      </c>
      <c r="K10" s="178">
        <f>'Multi_Family (2)'!I70</f>
        <v>110.66</v>
      </c>
      <c r="L10" s="178">
        <f>'Multi_Family (2)'!I78</f>
        <v>-120.17</v>
      </c>
      <c r="M10" s="289"/>
    </row>
    <row r="11" spans="1:13" ht="15.75" customHeight="1" x14ac:dyDescent="0.2">
      <c r="A11" s="298">
        <f t="shared" si="0"/>
        <v>42735</v>
      </c>
      <c r="B11" s="288" t="s">
        <v>74</v>
      </c>
      <c r="C11" s="178">
        <f>'Multi_Family (2)'!J74</f>
        <v>863.56899999999996</v>
      </c>
      <c r="D11" s="178">
        <f>'Multi_Family (2)'!J76</f>
        <v>-19.71</v>
      </c>
      <c r="E11" s="178">
        <f>'Multi_Family (2)'!J77</f>
        <v>-120.17</v>
      </c>
      <c r="F11" s="178">
        <f>'Multi_Family (2)'!J72</f>
        <v>67.542999999999992</v>
      </c>
      <c r="G11" s="178">
        <f>'Multi_Family (2)'!J69</f>
        <v>90.152999999999992</v>
      </c>
      <c r="H11" s="178">
        <f>'Multi_Family (2)'!J79</f>
        <v>85.945999999999998</v>
      </c>
      <c r="I11" s="178">
        <f>'Multi_Family (2)'!J73</f>
        <v>99.483999999999995</v>
      </c>
      <c r="J11" s="178">
        <f>'Multi_Family (2)'!J73</f>
        <v>99.483999999999995</v>
      </c>
      <c r="K11" s="178">
        <f>'Multi_Family (2)'!J70</f>
        <v>112.602</v>
      </c>
      <c r="L11" s="178">
        <f>'Multi_Family (2)'!J78</f>
        <v>-120.17</v>
      </c>
      <c r="M11" s="289"/>
    </row>
    <row r="12" spans="1:13" ht="15.75" customHeight="1" x14ac:dyDescent="0.2">
      <c r="A12" s="298">
        <f t="shared" si="0"/>
        <v>42766</v>
      </c>
      <c r="B12" s="288" t="s">
        <v>75</v>
      </c>
      <c r="C12" s="178">
        <f>'Multi_Family (2)'!K74</f>
        <v>886.43799999999987</v>
      </c>
      <c r="D12" s="178">
        <f>'Multi_Family (2)'!K76</f>
        <v>-11</v>
      </c>
      <c r="E12" s="178">
        <f>'Multi_Family (2)'!K77</f>
        <v>-120.17</v>
      </c>
      <c r="F12" s="178">
        <f>'Multi_Family (2)'!K72</f>
        <v>82.466999999999999</v>
      </c>
      <c r="G12" s="178">
        <f>'Multi_Family (2)'!K69</f>
        <v>94.086999999999989</v>
      </c>
      <c r="H12" s="178">
        <f>'Multi_Family (2)'!K79</f>
        <v>80.394999999999996</v>
      </c>
      <c r="I12" s="178">
        <f>'Multi_Family (2)'!K73</f>
        <v>111.96499999999999</v>
      </c>
      <c r="J12" s="178">
        <f>'Multi_Family (2)'!K73</f>
        <v>111.96499999999999</v>
      </c>
      <c r="K12" s="178">
        <f>'Multi_Family (2)'!K70</f>
        <v>119.57399999999998</v>
      </c>
      <c r="L12" s="178">
        <f>'Multi_Family (2)'!K78</f>
        <v>-120.17</v>
      </c>
      <c r="M12" s="289"/>
    </row>
    <row r="13" spans="1:13" ht="15.75" customHeight="1" x14ac:dyDescent="0.2">
      <c r="A13" s="298">
        <f t="shared" si="0"/>
        <v>42794</v>
      </c>
      <c r="B13" s="288" t="s">
        <v>76</v>
      </c>
      <c r="C13" s="178">
        <f>'Multi_Family (2)'!L74</f>
        <v>939.42799999999988</v>
      </c>
      <c r="D13" s="178">
        <f>'Multi_Family (2)'!L76</f>
        <v>-10.55</v>
      </c>
      <c r="E13" s="178">
        <f>'Multi_Family (2)'!L77</f>
        <v>-120.17</v>
      </c>
      <c r="F13" s="178">
        <f>'Multi_Family (2)'!L72</f>
        <v>73.513999999999996</v>
      </c>
      <c r="G13" s="178">
        <f>'Multi_Family (2)'!L69</f>
        <v>111.29300000000001</v>
      </c>
      <c r="H13" s="178">
        <f>'Multi_Family (2)'!L79</f>
        <v>103.03299999999999</v>
      </c>
      <c r="I13" s="178">
        <f>'Multi_Family (2)'!L73</f>
        <v>125.03399999999999</v>
      </c>
      <c r="J13" s="178">
        <f>'Multi_Family (2)'!L73</f>
        <v>125.03399999999999</v>
      </c>
      <c r="K13" s="178">
        <f>'Multi_Family (2)'!L70</f>
        <v>141.428</v>
      </c>
      <c r="L13" s="178">
        <f>'Multi_Family (2)'!L78</f>
        <v>-120.17</v>
      </c>
      <c r="M13" s="289"/>
    </row>
    <row r="14" spans="1:13" ht="15.75" customHeight="1" x14ac:dyDescent="0.2">
      <c r="A14" s="298">
        <f t="shared" si="0"/>
        <v>42825</v>
      </c>
      <c r="B14" s="288" t="s">
        <v>77</v>
      </c>
      <c r="C14" s="178">
        <f>'Multi_Family (2)'!M74</f>
        <v>960.31600000000003</v>
      </c>
      <c r="D14" s="178">
        <f>'Multi_Family (2)'!M76</f>
        <v>-10.44</v>
      </c>
      <c r="E14" s="178">
        <f>'Multi_Family (2)'!M77</f>
        <v>-134.59</v>
      </c>
      <c r="F14" s="178">
        <f>'Multi_Family (2)'!M72</f>
        <v>89.299000000000007</v>
      </c>
      <c r="G14" s="178">
        <f>'Multi_Family (2)'!M69</f>
        <v>106.428</v>
      </c>
      <c r="H14" s="178">
        <f>'Multi_Family (2)'!M79</f>
        <v>102.494</v>
      </c>
      <c r="I14" s="178">
        <f>'Multi_Family (2)'!M73</f>
        <v>108.983</v>
      </c>
      <c r="J14" s="178">
        <f>'Multi_Family (2)'!M73</f>
        <v>108.983</v>
      </c>
      <c r="K14" s="178">
        <f>'Multi_Family (2)'!M70</f>
        <v>156.905</v>
      </c>
      <c r="L14" s="178">
        <f>'Multi_Family (2)'!M78</f>
        <v>-134.59</v>
      </c>
      <c r="M14" s="289"/>
    </row>
    <row r="15" spans="1:13" ht="15.75" customHeight="1" x14ac:dyDescent="0.2">
      <c r="A15" s="298">
        <f t="shared" si="0"/>
        <v>42855</v>
      </c>
      <c r="B15" s="288" t="s">
        <v>78</v>
      </c>
      <c r="C15" s="178">
        <f>'Multi_Family (2)'!N74</f>
        <v>947.87</v>
      </c>
      <c r="D15" s="178">
        <f>'Multi_Family (2)'!N76</f>
        <v>-10.45</v>
      </c>
      <c r="E15" s="178">
        <f>'Multi_Family (2)'!N77</f>
        <v>-134.59</v>
      </c>
      <c r="F15" s="178">
        <f>'Multi_Family (2)'!N72</f>
        <v>77.78</v>
      </c>
      <c r="G15" s="178">
        <f>'Multi_Family (2)'!N69</f>
        <v>61.02</v>
      </c>
      <c r="H15" s="178">
        <f>'Multi_Family (2)'!N79</f>
        <v>54.15</v>
      </c>
      <c r="I15" s="178">
        <f>'Multi_Family (2)'!N73</f>
        <v>100.86</v>
      </c>
      <c r="J15" s="178">
        <f>'Multi_Family (2)'!N73</f>
        <v>100.86</v>
      </c>
      <c r="K15" s="178">
        <f>'Multi_Family (2)'!N70</f>
        <v>118.99</v>
      </c>
      <c r="L15" s="178">
        <f>'Multi_Family (2)'!N78</f>
        <v>-134.59</v>
      </c>
      <c r="M15" s="289"/>
    </row>
    <row r="16" spans="1:13" x14ac:dyDescent="0.2">
      <c r="A16" s="288"/>
      <c r="C16" s="289"/>
      <c r="D16" s="289"/>
      <c r="E16" s="289"/>
      <c r="F16" s="289"/>
      <c r="G16" s="289"/>
      <c r="H16" s="289"/>
      <c r="I16" s="289"/>
      <c r="J16" s="289"/>
      <c r="K16" s="289"/>
      <c r="L16" s="288"/>
      <c r="M16" s="289"/>
    </row>
    <row r="17" spans="1:14" x14ac:dyDescent="0.2">
      <c r="A17" s="295"/>
      <c r="C17" s="289"/>
      <c r="D17" s="289"/>
      <c r="E17" s="289"/>
      <c r="F17" s="289"/>
      <c r="G17" s="289"/>
      <c r="H17" s="289"/>
      <c r="I17" s="289"/>
      <c r="J17" s="289"/>
      <c r="K17" s="289"/>
      <c r="L17" s="289"/>
      <c r="M17" s="289"/>
      <c r="N17" s="289" t="s">
        <v>31</v>
      </c>
    </row>
    <row r="18" spans="1:14" x14ac:dyDescent="0.2">
      <c r="A18" s="288"/>
      <c r="C18" s="288"/>
      <c r="D18" s="288"/>
      <c r="E18" s="288"/>
      <c r="F18" s="288"/>
      <c r="G18" s="288"/>
      <c r="H18" s="288"/>
      <c r="I18" s="288"/>
      <c r="J18" s="288"/>
      <c r="K18" s="288"/>
      <c r="L18" s="288"/>
      <c r="M18" s="289"/>
    </row>
    <row r="19" spans="1:14" x14ac:dyDescent="0.2">
      <c r="A19" s="288"/>
      <c r="C19" s="288"/>
      <c r="D19" s="288"/>
      <c r="E19" s="288"/>
      <c r="F19" s="288"/>
      <c r="G19" s="288"/>
      <c r="H19" s="288"/>
      <c r="I19" s="288"/>
      <c r="J19" s="288"/>
      <c r="K19" s="288"/>
      <c r="L19" s="288"/>
      <c r="M19" s="289"/>
    </row>
    <row r="20" spans="1:14" x14ac:dyDescent="0.2">
      <c r="A20" s="288"/>
      <c r="C20" s="288"/>
      <c r="D20" s="288"/>
      <c r="F20" s="288"/>
      <c r="G20" s="288"/>
      <c r="H20" s="288"/>
      <c r="I20" s="288"/>
      <c r="J20" s="288"/>
      <c r="K20" s="288"/>
      <c r="L20" s="288"/>
      <c r="M20" s="289"/>
    </row>
    <row r="21" spans="1:14" x14ac:dyDescent="0.2">
      <c r="A21" s="288"/>
      <c r="C21" s="288"/>
      <c r="D21" s="288"/>
      <c r="F21" s="288"/>
      <c r="G21" s="288"/>
      <c r="H21" s="288"/>
      <c r="I21" s="288"/>
      <c r="J21" s="288"/>
      <c r="K21" s="288"/>
      <c r="L21" s="288"/>
      <c r="M21" s="289"/>
    </row>
    <row r="22" spans="1:14" x14ac:dyDescent="0.2">
      <c r="A22" s="288"/>
      <c r="C22" s="288"/>
      <c r="D22" s="288"/>
      <c r="G22" s="288"/>
      <c r="H22" s="288"/>
      <c r="I22" s="288"/>
      <c r="J22" s="288"/>
      <c r="K22" s="288"/>
      <c r="L22" s="288"/>
      <c r="M22" s="289"/>
    </row>
    <row r="23" spans="1:14" x14ac:dyDescent="0.2">
      <c r="A23" s="288"/>
      <c r="C23" s="288"/>
      <c r="D23" s="288"/>
      <c r="F23" s="288"/>
      <c r="G23" s="288"/>
      <c r="H23" s="288"/>
      <c r="I23" s="288"/>
      <c r="J23" s="288"/>
      <c r="K23" s="288"/>
      <c r="L23" s="288"/>
      <c r="M23" s="289"/>
    </row>
    <row r="24" spans="1:14" x14ac:dyDescent="0.2">
      <c r="A24" s="288"/>
      <c r="C24" s="288"/>
      <c r="D24" s="288"/>
      <c r="F24" s="288"/>
      <c r="G24" s="288"/>
      <c r="H24" s="288"/>
      <c r="I24" s="288"/>
      <c r="J24" s="288"/>
      <c r="K24" s="288"/>
      <c r="L24" s="288"/>
      <c r="M24" s="289"/>
    </row>
    <row r="25" spans="1:14" x14ac:dyDescent="0.2">
      <c r="A25" s="288"/>
      <c r="C25" s="288"/>
      <c r="D25" s="288"/>
      <c r="F25" s="288"/>
      <c r="G25" s="288"/>
      <c r="H25" s="288"/>
      <c r="I25" s="288"/>
      <c r="J25" s="288"/>
      <c r="K25" s="288"/>
      <c r="L25" s="288"/>
      <c r="M25" s="289"/>
    </row>
    <row r="26" spans="1:14" x14ac:dyDescent="0.2">
      <c r="A26" s="288"/>
      <c r="C26" s="288"/>
      <c r="D26" s="288"/>
      <c r="F26" s="288"/>
      <c r="G26" s="288"/>
      <c r="H26" s="288"/>
      <c r="I26" s="288"/>
      <c r="J26" s="288"/>
      <c r="K26" s="288"/>
      <c r="L26" s="288"/>
      <c r="M26" s="289"/>
    </row>
    <row r="27" spans="1:14" x14ac:dyDescent="0.2">
      <c r="A27" s="288"/>
      <c r="C27" s="288"/>
      <c r="D27" s="288"/>
      <c r="F27" s="288"/>
      <c r="G27" s="288"/>
      <c r="H27" s="288"/>
      <c r="I27" s="288"/>
      <c r="J27" s="288"/>
      <c r="K27" s="288"/>
      <c r="L27" s="288"/>
      <c r="M27" s="289"/>
    </row>
    <row r="28" spans="1:14" x14ac:dyDescent="0.2">
      <c r="A28" s="288"/>
      <c r="C28" s="288"/>
      <c r="D28" s="288"/>
      <c r="F28" s="288"/>
      <c r="G28" s="288"/>
      <c r="H28" s="288"/>
      <c r="I28" s="288"/>
      <c r="J28" s="288"/>
      <c r="K28" s="288"/>
      <c r="L28" s="288"/>
      <c r="M28" s="288"/>
    </row>
    <row r="29" spans="1:14" x14ac:dyDescent="0.2">
      <c r="A29" s="288"/>
      <c r="C29" s="288"/>
      <c r="D29" s="288"/>
      <c r="F29" s="288"/>
      <c r="G29" s="288"/>
      <c r="H29" s="288"/>
      <c r="I29" s="288"/>
      <c r="J29" s="288"/>
      <c r="K29" s="288"/>
      <c r="L29" s="288"/>
      <c r="M29" s="288"/>
    </row>
    <row r="30" spans="1:14" x14ac:dyDescent="0.2">
      <c r="A30" s="288"/>
      <c r="C30" s="288"/>
      <c r="D30" s="288"/>
      <c r="F30" s="288"/>
      <c r="G30" s="288"/>
      <c r="H30" s="288"/>
      <c r="I30" s="288"/>
      <c r="J30" s="288"/>
      <c r="K30" s="288"/>
      <c r="L30" s="288"/>
      <c r="M30" s="288"/>
    </row>
    <row r="31" spans="1:14" x14ac:dyDescent="0.2">
      <c r="A31" s="288"/>
      <c r="C31" s="288"/>
      <c r="D31" s="288"/>
      <c r="F31" s="288"/>
      <c r="G31" s="288"/>
      <c r="H31" s="288"/>
      <c r="I31" s="288"/>
      <c r="J31" s="288"/>
      <c r="K31" s="288"/>
      <c r="L31" s="288"/>
      <c r="M31" s="288"/>
    </row>
    <row r="32" spans="1:14" x14ac:dyDescent="0.2">
      <c r="A32" s="288"/>
      <c r="C32" s="288"/>
      <c r="D32" s="288"/>
      <c r="E32" s="288"/>
      <c r="F32" s="288"/>
      <c r="G32" s="288"/>
      <c r="H32" s="288"/>
      <c r="I32" s="288"/>
      <c r="J32" s="288"/>
      <c r="K32" s="288"/>
      <c r="L32" s="288"/>
      <c r="M32" s="288"/>
    </row>
    <row r="33" spans="1:13" x14ac:dyDescent="0.2">
      <c r="A33" s="288"/>
      <c r="C33" s="288"/>
      <c r="D33" s="288"/>
      <c r="E33" s="288"/>
      <c r="F33" s="288"/>
      <c r="G33" s="288"/>
      <c r="H33" s="288"/>
      <c r="I33" s="288"/>
      <c r="J33" s="288"/>
      <c r="K33" s="288"/>
      <c r="L33" s="288"/>
      <c r="M33" s="288"/>
    </row>
    <row r="34" spans="1:13" x14ac:dyDescent="0.2">
      <c r="A34" s="288"/>
      <c r="C34" s="288"/>
      <c r="D34" s="288"/>
      <c r="E34" s="288"/>
      <c r="F34" s="288"/>
      <c r="G34" s="288"/>
      <c r="H34" s="288"/>
      <c r="I34" s="288"/>
      <c r="J34" s="288"/>
      <c r="K34" s="288"/>
      <c r="L34" s="288"/>
      <c r="M34" s="288"/>
    </row>
    <row r="35" spans="1:13" x14ac:dyDescent="0.2">
      <c r="A35" s="288"/>
      <c r="C35" s="288"/>
      <c r="D35" s="288"/>
      <c r="E35" s="288"/>
      <c r="F35" s="288"/>
      <c r="G35" s="288"/>
      <c r="H35" s="288"/>
      <c r="I35" s="288"/>
      <c r="J35" s="288"/>
      <c r="K35" s="288"/>
      <c r="L35" s="288"/>
      <c r="M35" s="288"/>
    </row>
    <row r="36" spans="1:13" x14ac:dyDescent="0.2">
      <c r="A36" s="288"/>
      <c r="C36" s="288"/>
      <c r="D36" s="288"/>
      <c r="E36" s="288"/>
      <c r="F36" s="288"/>
      <c r="G36" s="288"/>
      <c r="H36" s="288"/>
      <c r="I36" s="288"/>
      <c r="J36" s="288"/>
      <c r="K36" s="288"/>
      <c r="L36" s="288"/>
      <c r="M36" s="288"/>
    </row>
    <row r="37" spans="1:13" x14ac:dyDescent="0.2">
      <c r="A37" s="288"/>
      <c r="C37" s="288"/>
      <c r="D37" s="288"/>
      <c r="E37" s="288"/>
      <c r="F37" s="288"/>
      <c r="G37" s="288"/>
      <c r="H37" s="288"/>
      <c r="I37" s="288"/>
      <c r="J37" s="288"/>
      <c r="K37" s="288"/>
      <c r="L37" s="288"/>
      <c r="M37" s="288"/>
    </row>
    <row r="38" spans="1:13" x14ac:dyDescent="0.2">
      <c r="A38" s="288"/>
      <c r="C38" s="288"/>
      <c r="D38" s="288"/>
      <c r="E38" s="288"/>
      <c r="F38" s="288"/>
      <c r="G38" s="288"/>
      <c r="H38" s="288"/>
      <c r="I38" s="288"/>
      <c r="J38" s="288"/>
      <c r="K38" s="288"/>
      <c r="L38" s="288"/>
      <c r="M38" s="288"/>
    </row>
    <row r="39" spans="1:13" x14ac:dyDescent="0.2">
      <c r="A39" s="288"/>
      <c r="C39" s="288"/>
      <c r="D39" s="288"/>
      <c r="E39" s="288"/>
      <c r="F39" s="288"/>
      <c r="G39" s="288"/>
      <c r="H39" s="288"/>
      <c r="I39" s="288"/>
      <c r="J39" s="288"/>
      <c r="K39" s="288"/>
      <c r="L39" s="288"/>
      <c r="M39" s="288"/>
    </row>
    <row r="40" spans="1:13" x14ac:dyDescent="0.2">
      <c r="A40" s="288"/>
      <c r="C40" s="288"/>
      <c r="D40" s="288"/>
      <c r="E40" s="288"/>
      <c r="F40" s="288"/>
      <c r="G40" s="288"/>
      <c r="H40" s="288"/>
      <c r="I40" s="288"/>
      <c r="J40" s="288"/>
      <c r="K40" s="288"/>
      <c r="L40" s="288"/>
      <c r="M40" s="288"/>
    </row>
    <row r="41" spans="1:13" x14ac:dyDescent="0.2">
      <c r="A41" s="288"/>
      <c r="C41" s="288"/>
      <c r="D41" s="288"/>
      <c r="E41" s="288"/>
      <c r="F41" s="288"/>
      <c r="G41" s="288"/>
      <c r="H41" s="288"/>
      <c r="I41" s="288"/>
      <c r="J41" s="288"/>
      <c r="K41" s="288"/>
      <c r="L41" s="288"/>
      <c r="M41" s="288"/>
    </row>
    <row r="42" spans="1:13" x14ac:dyDescent="0.2">
      <c r="A42" s="288"/>
      <c r="C42" s="288"/>
      <c r="D42" s="288"/>
      <c r="E42" s="288"/>
      <c r="F42" s="288"/>
      <c r="G42" s="288"/>
      <c r="H42" s="288"/>
      <c r="I42" s="288"/>
      <c r="J42" s="288"/>
      <c r="K42" s="288"/>
      <c r="L42" s="288"/>
      <c r="M42" s="288"/>
    </row>
    <row r="43" spans="1:13" x14ac:dyDescent="0.2">
      <c r="A43" s="288"/>
      <c r="C43" s="288"/>
      <c r="D43" s="288"/>
      <c r="E43" s="288"/>
      <c r="F43" s="288"/>
      <c r="G43" s="288"/>
      <c r="H43" s="288"/>
      <c r="I43" s="288"/>
      <c r="J43" s="288"/>
      <c r="K43" s="288"/>
      <c r="L43" s="288"/>
      <c r="M43" s="288"/>
    </row>
    <row r="44" spans="1:13" x14ac:dyDescent="0.2">
      <c r="A44" s="288"/>
      <c r="C44" s="288"/>
      <c r="D44" s="288"/>
      <c r="E44" s="288"/>
      <c r="F44" s="288"/>
      <c r="G44" s="288"/>
      <c r="H44" s="288"/>
      <c r="I44" s="288"/>
      <c r="J44" s="288"/>
      <c r="K44" s="288"/>
      <c r="L44" s="288"/>
      <c r="M44" s="288"/>
    </row>
    <row r="45" spans="1:13" x14ac:dyDescent="0.2">
      <c r="A45" s="288"/>
      <c r="C45" s="288"/>
      <c r="D45" s="288"/>
      <c r="E45" s="288"/>
      <c r="F45" s="288"/>
      <c r="G45" s="288"/>
      <c r="H45" s="288"/>
      <c r="I45" s="288"/>
      <c r="J45" s="288"/>
      <c r="K45" s="288"/>
      <c r="L45" s="288"/>
      <c r="M45" s="288"/>
    </row>
    <row r="46" spans="1:13" x14ac:dyDescent="0.2">
      <c r="A46" s="288"/>
      <c r="C46" s="288"/>
      <c r="D46" s="288"/>
      <c r="E46" s="288"/>
      <c r="F46" s="288"/>
      <c r="G46" s="288"/>
      <c r="H46" s="288"/>
      <c r="I46" s="288"/>
      <c r="J46" s="288"/>
      <c r="K46" s="288"/>
      <c r="L46" s="288"/>
      <c r="M46" s="288"/>
    </row>
    <row r="47" spans="1:13" x14ac:dyDescent="0.2">
      <c r="A47" s="288"/>
      <c r="C47" s="288"/>
      <c r="D47" s="288"/>
      <c r="E47" s="288"/>
      <c r="F47" s="288"/>
      <c r="G47" s="288"/>
      <c r="H47" s="288"/>
      <c r="I47" s="288"/>
      <c r="J47" s="288"/>
      <c r="K47" s="288"/>
      <c r="L47" s="288"/>
      <c r="M47" s="288"/>
    </row>
    <row r="48" spans="1:13" x14ac:dyDescent="0.2">
      <c r="A48" s="288"/>
      <c r="C48" s="288"/>
      <c r="D48" s="288"/>
      <c r="E48" s="288"/>
      <c r="F48" s="288"/>
      <c r="G48" s="288"/>
      <c r="H48" s="288"/>
      <c r="I48" s="288"/>
      <c r="J48" s="288"/>
      <c r="K48" s="288"/>
      <c r="L48" s="288"/>
      <c r="M48" s="288"/>
    </row>
    <row r="49" spans="1:13" x14ac:dyDescent="0.2">
      <c r="A49" s="288"/>
      <c r="C49" s="288"/>
      <c r="D49" s="288"/>
      <c r="E49" s="288"/>
      <c r="F49" s="288"/>
      <c r="G49" s="288"/>
      <c r="H49" s="288"/>
      <c r="I49" s="288"/>
      <c r="J49" s="288"/>
      <c r="K49" s="288"/>
      <c r="L49" s="288"/>
      <c r="M49" s="288"/>
    </row>
    <row r="50" spans="1:13" x14ac:dyDescent="0.2">
      <c r="A50" s="288"/>
      <c r="C50" s="288"/>
      <c r="D50" s="288"/>
      <c r="E50" s="288"/>
      <c r="F50" s="288"/>
      <c r="G50" s="288"/>
      <c r="H50" s="288"/>
      <c r="I50" s="288"/>
      <c r="J50" s="288"/>
      <c r="K50" s="288"/>
      <c r="L50" s="288"/>
      <c r="M50" s="288"/>
    </row>
    <row r="51" spans="1:13" x14ac:dyDescent="0.2">
      <c r="A51" s="288"/>
      <c r="C51" s="288"/>
      <c r="D51" s="288"/>
      <c r="E51" s="288"/>
      <c r="F51" s="288"/>
      <c r="G51" s="288"/>
      <c r="H51" s="288"/>
      <c r="I51" s="288"/>
      <c r="J51" s="288"/>
      <c r="K51" s="288"/>
      <c r="L51" s="288"/>
      <c r="M51" s="288"/>
    </row>
    <row r="52" spans="1:13" x14ac:dyDescent="0.2">
      <c r="A52" s="288"/>
      <c r="C52" s="288"/>
      <c r="D52" s="288"/>
      <c r="E52" s="288"/>
      <c r="F52" s="288"/>
      <c r="G52" s="288"/>
      <c r="H52" s="288"/>
      <c r="I52" s="288"/>
      <c r="J52" s="288"/>
      <c r="K52" s="288"/>
      <c r="L52" s="288"/>
      <c r="M52" s="288"/>
    </row>
    <row r="53" spans="1:13" x14ac:dyDescent="0.2">
      <c r="A53" s="288"/>
      <c r="C53" s="288"/>
      <c r="D53" s="288"/>
      <c r="E53" s="288"/>
      <c r="F53" s="288"/>
      <c r="G53" s="288"/>
      <c r="H53" s="288"/>
      <c r="I53" s="288"/>
      <c r="J53" s="288"/>
      <c r="K53" s="288"/>
      <c r="L53" s="288"/>
      <c r="M53" s="288"/>
    </row>
    <row r="54" spans="1:13" x14ac:dyDescent="0.2">
      <c r="A54" s="288"/>
      <c r="C54" s="288"/>
      <c r="D54" s="288"/>
      <c r="E54" s="288"/>
      <c r="F54" s="288"/>
      <c r="G54" s="288"/>
      <c r="H54" s="288"/>
      <c r="I54" s="288"/>
      <c r="J54" s="288"/>
      <c r="K54" s="288"/>
      <c r="L54" s="288"/>
      <c r="M54" s="288"/>
    </row>
    <row r="55" spans="1:13" x14ac:dyDescent="0.2">
      <c r="A55" s="288"/>
      <c r="C55" s="288"/>
      <c r="D55" s="288"/>
      <c r="E55" s="288"/>
      <c r="F55" s="288"/>
      <c r="G55" s="288"/>
      <c r="H55" s="288"/>
      <c r="I55" s="288"/>
      <c r="J55" s="288"/>
      <c r="K55" s="288"/>
      <c r="L55" s="288"/>
      <c r="M55" s="288"/>
    </row>
    <row r="56" spans="1:13" x14ac:dyDescent="0.2">
      <c r="A56" s="288"/>
      <c r="C56" s="288"/>
      <c r="D56" s="288"/>
      <c r="E56" s="288"/>
      <c r="F56" s="288"/>
      <c r="G56" s="288"/>
      <c r="H56" s="288"/>
      <c r="I56" s="288"/>
      <c r="J56" s="288"/>
      <c r="K56" s="288"/>
      <c r="L56" s="288"/>
      <c r="M56" s="288"/>
    </row>
    <row r="57" spans="1:13" x14ac:dyDescent="0.2">
      <c r="A57" s="288"/>
      <c r="C57" s="288"/>
      <c r="D57" s="288"/>
      <c r="E57" s="288"/>
      <c r="F57" s="288"/>
      <c r="G57" s="288"/>
      <c r="H57" s="288"/>
      <c r="I57" s="288"/>
      <c r="J57" s="288"/>
      <c r="K57" s="288"/>
      <c r="L57" s="288"/>
      <c r="M57" s="288"/>
    </row>
    <row r="58" spans="1:13" x14ac:dyDescent="0.2">
      <c r="A58" s="288"/>
      <c r="C58" s="288"/>
      <c r="D58" s="288"/>
      <c r="E58" s="288"/>
      <c r="F58" s="288"/>
      <c r="G58" s="288"/>
      <c r="H58" s="288"/>
      <c r="I58" s="288"/>
      <c r="J58" s="288"/>
      <c r="K58" s="288"/>
      <c r="L58" s="288"/>
      <c r="M58" s="288"/>
    </row>
    <row r="59" spans="1:13" x14ac:dyDescent="0.2">
      <c r="A59" s="288"/>
      <c r="C59" s="288"/>
      <c r="D59" s="288"/>
      <c r="E59" s="288"/>
      <c r="F59" s="288"/>
      <c r="G59" s="288"/>
      <c r="H59" s="288"/>
      <c r="I59" s="288"/>
      <c r="J59" s="288"/>
      <c r="K59" s="288"/>
      <c r="L59" s="288"/>
      <c r="M59" s="288"/>
    </row>
    <row r="60" spans="1:13" x14ac:dyDescent="0.2">
      <c r="A60" s="288"/>
      <c r="C60" s="288"/>
      <c r="D60" s="288"/>
      <c r="E60" s="288"/>
      <c r="F60" s="288"/>
      <c r="G60" s="288"/>
      <c r="H60" s="288"/>
      <c r="I60" s="288"/>
      <c r="J60" s="288"/>
      <c r="K60" s="288"/>
      <c r="L60" s="288"/>
      <c r="M60" s="288"/>
    </row>
    <row r="61" spans="1:13" x14ac:dyDescent="0.2">
      <c r="A61" s="288"/>
      <c r="C61" s="288"/>
      <c r="D61" s="288"/>
      <c r="E61" s="288"/>
      <c r="F61" s="288"/>
      <c r="G61" s="288"/>
      <c r="H61" s="288"/>
      <c r="I61" s="288"/>
      <c r="J61" s="288"/>
      <c r="K61" s="288"/>
      <c r="L61" s="288"/>
      <c r="M61" s="288"/>
    </row>
    <row r="62" spans="1:13" x14ac:dyDescent="0.2">
      <c r="A62" s="288"/>
      <c r="C62" s="288"/>
      <c r="D62" s="288"/>
      <c r="E62" s="288"/>
      <c r="F62" s="288"/>
      <c r="G62" s="288"/>
      <c r="H62" s="288"/>
      <c r="I62" s="288"/>
      <c r="J62" s="288"/>
      <c r="K62" s="288"/>
      <c r="L62" s="288"/>
      <c r="M62" s="288"/>
    </row>
    <row r="63" spans="1:13" x14ac:dyDescent="0.2">
      <c r="A63" s="288"/>
      <c r="C63" s="288"/>
      <c r="D63" s="288"/>
      <c r="E63" s="288"/>
      <c r="F63" s="288"/>
      <c r="G63" s="288"/>
      <c r="H63" s="288"/>
      <c r="I63" s="288"/>
      <c r="J63" s="288"/>
      <c r="K63" s="288"/>
      <c r="L63" s="288"/>
      <c r="M63" s="288"/>
    </row>
    <row r="64" spans="1:13" x14ac:dyDescent="0.2">
      <c r="A64" s="288"/>
      <c r="C64" s="288"/>
      <c r="D64" s="288"/>
      <c r="E64" s="288"/>
      <c r="F64" s="288"/>
      <c r="G64" s="288"/>
      <c r="H64" s="288"/>
      <c r="I64" s="288"/>
      <c r="J64" s="288"/>
      <c r="K64" s="288"/>
      <c r="L64" s="288"/>
      <c r="M64" s="288"/>
    </row>
    <row r="65" spans="1:13" x14ac:dyDescent="0.2">
      <c r="A65" s="288"/>
      <c r="C65" s="288"/>
      <c r="D65" s="288"/>
      <c r="E65" s="288"/>
      <c r="F65" s="288"/>
      <c r="G65" s="288"/>
      <c r="H65" s="288"/>
      <c r="I65" s="288"/>
      <c r="J65" s="288"/>
      <c r="K65" s="288"/>
      <c r="L65" s="288"/>
      <c r="M65" s="288"/>
    </row>
    <row r="66" spans="1:13" x14ac:dyDescent="0.2">
      <c r="A66" s="288"/>
      <c r="C66" s="288"/>
      <c r="D66" s="288"/>
      <c r="E66" s="288"/>
      <c r="F66" s="288"/>
      <c r="G66" s="288"/>
      <c r="H66" s="288"/>
      <c r="I66" s="288"/>
      <c r="J66" s="288"/>
      <c r="K66" s="288"/>
      <c r="L66" s="288"/>
      <c r="M66" s="288"/>
    </row>
    <row r="67" spans="1:13" x14ac:dyDescent="0.2">
      <c r="A67" s="288"/>
      <c r="C67" s="288"/>
      <c r="D67" s="288"/>
      <c r="E67" s="288"/>
      <c r="F67" s="288"/>
      <c r="G67" s="288"/>
      <c r="H67" s="288"/>
      <c r="I67" s="288"/>
      <c r="J67" s="288"/>
      <c r="K67" s="288"/>
      <c r="L67" s="288"/>
      <c r="M67" s="288"/>
    </row>
    <row r="68" spans="1:13" x14ac:dyDescent="0.2">
      <c r="A68" s="288"/>
      <c r="C68" s="288"/>
      <c r="D68" s="288"/>
      <c r="E68" s="288"/>
      <c r="F68" s="288"/>
      <c r="G68" s="288"/>
      <c r="H68" s="288"/>
      <c r="I68" s="288"/>
      <c r="J68" s="288"/>
      <c r="K68" s="288"/>
      <c r="L68" s="288"/>
      <c r="M68" s="288"/>
    </row>
    <row r="69" spans="1:13" x14ac:dyDescent="0.2">
      <c r="A69" s="288"/>
      <c r="C69" s="288"/>
      <c r="D69" s="288"/>
      <c r="E69" s="288"/>
      <c r="F69" s="288"/>
      <c r="G69" s="288"/>
      <c r="H69" s="288"/>
      <c r="I69" s="288"/>
      <c r="J69" s="288"/>
      <c r="K69" s="288"/>
      <c r="L69" s="288"/>
      <c r="M69" s="288"/>
    </row>
    <row r="70" spans="1:13" x14ac:dyDescent="0.2">
      <c r="A70" s="288"/>
      <c r="C70" s="288"/>
      <c r="D70" s="288"/>
      <c r="E70" s="288"/>
      <c r="F70" s="288"/>
      <c r="G70" s="288"/>
      <c r="H70" s="288"/>
      <c r="I70" s="288"/>
      <c r="J70" s="288"/>
      <c r="K70" s="288"/>
      <c r="L70" s="288"/>
      <c r="M70" s="288"/>
    </row>
    <row r="71" spans="1:13" x14ac:dyDescent="0.2">
      <c r="A71" s="288"/>
      <c r="C71" s="288"/>
      <c r="D71" s="288"/>
      <c r="E71" s="288"/>
      <c r="F71" s="288"/>
      <c r="G71" s="288"/>
      <c r="H71" s="288"/>
      <c r="I71" s="288"/>
      <c r="J71" s="288"/>
      <c r="K71" s="288"/>
      <c r="L71" s="288"/>
      <c r="M71" s="288"/>
    </row>
    <row r="72" spans="1:13" x14ac:dyDescent="0.2">
      <c r="A72" s="288"/>
      <c r="C72" s="288"/>
      <c r="D72" s="288"/>
      <c r="E72" s="288"/>
      <c r="F72" s="288"/>
      <c r="G72" s="288"/>
      <c r="H72" s="288"/>
      <c r="I72" s="288"/>
      <c r="J72" s="288"/>
      <c r="K72" s="288"/>
      <c r="L72" s="288"/>
      <c r="M72" s="288"/>
    </row>
    <row r="73" spans="1:13" x14ac:dyDescent="0.2">
      <c r="A73" s="288"/>
      <c r="C73" s="288"/>
      <c r="D73" s="288"/>
      <c r="E73" s="288"/>
      <c r="F73" s="288"/>
      <c r="G73" s="288"/>
      <c r="H73" s="288"/>
      <c r="I73" s="288"/>
      <c r="J73" s="288"/>
      <c r="K73" s="288"/>
      <c r="L73" s="288"/>
      <c r="M73" s="288"/>
    </row>
    <row r="74" spans="1:13" x14ac:dyDescent="0.2">
      <c r="A74" s="288"/>
      <c r="C74" s="288"/>
      <c r="D74" s="288"/>
      <c r="E74" s="288"/>
      <c r="F74" s="288"/>
      <c r="G74" s="288"/>
      <c r="H74" s="288"/>
      <c r="I74" s="288"/>
      <c r="J74" s="288"/>
      <c r="K74" s="288"/>
      <c r="L74" s="288"/>
      <c r="M74" s="288"/>
    </row>
    <row r="75" spans="1:13" x14ac:dyDescent="0.2">
      <c r="A75" s="288"/>
      <c r="C75" s="288"/>
      <c r="D75" s="288"/>
      <c r="E75" s="288"/>
      <c r="F75" s="288"/>
      <c r="G75" s="288"/>
      <c r="H75" s="288"/>
      <c r="I75" s="288"/>
      <c r="J75" s="288"/>
      <c r="K75" s="288"/>
      <c r="L75" s="288"/>
      <c r="M75" s="288"/>
    </row>
    <row r="76" spans="1:13" x14ac:dyDescent="0.2">
      <c r="A76" s="288"/>
      <c r="C76" s="288"/>
      <c r="D76" s="288"/>
      <c r="E76" s="288"/>
      <c r="F76" s="288"/>
      <c r="G76" s="288"/>
      <c r="H76" s="288"/>
      <c r="I76" s="288"/>
      <c r="J76" s="288"/>
      <c r="K76" s="288"/>
      <c r="L76" s="288"/>
      <c r="M76" s="288"/>
    </row>
    <row r="77" spans="1:13" x14ac:dyDescent="0.2">
      <c r="A77" s="288"/>
      <c r="C77" s="288"/>
      <c r="D77" s="288"/>
      <c r="E77" s="288"/>
      <c r="F77" s="288"/>
      <c r="G77" s="288"/>
      <c r="H77" s="288"/>
      <c r="I77" s="288"/>
      <c r="J77" s="288"/>
      <c r="K77" s="288"/>
      <c r="L77" s="288"/>
      <c r="M77" s="288"/>
    </row>
    <row r="78" spans="1:13" x14ac:dyDescent="0.2">
      <c r="A78" s="288"/>
      <c r="C78" s="288"/>
      <c r="D78" s="288"/>
      <c r="E78" s="288"/>
      <c r="F78" s="288"/>
      <c r="G78" s="288"/>
      <c r="H78" s="288"/>
      <c r="I78" s="288"/>
      <c r="J78" s="288"/>
      <c r="K78" s="288"/>
      <c r="L78" s="288"/>
      <c r="M78" s="288"/>
    </row>
    <row r="79" spans="1:13" x14ac:dyDescent="0.2">
      <c r="A79" s="288"/>
      <c r="C79" s="288"/>
      <c r="D79" s="288"/>
      <c r="E79" s="288"/>
      <c r="F79" s="288"/>
      <c r="G79" s="288"/>
      <c r="H79" s="288"/>
      <c r="I79" s="288"/>
      <c r="J79" s="288"/>
      <c r="K79" s="288"/>
      <c r="L79" s="288"/>
      <c r="M79" s="288"/>
    </row>
    <row r="80" spans="1:13" x14ac:dyDescent="0.2">
      <c r="A80" s="288"/>
      <c r="C80" s="288"/>
      <c r="D80" s="288"/>
      <c r="E80" s="288"/>
      <c r="F80" s="288"/>
      <c r="G80" s="288"/>
      <c r="H80" s="288"/>
      <c r="I80" s="288"/>
      <c r="J80" s="288"/>
      <c r="K80" s="288"/>
      <c r="L80" s="288"/>
      <c r="M80" s="288"/>
    </row>
    <row r="81" spans="1:13" x14ac:dyDescent="0.2">
      <c r="A81" s="288"/>
      <c r="C81" s="288"/>
      <c r="D81" s="288"/>
      <c r="E81" s="288"/>
      <c r="F81" s="288"/>
      <c r="G81" s="288"/>
      <c r="H81" s="288"/>
      <c r="I81" s="288"/>
      <c r="J81" s="288"/>
      <c r="K81" s="288"/>
      <c r="L81" s="288"/>
      <c r="M81" s="288"/>
    </row>
    <row r="82" spans="1:13" x14ac:dyDescent="0.2">
      <c r="A82" s="288"/>
      <c r="C82" s="288"/>
      <c r="D82" s="288"/>
      <c r="E82" s="288"/>
      <c r="F82" s="288"/>
      <c r="G82" s="288"/>
      <c r="H82" s="288"/>
      <c r="I82" s="288"/>
      <c r="J82" s="288"/>
      <c r="K82" s="288"/>
      <c r="L82" s="288"/>
      <c r="M82" s="288"/>
    </row>
    <row r="83" spans="1:13" x14ac:dyDescent="0.2">
      <c r="A83" s="288"/>
      <c r="C83" s="288"/>
      <c r="D83" s="288"/>
      <c r="E83" s="288"/>
      <c r="F83" s="288"/>
      <c r="G83" s="288"/>
      <c r="H83" s="288"/>
      <c r="I83" s="288"/>
      <c r="J83" s="288"/>
      <c r="K83" s="288"/>
      <c r="L83" s="288"/>
      <c r="M83" s="288"/>
    </row>
    <row r="84" spans="1:13" x14ac:dyDescent="0.2">
      <c r="A84" s="288"/>
      <c r="C84" s="288"/>
      <c r="D84" s="288"/>
      <c r="E84" s="288"/>
      <c r="F84" s="288"/>
      <c r="G84" s="288"/>
      <c r="H84" s="288"/>
      <c r="I84" s="288"/>
      <c r="J84" s="288"/>
      <c r="K84" s="288"/>
      <c r="L84" s="288"/>
      <c r="M84" s="288"/>
    </row>
    <row r="85" spans="1:13" x14ac:dyDescent="0.2">
      <c r="A85" s="288"/>
      <c r="C85" s="288"/>
      <c r="D85" s="288"/>
      <c r="E85" s="288"/>
      <c r="F85" s="288"/>
      <c r="G85" s="288"/>
      <c r="H85" s="288"/>
      <c r="I85" s="288"/>
      <c r="J85" s="288"/>
      <c r="K85" s="288"/>
      <c r="L85" s="288"/>
      <c r="M85" s="288"/>
    </row>
    <row r="86" spans="1:13" x14ac:dyDescent="0.2">
      <c r="A86" s="288"/>
      <c r="C86" s="288"/>
      <c r="D86" s="288"/>
      <c r="E86" s="288"/>
      <c r="F86" s="288"/>
      <c r="G86" s="288"/>
      <c r="H86" s="288"/>
      <c r="I86" s="288"/>
      <c r="J86" s="288"/>
      <c r="K86" s="288"/>
      <c r="L86" s="288"/>
      <c r="M86" s="288"/>
    </row>
    <row r="87" spans="1:13" x14ac:dyDescent="0.2">
      <c r="A87" s="288"/>
      <c r="C87" s="288"/>
      <c r="D87" s="288"/>
      <c r="E87" s="288"/>
      <c r="F87" s="288"/>
      <c r="G87" s="288"/>
      <c r="H87" s="288"/>
      <c r="I87" s="288"/>
      <c r="J87" s="288"/>
      <c r="K87" s="288"/>
      <c r="L87" s="288"/>
      <c r="M87" s="288"/>
    </row>
    <row r="88" spans="1:13" x14ac:dyDescent="0.2">
      <c r="A88" s="288"/>
      <c r="C88" s="288"/>
      <c r="D88" s="288"/>
      <c r="E88" s="288"/>
      <c r="F88" s="288"/>
      <c r="G88" s="288"/>
      <c r="H88" s="288"/>
      <c r="I88" s="288"/>
      <c r="J88" s="288"/>
      <c r="K88" s="288"/>
      <c r="L88" s="288"/>
      <c r="M88" s="288"/>
    </row>
    <row r="89" spans="1:13" x14ac:dyDescent="0.2">
      <c r="A89" s="288"/>
      <c r="C89" s="288"/>
      <c r="D89" s="288"/>
      <c r="E89" s="288"/>
      <c r="F89" s="288"/>
      <c r="G89" s="288"/>
      <c r="H89" s="288"/>
      <c r="I89" s="288"/>
      <c r="J89" s="288"/>
      <c r="K89" s="288"/>
      <c r="L89" s="288"/>
      <c r="M89" s="288"/>
    </row>
    <row r="90" spans="1:13" x14ac:dyDescent="0.2">
      <c r="A90" s="288"/>
      <c r="C90" s="288"/>
      <c r="D90" s="288"/>
      <c r="E90" s="288"/>
      <c r="F90" s="288"/>
      <c r="G90" s="288"/>
      <c r="H90" s="288"/>
      <c r="I90" s="288"/>
      <c r="J90" s="288"/>
      <c r="K90" s="288"/>
      <c r="L90" s="288"/>
      <c r="M90" s="288"/>
    </row>
    <row r="91" spans="1:13" x14ac:dyDescent="0.2">
      <c r="A91" s="288"/>
      <c r="C91" s="288"/>
      <c r="D91" s="288"/>
      <c r="E91" s="288"/>
      <c r="F91" s="288"/>
      <c r="G91" s="288"/>
      <c r="H91" s="288"/>
      <c r="I91" s="288"/>
      <c r="J91" s="288"/>
      <c r="K91" s="288"/>
      <c r="L91" s="288"/>
      <c r="M91" s="288"/>
    </row>
    <row r="92" spans="1:13" x14ac:dyDescent="0.2">
      <c r="A92" s="288"/>
      <c r="C92" s="288"/>
      <c r="D92" s="288"/>
      <c r="E92" s="288"/>
      <c r="F92" s="288"/>
      <c r="G92" s="288"/>
      <c r="H92" s="288"/>
      <c r="I92" s="288"/>
      <c r="J92" s="288"/>
      <c r="K92" s="288"/>
      <c r="L92" s="288"/>
      <c r="M92" s="288"/>
    </row>
    <row r="93" spans="1:13" x14ac:dyDescent="0.2">
      <c r="A93" s="288"/>
      <c r="C93" s="288"/>
      <c r="D93" s="288"/>
      <c r="E93" s="288"/>
      <c r="F93" s="288"/>
      <c r="G93" s="288"/>
      <c r="H93" s="288"/>
      <c r="I93" s="288"/>
      <c r="J93" s="288"/>
      <c r="K93" s="288"/>
      <c r="L93" s="288"/>
      <c r="M93" s="288"/>
    </row>
    <row r="94" spans="1:13" x14ac:dyDescent="0.2">
      <c r="A94" s="288"/>
      <c r="C94" s="288"/>
      <c r="D94" s="288"/>
      <c r="E94" s="288"/>
      <c r="F94" s="288"/>
      <c r="G94" s="288"/>
      <c r="H94" s="288"/>
      <c r="I94" s="288"/>
      <c r="J94" s="288"/>
      <c r="K94" s="288"/>
      <c r="L94" s="288"/>
      <c r="M94" s="288"/>
    </row>
    <row r="95" spans="1:13" x14ac:dyDescent="0.2">
      <c r="A95" s="288"/>
      <c r="C95" s="288"/>
      <c r="D95" s="288"/>
      <c r="E95" s="288"/>
      <c r="F95" s="288"/>
      <c r="G95" s="288"/>
      <c r="H95" s="288"/>
      <c r="I95" s="288"/>
      <c r="J95" s="288"/>
      <c r="K95" s="288"/>
      <c r="L95" s="288"/>
      <c r="M95" s="288"/>
    </row>
    <row r="96" spans="1:13" x14ac:dyDescent="0.2">
      <c r="A96" s="288"/>
      <c r="C96" s="288"/>
      <c r="D96" s="288"/>
      <c r="E96" s="288"/>
      <c r="F96" s="288"/>
      <c r="G96" s="288"/>
      <c r="H96" s="288"/>
      <c r="I96" s="288"/>
      <c r="J96" s="288"/>
      <c r="K96" s="288"/>
      <c r="L96" s="288"/>
      <c r="M96" s="288"/>
    </row>
    <row r="97" spans="1:13" x14ac:dyDescent="0.2">
      <c r="A97" s="288"/>
      <c r="C97" s="288"/>
      <c r="D97" s="288"/>
      <c r="E97" s="288"/>
      <c r="F97" s="288"/>
      <c r="G97" s="288"/>
      <c r="H97" s="288"/>
      <c r="I97" s="288"/>
      <c r="J97" s="288"/>
      <c r="K97" s="288"/>
      <c r="L97" s="288"/>
      <c r="M97" s="288"/>
    </row>
    <row r="98" spans="1:13" x14ac:dyDescent="0.2">
      <c r="A98" s="288"/>
      <c r="C98" s="288"/>
      <c r="D98" s="288"/>
      <c r="E98" s="288"/>
      <c r="F98" s="288"/>
      <c r="G98" s="288"/>
      <c r="H98" s="288"/>
      <c r="I98" s="288"/>
      <c r="J98" s="288"/>
      <c r="K98" s="288"/>
      <c r="L98" s="288"/>
      <c r="M98" s="288"/>
    </row>
    <row r="99" spans="1:13" x14ac:dyDescent="0.2">
      <c r="A99" s="288"/>
      <c r="C99" s="288"/>
      <c r="D99" s="288"/>
      <c r="E99" s="288"/>
      <c r="F99" s="288"/>
      <c r="G99" s="288"/>
      <c r="H99" s="288"/>
      <c r="I99" s="288"/>
      <c r="J99" s="288"/>
      <c r="K99" s="288"/>
      <c r="L99" s="288"/>
      <c r="M99" s="288"/>
    </row>
    <row r="100" spans="1:13" x14ac:dyDescent="0.2">
      <c r="A100" s="288"/>
      <c r="C100" s="288"/>
      <c r="D100" s="288"/>
      <c r="E100" s="288"/>
      <c r="F100" s="288"/>
      <c r="G100" s="288"/>
      <c r="H100" s="288"/>
      <c r="I100" s="288"/>
      <c r="J100" s="288"/>
      <c r="K100" s="288"/>
      <c r="L100" s="288"/>
      <c r="M100" s="288"/>
    </row>
    <row r="101" spans="1:13" x14ac:dyDescent="0.2">
      <c r="A101" s="288"/>
      <c r="C101" s="288"/>
      <c r="D101" s="288"/>
      <c r="E101" s="288"/>
      <c r="F101" s="288"/>
      <c r="G101" s="288"/>
      <c r="H101" s="288"/>
      <c r="I101" s="288"/>
      <c r="J101" s="288"/>
      <c r="K101" s="288"/>
      <c r="L101" s="288"/>
      <c r="M101" s="288"/>
    </row>
    <row r="102" spans="1:13" x14ac:dyDescent="0.2">
      <c r="A102" s="288"/>
      <c r="C102" s="288"/>
      <c r="D102" s="288"/>
      <c r="E102" s="288"/>
      <c r="F102" s="288"/>
      <c r="G102" s="288"/>
      <c r="H102" s="288"/>
      <c r="I102" s="288"/>
      <c r="J102" s="288"/>
      <c r="K102" s="288"/>
      <c r="L102" s="288"/>
      <c r="M102" s="288"/>
    </row>
    <row r="103" spans="1:13" x14ac:dyDescent="0.2">
      <c r="A103" s="288"/>
      <c r="C103" s="288"/>
      <c r="D103" s="288"/>
      <c r="E103" s="288"/>
      <c r="F103" s="288"/>
      <c r="G103" s="288"/>
      <c r="H103" s="288"/>
      <c r="I103" s="288"/>
      <c r="J103" s="288"/>
      <c r="K103" s="288"/>
      <c r="L103" s="288"/>
      <c r="M103" s="288"/>
    </row>
    <row r="104" spans="1:13" x14ac:dyDescent="0.2">
      <c r="A104" s="288"/>
      <c r="C104" s="288"/>
      <c r="D104" s="288"/>
      <c r="E104" s="288"/>
      <c r="F104" s="288"/>
      <c r="G104" s="288"/>
      <c r="H104" s="288"/>
      <c r="I104" s="288"/>
      <c r="J104" s="288"/>
      <c r="K104" s="288"/>
      <c r="L104" s="288"/>
      <c r="M104" s="288"/>
    </row>
    <row r="105" spans="1:13" x14ac:dyDescent="0.2">
      <c r="A105" s="288"/>
      <c r="C105" s="288"/>
      <c r="D105" s="288"/>
      <c r="E105" s="288"/>
      <c r="F105" s="288"/>
      <c r="G105" s="288"/>
      <c r="H105" s="288"/>
      <c r="I105" s="288"/>
      <c r="J105" s="288"/>
      <c r="K105" s="288"/>
      <c r="L105" s="288"/>
      <c r="M105" s="288"/>
    </row>
    <row r="106" spans="1:13" x14ac:dyDescent="0.2">
      <c r="A106" s="288"/>
      <c r="C106" s="288"/>
      <c r="D106" s="288"/>
      <c r="E106" s="288"/>
      <c r="F106" s="288"/>
      <c r="G106" s="288"/>
      <c r="H106" s="288"/>
      <c r="I106" s="288"/>
      <c r="J106" s="288"/>
      <c r="K106" s="288"/>
      <c r="L106" s="288"/>
      <c r="M106" s="288"/>
    </row>
    <row r="107" spans="1:13" x14ac:dyDescent="0.2">
      <c r="A107" s="288"/>
      <c r="C107" s="288"/>
      <c r="D107" s="288"/>
      <c r="E107" s="288"/>
      <c r="F107" s="288"/>
      <c r="G107" s="288"/>
      <c r="H107" s="288"/>
      <c r="I107" s="288"/>
      <c r="J107" s="288"/>
      <c r="K107" s="288"/>
      <c r="L107" s="288"/>
      <c r="M107" s="288"/>
    </row>
    <row r="108" spans="1:13" x14ac:dyDescent="0.2">
      <c r="A108" s="288"/>
      <c r="C108" s="288"/>
      <c r="D108" s="288"/>
      <c r="E108" s="288"/>
      <c r="F108" s="288"/>
      <c r="G108" s="288"/>
      <c r="H108" s="288"/>
      <c r="I108" s="288"/>
      <c r="J108" s="288"/>
      <c r="K108" s="288"/>
      <c r="L108" s="288"/>
      <c r="M108" s="288"/>
    </row>
    <row r="109" spans="1:13" x14ac:dyDescent="0.2">
      <c r="A109" s="288"/>
      <c r="C109" s="288"/>
      <c r="D109" s="288"/>
      <c r="E109" s="288"/>
      <c r="F109" s="288"/>
      <c r="G109" s="288"/>
      <c r="H109" s="288"/>
      <c r="I109" s="288"/>
      <c r="J109" s="288"/>
      <c r="K109" s="288"/>
      <c r="L109" s="288"/>
      <c r="M109" s="288"/>
    </row>
    <row r="110" spans="1:13" x14ac:dyDescent="0.2">
      <c r="A110" s="288"/>
      <c r="C110" s="288"/>
      <c r="D110" s="288"/>
      <c r="E110" s="288"/>
      <c r="F110" s="288"/>
      <c r="G110" s="288"/>
      <c r="H110" s="288"/>
      <c r="I110" s="288"/>
      <c r="J110" s="288"/>
      <c r="K110" s="288"/>
      <c r="L110" s="288"/>
      <c r="M110" s="288"/>
    </row>
    <row r="111" spans="1:13" x14ac:dyDescent="0.2">
      <c r="A111" s="288"/>
      <c r="C111" s="288"/>
      <c r="D111" s="288"/>
      <c r="E111" s="288"/>
      <c r="F111" s="288"/>
      <c r="G111" s="288"/>
      <c r="H111" s="288"/>
      <c r="I111" s="288"/>
      <c r="J111" s="288"/>
      <c r="K111" s="288"/>
      <c r="L111" s="288"/>
      <c r="M111" s="288"/>
    </row>
    <row r="112" spans="1:13" x14ac:dyDescent="0.2">
      <c r="A112" s="288"/>
      <c r="C112" s="288"/>
      <c r="D112" s="288"/>
      <c r="E112" s="288"/>
      <c r="F112" s="288"/>
      <c r="G112" s="288"/>
      <c r="H112" s="288"/>
      <c r="I112" s="288"/>
      <c r="J112" s="288"/>
      <c r="K112" s="288"/>
      <c r="L112" s="288"/>
      <c r="M112" s="288"/>
    </row>
    <row r="113" spans="1:13" x14ac:dyDescent="0.2">
      <c r="A113" s="288"/>
      <c r="C113" s="288"/>
      <c r="D113" s="288"/>
      <c r="E113" s="288"/>
      <c r="F113" s="288"/>
      <c r="G113" s="288"/>
      <c r="H113" s="288"/>
      <c r="I113" s="288"/>
      <c r="J113" s="288"/>
      <c r="K113" s="288"/>
      <c r="L113" s="288"/>
      <c r="M113" s="288"/>
    </row>
    <row r="114" spans="1:13" x14ac:dyDescent="0.2">
      <c r="A114" s="288"/>
      <c r="C114" s="288"/>
      <c r="D114" s="288"/>
      <c r="E114" s="288"/>
      <c r="F114" s="288"/>
      <c r="G114" s="288"/>
      <c r="H114" s="288"/>
      <c r="I114" s="288"/>
      <c r="J114" s="288"/>
      <c r="K114" s="288"/>
      <c r="L114" s="288"/>
      <c r="M114" s="288"/>
    </row>
    <row r="115" spans="1:13" x14ac:dyDescent="0.2">
      <c r="A115" s="288"/>
      <c r="C115" s="288"/>
      <c r="D115" s="288"/>
      <c r="E115" s="288"/>
      <c r="F115" s="288"/>
      <c r="G115" s="288"/>
      <c r="H115" s="288"/>
      <c r="I115" s="288"/>
      <c r="J115" s="288"/>
      <c r="K115" s="288"/>
      <c r="L115" s="288"/>
      <c r="M115" s="288"/>
    </row>
    <row r="116" spans="1:13" x14ac:dyDescent="0.2">
      <c r="A116" s="288"/>
      <c r="C116" s="288"/>
      <c r="D116" s="288"/>
      <c r="E116" s="288"/>
      <c r="F116" s="288"/>
      <c r="G116" s="288"/>
      <c r="H116" s="288"/>
      <c r="I116" s="288"/>
      <c r="J116" s="288"/>
      <c r="K116" s="288"/>
      <c r="L116" s="288"/>
      <c r="M116" s="288"/>
    </row>
    <row r="117" spans="1:13" x14ac:dyDescent="0.2">
      <c r="A117" s="288"/>
      <c r="C117" s="288"/>
      <c r="D117" s="288"/>
      <c r="E117" s="288"/>
      <c r="F117" s="288"/>
      <c r="G117" s="288"/>
      <c r="H117" s="288"/>
      <c r="I117" s="288"/>
      <c r="J117" s="288"/>
      <c r="K117" s="288"/>
      <c r="L117" s="288"/>
      <c r="M117" s="288"/>
    </row>
    <row r="118" spans="1:13" x14ac:dyDescent="0.2">
      <c r="A118" s="288"/>
      <c r="C118" s="288"/>
      <c r="D118" s="288"/>
      <c r="E118" s="288"/>
      <c r="F118" s="288"/>
      <c r="G118" s="288"/>
      <c r="H118" s="288"/>
      <c r="I118" s="288"/>
      <c r="J118" s="288"/>
      <c r="K118" s="288"/>
      <c r="L118" s="288"/>
      <c r="M118" s="288"/>
    </row>
  </sheetData>
  <pageMargins left="0.5" right="0.5" top="0.75" bottom="0.75"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2:Q105"/>
  <sheetViews>
    <sheetView zoomScaleNormal="100" workbookViewId="0">
      <pane xSplit="2" ySplit="6" topLeftCell="D39" activePane="bottomRight" state="frozen"/>
      <selection activeCell="I58" sqref="I58"/>
      <selection pane="topRight" activeCell="I58" sqref="I58"/>
      <selection pane="bottomLeft" activeCell="I58" sqref="I58"/>
      <selection pane="bottomRight" activeCell="L106" sqref="L106"/>
    </sheetView>
  </sheetViews>
  <sheetFormatPr defaultRowHeight="11.25" x14ac:dyDescent="0.2"/>
  <cols>
    <col min="1" max="1" width="6" style="288" customWidth="1"/>
    <col min="2" max="2" width="17.85546875" style="288" customWidth="1"/>
    <col min="3" max="4" width="9.85546875" style="288" customWidth="1"/>
    <col min="5" max="5" width="11.28515625" style="288" customWidth="1"/>
    <col min="6" max="7" width="9.5703125" style="288" customWidth="1"/>
    <col min="8" max="8" width="9.85546875" style="288" customWidth="1"/>
    <col min="9" max="9" width="10.42578125" style="288" customWidth="1"/>
    <col min="10" max="10" width="10.7109375" style="288" customWidth="1"/>
    <col min="11" max="14" width="9.140625" style="288"/>
    <col min="15" max="15" width="10.7109375" style="288" bestFit="1" customWidth="1"/>
    <col min="16" max="16" width="9.85546875" style="288" bestFit="1" customWidth="1"/>
    <col min="17" max="16384" width="9.140625" style="288"/>
  </cols>
  <sheetData>
    <row r="2" spans="1:14" x14ac:dyDescent="0.2">
      <c r="B2" s="312" t="s">
        <v>115</v>
      </c>
      <c r="C2" s="328"/>
    </row>
    <row r="3" spans="1:14" x14ac:dyDescent="0.2">
      <c r="C3" s="328"/>
    </row>
    <row r="4" spans="1:14" x14ac:dyDescent="0.2">
      <c r="C4" s="326"/>
      <c r="D4" s="326"/>
      <c r="E4" s="326"/>
      <c r="F4" s="326"/>
      <c r="G4" s="326"/>
      <c r="H4" s="327"/>
      <c r="I4" s="327"/>
      <c r="J4" s="312"/>
    </row>
    <row r="5" spans="1:14" x14ac:dyDescent="0.2">
      <c r="C5" s="326"/>
      <c r="D5" s="326"/>
      <c r="E5" s="326"/>
      <c r="F5" s="326"/>
      <c r="G5" s="326"/>
      <c r="H5" s="327"/>
      <c r="I5" s="327"/>
      <c r="J5" s="326"/>
    </row>
    <row r="6" spans="1:14" ht="9.9499999999999993" customHeight="1" x14ac:dyDescent="0.2">
      <c r="C6" s="325">
        <v>42491</v>
      </c>
      <c r="D6" s="324">
        <f t="shared" ref="D6:N6" si="0">EOMONTH(C6,1)</f>
        <v>42551</v>
      </c>
      <c r="E6" s="324">
        <f t="shared" si="0"/>
        <v>42582</v>
      </c>
      <c r="F6" s="324">
        <f t="shared" si="0"/>
        <v>42613</v>
      </c>
      <c r="G6" s="324">
        <f t="shared" si="0"/>
        <v>42643</v>
      </c>
      <c r="H6" s="324">
        <f t="shared" si="0"/>
        <v>42674</v>
      </c>
      <c r="I6" s="324">
        <f t="shared" si="0"/>
        <v>42704</v>
      </c>
      <c r="J6" s="324">
        <f t="shared" si="0"/>
        <v>42735</v>
      </c>
      <c r="K6" s="324">
        <f t="shared" si="0"/>
        <v>42766</v>
      </c>
      <c r="L6" s="324">
        <f t="shared" si="0"/>
        <v>42794</v>
      </c>
      <c r="M6" s="324">
        <f t="shared" si="0"/>
        <v>42825</v>
      </c>
      <c r="N6" s="324">
        <f t="shared" si="0"/>
        <v>42855</v>
      </c>
    </row>
    <row r="7" spans="1:14" s="289" customFormat="1" x14ac:dyDescent="0.2">
      <c r="A7" s="323" t="s">
        <v>47</v>
      </c>
      <c r="C7" s="322">
        <v>26.19</v>
      </c>
      <c r="D7" s="322">
        <v>27.22</v>
      </c>
      <c r="E7" s="322">
        <v>23.1</v>
      </c>
      <c r="F7" s="322">
        <v>28.51</v>
      </c>
      <c r="G7" s="322">
        <v>28.62</v>
      </c>
      <c r="H7" s="322">
        <v>29.57</v>
      </c>
      <c r="I7" s="322">
        <v>27.45</v>
      </c>
      <c r="J7" s="322">
        <v>32.61</v>
      </c>
      <c r="K7" s="322">
        <v>29.14</v>
      </c>
      <c r="L7" s="322">
        <v>23.59</v>
      </c>
      <c r="M7" s="322">
        <v>27.17</v>
      </c>
      <c r="N7" s="322">
        <v>23.94</v>
      </c>
    </row>
    <row r="8" spans="1:14" x14ac:dyDescent="0.2">
      <c r="A8" s="288" t="s">
        <v>48</v>
      </c>
      <c r="C8" s="89">
        <v>0</v>
      </c>
      <c r="D8" s="89">
        <v>0</v>
      </c>
      <c r="E8" s="89">
        <v>0</v>
      </c>
      <c r="F8" s="89">
        <v>0</v>
      </c>
      <c r="G8" s="89">
        <v>0</v>
      </c>
      <c r="H8" s="89">
        <v>0</v>
      </c>
      <c r="I8" s="89">
        <v>0</v>
      </c>
      <c r="J8" s="89">
        <v>0</v>
      </c>
      <c r="K8" s="89">
        <v>0</v>
      </c>
      <c r="L8" s="89">
        <v>0</v>
      </c>
      <c r="M8" s="89">
        <v>0</v>
      </c>
      <c r="N8" s="89">
        <v>0</v>
      </c>
    </row>
    <row r="9" spans="1:14" x14ac:dyDescent="0.2">
      <c r="A9" s="288"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4" x14ac:dyDescent="0.2">
      <c r="A10" s="312" t="s">
        <v>50</v>
      </c>
      <c r="C10" s="321">
        <f t="shared" ref="C10:N10" si="2">+C7-C9</f>
        <v>26.19</v>
      </c>
      <c r="D10" s="321">
        <f t="shared" si="2"/>
        <v>27.22</v>
      </c>
      <c r="E10" s="321">
        <f t="shared" si="2"/>
        <v>23.1</v>
      </c>
      <c r="F10" s="321">
        <f t="shared" si="2"/>
        <v>28.51</v>
      </c>
      <c r="G10" s="321">
        <f t="shared" si="2"/>
        <v>28.62</v>
      </c>
      <c r="H10" s="321">
        <f t="shared" si="2"/>
        <v>29.57</v>
      </c>
      <c r="I10" s="321">
        <f t="shared" si="2"/>
        <v>27.45</v>
      </c>
      <c r="J10" s="321">
        <f t="shared" si="2"/>
        <v>32.61</v>
      </c>
      <c r="K10" s="321">
        <f t="shared" si="2"/>
        <v>29.14</v>
      </c>
      <c r="L10" s="321">
        <f t="shared" si="2"/>
        <v>23.59</v>
      </c>
      <c r="M10" s="321">
        <f t="shared" si="2"/>
        <v>27.17</v>
      </c>
      <c r="N10" s="321">
        <f t="shared" si="2"/>
        <v>23.94</v>
      </c>
    </row>
    <row r="12" spans="1:14" x14ac:dyDescent="0.2">
      <c r="A12" s="312" t="s">
        <v>51</v>
      </c>
    </row>
    <row r="13" spans="1:14" s="319" customFormat="1" x14ac:dyDescent="0.2">
      <c r="B13" s="319" t="s">
        <v>24</v>
      </c>
      <c r="C13" s="320">
        <v>0.19500000000000001</v>
      </c>
      <c r="D13" s="320">
        <f t="shared" ref="D13:N13" si="3">+C13</f>
        <v>0.19500000000000001</v>
      </c>
      <c r="E13" s="320">
        <f t="shared" si="3"/>
        <v>0.19500000000000001</v>
      </c>
      <c r="F13" s="320">
        <f t="shared" si="3"/>
        <v>0.19500000000000001</v>
      </c>
      <c r="G13" s="320">
        <f t="shared" si="3"/>
        <v>0.19500000000000001</v>
      </c>
      <c r="H13" s="320">
        <f t="shared" si="3"/>
        <v>0.19500000000000001</v>
      </c>
      <c r="I13" s="320">
        <f t="shared" si="3"/>
        <v>0.19500000000000001</v>
      </c>
      <c r="J13" s="320">
        <f t="shared" si="3"/>
        <v>0.19500000000000001</v>
      </c>
      <c r="K13" s="320">
        <f t="shared" si="3"/>
        <v>0.19500000000000001</v>
      </c>
      <c r="L13" s="320">
        <f t="shared" si="3"/>
        <v>0.19500000000000001</v>
      </c>
      <c r="M13" s="320">
        <f t="shared" si="3"/>
        <v>0.19500000000000001</v>
      </c>
      <c r="N13" s="320">
        <f t="shared" si="3"/>
        <v>0.19500000000000001</v>
      </c>
    </row>
    <row r="14" spans="1:14" s="319" customFormat="1" x14ac:dyDescent="0.2">
      <c r="B14" s="319" t="s">
        <v>28</v>
      </c>
      <c r="C14" s="320">
        <v>0.1782</v>
      </c>
      <c r="D14" s="320">
        <f t="shared" ref="D14:N14" si="4">+C14</f>
        <v>0.1782</v>
      </c>
      <c r="E14" s="320">
        <f t="shared" si="4"/>
        <v>0.1782</v>
      </c>
      <c r="F14" s="320">
        <f t="shared" si="4"/>
        <v>0.1782</v>
      </c>
      <c r="G14" s="320">
        <f t="shared" si="4"/>
        <v>0.1782</v>
      </c>
      <c r="H14" s="320">
        <f t="shared" si="4"/>
        <v>0.1782</v>
      </c>
      <c r="I14" s="320">
        <f t="shared" si="4"/>
        <v>0.1782</v>
      </c>
      <c r="J14" s="320">
        <f t="shared" si="4"/>
        <v>0.1782</v>
      </c>
      <c r="K14" s="320">
        <f t="shared" si="4"/>
        <v>0.1782</v>
      </c>
      <c r="L14" s="320">
        <f t="shared" si="4"/>
        <v>0.1782</v>
      </c>
      <c r="M14" s="320">
        <f t="shared" si="4"/>
        <v>0.1782</v>
      </c>
      <c r="N14" s="320">
        <f t="shared" si="4"/>
        <v>0.1782</v>
      </c>
    </row>
    <row r="15" spans="1:14" s="319" customFormat="1" x14ac:dyDescent="0.2">
      <c r="B15" s="319" t="s">
        <v>52</v>
      </c>
      <c r="C15" s="320">
        <v>0</v>
      </c>
      <c r="D15" s="320">
        <f t="shared" ref="D15:N15" si="5">+C15</f>
        <v>0</v>
      </c>
      <c r="E15" s="320">
        <f t="shared" si="5"/>
        <v>0</v>
      </c>
      <c r="F15" s="320">
        <f t="shared" si="5"/>
        <v>0</v>
      </c>
      <c r="G15" s="320">
        <f t="shared" si="5"/>
        <v>0</v>
      </c>
      <c r="H15" s="320">
        <f t="shared" si="5"/>
        <v>0</v>
      </c>
      <c r="I15" s="320">
        <f t="shared" si="5"/>
        <v>0</v>
      </c>
      <c r="J15" s="320">
        <f t="shared" si="5"/>
        <v>0</v>
      </c>
      <c r="K15" s="320">
        <f t="shared" si="5"/>
        <v>0</v>
      </c>
      <c r="L15" s="320">
        <f t="shared" si="5"/>
        <v>0</v>
      </c>
      <c r="M15" s="320">
        <f t="shared" si="5"/>
        <v>0</v>
      </c>
      <c r="N15" s="320">
        <f t="shared" si="5"/>
        <v>0</v>
      </c>
    </row>
    <row r="16" spans="1:14" s="319" customFormat="1" x14ac:dyDescent="0.2">
      <c r="B16" s="319" t="s">
        <v>53</v>
      </c>
      <c r="C16" s="320">
        <v>1.6500000000000001E-2</v>
      </c>
      <c r="D16" s="320">
        <f t="shared" ref="D16:N16" si="6">+C16</f>
        <v>1.6500000000000001E-2</v>
      </c>
      <c r="E16" s="320">
        <f t="shared" si="6"/>
        <v>1.6500000000000001E-2</v>
      </c>
      <c r="F16" s="320">
        <f t="shared" si="6"/>
        <v>1.6500000000000001E-2</v>
      </c>
      <c r="G16" s="320">
        <f t="shared" si="6"/>
        <v>1.6500000000000001E-2</v>
      </c>
      <c r="H16" s="320">
        <f t="shared" si="6"/>
        <v>1.6500000000000001E-2</v>
      </c>
      <c r="I16" s="320">
        <f t="shared" si="6"/>
        <v>1.6500000000000001E-2</v>
      </c>
      <c r="J16" s="320">
        <f t="shared" si="6"/>
        <v>1.6500000000000001E-2</v>
      </c>
      <c r="K16" s="320">
        <f t="shared" si="6"/>
        <v>1.6500000000000001E-2</v>
      </c>
      <c r="L16" s="320">
        <f t="shared" si="6"/>
        <v>1.6500000000000001E-2</v>
      </c>
      <c r="M16" s="320">
        <f t="shared" si="6"/>
        <v>1.6500000000000001E-2</v>
      </c>
      <c r="N16" s="320">
        <f t="shared" si="6"/>
        <v>1.6500000000000001E-2</v>
      </c>
    </row>
    <row r="17" spans="1:14" s="319" customFormat="1" x14ac:dyDescent="0.2">
      <c r="B17" s="319" t="s">
        <v>54</v>
      </c>
      <c r="C17" s="320">
        <v>4.4900000000000002E-2</v>
      </c>
      <c r="D17" s="320">
        <f t="shared" ref="D17:N17" si="7">+C17</f>
        <v>4.4900000000000002E-2</v>
      </c>
      <c r="E17" s="320">
        <f t="shared" si="7"/>
        <v>4.4900000000000002E-2</v>
      </c>
      <c r="F17" s="320">
        <f t="shared" si="7"/>
        <v>4.4900000000000002E-2</v>
      </c>
      <c r="G17" s="320">
        <f t="shared" si="7"/>
        <v>4.4900000000000002E-2</v>
      </c>
      <c r="H17" s="320">
        <f t="shared" si="7"/>
        <v>4.4900000000000002E-2</v>
      </c>
      <c r="I17" s="320">
        <f t="shared" si="7"/>
        <v>4.4900000000000002E-2</v>
      </c>
      <c r="J17" s="320">
        <f t="shared" si="7"/>
        <v>4.4900000000000002E-2</v>
      </c>
      <c r="K17" s="320">
        <f t="shared" si="7"/>
        <v>4.4900000000000002E-2</v>
      </c>
      <c r="L17" s="320">
        <f t="shared" si="7"/>
        <v>4.4900000000000002E-2</v>
      </c>
      <c r="M17" s="320">
        <f t="shared" si="7"/>
        <v>4.4900000000000002E-2</v>
      </c>
      <c r="N17" s="320">
        <f t="shared" si="7"/>
        <v>4.4900000000000002E-2</v>
      </c>
    </row>
    <row r="18" spans="1:14" s="319" customFormat="1" x14ac:dyDescent="0.2">
      <c r="B18" s="319" t="s">
        <v>55</v>
      </c>
      <c r="C18" s="320">
        <v>7.4999999999999997E-3</v>
      </c>
      <c r="D18" s="320">
        <f t="shared" ref="D18:N18" si="8">+C18</f>
        <v>7.4999999999999997E-3</v>
      </c>
      <c r="E18" s="320">
        <f t="shared" si="8"/>
        <v>7.4999999999999997E-3</v>
      </c>
      <c r="F18" s="320">
        <f t="shared" si="8"/>
        <v>7.4999999999999997E-3</v>
      </c>
      <c r="G18" s="320">
        <f t="shared" si="8"/>
        <v>7.4999999999999997E-3</v>
      </c>
      <c r="H18" s="320">
        <f t="shared" si="8"/>
        <v>7.4999999999999997E-3</v>
      </c>
      <c r="I18" s="320">
        <f t="shared" si="8"/>
        <v>7.4999999999999997E-3</v>
      </c>
      <c r="J18" s="320">
        <f t="shared" si="8"/>
        <v>7.4999999999999997E-3</v>
      </c>
      <c r="K18" s="320">
        <f t="shared" si="8"/>
        <v>7.4999999999999997E-3</v>
      </c>
      <c r="L18" s="320">
        <f t="shared" si="8"/>
        <v>7.4999999999999997E-3</v>
      </c>
      <c r="M18" s="320">
        <f t="shared" si="8"/>
        <v>7.4999999999999997E-3</v>
      </c>
      <c r="N18" s="320">
        <f t="shared" si="8"/>
        <v>7.4999999999999997E-3</v>
      </c>
    </row>
    <row r="19" spans="1:14" s="319" customFormat="1" x14ac:dyDescent="0.2">
      <c r="B19" s="288" t="s">
        <v>56</v>
      </c>
      <c r="C19" s="320">
        <v>0</v>
      </c>
      <c r="D19" s="320">
        <f t="shared" ref="D19:N19" si="9">+C19</f>
        <v>0</v>
      </c>
      <c r="E19" s="320">
        <f t="shared" si="9"/>
        <v>0</v>
      </c>
      <c r="F19" s="320">
        <f t="shared" si="9"/>
        <v>0</v>
      </c>
      <c r="G19" s="320">
        <f t="shared" si="9"/>
        <v>0</v>
      </c>
      <c r="H19" s="320">
        <f t="shared" si="9"/>
        <v>0</v>
      </c>
      <c r="I19" s="320">
        <f t="shared" si="9"/>
        <v>0</v>
      </c>
      <c r="J19" s="320">
        <f t="shared" si="9"/>
        <v>0</v>
      </c>
      <c r="K19" s="320">
        <f t="shared" si="9"/>
        <v>0</v>
      </c>
      <c r="L19" s="320">
        <f t="shared" si="9"/>
        <v>0</v>
      </c>
      <c r="M19" s="320">
        <f t="shared" si="9"/>
        <v>0</v>
      </c>
      <c r="N19" s="320">
        <f t="shared" si="9"/>
        <v>0</v>
      </c>
    </row>
    <row r="20" spans="1:14" s="319" customFormat="1" x14ac:dyDescent="0.2">
      <c r="B20" s="288" t="s">
        <v>22</v>
      </c>
      <c r="C20" s="320">
        <v>0.17680000000000001</v>
      </c>
      <c r="D20" s="320">
        <f t="shared" ref="D20:N20" si="10">+C20</f>
        <v>0.17680000000000001</v>
      </c>
      <c r="E20" s="320">
        <f t="shared" si="10"/>
        <v>0.17680000000000001</v>
      </c>
      <c r="F20" s="320">
        <f t="shared" si="10"/>
        <v>0.17680000000000001</v>
      </c>
      <c r="G20" s="320">
        <f t="shared" si="10"/>
        <v>0.17680000000000001</v>
      </c>
      <c r="H20" s="320">
        <f t="shared" si="10"/>
        <v>0.17680000000000001</v>
      </c>
      <c r="I20" s="320">
        <f t="shared" si="10"/>
        <v>0.17680000000000001</v>
      </c>
      <c r="J20" s="320">
        <f t="shared" si="10"/>
        <v>0.17680000000000001</v>
      </c>
      <c r="K20" s="320">
        <f t="shared" si="10"/>
        <v>0.17680000000000001</v>
      </c>
      <c r="L20" s="320">
        <f t="shared" si="10"/>
        <v>0.17680000000000001</v>
      </c>
      <c r="M20" s="320">
        <f t="shared" si="10"/>
        <v>0.17680000000000001</v>
      </c>
      <c r="N20" s="320">
        <f t="shared" si="10"/>
        <v>0.17680000000000001</v>
      </c>
    </row>
    <row r="21" spans="1:14" s="319" customFormat="1" x14ac:dyDescent="0.2">
      <c r="B21" s="319" t="s">
        <v>57</v>
      </c>
      <c r="C21" s="320">
        <v>0</v>
      </c>
      <c r="D21" s="320">
        <f t="shared" ref="D21:N21" si="11">+C21</f>
        <v>0</v>
      </c>
      <c r="E21" s="320">
        <f t="shared" si="11"/>
        <v>0</v>
      </c>
      <c r="F21" s="320">
        <f t="shared" si="11"/>
        <v>0</v>
      </c>
      <c r="G21" s="320">
        <f t="shared" si="11"/>
        <v>0</v>
      </c>
      <c r="H21" s="320">
        <f t="shared" si="11"/>
        <v>0</v>
      </c>
      <c r="I21" s="320">
        <f t="shared" si="11"/>
        <v>0</v>
      </c>
      <c r="J21" s="320">
        <f t="shared" si="11"/>
        <v>0</v>
      </c>
      <c r="K21" s="320">
        <f t="shared" si="11"/>
        <v>0</v>
      </c>
      <c r="L21" s="320">
        <f t="shared" si="11"/>
        <v>0</v>
      </c>
      <c r="M21" s="320">
        <f t="shared" si="11"/>
        <v>0</v>
      </c>
      <c r="N21" s="320">
        <f t="shared" si="11"/>
        <v>0</v>
      </c>
    </row>
    <row r="22" spans="1:14" s="319" customFormat="1" x14ac:dyDescent="0.2">
      <c r="B22" s="319" t="s">
        <v>58</v>
      </c>
      <c r="C22" s="320">
        <v>5.930000000000013E-2</v>
      </c>
      <c r="D22" s="320">
        <f t="shared" ref="D22:N22" si="12">+C22</f>
        <v>5.930000000000013E-2</v>
      </c>
      <c r="E22" s="320">
        <f t="shared" si="12"/>
        <v>5.930000000000013E-2</v>
      </c>
      <c r="F22" s="320">
        <f t="shared" si="12"/>
        <v>5.930000000000013E-2</v>
      </c>
      <c r="G22" s="320">
        <f t="shared" si="12"/>
        <v>5.930000000000013E-2</v>
      </c>
      <c r="H22" s="320">
        <f t="shared" si="12"/>
        <v>5.930000000000013E-2</v>
      </c>
      <c r="I22" s="320">
        <f t="shared" si="12"/>
        <v>5.930000000000013E-2</v>
      </c>
      <c r="J22" s="320">
        <f t="shared" si="12"/>
        <v>5.930000000000013E-2</v>
      </c>
      <c r="K22" s="320">
        <f t="shared" si="12"/>
        <v>5.930000000000013E-2</v>
      </c>
      <c r="L22" s="320">
        <f t="shared" si="12"/>
        <v>5.930000000000013E-2</v>
      </c>
      <c r="M22" s="320">
        <f t="shared" si="12"/>
        <v>5.930000000000013E-2</v>
      </c>
      <c r="N22" s="320">
        <f t="shared" si="12"/>
        <v>5.930000000000013E-2</v>
      </c>
    </row>
    <row r="23" spans="1:14" s="319" customFormat="1" x14ac:dyDescent="0.2">
      <c r="B23" s="319" t="s">
        <v>59</v>
      </c>
      <c r="C23" s="125">
        <v>0.32179999999999997</v>
      </c>
      <c r="D23" s="320">
        <f t="shared" ref="D23:N23" si="13">+C23</f>
        <v>0.32179999999999997</v>
      </c>
      <c r="E23" s="320">
        <f t="shared" si="13"/>
        <v>0.32179999999999997</v>
      </c>
      <c r="F23" s="320">
        <f t="shared" si="13"/>
        <v>0.32179999999999997</v>
      </c>
      <c r="G23" s="320">
        <f t="shared" si="13"/>
        <v>0.32179999999999997</v>
      </c>
      <c r="H23" s="320">
        <f t="shared" si="13"/>
        <v>0.32179999999999997</v>
      </c>
      <c r="I23" s="320">
        <f t="shared" si="13"/>
        <v>0.32179999999999997</v>
      </c>
      <c r="J23" s="320">
        <f t="shared" si="13"/>
        <v>0.32179999999999997</v>
      </c>
      <c r="K23" s="320">
        <f t="shared" si="13"/>
        <v>0.32179999999999997</v>
      </c>
      <c r="L23" s="320">
        <f t="shared" si="13"/>
        <v>0.32179999999999997</v>
      </c>
      <c r="M23" s="320">
        <f t="shared" si="13"/>
        <v>0.32179999999999997</v>
      </c>
      <c r="N23" s="320">
        <f t="shared" si="13"/>
        <v>0.32179999999999997</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312" t="s">
        <v>60</v>
      </c>
    </row>
    <row r="27" spans="1:14" x14ac:dyDescent="0.2">
      <c r="B27" s="288" t="s">
        <v>24</v>
      </c>
      <c r="C27" s="75">
        <f t="shared" ref="C27:N27" si="14">+C$10*C13</f>
        <v>5.1070500000000001</v>
      </c>
      <c r="D27" s="75">
        <f t="shared" si="14"/>
        <v>5.3079000000000001</v>
      </c>
      <c r="E27" s="75">
        <f t="shared" si="14"/>
        <v>4.5045000000000002</v>
      </c>
      <c r="F27" s="75">
        <f t="shared" si="14"/>
        <v>5.5594500000000009</v>
      </c>
      <c r="G27" s="75">
        <f t="shared" si="14"/>
        <v>5.5809000000000006</v>
      </c>
      <c r="H27" s="75">
        <f t="shared" si="14"/>
        <v>5.7661500000000006</v>
      </c>
      <c r="I27" s="75">
        <f t="shared" si="14"/>
        <v>5.3527500000000003</v>
      </c>
      <c r="J27" s="75">
        <f t="shared" si="14"/>
        <v>6.3589500000000001</v>
      </c>
      <c r="K27" s="75">
        <f t="shared" si="14"/>
        <v>5.6823000000000006</v>
      </c>
      <c r="L27" s="75">
        <f t="shared" si="14"/>
        <v>4.6000500000000004</v>
      </c>
      <c r="M27" s="75">
        <f t="shared" si="14"/>
        <v>5.2981500000000006</v>
      </c>
      <c r="N27" s="75">
        <f t="shared" si="14"/>
        <v>4.6683000000000003</v>
      </c>
    </row>
    <row r="28" spans="1:14" x14ac:dyDescent="0.2">
      <c r="B28" s="288" t="s">
        <v>28</v>
      </c>
      <c r="C28" s="75">
        <f t="shared" ref="C28:N28" si="15">+C$10*C14</f>
        <v>4.6670579999999999</v>
      </c>
      <c r="D28" s="75">
        <f t="shared" si="15"/>
        <v>4.8506039999999997</v>
      </c>
      <c r="E28" s="75">
        <f t="shared" si="15"/>
        <v>4.1164200000000006</v>
      </c>
      <c r="F28" s="75">
        <f t="shared" si="15"/>
        <v>5.0804819999999999</v>
      </c>
      <c r="G28" s="75">
        <f t="shared" si="15"/>
        <v>5.1000839999999998</v>
      </c>
      <c r="H28" s="75">
        <f t="shared" si="15"/>
        <v>5.269374</v>
      </c>
      <c r="I28" s="75">
        <f t="shared" si="15"/>
        <v>4.8915899999999999</v>
      </c>
      <c r="J28" s="75">
        <f t="shared" si="15"/>
        <v>5.811102</v>
      </c>
      <c r="K28" s="75">
        <f t="shared" si="15"/>
        <v>5.1927479999999999</v>
      </c>
      <c r="L28" s="75">
        <f t="shared" si="15"/>
        <v>4.2037379999999995</v>
      </c>
      <c r="M28" s="75">
        <f t="shared" si="15"/>
        <v>4.8416940000000004</v>
      </c>
      <c r="N28" s="75">
        <f t="shared" si="15"/>
        <v>4.266108</v>
      </c>
    </row>
    <row r="29" spans="1:14" x14ac:dyDescent="0.2">
      <c r="B29" s="288" t="s">
        <v>52</v>
      </c>
      <c r="C29" s="75">
        <f t="shared" ref="C29:N29" si="16">+C$10*C15</f>
        <v>0</v>
      </c>
      <c r="D29" s="75">
        <f t="shared" si="16"/>
        <v>0</v>
      </c>
      <c r="E29" s="75">
        <f t="shared" si="16"/>
        <v>0</v>
      </c>
      <c r="F29" s="75">
        <f t="shared" si="16"/>
        <v>0</v>
      </c>
      <c r="G29" s="75">
        <f t="shared" si="16"/>
        <v>0</v>
      </c>
      <c r="H29" s="75">
        <f t="shared" si="16"/>
        <v>0</v>
      </c>
      <c r="I29" s="75">
        <f t="shared" si="16"/>
        <v>0</v>
      </c>
      <c r="J29" s="75">
        <f t="shared" si="16"/>
        <v>0</v>
      </c>
      <c r="K29" s="75">
        <f t="shared" si="16"/>
        <v>0</v>
      </c>
      <c r="L29" s="75">
        <f t="shared" si="16"/>
        <v>0</v>
      </c>
      <c r="M29" s="75">
        <f t="shared" si="16"/>
        <v>0</v>
      </c>
      <c r="N29" s="75">
        <f t="shared" si="16"/>
        <v>0</v>
      </c>
    </row>
    <row r="30" spans="1:14" x14ac:dyDescent="0.2">
      <c r="B30" s="288" t="s">
        <v>53</v>
      </c>
      <c r="C30" s="75">
        <f t="shared" ref="C30:N30" si="17">+C$10*C16</f>
        <v>0.43213500000000005</v>
      </c>
      <c r="D30" s="75">
        <f t="shared" si="17"/>
        <v>0.44913000000000003</v>
      </c>
      <c r="E30" s="75">
        <f t="shared" si="17"/>
        <v>0.38115000000000004</v>
      </c>
      <c r="F30" s="75">
        <f t="shared" si="17"/>
        <v>0.47041500000000003</v>
      </c>
      <c r="G30" s="75">
        <f t="shared" si="17"/>
        <v>0.47223000000000004</v>
      </c>
      <c r="H30" s="75">
        <f t="shared" si="17"/>
        <v>0.48790500000000003</v>
      </c>
      <c r="I30" s="75">
        <f t="shared" si="17"/>
        <v>0.45292500000000002</v>
      </c>
      <c r="J30" s="75">
        <f t="shared" si="17"/>
        <v>0.53806500000000002</v>
      </c>
      <c r="K30" s="75">
        <f t="shared" si="17"/>
        <v>0.48081000000000002</v>
      </c>
      <c r="L30" s="75">
        <f t="shared" si="17"/>
        <v>0.389235</v>
      </c>
      <c r="M30" s="75">
        <f t="shared" si="17"/>
        <v>0.44830500000000006</v>
      </c>
      <c r="N30" s="75">
        <f t="shared" si="17"/>
        <v>0.39501000000000003</v>
      </c>
    </row>
    <row r="31" spans="1:14" x14ac:dyDescent="0.2">
      <c r="B31" s="288" t="s">
        <v>54</v>
      </c>
      <c r="C31" s="75">
        <f t="shared" ref="C31:N31" si="18">+C$10*C17</f>
        <v>1.1759310000000001</v>
      </c>
      <c r="D31" s="75">
        <f t="shared" si="18"/>
        <v>1.222178</v>
      </c>
      <c r="E31" s="75">
        <f t="shared" si="18"/>
        <v>1.0371900000000001</v>
      </c>
      <c r="F31" s="75">
        <f t="shared" si="18"/>
        <v>1.2800990000000001</v>
      </c>
      <c r="G31" s="75">
        <f t="shared" si="18"/>
        <v>1.2850380000000001</v>
      </c>
      <c r="H31" s="75">
        <f t="shared" si="18"/>
        <v>1.327693</v>
      </c>
      <c r="I31" s="75">
        <f t="shared" si="18"/>
        <v>1.232505</v>
      </c>
      <c r="J31" s="75">
        <f t="shared" si="18"/>
        <v>1.464189</v>
      </c>
      <c r="K31" s="75">
        <f t="shared" si="18"/>
        <v>1.308386</v>
      </c>
      <c r="L31" s="75">
        <f t="shared" si="18"/>
        <v>1.059191</v>
      </c>
      <c r="M31" s="75">
        <f t="shared" si="18"/>
        <v>1.2199330000000002</v>
      </c>
      <c r="N31" s="75">
        <f t="shared" si="18"/>
        <v>1.0749060000000001</v>
      </c>
    </row>
    <row r="32" spans="1:14" x14ac:dyDescent="0.2">
      <c r="B32" s="288" t="s">
        <v>55</v>
      </c>
      <c r="C32" s="75">
        <f t="shared" ref="C32:N32" si="19">+C$10*C18</f>
        <v>0.19642499999999999</v>
      </c>
      <c r="D32" s="75">
        <f t="shared" si="19"/>
        <v>0.20414999999999997</v>
      </c>
      <c r="E32" s="75">
        <f t="shared" si="19"/>
        <v>0.17325000000000002</v>
      </c>
      <c r="F32" s="75">
        <f t="shared" si="19"/>
        <v>0.21382500000000002</v>
      </c>
      <c r="G32" s="75">
        <f t="shared" si="19"/>
        <v>0.21465000000000001</v>
      </c>
      <c r="H32" s="75">
        <f t="shared" si="19"/>
        <v>0.221775</v>
      </c>
      <c r="I32" s="75">
        <f t="shared" si="19"/>
        <v>0.20587499999999997</v>
      </c>
      <c r="J32" s="75">
        <f t="shared" si="19"/>
        <v>0.24457499999999999</v>
      </c>
      <c r="K32" s="75">
        <f t="shared" si="19"/>
        <v>0.21854999999999999</v>
      </c>
      <c r="L32" s="75">
        <f t="shared" si="19"/>
        <v>0.176925</v>
      </c>
      <c r="M32" s="75">
        <f t="shared" si="19"/>
        <v>0.20377500000000001</v>
      </c>
      <c r="N32" s="75">
        <f t="shared" si="19"/>
        <v>0.17955000000000002</v>
      </c>
    </row>
    <row r="33" spans="1:14" x14ac:dyDescent="0.2">
      <c r="B33" s="288" t="s">
        <v>56</v>
      </c>
      <c r="C33" s="75">
        <f t="shared" ref="C33:N33" si="20">+C$10*C19</f>
        <v>0</v>
      </c>
      <c r="D33" s="75">
        <f t="shared" si="20"/>
        <v>0</v>
      </c>
      <c r="E33" s="75">
        <f t="shared" si="20"/>
        <v>0</v>
      </c>
      <c r="F33" s="75">
        <f t="shared" si="20"/>
        <v>0</v>
      </c>
      <c r="G33" s="75">
        <f t="shared" si="20"/>
        <v>0</v>
      </c>
      <c r="H33" s="75">
        <f t="shared" si="20"/>
        <v>0</v>
      </c>
      <c r="I33" s="75">
        <f t="shared" si="20"/>
        <v>0</v>
      </c>
      <c r="J33" s="75">
        <f t="shared" si="20"/>
        <v>0</v>
      </c>
      <c r="K33" s="75">
        <f t="shared" si="20"/>
        <v>0</v>
      </c>
      <c r="L33" s="75">
        <f t="shared" si="20"/>
        <v>0</v>
      </c>
      <c r="M33" s="75">
        <f t="shared" si="20"/>
        <v>0</v>
      </c>
      <c r="N33" s="75">
        <f t="shared" si="20"/>
        <v>0</v>
      </c>
    </row>
    <row r="34" spans="1:14" x14ac:dyDescent="0.2">
      <c r="B34" s="288" t="s">
        <v>22</v>
      </c>
      <c r="C34" s="75">
        <f t="shared" ref="C34:N34" si="21">+C$10*C20</f>
        <v>4.6303920000000005</v>
      </c>
      <c r="D34" s="75">
        <f t="shared" si="21"/>
        <v>4.8124960000000003</v>
      </c>
      <c r="E34" s="75">
        <f t="shared" si="21"/>
        <v>4.0840800000000002</v>
      </c>
      <c r="F34" s="75">
        <f t="shared" si="21"/>
        <v>5.0405680000000004</v>
      </c>
      <c r="G34" s="75">
        <f t="shared" si="21"/>
        <v>5.060016000000001</v>
      </c>
      <c r="H34" s="75">
        <f t="shared" si="21"/>
        <v>5.2279760000000008</v>
      </c>
      <c r="I34" s="75">
        <f t="shared" si="21"/>
        <v>4.8531599999999999</v>
      </c>
      <c r="J34" s="75">
        <f t="shared" si="21"/>
        <v>5.7654480000000001</v>
      </c>
      <c r="K34" s="75">
        <f t="shared" si="21"/>
        <v>5.1519520000000005</v>
      </c>
      <c r="L34" s="75">
        <f t="shared" si="21"/>
        <v>4.170712</v>
      </c>
      <c r="M34" s="75">
        <f t="shared" si="21"/>
        <v>4.803656000000001</v>
      </c>
      <c r="N34" s="75">
        <f t="shared" si="21"/>
        <v>4.2325920000000004</v>
      </c>
    </row>
    <row r="35" spans="1:14" x14ac:dyDescent="0.2">
      <c r="B35" s="288" t="s">
        <v>57</v>
      </c>
      <c r="C35" s="75">
        <f t="shared" ref="C35:N35" si="22">+C$10*C21</f>
        <v>0</v>
      </c>
      <c r="D35" s="75">
        <f t="shared" si="22"/>
        <v>0</v>
      </c>
      <c r="E35" s="75">
        <f t="shared" si="22"/>
        <v>0</v>
      </c>
      <c r="F35" s="75">
        <f t="shared" si="22"/>
        <v>0</v>
      </c>
      <c r="G35" s="75">
        <f t="shared" si="22"/>
        <v>0</v>
      </c>
      <c r="H35" s="75">
        <f t="shared" si="22"/>
        <v>0</v>
      </c>
      <c r="I35" s="75">
        <f t="shared" si="22"/>
        <v>0</v>
      </c>
      <c r="J35" s="75">
        <f t="shared" si="22"/>
        <v>0</v>
      </c>
      <c r="K35" s="75">
        <f t="shared" si="22"/>
        <v>0</v>
      </c>
      <c r="L35" s="75">
        <f t="shared" si="22"/>
        <v>0</v>
      </c>
      <c r="M35" s="75">
        <f t="shared" si="22"/>
        <v>0</v>
      </c>
      <c r="N35" s="75">
        <f t="shared" si="22"/>
        <v>0</v>
      </c>
    </row>
    <row r="36" spans="1:14" x14ac:dyDescent="0.2">
      <c r="B36" s="288" t="s">
        <v>58</v>
      </c>
      <c r="C36" s="75">
        <f t="shared" ref="C36:N36" si="23">+C$10*C22</f>
        <v>1.5530670000000035</v>
      </c>
      <c r="D36" s="75">
        <f t="shared" si="23"/>
        <v>1.6141460000000034</v>
      </c>
      <c r="E36" s="75">
        <f t="shared" si="23"/>
        <v>1.369830000000003</v>
      </c>
      <c r="F36" s="75">
        <f t="shared" si="23"/>
        <v>1.6906430000000039</v>
      </c>
      <c r="G36" s="75">
        <f t="shared" si="23"/>
        <v>1.6971660000000037</v>
      </c>
      <c r="H36" s="75">
        <f t="shared" si="23"/>
        <v>1.753501000000004</v>
      </c>
      <c r="I36" s="75">
        <f t="shared" si="23"/>
        <v>1.6277850000000036</v>
      </c>
      <c r="J36" s="75">
        <f t="shared" si="23"/>
        <v>1.9337730000000042</v>
      </c>
      <c r="K36" s="75">
        <f t="shared" si="23"/>
        <v>1.7280020000000038</v>
      </c>
      <c r="L36" s="75">
        <f t="shared" si="23"/>
        <v>1.3988870000000031</v>
      </c>
      <c r="M36" s="75">
        <f t="shared" si="23"/>
        <v>1.6111810000000037</v>
      </c>
      <c r="N36" s="75">
        <f t="shared" si="23"/>
        <v>1.4196420000000032</v>
      </c>
    </row>
    <row r="37" spans="1:14" x14ac:dyDescent="0.2">
      <c r="B37" s="288" t="s">
        <v>59</v>
      </c>
      <c r="C37" s="90">
        <f t="shared" ref="C37:N37" si="24">+C$10*C23</f>
        <v>8.4279419999999998</v>
      </c>
      <c r="D37" s="90">
        <f t="shared" si="24"/>
        <v>8.7593959999999988</v>
      </c>
      <c r="E37" s="90">
        <f t="shared" si="24"/>
        <v>7.4335800000000001</v>
      </c>
      <c r="F37" s="90">
        <f t="shared" si="24"/>
        <v>9.1745179999999991</v>
      </c>
      <c r="G37" s="90">
        <f t="shared" si="24"/>
        <v>9.2099159999999998</v>
      </c>
      <c r="H37" s="90">
        <f t="shared" si="24"/>
        <v>9.5156259999999993</v>
      </c>
      <c r="I37" s="90">
        <f t="shared" si="24"/>
        <v>8.8334099999999989</v>
      </c>
      <c r="J37" s="90">
        <f t="shared" si="24"/>
        <v>10.493898</v>
      </c>
      <c r="K37" s="90">
        <f t="shared" si="24"/>
        <v>9.3772519999999986</v>
      </c>
      <c r="L37" s="90">
        <f t="shared" si="24"/>
        <v>7.5912619999999995</v>
      </c>
      <c r="M37" s="90">
        <f t="shared" si="24"/>
        <v>8.7433060000000005</v>
      </c>
      <c r="N37" s="90">
        <f t="shared" si="24"/>
        <v>7.7038919999999997</v>
      </c>
    </row>
    <row r="38" spans="1:14" x14ac:dyDescent="0.2">
      <c r="C38" s="75">
        <f t="shared" ref="C38:N38" si="25">SUM(C27:C37)</f>
        <v>26.190000000000005</v>
      </c>
      <c r="D38" s="75">
        <f t="shared" si="25"/>
        <v>27.220000000000002</v>
      </c>
      <c r="E38" s="75">
        <f t="shared" si="25"/>
        <v>23.100000000000005</v>
      </c>
      <c r="F38" s="75">
        <f t="shared" si="25"/>
        <v>28.510000000000005</v>
      </c>
      <c r="G38" s="75">
        <f t="shared" si="25"/>
        <v>28.620000000000005</v>
      </c>
      <c r="H38" s="75">
        <f t="shared" si="25"/>
        <v>29.57</v>
      </c>
      <c r="I38" s="75">
        <f t="shared" si="25"/>
        <v>27.450000000000003</v>
      </c>
      <c r="J38" s="75">
        <f t="shared" si="25"/>
        <v>32.610000000000007</v>
      </c>
      <c r="K38" s="75">
        <f t="shared" si="25"/>
        <v>29.140000000000004</v>
      </c>
      <c r="L38" s="75">
        <f t="shared" si="25"/>
        <v>23.590000000000003</v>
      </c>
      <c r="M38" s="75">
        <f t="shared" si="25"/>
        <v>27.170000000000005</v>
      </c>
      <c r="N38" s="75">
        <f t="shared" si="25"/>
        <v>23.940000000000005</v>
      </c>
    </row>
    <row r="40" spans="1:14" x14ac:dyDescent="0.2">
      <c r="A40" s="312" t="s">
        <v>61</v>
      </c>
    </row>
    <row r="41" spans="1:14" x14ac:dyDescent="0.2">
      <c r="B41" s="288" t="s">
        <v>24</v>
      </c>
      <c r="C41" s="185">
        <v>1</v>
      </c>
      <c r="D41" s="95">
        <v>1</v>
      </c>
      <c r="E41" s="95">
        <v>1</v>
      </c>
      <c r="F41" s="95">
        <v>1</v>
      </c>
      <c r="G41" s="95">
        <v>1</v>
      </c>
      <c r="H41" s="95">
        <v>1</v>
      </c>
      <c r="I41" s="95">
        <v>1</v>
      </c>
      <c r="J41" s="95">
        <v>1</v>
      </c>
      <c r="K41" s="95">
        <v>1</v>
      </c>
      <c r="L41" s="95">
        <v>1</v>
      </c>
      <c r="M41" s="95">
        <v>1</v>
      </c>
      <c r="N41" s="95">
        <v>1</v>
      </c>
    </row>
    <row r="42" spans="1:14" x14ac:dyDescent="0.2">
      <c r="B42" s="288" t="s">
        <v>28</v>
      </c>
      <c r="C42" s="185">
        <v>1</v>
      </c>
      <c r="D42" s="95">
        <v>1</v>
      </c>
      <c r="E42" s="95">
        <v>1</v>
      </c>
      <c r="F42" s="95">
        <v>1</v>
      </c>
      <c r="G42" s="95">
        <v>1</v>
      </c>
      <c r="H42" s="95">
        <v>1</v>
      </c>
      <c r="I42" s="95">
        <v>1</v>
      </c>
      <c r="J42" s="95">
        <v>1</v>
      </c>
      <c r="K42" s="95">
        <v>1</v>
      </c>
      <c r="L42" s="95">
        <v>1</v>
      </c>
      <c r="M42" s="95">
        <v>1</v>
      </c>
      <c r="N42" s="95">
        <v>1</v>
      </c>
    </row>
    <row r="43" spans="1:14" x14ac:dyDescent="0.2">
      <c r="B43" s="288" t="s">
        <v>52</v>
      </c>
      <c r="C43" s="185">
        <v>1</v>
      </c>
      <c r="D43" s="95">
        <v>1</v>
      </c>
      <c r="E43" s="95">
        <v>1</v>
      </c>
      <c r="F43" s="95">
        <v>1</v>
      </c>
      <c r="G43" s="95">
        <v>1</v>
      </c>
      <c r="H43" s="95">
        <v>1</v>
      </c>
      <c r="I43" s="95">
        <v>1</v>
      </c>
      <c r="J43" s="95">
        <v>1</v>
      </c>
      <c r="K43" s="95">
        <v>1</v>
      </c>
      <c r="L43" s="95">
        <v>1</v>
      </c>
      <c r="M43" s="95">
        <v>1</v>
      </c>
      <c r="N43" s="95">
        <v>1</v>
      </c>
    </row>
    <row r="44" spans="1:14" x14ac:dyDescent="0.2">
      <c r="B44" s="288" t="s">
        <v>53</v>
      </c>
      <c r="C44" s="185">
        <v>1</v>
      </c>
      <c r="D44" s="95">
        <v>1</v>
      </c>
      <c r="E44" s="95">
        <v>1</v>
      </c>
      <c r="F44" s="95">
        <v>1</v>
      </c>
      <c r="G44" s="95">
        <v>1</v>
      </c>
      <c r="H44" s="95">
        <v>1</v>
      </c>
      <c r="I44" s="95">
        <v>1</v>
      </c>
      <c r="J44" s="95">
        <v>1</v>
      </c>
      <c r="K44" s="95">
        <v>1</v>
      </c>
      <c r="L44" s="95">
        <v>1</v>
      </c>
      <c r="M44" s="95">
        <v>1</v>
      </c>
      <c r="N44" s="95">
        <v>1</v>
      </c>
    </row>
    <row r="45" spans="1:14" x14ac:dyDescent="0.2">
      <c r="B45" s="288" t="s">
        <v>54</v>
      </c>
      <c r="C45" s="185">
        <v>1</v>
      </c>
      <c r="D45" s="95">
        <v>1</v>
      </c>
      <c r="E45" s="95">
        <v>1</v>
      </c>
      <c r="F45" s="95">
        <v>1</v>
      </c>
      <c r="G45" s="95">
        <v>1</v>
      </c>
      <c r="H45" s="95">
        <v>1</v>
      </c>
      <c r="I45" s="95">
        <v>1</v>
      </c>
      <c r="J45" s="95">
        <v>1</v>
      </c>
      <c r="K45" s="95">
        <v>1</v>
      </c>
      <c r="L45" s="95">
        <v>1</v>
      </c>
      <c r="M45" s="95">
        <v>1</v>
      </c>
      <c r="N45" s="95">
        <v>1</v>
      </c>
    </row>
    <row r="46" spans="1:14" x14ac:dyDescent="0.2">
      <c r="B46" s="288" t="s">
        <v>55</v>
      </c>
      <c r="C46" s="185">
        <v>1</v>
      </c>
      <c r="D46" s="95">
        <v>1</v>
      </c>
      <c r="E46" s="95">
        <v>1</v>
      </c>
      <c r="F46" s="95">
        <v>1</v>
      </c>
      <c r="G46" s="95">
        <v>1</v>
      </c>
      <c r="H46" s="95">
        <v>1</v>
      </c>
      <c r="I46" s="95">
        <v>1</v>
      </c>
      <c r="J46" s="95">
        <v>1</v>
      </c>
      <c r="K46" s="95">
        <v>1</v>
      </c>
      <c r="L46" s="95">
        <v>1</v>
      </c>
      <c r="M46" s="95">
        <v>1</v>
      </c>
      <c r="N46" s="95">
        <v>1</v>
      </c>
    </row>
    <row r="47" spans="1:14" x14ac:dyDescent="0.2">
      <c r="B47" s="288" t="s">
        <v>56</v>
      </c>
      <c r="C47" s="185">
        <v>1</v>
      </c>
      <c r="D47" s="95">
        <v>1</v>
      </c>
      <c r="E47" s="95">
        <v>1</v>
      </c>
      <c r="F47" s="95">
        <v>1</v>
      </c>
      <c r="G47" s="95">
        <v>1</v>
      </c>
      <c r="H47" s="95">
        <v>1</v>
      </c>
      <c r="I47" s="95">
        <v>1</v>
      </c>
      <c r="J47" s="95">
        <v>1</v>
      </c>
      <c r="K47" s="95">
        <v>1</v>
      </c>
      <c r="L47" s="95">
        <v>1</v>
      </c>
      <c r="M47" s="95">
        <v>1</v>
      </c>
      <c r="N47" s="95">
        <v>1</v>
      </c>
    </row>
    <row r="48" spans="1:14" x14ac:dyDescent="0.2">
      <c r="B48" s="288" t="s">
        <v>22</v>
      </c>
      <c r="C48" s="185">
        <v>1</v>
      </c>
      <c r="D48" s="95">
        <v>1</v>
      </c>
      <c r="E48" s="95">
        <v>1</v>
      </c>
      <c r="F48" s="95">
        <v>1</v>
      </c>
      <c r="G48" s="95">
        <v>1</v>
      </c>
      <c r="H48" s="95">
        <v>1</v>
      </c>
      <c r="I48" s="95">
        <v>1</v>
      </c>
      <c r="J48" s="95">
        <v>1</v>
      </c>
      <c r="K48" s="95">
        <v>1</v>
      </c>
      <c r="L48" s="95">
        <v>1</v>
      </c>
      <c r="M48" s="95">
        <v>1</v>
      </c>
      <c r="N48" s="95">
        <v>1</v>
      </c>
    </row>
    <row r="49" spans="1:14" x14ac:dyDescent="0.2">
      <c r="B49" s="288" t="s">
        <v>57</v>
      </c>
      <c r="C49" s="185">
        <v>1</v>
      </c>
      <c r="D49" s="95">
        <v>1</v>
      </c>
      <c r="E49" s="95">
        <v>1</v>
      </c>
      <c r="F49" s="95">
        <v>1</v>
      </c>
      <c r="G49" s="95">
        <v>1</v>
      </c>
      <c r="H49" s="95">
        <v>1</v>
      </c>
      <c r="I49" s="95">
        <v>1</v>
      </c>
      <c r="J49" s="95">
        <v>1</v>
      </c>
      <c r="K49" s="95">
        <v>1</v>
      </c>
      <c r="L49" s="95">
        <v>1</v>
      </c>
      <c r="M49" s="95">
        <v>1</v>
      </c>
      <c r="N49" s="95">
        <v>1</v>
      </c>
    </row>
    <row r="50" spans="1:14" x14ac:dyDescent="0.2">
      <c r="B50" s="288" t="s">
        <v>58</v>
      </c>
      <c r="C50" s="185">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288" t="s">
        <v>59</v>
      </c>
      <c r="C52" s="93">
        <f>+C65/C37</f>
        <v>0.99999999999999978</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312" t="s">
        <v>62</v>
      </c>
      <c r="L54" s="93"/>
      <c r="N54" s="95"/>
    </row>
    <row r="55" spans="1:14" x14ac:dyDescent="0.2">
      <c r="B55" s="288" t="s">
        <v>24</v>
      </c>
      <c r="C55" s="75">
        <f t="shared" ref="C55:N55" si="26">+C27*C41</f>
        <v>5.1070500000000001</v>
      </c>
      <c r="D55" s="75">
        <f t="shared" si="26"/>
        <v>5.3079000000000001</v>
      </c>
      <c r="E55" s="75">
        <f t="shared" si="26"/>
        <v>4.5045000000000002</v>
      </c>
      <c r="F55" s="75">
        <f t="shared" si="26"/>
        <v>5.5594500000000009</v>
      </c>
      <c r="G55" s="75">
        <f t="shared" si="26"/>
        <v>5.5809000000000006</v>
      </c>
      <c r="H55" s="75">
        <f t="shared" si="26"/>
        <v>5.7661500000000006</v>
      </c>
      <c r="I55" s="75">
        <f t="shared" si="26"/>
        <v>5.3527500000000003</v>
      </c>
      <c r="J55" s="75">
        <f t="shared" si="26"/>
        <v>6.3589500000000001</v>
      </c>
      <c r="K55" s="75">
        <f t="shared" si="26"/>
        <v>5.6823000000000006</v>
      </c>
      <c r="L55" s="75">
        <f t="shared" si="26"/>
        <v>4.6000500000000004</v>
      </c>
      <c r="M55" s="75">
        <f t="shared" si="26"/>
        <v>5.2981500000000006</v>
      </c>
      <c r="N55" s="75">
        <f t="shared" si="26"/>
        <v>4.6683000000000003</v>
      </c>
    </row>
    <row r="56" spans="1:14" x14ac:dyDescent="0.2">
      <c r="B56" s="288" t="s">
        <v>28</v>
      </c>
      <c r="C56" s="75">
        <f t="shared" ref="C56:N56" si="27">+C28*C42</f>
        <v>4.6670579999999999</v>
      </c>
      <c r="D56" s="75">
        <f t="shared" si="27"/>
        <v>4.8506039999999997</v>
      </c>
      <c r="E56" s="75">
        <f t="shared" si="27"/>
        <v>4.1164200000000006</v>
      </c>
      <c r="F56" s="75">
        <f t="shared" si="27"/>
        <v>5.0804819999999999</v>
      </c>
      <c r="G56" s="75">
        <f t="shared" si="27"/>
        <v>5.1000839999999998</v>
      </c>
      <c r="H56" s="75">
        <f t="shared" si="27"/>
        <v>5.269374</v>
      </c>
      <c r="I56" s="75">
        <f t="shared" si="27"/>
        <v>4.8915899999999999</v>
      </c>
      <c r="J56" s="75">
        <f t="shared" si="27"/>
        <v>5.811102</v>
      </c>
      <c r="K56" s="75">
        <f t="shared" si="27"/>
        <v>5.1927479999999999</v>
      </c>
      <c r="L56" s="75">
        <f t="shared" si="27"/>
        <v>4.2037379999999995</v>
      </c>
      <c r="M56" s="75">
        <f t="shared" si="27"/>
        <v>4.8416940000000004</v>
      </c>
      <c r="N56" s="75">
        <f t="shared" si="27"/>
        <v>4.266108</v>
      </c>
    </row>
    <row r="57" spans="1:14" x14ac:dyDescent="0.2">
      <c r="B57" s="288" t="s">
        <v>52</v>
      </c>
      <c r="C57" s="75">
        <f t="shared" ref="C57:N57" si="28">+C29*C43</f>
        <v>0</v>
      </c>
      <c r="D57" s="75">
        <f t="shared" si="28"/>
        <v>0</v>
      </c>
      <c r="E57" s="75">
        <f t="shared" si="28"/>
        <v>0</v>
      </c>
      <c r="F57" s="75">
        <f t="shared" si="28"/>
        <v>0</v>
      </c>
      <c r="G57" s="75">
        <f t="shared" si="28"/>
        <v>0</v>
      </c>
      <c r="H57" s="75">
        <f t="shared" si="28"/>
        <v>0</v>
      </c>
      <c r="I57" s="75">
        <f t="shared" si="28"/>
        <v>0</v>
      </c>
      <c r="J57" s="75">
        <f t="shared" si="28"/>
        <v>0</v>
      </c>
      <c r="K57" s="75">
        <f t="shared" si="28"/>
        <v>0</v>
      </c>
      <c r="L57" s="75">
        <f t="shared" si="28"/>
        <v>0</v>
      </c>
      <c r="M57" s="75">
        <f t="shared" si="28"/>
        <v>0</v>
      </c>
      <c r="N57" s="75">
        <f t="shared" si="28"/>
        <v>0</v>
      </c>
    </row>
    <row r="58" spans="1:14" x14ac:dyDescent="0.2">
      <c r="B58" s="288" t="s">
        <v>53</v>
      </c>
      <c r="C58" s="75">
        <f t="shared" ref="C58:N58" si="29">+C30*C44</f>
        <v>0.43213500000000005</v>
      </c>
      <c r="D58" s="75">
        <f t="shared" si="29"/>
        <v>0.44913000000000003</v>
      </c>
      <c r="E58" s="75">
        <f t="shared" si="29"/>
        <v>0.38115000000000004</v>
      </c>
      <c r="F58" s="75">
        <f t="shared" si="29"/>
        <v>0.47041500000000003</v>
      </c>
      <c r="G58" s="75">
        <f t="shared" si="29"/>
        <v>0.47223000000000004</v>
      </c>
      <c r="H58" s="75">
        <f t="shared" si="29"/>
        <v>0.48790500000000003</v>
      </c>
      <c r="I58" s="75">
        <f t="shared" si="29"/>
        <v>0.45292500000000002</v>
      </c>
      <c r="J58" s="75">
        <f t="shared" si="29"/>
        <v>0.53806500000000002</v>
      </c>
      <c r="K58" s="75">
        <f t="shared" si="29"/>
        <v>0.48081000000000002</v>
      </c>
      <c r="L58" s="75">
        <f t="shared" si="29"/>
        <v>0.389235</v>
      </c>
      <c r="M58" s="75">
        <f t="shared" si="29"/>
        <v>0.44830500000000006</v>
      </c>
      <c r="N58" s="75">
        <f t="shared" si="29"/>
        <v>0.39501000000000003</v>
      </c>
    </row>
    <row r="59" spans="1:14" x14ac:dyDescent="0.2">
      <c r="B59" s="288" t="s">
        <v>54</v>
      </c>
      <c r="C59" s="75">
        <f t="shared" ref="C59:N59" si="30">+C31*C45</f>
        <v>1.1759310000000001</v>
      </c>
      <c r="D59" s="75">
        <f t="shared" si="30"/>
        <v>1.222178</v>
      </c>
      <c r="E59" s="75">
        <f t="shared" si="30"/>
        <v>1.0371900000000001</v>
      </c>
      <c r="F59" s="75">
        <f t="shared" si="30"/>
        <v>1.2800990000000001</v>
      </c>
      <c r="G59" s="75">
        <f t="shared" si="30"/>
        <v>1.2850380000000001</v>
      </c>
      <c r="H59" s="75">
        <f t="shared" si="30"/>
        <v>1.327693</v>
      </c>
      <c r="I59" s="75">
        <f t="shared" si="30"/>
        <v>1.232505</v>
      </c>
      <c r="J59" s="75">
        <f t="shared" si="30"/>
        <v>1.464189</v>
      </c>
      <c r="K59" s="75">
        <f t="shared" si="30"/>
        <v>1.308386</v>
      </c>
      <c r="L59" s="75">
        <f t="shared" si="30"/>
        <v>1.059191</v>
      </c>
      <c r="M59" s="75">
        <f t="shared" si="30"/>
        <v>1.2199330000000002</v>
      </c>
      <c r="N59" s="75">
        <f t="shared" si="30"/>
        <v>1.0749060000000001</v>
      </c>
    </row>
    <row r="60" spans="1:14" x14ac:dyDescent="0.2">
      <c r="B60" s="288" t="s">
        <v>55</v>
      </c>
      <c r="C60" s="96">
        <f t="shared" ref="C60:N60" si="31">+C32*C46</f>
        <v>0.19642499999999999</v>
      </c>
      <c r="D60" s="96">
        <f t="shared" si="31"/>
        <v>0.20414999999999997</v>
      </c>
      <c r="E60" s="96">
        <f t="shared" si="31"/>
        <v>0.17325000000000002</v>
      </c>
      <c r="F60" s="96">
        <f t="shared" si="31"/>
        <v>0.21382500000000002</v>
      </c>
      <c r="G60" s="96">
        <f t="shared" si="31"/>
        <v>0.21465000000000001</v>
      </c>
      <c r="H60" s="96">
        <f t="shared" si="31"/>
        <v>0.221775</v>
      </c>
      <c r="I60" s="96">
        <f t="shared" si="31"/>
        <v>0.20587499999999997</v>
      </c>
      <c r="J60" s="96">
        <f t="shared" si="31"/>
        <v>0.24457499999999999</v>
      </c>
      <c r="K60" s="96">
        <f t="shared" si="31"/>
        <v>0.21854999999999999</v>
      </c>
      <c r="L60" s="96">
        <f t="shared" si="31"/>
        <v>0.176925</v>
      </c>
      <c r="M60" s="96">
        <f t="shared" si="31"/>
        <v>0.20377500000000001</v>
      </c>
      <c r="N60" s="96">
        <f t="shared" si="31"/>
        <v>0.17955000000000002</v>
      </c>
    </row>
    <row r="61" spans="1:14" x14ac:dyDescent="0.2">
      <c r="B61" s="288" t="s">
        <v>56</v>
      </c>
      <c r="C61" s="75">
        <f t="shared" ref="C61:N61" si="32">+C33*C47</f>
        <v>0</v>
      </c>
      <c r="D61" s="75">
        <f t="shared" si="32"/>
        <v>0</v>
      </c>
      <c r="E61" s="75">
        <f t="shared" si="32"/>
        <v>0</v>
      </c>
      <c r="F61" s="75">
        <f t="shared" si="32"/>
        <v>0</v>
      </c>
      <c r="G61" s="75">
        <f t="shared" si="32"/>
        <v>0</v>
      </c>
      <c r="H61" s="75">
        <f t="shared" si="32"/>
        <v>0</v>
      </c>
      <c r="I61" s="75">
        <f t="shared" si="32"/>
        <v>0</v>
      </c>
      <c r="J61" s="75">
        <f t="shared" si="32"/>
        <v>0</v>
      </c>
      <c r="K61" s="75">
        <f t="shared" si="32"/>
        <v>0</v>
      </c>
      <c r="L61" s="75">
        <f t="shared" si="32"/>
        <v>0</v>
      </c>
      <c r="M61" s="75">
        <f t="shared" si="32"/>
        <v>0</v>
      </c>
      <c r="N61" s="75">
        <f t="shared" si="32"/>
        <v>0</v>
      </c>
    </row>
    <row r="62" spans="1:14" x14ac:dyDescent="0.2">
      <c r="B62" s="288" t="s">
        <v>49</v>
      </c>
      <c r="C62" s="75">
        <f t="shared" ref="C62:N62" si="33">+C34*C48</f>
        <v>4.6303920000000005</v>
      </c>
      <c r="D62" s="75">
        <f t="shared" si="33"/>
        <v>4.8124960000000003</v>
      </c>
      <c r="E62" s="75">
        <f t="shared" si="33"/>
        <v>4.0840800000000002</v>
      </c>
      <c r="F62" s="75">
        <f t="shared" si="33"/>
        <v>5.0405680000000004</v>
      </c>
      <c r="G62" s="75">
        <f t="shared" si="33"/>
        <v>5.060016000000001</v>
      </c>
      <c r="H62" s="75">
        <f t="shared" si="33"/>
        <v>5.2279760000000008</v>
      </c>
      <c r="I62" s="75">
        <f t="shared" si="33"/>
        <v>4.8531599999999999</v>
      </c>
      <c r="J62" s="75">
        <f t="shared" si="33"/>
        <v>5.7654480000000001</v>
      </c>
      <c r="K62" s="75">
        <f t="shared" si="33"/>
        <v>5.1519520000000005</v>
      </c>
      <c r="L62" s="75">
        <f t="shared" si="33"/>
        <v>4.170712</v>
      </c>
      <c r="M62" s="75">
        <f t="shared" si="33"/>
        <v>4.803656000000001</v>
      </c>
      <c r="N62" s="75">
        <f t="shared" si="33"/>
        <v>4.2325920000000004</v>
      </c>
    </row>
    <row r="63" spans="1:14" x14ac:dyDescent="0.2">
      <c r="B63" s="288" t="s">
        <v>57</v>
      </c>
      <c r="C63" s="75">
        <f t="shared" ref="C63:N63" si="34">+C35*C49</f>
        <v>0</v>
      </c>
      <c r="D63" s="75">
        <f t="shared" si="34"/>
        <v>0</v>
      </c>
      <c r="E63" s="75">
        <f t="shared" si="34"/>
        <v>0</v>
      </c>
      <c r="F63" s="75">
        <f t="shared" si="34"/>
        <v>0</v>
      </c>
      <c r="G63" s="75">
        <f t="shared" si="34"/>
        <v>0</v>
      </c>
      <c r="H63" s="75">
        <f t="shared" si="34"/>
        <v>0</v>
      </c>
      <c r="I63" s="75">
        <f t="shared" si="34"/>
        <v>0</v>
      </c>
      <c r="J63" s="75">
        <f t="shared" si="34"/>
        <v>0</v>
      </c>
      <c r="K63" s="75">
        <f t="shared" si="34"/>
        <v>0</v>
      </c>
      <c r="L63" s="75">
        <f t="shared" si="34"/>
        <v>0</v>
      </c>
      <c r="M63" s="75">
        <f t="shared" si="34"/>
        <v>0</v>
      </c>
      <c r="N63" s="75">
        <f t="shared" si="34"/>
        <v>0</v>
      </c>
    </row>
    <row r="64" spans="1:14" x14ac:dyDescent="0.2">
      <c r="B64" s="288" t="s">
        <v>58</v>
      </c>
      <c r="C64" s="75">
        <f t="shared" ref="C64:N64" si="35">+C36*C50</f>
        <v>1.5530670000000035</v>
      </c>
      <c r="D64" s="75">
        <f t="shared" si="35"/>
        <v>1.6141460000000034</v>
      </c>
      <c r="E64" s="75">
        <f t="shared" si="35"/>
        <v>1.369830000000003</v>
      </c>
      <c r="F64" s="75">
        <f t="shared" si="35"/>
        <v>1.6906430000000039</v>
      </c>
      <c r="G64" s="75">
        <f t="shared" si="35"/>
        <v>1.6971660000000037</v>
      </c>
      <c r="H64" s="75">
        <f t="shared" si="35"/>
        <v>1.753501000000004</v>
      </c>
      <c r="I64" s="75">
        <f t="shared" si="35"/>
        <v>1.6277850000000036</v>
      </c>
      <c r="J64" s="75">
        <f t="shared" si="35"/>
        <v>1.9337730000000042</v>
      </c>
      <c r="K64" s="75">
        <f t="shared" si="35"/>
        <v>1.7280020000000038</v>
      </c>
      <c r="L64" s="75">
        <f t="shared" si="35"/>
        <v>1.3988870000000031</v>
      </c>
      <c r="M64" s="75">
        <f t="shared" si="35"/>
        <v>1.6111810000000037</v>
      </c>
      <c r="N64" s="75">
        <f t="shared" si="35"/>
        <v>1.4196420000000032</v>
      </c>
    </row>
    <row r="65" spans="1:17" x14ac:dyDescent="0.2">
      <c r="B65" s="288" t="s">
        <v>59</v>
      </c>
      <c r="C65" s="90">
        <f t="shared" ref="C65:N65" si="36">+C7-SUM(C55:C64)</f>
        <v>8.427941999999998</v>
      </c>
      <c r="D65" s="90">
        <f t="shared" si="36"/>
        <v>8.7593959999999953</v>
      </c>
      <c r="E65" s="90">
        <f t="shared" si="36"/>
        <v>7.4335799999999956</v>
      </c>
      <c r="F65" s="90">
        <f t="shared" si="36"/>
        <v>9.1745179999999955</v>
      </c>
      <c r="G65" s="90">
        <f t="shared" si="36"/>
        <v>9.2099159999999962</v>
      </c>
      <c r="H65" s="90">
        <f t="shared" si="36"/>
        <v>9.5156259999999975</v>
      </c>
      <c r="I65" s="90">
        <f t="shared" si="36"/>
        <v>8.8334099999999935</v>
      </c>
      <c r="J65" s="90">
        <f t="shared" si="36"/>
        <v>10.493897999999994</v>
      </c>
      <c r="K65" s="90">
        <f t="shared" si="36"/>
        <v>9.377251999999995</v>
      </c>
      <c r="L65" s="90">
        <f t="shared" si="36"/>
        <v>7.5912619999999951</v>
      </c>
      <c r="M65" s="90">
        <f t="shared" si="36"/>
        <v>8.7433059999999969</v>
      </c>
      <c r="N65" s="90">
        <f t="shared" si="36"/>
        <v>7.7038919999999962</v>
      </c>
    </row>
    <row r="66" spans="1:17" x14ac:dyDescent="0.2">
      <c r="C66" s="75">
        <f t="shared" ref="C66:N66" si="37">SUM(C55:C65)</f>
        <v>26.19</v>
      </c>
      <c r="D66" s="75">
        <f t="shared" si="37"/>
        <v>27.22</v>
      </c>
      <c r="E66" s="75">
        <f t="shared" si="37"/>
        <v>23.1</v>
      </c>
      <c r="F66" s="75">
        <f t="shared" si="37"/>
        <v>28.51</v>
      </c>
      <c r="G66" s="75">
        <f t="shared" si="37"/>
        <v>28.62</v>
      </c>
      <c r="H66" s="75">
        <f t="shared" si="37"/>
        <v>29.57</v>
      </c>
      <c r="I66" s="75">
        <f t="shared" si="37"/>
        <v>27.45</v>
      </c>
      <c r="J66" s="75">
        <f t="shared" si="37"/>
        <v>32.61</v>
      </c>
      <c r="K66" s="75">
        <f t="shared" si="37"/>
        <v>29.14</v>
      </c>
      <c r="L66" s="75">
        <f t="shared" si="37"/>
        <v>23.59</v>
      </c>
      <c r="M66" s="75">
        <f t="shared" si="37"/>
        <v>27.17</v>
      </c>
      <c r="N66" s="75">
        <f t="shared" si="37"/>
        <v>23.94</v>
      </c>
    </row>
    <row r="67" spans="1:17" ht="8.1" customHeight="1" x14ac:dyDescent="0.2">
      <c r="Q67" s="313"/>
    </row>
    <row r="68" spans="1:17" x14ac:dyDescent="0.2">
      <c r="A68" s="318" t="s">
        <v>63</v>
      </c>
      <c r="E68" s="288" t="s">
        <v>116</v>
      </c>
      <c r="Q68" s="313"/>
    </row>
    <row r="69" spans="1:17" ht="12.75" x14ac:dyDescent="0.2">
      <c r="B69" s="288" t="s">
        <v>24</v>
      </c>
      <c r="C69" s="128">
        <v>72.25</v>
      </c>
      <c r="D69" s="128">
        <v>75.63</v>
      </c>
      <c r="E69" s="128">
        <v>83.6</v>
      </c>
      <c r="F69" s="128">
        <v>93.37</v>
      </c>
      <c r="G69" s="317">
        <v>90.66</v>
      </c>
      <c r="H69" s="317">
        <v>88.47</v>
      </c>
      <c r="I69" s="128">
        <v>91.42</v>
      </c>
      <c r="J69" s="128">
        <v>90.152999999999992</v>
      </c>
      <c r="K69" s="128">
        <v>94.086999999999989</v>
      </c>
      <c r="L69" s="128">
        <v>111.29300000000001</v>
      </c>
      <c r="M69" s="128">
        <v>106.428</v>
      </c>
      <c r="N69" s="128">
        <v>61.02</v>
      </c>
      <c r="Q69" s="304"/>
    </row>
    <row r="70" spans="1:17" ht="12.75" x14ac:dyDescent="0.2">
      <c r="B70" s="288" t="s">
        <v>28</v>
      </c>
      <c r="C70" s="128">
        <v>87.8</v>
      </c>
      <c r="D70" s="128">
        <v>90.36</v>
      </c>
      <c r="E70" s="128">
        <v>101.52</v>
      </c>
      <c r="F70" s="128">
        <v>110.76</v>
      </c>
      <c r="G70" s="317">
        <v>99.86</v>
      </c>
      <c r="H70" s="317">
        <v>103.64</v>
      </c>
      <c r="I70" s="128">
        <v>110.66</v>
      </c>
      <c r="J70" s="128">
        <v>112.602</v>
      </c>
      <c r="K70" s="128">
        <v>119.57399999999998</v>
      </c>
      <c r="L70" s="128">
        <v>141.428</v>
      </c>
      <c r="M70" s="128">
        <v>156.905</v>
      </c>
      <c r="N70" s="128">
        <v>118.99</v>
      </c>
      <c r="Q70" s="304"/>
    </row>
    <row r="71" spans="1:17" x14ac:dyDescent="0.2">
      <c r="B71" s="288" t="s">
        <v>52</v>
      </c>
      <c r="C71" s="128">
        <v>0</v>
      </c>
      <c r="D71" s="128"/>
      <c r="E71" s="128"/>
      <c r="F71" s="128"/>
      <c r="G71" s="317"/>
      <c r="H71" s="317"/>
      <c r="I71" s="128"/>
      <c r="J71" s="128"/>
      <c r="K71" s="128"/>
      <c r="L71" s="128"/>
      <c r="M71" s="128"/>
      <c r="N71" s="128"/>
    </row>
    <row r="72" spans="1:17" x14ac:dyDescent="0.2">
      <c r="B72" s="288" t="s">
        <v>53</v>
      </c>
      <c r="C72" s="128">
        <v>73.930000000000007</v>
      </c>
      <c r="D72" s="128">
        <v>64.900000000000006</v>
      </c>
      <c r="E72" s="128">
        <v>58.33</v>
      </c>
      <c r="F72" s="128">
        <v>59.25</v>
      </c>
      <c r="G72" s="317">
        <v>59.29</v>
      </c>
      <c r="H72" s="317">
        <v>52.472000000000001</v>
      </c>
      <c r="I72" s="128">
        <v>66.003</v>
      </c>
      <c r="J72" s="128">
        <v>67.542999999999992</v>
      </c>
      <c r="K72" s="128">
        <v>82.466999999999999</v>
      </c>
      <c r="L72" s="128">
        <v>73.513999999999996</v>
      </c>
      <c r="M72" s="128">
        <v>89.299000000000007</v>
      </c>
      <c r="N72" s="128">
        <v>77.78</v>
      </c>
    </row>
    <row r="73" spans="1:17" x14ac:dyDescent="0.2">
      <c r="B73" s="288" t="s">
        <v>54</v>
      </c>
      <c r="C73" s="128">
        <v>133.80000000000001</v>
      </c>
      <c r="D73" s="128">
        <v>129.44999999999999</v>
      </c>
      <c r="E73" s="128">
        <v>134.41</v>
      </c>
      <c r="F73" s="128">
        <v>130.41999999999999</v>
      </c>
      <c r="G73" s="317">
        <v>110.89</v>
      </c>
      <c r="H73" s="317">
        <v>100.65</v>
      </c>
      <c r="I73" s="128">
        <v>107.11</v>
      </c>
      <c r="J73" s="128">
        <v>99.483999999999995</v>
      </c>
      <c r="K73" s="128">
        <v>111.96499999999999</v>
      </c>
      <c r="L73" s="128">
        <v>125.03399999999999</v>
      </c>
      <c r="M73" s="128">
        <v>108.983</v>
      </c>
      <c r="N73" s="128">
        <v>100.86</v>
      </c>
    </row>
    <row r="74" spans="1:17" x14ac:dyDescent="0.2">
      <c r="B74" s="288" t="s">
        <v>55</v>
      </c>
      <c r="C74" s="128">
        <v>798</v>
      </c>
      <c r="D74" s="128">
        <v>778.7</v>
      </c>
      <c r="E74" s="128">
        <v>777</v>
      </c>
      <c r="F74" s="128">
        <v>798</v>
      </c>
      <c r="G74" s="317">
        <v>784</v>
      </c>
      <c r="H74" s="317">
        <v>812</v>
      </c>
      <c r="I74" s="128">
        <v>836.49</v>
      </c>
      <c r="J74" s="128">
        <v>863.56899999999996</v>
      </c>
      <c r="K74" s="128">
        <v>886.43799999999987</v>
      </c>
      <c r="L74" s="128">
        <v>939.42799999999988</v>
      </c>
      <c r="M74" s="128">
        <v>960.31600000000003</v>
      </c>
      <c r="N74" s="128">
        <v>947.87</v>
      </c>
    </row>
    <row r="75" spans="1:17" x14ac:dyDescent="0.2">
      <c r="B75" s="288" t="s">
        <v>56</v>
      </c>
      <c r="C75" s="128">
        <v>0</v>
      </c>
      <c r="D75" s="128"/>
      <c r="E75" s="128"/>
      <c r="F75" s="128"/>
      <c r="G75" s="317"/>
      <c r="H75" s="317"/>
      <c r="I75" s="128"/>
      <c r="J75" s="128"/>
      <c r="K75" s="128"/>
      <c r="L75" s="128"/>
      <c r="M75" s="128"/>
      <c r="N75" s="128"/>
    </row>
    <row r="76" spans="1:17" x14ac:dyDescent="0.2">
      <c r="B76" s="288" t="s">
        <v>49</v>
      </c>
      <c r="C76" s="128">
        <v>-2.2000000000000002</v>
      </c>
      <c r="D76" s="128">
        <v>-7.81</v>
      </c>
      <c r="E76" s="128">
        <v>-8.0299999999999994</v>
      </c>
      <c r="F76" s="128">
        <v>-1.52</v>
      </c>
      <c r="G76" s="317">
        <v>-5.91</v>
      </c>
      <c r="H76" s="317">
        <v>-6.71</v>
      </c>
      <c r="I76" s="128">
        <v>-16.34</v>
      </c>
      <c r="J76" s="128">
        <v>-19.71</v>
      </c>
      <c r="K76" s="128">
        <v>-11</v>
      </c>
      <c r="L76" s="128">
        <v>-10.55</v>
      </c>
      <c r="M76" s="128">
        <v>-10.44</v>
      </c>
      <c r="N76" s="128">
        <v>-10.45</v>
      </c>
    </row>
    <row r="77" spans="1:17" x14ac:dyDescent="0.2">
      <c r="B77" s="288" t="s">
        <v>57</v>
      </c>
      <c r="C77" s="128">
        <v>-120.17</v>
      </c>
      <c r="D77" s="128">
        <v>-120.17</v>
      </c>
      <c r="E77" s="128">
        <v>-120.17</v>
      </c>
      <c r="F77" s="128">
        <v>-120.17</v>
      </c>
      <c r="G77" s="317">
        <v>-120.17</v>
      </c>
      <c r="H77" s="317">
        <v>-120.17</v>
      </c>
      <c r="I77" s="128">
        <v>-120.17</v>
      </c>
      <c r="J77" s="128">
        <v>-120.17</v>
      </c>
      <c r="K77" s="128">
        <v>-120.17</v>
      </c>
      <c r="L77" s="128">
        <v>-120.17</v>
      </c>
      <c r="M77" s="128">
        <v>-134.59</v>
      </c>
      <c r="N77" s="128">
        <v>-134.59</v>
      </c>
    </row>
    <row r="78" spans="1:17" x14ac:dyDescent="0.2">
      <c r="B78" s="288" t="s">
        <v>58</v>
      </c>
      <c r="C78" s="128">
        <v>-120.17</v>
      </c>
      <c r="D78" s="128">
        <v>-120.17</v>
      </c>
      <c r="E78" s="128">
        <v>-120.17</v>
      </c>
      <c r="F78" s="128">
        <v>-120.17</v>
      </c>
      <c r="G78" s="317">
        <v>-120.17</v>
      </c>
      <c r="H78" s="317">
        <v>-120.17</v>
      </c>
      <c r="I78" s="128">
        <v>-120.17</v>
      </c>
      <c r="J78" s="128">
        <v>-120.17</v>
      </c>
      <c r="K78" s="128">
        <v>-120.17</v>
      </c>
      <c r="L78" s="128">
        <v>-120.17</v>
      </c>
      <c r="M78" s="128">
        <v>-134.59</v>
      </c>
      <c r="N78" s="128">
        <v>-134.59</v>
      </c>
    </row>
    <row r="79" spans="1:17" x14ac:dyDescent="0.2">
      <c r="B79" s="288" t="s">
        <v>59</v>
      </c>
      <c r="C79" s="128">
        <v>69.38</v>
      </c>
      <c r="D79" s="128">
        <v>71.97</v>
      </c>
      <c r="E79" s="128">
        <v>78.17</v>
      </c>
      <c r="F79" s="128">
        <v>87.47</v>
      </c>
      <c r="G79" s="317">
        <v>77.81</v>
      </c>
      <c r="H79" s="317">
        <v>76.42</v>
      </c>
      <c r="I79" s="128">
        <v>81.59</v>
      </c>
      <c r="J79" s="128">
        <v>85.945999999999998</v>
      </c>
      <c r="K79" s="128">
        <v>80.394999999999996</v>
      </c>
      <c r="L79" s="128">
        <v>103.03299999999999</v>
      </c>
      <c r="M79" s="128">
        <v>102.494</v>
      </c>
      <c r="N79" s="128">
        <v>54.15</v>
      </c>
      <c r="O79" s="315">
        <f>SUM(C69:N79)</f>
        <v>12728.522999999996</v>
      </c>
    </row>
    <row r="80" spans="1:17" ht="8.1" customHeight="1" x14ac:dyDescent="0.2"/>
    <row r="81" spans="1:16" x14ac:dyDescent="0.2">
      <c r="A81" s="312" t="s">
        <v>64</v>
      </c>
    </row>
    <row r="82" spans="1:16" x14ac:dyDescent="0.2">
      <c r="B82" s="288" t="s">
        <v>24</v>
      </c>
      <c r="C82" s="98">
        <f t="shared" ref="C82:E83" si="38">C69*C55</f>
        <v>368.98436250000003</v>
      </c>
      <c r="D82" s="98">
        <f t="shared" si="38"/>
        <v>401.43647699999997</v>
      </c>
      <c r="E82" s="98">
        <f t="shared" si="38"/>
        <v>376.57619999999997</v>
      </c>
      <c r="F82" s="75">
        <f t="shared" ref="F82:N82" si="39">+F69*F55</f>
        <v>519.08584650000012</v>
      </c>
      <c r="G82" s="75">
        <f t="shared" si="39"/>
        <v>505.96439400000003</v>
      </c>
      <c r="H82" s="75">
        <f t="shared" si="39"/>
        <v>510.13129050000003</v>
      </c>
      <c r="I82" s="75">
        <f t="shared" si="39"/>
        <v>489.34840500000001</v>
      </c>
      <c r="J82" s="75">
        <f t="shared" si="39"/>
        <v>573.27841934999992</v>
      </c>
      <c r="K82" s="75">
        <f t="shared" si="39"/>
        <v>534.63056010000003</v>
      </c>
      <c r="L82" s="75">
        <f t="shared" si="39"/>
        <v>511.95336465000008</v>
      </c>
      <c r="M82" s="75">
        <f t="shared" si="39"/>
        <v>563.87150819999999</v>
      </c>
      <c r="N82" s="75">
        <f t="shared" si="39"/>
        <v>284.85966600000006</v>
      </c>
      <c r="O82" s="315">
        <f t="shared" ref="O82:O93" si="40">SUM(C82:N82)</f>
        <v>5640.120493800001</v>
      </c>
    </row>
    <row r="83" spans="1:16" x14ac:dyDescent="0.2">
      <c r="B83" s="288" t="s">
        <v>28</v>
      </c>
      <c r="C83" s="98">
        <f t="shared" si="38"/>
        <v>409.76769239999999</v>
      </c>
      <c r="D83" s="98">
        <f t="shared" si="38"/>
        <v>438.30057743999998</v>
      </c>
      <c r="E83" s="98">
        <f t="shared" si="38"/>
        <v>417.89895840000003</v>
      </c>
      <c r="F83" s="75">
        <f t="shared" ref="F83:N83" si="41">+F70*F56</f>
        <v>562.71418632000007</v>
      </c>
      <c r="G83" s="75">
        <f t="shared" si="41"/>
        <v>509.29438823999999</v>
      </c>
      <c r="H83" s="75">
        <f t="shared" si="41"/>
        <v>546.11792135999997</v>
      </c>
      <c r="I83" s="75">
        <f t="shared" si="41"/>
        <v>541.3033494</v>
      </c>
      <c r="J83" s="75">
        <f t="shared" si="41"/>
        <v>654.34170740399998</v>
      </c>
      <c r="K83" s="75">
        <f t="shared" si="41"/>
        <v>620.9176493519999</v>
      </c>
      <c r="L83" s="75">
        <f t="shared" si="41"/>
        <v>594.52625786399994</v>
      </c>
      <c r="M83" s="75">
        <f t="shared" si="41"/>
        <v>759.6859970700001</v>
      </c>
      <c r="N83" s="75">
        <f t="shared" si="41"/>
        <v>507.62419091999999</v>
      </c>
      <c r="O83" s="315">
        <f t="shared" si="40"/>
        <v>6562.4928761699985</v>
      </c>
    </row>
    <row r="84" spans="1:16" x14ac:dyDescent="0.2">
      <c r="B84" s="288" t="s">
        <v>52</v>
      </c>
      <c r="C84" s="98">
        <f t="shared" ref="C84:H92" si="42">+C71*C57</f>
        <v>0</v>
      </c>
      <c r="D84" s="75">
        <f t="shared" si="42"/>
        <v>0</v>
      </c>
      <c r="E84" s="75">
        <f t="shared" si="42"/>
        <v>0</v>
      </c>
      <c r="F84" s="75">
        <f t="shared" si="42"/>
        <v>0</v>
      </c>
      <c r="G84" s="75">
        <f t="shared" si="42"/>
        <v>0</v>
      </c>
      <c r="H84" s="75">
        <f t="shared" si="42"/>
        <v>0</v>
      </c>
      <c r="I84" s="75"/>
      <c r="J84" s="75">
        <f t="shared" ref="J84:N92" si="43">+J71*J57</f>
        <v>0</v>
      </c>
      <c r="K84" s="75">
        <f t="shared" si="43"/>
        <v>0</v>
      </c>
      <c r="L84" s="75">
        <f t="shared" si="43"/>
        <v>0</v>
      </c>
      <c r="M84" s="75">
        <f t="shared" si="43"/>
        <v>0</v>
      </c>
      <c r="N84" s="75">
        <f t="shared" si="43"/>
        <v>0</v>
      </c>
      <c r="O84" s="315">
        <f t="shared" si="40"/>
        <v>0</v>
      </c>
    </row>
    <row r="85" spans="1:16" x14ac:dyDescent="0.2">
      <c r="B85" s="288" t="s">
        <v>53</v>
      </c>
      <c r="C85" s="98">
        <f t="shared" si="42"/>
        <v>31.947740550000006</v>
      </c>
      <c r="D85" s="98">
        <f t="shared" si="42"/>
        <v>29.148537000000005</v>
      </c>
      <c r="E85" s="98">
        <f t="shared" si="42"/>
        <v>22.2324795</v>
      </c>
      <c r="F85" s="75">
        <f t="shared" si="42"/>
        <v>27.872088750000003</v>
      </c>
      <c r="G85" s="75">
        <f t="shared" si="42"/>
        <v>27.998516700000003</v>
      </c>
      <c r="H85" s="75">
        <f t="shared" si="42"/>
        <v>25.601351160000004</v>
      </c>
      <c r="I85" s="75">
        <f>+I72*I58</f>
        <v>29.894408775000002</v>
      </c>
      <c r="J85" s="75">
        <f t="shared" si="43"/>
        <v>36.342524294999997</v>
      </c>
      <c r="K85" s="75">
        <f t="shared" si="43"/>
        <v>39.650958270000004</v>
      </c>
      <c r="L85" s="75">
        <f t="shared" si="43"/>
        <v>28.614221789999998</v>
      </c>
      <c r="M85" s="75">
        <f t="shared" si="43"/>
        <v>40.033188195000008</v>
      </c>
      <c r="N85" s="75">
        <f t="shared" si="43"/>
        <v>30.723877800000004</v>
      </c>
      <c r="O85" s="315">
        <f t="shared" si="40"/>
        <v>370.05989278500005</v>
      </c>
    </row>
    <row r="86" spans="1:16" x14ac:dyDescent="0.2">
      <c r="B86" s="288" t="s">
        <v>54</v>
      </c>
      <c r="C86" s="98">
        <f t="shared" si="42"/>
        <v>157.33956780000003</v>
      </c>
      <c r="D86" s="98">
        <f t="shared" si="42"/>
        <v>158.21094209999998</v>
      </c>
      <c r="E86" s="98">
        <f t="shared" si="42"/>
        <v>139.4087079</v>
      </c>
      <c r="F86" s="75">
        <f t="shared" si="42"/>
        <v>166.95051157999998</v>
      </c>
      <c r="G86" s="75">
        <f t="shared" si="42"/>
        <v>142.49786382000002</v>
      </c>
      <c r="H86" s="75">
        <f t="shared" si="42"/>
        <v>133.63230045</v>
      </c>
      <c r="I86" s="75">
        <f>+I73*I59</f>
        <v>132.01361054999998</v>
      </c>
      <c r="J86" s="75">
        <f t="shared" si="43"/>
        <v>145.66337847599999</v>
      </c>
      <c r="K86" s="75">
        <f t="shared" si="43"/>
        <v>146.49343848999999</v>
      </c>
      <c r="L86" s="75">
        <f t="shared" si="43"/>
        <v>132.43488749399998</v>
      </c>
      <c r="M86" s="75">
        <f t="shared" si="43"/>
        <v>132.95195813900003</v>
      </c>
      <c r="N86" s="75">
        <f t="shared" si="43"/>
        <v>108.41501916000001</v>
      </c>
      <c r="O86" s="315">
        <f t="shared" si="40"/>
        <v>1696.0121859589999</v>
      </c>
    </row>
    <row r="87" spans="1:16" x14ac:dyDescent="0.2">
      <c r="B87" s="288" t="s">
        <v>55</v>
      </c>
      <c r="C87" s="98">
        <f t="shared" si="42"/>
        <v>156.74715</v>
      </c>
      <c r="D87" s="98">
        <f t="shared" si="42"/>
        <v>158.97160499999998</v>
      </c>
      <c r="E87" s="98">
        <f t="shared" si="42"/>
        <v>134.61525</v>
      </c>
      <c r="F87" s="75">
        <f t="shared" si="42"/>
        <v>170.63235</v>
      </c>
      <c r="G87" s="75">
        <f t="shared" si="42"/>
        <v>168.28560000000002</v>
      </c>
      <c r="H87" s="75">
        <f t="shared" si="42"/>
        <v>180.0813</v>
      </c>
      <c r="I87" s="75">
        <f>+I74*I60</f>
        <v>172.21237874999997</v>
      </c>
      <c r="J87" s="75">
        <f t="shared" si="43"/>
        <v>211.20738817499998</v>
      </c>
      <c r="K87" s="75">
        <f t="shared" si="43"/>
        <v>193.73102489999997</v>
      </c>
      <c r="L87" s="75">
        <f t="shared" si="43"/>
        <v>166.20829889999999</v>
      </c>
      <c r="M87" s="75">
        <f t="shared" si="43"/>
        <v>195.68839290000003</v>
      </c>
      <c r="N87" s="75">
        <f t="shared" si="43"/>
        <v>170.19005850000002</v>
      </c>
      <c r="O87" s="315">
        <f t="shared" si="40"/>
        <v>2078.5707971249999</v>
      </c>
    </row>
    <row r="88" spans="1:16" x14ac:dyDescent="0.2">
      <c r="B88" s="288" t="s">
        <v>56</v>
      </c>
      <c r="C88" s="98">
        <f t="shared" si="42"/>
        <v>0</v>
      </c>
      <c r="D88" s="75">
        <f t="shared" si="42"/>
        <v>0</v>
      </c>
      <c r="E88" s="75">
        <f t="shared" si="42"/>
        <v>0</v>
      </c>
      <c r="F88" s="75">
        <f t="shared" si="42"/>
        <v>0</v>
      </c>
      <c r="G88" s="75">
        <f t="shared" si="42"/>
        <v>0</v>
      </c>
      <c r="H88" s="75">
        <f t="shared" si="42"/>
        <v>0</v>
      </c>
      <c r="I88" s="75"/>
      <c r="J88" s="75">
        <f t="shared" si="43"/>
        <v>0</v>
      </c>
      <c r="K88" s="75">
        <f t="shared" si="43"/>
        <v>0</v>
      </c>
      <c r="L88" s="75">
        <f t="shared" si="43"/>
        <v>0</v>
      </c>
      <c r="M88" s="75">
        <f t="shared" si="43"/>
        <v>0</v>
      </c>
      <c r="N88" s="75">
        <f t="shared" si="43"/>
        <v>0</v>
      </c>
      <c r="O88" s="315">
        <f t="shared" si="40"/>
        <v>0</v>
      </c>
    </row>
    <row r="89" spans="1:16" x14ac:dyDescent="0.2">
      <c r="B89" s="288" t="s">
        <v>49</v>
      </c>
      <c r="C89" s="98">
        <f t="shared" si="42"/>
        <v>-10.186862400000003</v>
      </c>
      <c r="D89" s="98">
        <f t="shared" si="42"/>
        <v>-37.585593760000002</v>
      </c>
      <c r="E89" s="98">
        <f t="shared" si="42"/>
        <v>-32.795162399999995</v>
      </c>
      <c r="F89" s="75">
        <f t="shared" si="42"/>
        <v>-7.6616633600000004</v>
      </c>
      <c r="G89" s="75">
        <f t="shared" si="42"/>
        <v>-29.904694560000006</v>
      </c>
      <c r="H89" s="75">
        <f t="shared" si="42"/>
        <v>-35.079718960000008</v>
      </c>
      <c r="I89" s="75">
        <f>+I76*I62</f>
        <v>-79.300634399999993</v>
      </c>
      <c r="J89" s="75">
        <f t="shared" si="43"/>
        <v>-113.63698008</v>
      </c>
      <c r="K89" s="75">
        <f t="shared" si="43"/>
        <v>-56.671472000000009</v>
      </c>
      <c r="L89" s="75">
        <f t="shared" si="43"/>
        <v>-44.001011600000005</v>
      </c>
      <c r="M89" s="75">
        <f t="shared" si="43"/>
        <v>-50.150168640000011</v>
      </c>
      <c r="N89" s="75">
        <f t="shared" si="43"/>
        <v>-44.2305864</v>
      </c>
      <c r="O89" s="315">
        <f t="shared" si="40"/>
        <v>-541.20454856000003</v>
      </c>
    </row>
    <row r="90" spans="1:16" x14ac:dyDescent="0.2">
      <c r="B90" s="288" t="s">
        <v>57</v>
      </c>
      <c r="C90" s="98">
        <f t="shared" si="42"/>
        <v>0</v>
      </c>
      <c r="D90" s="75">
        <f t="shared" si="42"/>
        <v>0</v>
      </c>
      <c r="E90" s="75">
        <f t="shared" si="42"/>
        <v>0</v>
      </c>
      <c r="F90" s="75">
        <f t="shared" si="42"/>
        <v>0</v>
      </c>
      <c r="G90" s="75">
        <f t="shared" si="42"/>
        <v>0</v>
      </c>
      <c r="H90" s="75">
        <f t="shared" si="42"/>
        <v>0</v>
      </c>
      <c r="I90" s="75">
        <f>+I77*I63</f>
        <v>0</v>
      </c>
      <c r="J90" s="75">
        <f t="shared" si="43"/>
        <v>0</v>
      </c>
      <c r="K90" s="75">
        <f t="shared" si="43"/>
        <v>0</v>
      </c>
      <c r="L90" s="75">
        <f t="shared" si="43"/>
        <v>0</v>
      </c>
      <c r="M90" s="75">
        <f t="shared" si="43"/>
        <v>0</v>
      </c>
      <c r="N90" s="75">
        <f t="shared" si="43"/>
        <v>0</v>
      </c>
      <c r="O90" s="315">
        <f t="shared" si="40"/>
        <v>0</v>
      </c>
    </row>
    <row r="91" spans="1:16" x14ac:dyDescent="0.2">
      <c r="B91" s="288" t="s">
        <v>58</v>
      </c>
      <c r="C91" s="98">
        <f t="shared" si="42"/>
        <v>-186.63206139000042</v>
      </c>
      <c r="D91" s="75">
        <f t="shared" si="42"/>
        <v>-193.97192482000042</v>
      </c>
      <c r="E91" s="98">
        <f t="shared" si="42"/>
        <v>-164.61247110000036</v>
      </c>
      <c r="F91" s="75">
        <f t="shared" si="42"/>
        <v>-203.16456931000047</v>
      </c>
      <c r="G91" s="75">
        <f t="shared" si="42"/>
        <v>-203.94843822000044</v>
      </c>
      <c r="H91" s="75">
        <f t="shared" si="42"/>
        <v>-210.71821517000049</v>
      </c>
      <c r="I91" s="75">
        <f>+I78*I64</f>
        <v>-195.61092345000043</v>
      </c>
      <c r="J91" s="75">
        <f t="shared" si="43"/>
        <v>-232.38150141000051</v>
      </c>
      <c r="K91" s="75">
        <f t="shared" si="43"/>
        <v>-207.65400034000047</v>
      </c>
      <c r="L91" s="75">
        <f t="shared" si="43"/>
        <v>-168.10425079000038</v>
      </c>
      <c r="M91" s="75">
        <f t="shared" si="43"/>
        <v>-216.84885079000051</v>
      </c>
      <c r="N91" s="75">
        <f t="shared" si="43"/>
        <v>-191.06961678000044</v>
      </c>
      <c r="O91" s="315">
        <f t="shared" si="40"/>
        <v>-2374.7168235700055</v>
      </c>
    </row>
    <row r="92" spans="1:16" x14ac:dyDescent="0.2">
      <c r="B92" s="288" t="s">
        <v>59</v>
      </c>
      <c r="C92" s="90">
        <f t="shared" si="42"/>
        <v>584.7306159599998</v>
      </c>
      <c r="D92" s="90">
        <f t="shared" si="42"/>
        <v>630.41373011999963</v>
      </c>
      <c r="E92" s="90">
        <f t="shared" si="42"/>
        <v>581.08294859999967</v>
      </c>
      <c r="F92" s="90">
        <f t="shared" si="42"/>
        <v>802.49508945999958</v>
      </c>
      <c r="G92" s="90">
        <f t="shared" si="42"/>
        <v>716.62356395999973</v>
      </c>
      <c r="H92" s="90">
        <f t="shared" si="42"/>
        <v>727.18413891999978</v>
      </c>
      <c r="I92" s="90">
        <f>+I79*I65</f>
        <v>720.71792189999951</v>
      </c>
      <c r="J92" s="90">
        <f t="shared" si="43"/>
        <v>901.90855750799949</v>
      </c>
      <c r="K92" s="75">
        <f t="shared" si="43"/>
        <v>753.88417453999955</v>
      </c>
      <c r="L92" s="75">
        <f t="shared" si="43"/>
        <v>782.15049764599939</v>
      </c>
      <c r="M92" s="75">
        <f t="shared" si="43"/>
        <v>896.13640516399971</v>
      </c>
      <c r="N92" s="75">
        <f t="shared" si="43"/>
        <v>417.16575179999978</v>
      </c>
      <c r="O92" s="315">
        <f t="shared" si="40"/>
        <v>8514.4933955779961</v>
      </c>
    </row>
    <row r="93" spans="1:16" x14ac:dyDescent="0.2">
      <c r="A93" s="312" t="s">
        <v>65</v>
      </c>
      <c r="B93" s="312"/>
      <c r="C93" s="187">
        <f t="shared" ref="C93:N93" si="44">SUM(C82:C92)</f>
        <v>1512.6982054199993</v>
      </c>
      <c r="D93" s="188">
        <f t="shared" si="44"/>
        <v>1584.9243500799992</v>
      </c>
      <c r="E93" s="188">
        <f t="shared" si="44"/>
        <v>1474.4069108999993</v>
      </c>
      <c r="F93" s="188">
        <f t="shared" si="44"/>
        <v>2038.9238399399997</v>
      </c>
      <c r="G93" s="188">
        <f t="shared" si="44"/>
        <v>1836.8111939399992</v>
      </c>
      <c r="H93" s="188">
        <f t="shared" si="44"/>
        <v>1876.9503682599993</v>
      </c>
      <c r="I93" s="188">
        <f t="shared" si="44"/>
        <v>1810.5785165249993</v>
      </c>
      <c r="J93" s="188">
        <f t="shared" si="44"/>
        <v>2176.7234937179987</v>
      </c>
      <c r="K93" s="189">
        <f t="shared" si="44"/>
        <v>2024.9823333119989</v>
      </c>
      <c r="L93" s="189">
        <f t="shared" si="44"/>
        <v>2003.7822659539991</v>
      </c>
      <c r="M93" s="189">
        <f t="shared" si="44"/>
        <v>2321.3684302379993</v>
      </c>
      <c r="N93" s="189">
        <f t="shared" si="44"/>
        <v>1283.6783609999995</v>
      </c>
      <c r="O93" s="315">
        <f t="shared" si="40"/>
        <v>21945.828269286987</v>
      </c>
      <c r="P93" s="315">
        <f>O93/2</f>
        <v>10972.914134643494</v>
      </c>
    </row>
    <row r="94" spans="1:16" x14ac:dyDescent="0.2">
      <c r="A94" s="312" t="s">
        <v>66</v>
      </c>
      <c r="B94" s="312"/>
      <c r="C94" s="187">
        <f t="shared" ref="C94:N94" si="45">+C93/C66</f>
        <v>57.75861799999997</v>
      </c>
      <c r="D94" s="188">
        <f t="shared" si="45"/>
        <v>58.226463999999972</v>
      </c>
      <c r="E94" s="188">
        <f t="shared" si="45"/>
        <v>63.827138999999967</v>
      </c>
      <c r="F94" s="188">
        <f t="shared" si="45"/>
        <v>71.516093999999981</v>
      </c>
      <c r="G94" s="188">
        <f t="shared" si="45"/>
        <v>64.179286999999974</v>
      </c>
      <c r="H94" s="188">
        <f t="shared" si="45"/>
        <v>63.474817999999978</v>
      </c>
      <c r="I94" s="188">
        <f t="shared" si="45"/>
        <v>65.959144499999979</v>
      </c>
      <c r="J94" s="188">
        <f t="shared" si="45"/>
        <v>66.750183799999959</v>
      </c>
      <c r="K94" s="175">
        <f t="shared" si="45"/>
        <v>69.491500799999955</v>
      </c>
      <c r="L94" s="175">
        <f t="shared" si="45"/>
        <v>84.942020599999964</v>
      </c>
      <c r="M94" s="175">
        <f t="shared" si="45"/>
        <v>85.438661399999972</v>
      </c>
      <c r="N94" s="175">
        <f t="shared" si="45"/>
        <v>53.620649999999976</v>
      </c>
      <c r="O94" s="315"/>
    </row>
    <row r="95" spans="1:16" ht="8.1" customHeight="1" x14ac:dyDescent="0.2"/>
    <row r="96" spans="1:16" x14ac:dyDescent="0.2">
      <c r="A96" s="312"/>
      <c r="C96" s="315">
        <f t="shared" ref="C96:N96" si="46">C94*0.7</f>
        <v>40.431032599999973</v>
      </c>
      <c r="D96" s="315">
        <f t="shared" si="46"/>
        <v>40.758524799999975</v>
      </c>
      <c r="E96" s="315">
        <f t="shared" si="46"/>
        <v>44.678997299999978</v>
      </c>
      <c r="F96" s="315">
        <f t="shared" si="46"/>
        <v>50.061265799999987</v>
      </c>
      <c r="G96" s="315">
        <f t="shared" si="46"/>
        <v>44.925500899999982</v>
      </c>
      <c r="H96" s="315">
        <f t="shared" si="46"/>
        <v>44.432372599999979</v>
      </c>
      <c r="I96" s="315">
        <f t="shared" si="46"/>
        <v>46.17140114999998</v>
      </c>
      <c r="J96" s="315">
        <f t="shared" si="46"/>
        <v>46.725128659999967</v>
      </c>
      <c r="K96" s="315">
        <f t="shared" si="46"/>
        <v>48.644050559999968</v>
      </c>
      <c r="L96" s="315">
        <f t="shared" si="46"/>
        <v>59.459414419999973</v>
      </c>
      <c r="M96" s="315">
        <f t="shared" si="46"/>
        <v>59.807062979999976</v>
      </c>
      <c r="N96" s="315">
        <f t="shared" si="46"/>
        <v>37.53445499999998</v>
      </c>
    </row>
    <row r="97" spans="1:14" x14ac:dyDescent="0.2">
      <c r="C97" s="102"/>
      <c r="D97" s="102"/>
      <c r="E97" s="102"/>
      <c r="F97" s="102"/>
      <c r="G97" s="102"/>
      <c r="H97" s="102"/>
      <c r="I97" s="102"/>
      <c r="J97" s="102"/>
      <c r="K97" s="102"/>
      <c r="L97" s="102"/>
      <c r="M97" s="102"/>
      <c r="N97" s="102"/>
    </row>
    <row r="98" spans="1:14" x14ac:dyDescent="0.2">
      <c r="A98" s="312"/>
      <c r="B98" s="312"/>
      <c r="C98" s="187"/>
      <c r="D98" s="187"/>
      <c r="E98" s="187"/>
      <c r="F98" s="187"/>
      <c r="G98" s="187"/>
      <c r="H98" s="187"/>
      <c r="I98" s="187"/>
      <c r="J98" s="314"/>
    </row>
    <row r="99" spans="1:14" ht="8.1" customHeight="1" x14ac:dyDescent="0.2">
      <c r="C99" s="313"/>
      <c r="D99" s="313"/>
      <c r="E99" s="313"/>
      <c r="F99" s="313"/>
      <c r="G99" s="313"/>
      <c r="H99" s="313"/>
      <c r="I99" s="313"/>
      <c r="J99" s="313"/>
    </row>
    <row r="100" spans="1:14" x14ac:dyDescent="0.2">
      <c r="A100" s="312"/>
      <c r="B100" s="312"/>
      <c r="C100" s="314"/>
      <c r="D100" s="314"/>
      <c r="E100" s="314"/>
      <c r="F100" s="314"/>
      <c r="G100" s="314"/>
      <c r="H100" s="314"/>
      <c r="I100" s="314"/>
      <c r="J100" s="314"/>
    </row>
    <row r="101" spans="1:14" ht="8.1" customHeight="1" x14ac:dyDescent="0.2">
      <c r="C101" s="313"/>
      <c r="D101" s="313"/>
      <c r="E101" s="313"/>
      <c r="F101" s="313"/>
      <c r="G101" s="313"/>
      <c r="H101" s="313"/>
      <c r="I101" s="313"/>
      <c r="J101" s="313"/>
    </row>
    <row r="102" spans="1:14" x14ac:dyDescent="0.2">
      <c r="A102" s="312"/>
      <c r="C102" s="102"/>
      <c r="D102" s="102"/>
      <c r="E102" s="102"/>
      <c r="F102" s="102"/>
      <c r="G102" s="102"/>
      <c r="H102" s="102"/>
      <c r="I102" s="102"/>
      <c r="J102" s="105"/>
    </row>
    <row r="105" spans="1:14" x14ac:dyDescent="0.2">
      <c r="B105" s="288" t="str">
        <f ca="1">CELL("filename")</f>
        <v>S:\District\~WUTC Files~\1. RSA\2017-2019 Plan Year\UTC Filing 12-2018\Revised Filing\Bellevue\[Revised TG-181020 fixed Staff comm CR RS adjust.xlsx]Staff Analysis</v>
      </c>
    </row>
  </sheetData>
  <pageMargins left="0.25" right="0.25" top="0.75" bottom="0.75" header="0.3" footer="0.3"/>
  <pageSetup scale="62" fitToWidth="0" orientation="portrait" r:id="rId1"/>
  <headerFooter alignWithMargins="0"/>
  <rowBreaks count="1" manualBreakCount="1">
    <brk id="53" max="13"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A101"/>
  <sheetViews>
    <sheetView showGridLines="0" view="pageBreakPreview" zoomScaleNormal="100" zoomScaleSheetLayoutView="100" workbookViewId="0">
      <pane ySplit="4" topLeftCell="A29" activePane="bottomLeft" state="frozenSplit"/>
      <selection activeCell="G25" sqref="G25"/>
      <selection pane="bottomLeft" activeCell="P44" sqref="P44"/>
    </sheetView>
  </sheetViews>
  <sheetFormatPr defaultRowHeight="12.75" x14ac:dyDescent="0.2"/>
  <cols>
    <col min="1" max="1" width="17.14062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10.7109375" style="5" bestFit="1" customWidth="1"/>
    <col min="10" max="10" width="9.42578125" style="5" customWidth="1"/>
    <col min="11" max="11" width="4.7109375" style="5" bestFit="1"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2017</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31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4" t="str">
        <f>+F6</f>
        <v>Revenue</v>
      </c>
      <c r="P6" s="113"/>
    </row>
    <row r="7" spans="1:27" s="16" customFormat="1" ht="11.25" x14ac:dyDescent="0.2">
      <c r="A7" s="15" t="s">
        <v>5</v>
      </c>
      <c r="B7" s="12" t="s">
        <v>6</v>
      </c>
      <c r="C7" s="12"/>
      <c r="D7" s="12" t="s">
        <v>3</v>
      </c>
      <c r="E7" s="12"/>
      <c r="F7" s="12" t="s">
        <v>7</v>
      </c>
      <c r="G7" s="12"/>
      <c r="H7" s="12"/>
      <c r="I7" s="12"/>
      <c r="J7" s="12" t="s">
        <v>6</v>
      </c>
      <c r="K7" s="12"/>
      <c r="O7" s="144" t="str">
        <f>+F7</f>
        <v>per Customer</v>
      </c>
      <c r="P7" s="113"/>
    </row>
    <row r="8" spans="1:27" s="16" customFormat="1" ht="11.25" x14ac:dyDescent="0.2">
      <c r="A8" s="129">
        <f>'Single Family (2)'!$C$6</f>
        <v>42491</v>
      </c>
      <c r="B8" s="112">
        <v>10703</v>
      </c>
      <c r="C8" s="114"/>
      <c r="D8" s="115">
        <f>VLOOKUP(A8,'Value (2)'!$A$6:$O$17,15,)</f>
        <v>9646.9023567200002</v>
      </c>
      <c r="E8" s="114"/>
      <c r="F8" s="16">
        <f>ROUND(D8/B8,2)</f>
        <v>0.9</v>
      </c>
      <c r="G8" s="114"/>
      <c r="H8" s="114"/>
      <c r="I8" s="114"/>
      <c r="J8" s="14">
        <f>+B8</f>
        <v>10703</v>
      </c>
      <c r="K8" s="13">
        <f>YEAR(A8)</f>
        <v>2016</v>
      </c>
      <c r="O8" s="145">
        <f>VLOOKUP(A8,'Value (2)'!$A$6:$O$17,13,FALSE)</f>
        <v>19293.688756719999</v>
      </c>
      <c r="P8" s="113"/>
    </row>
    <row r="9" spans="1:27" s="16" customFormat="1" ht="11.25" x14ac:dyDescent="0.2">
      <c r="A9" s="17">
        <f>EOMONTH(A8,1)</f>
        <v>42551</v>
      </c>
      <c r="B9" s="19">
        <v>10751</v>
      </c>
      <c r="C9" s="20"/>
      <c r="D9" s="115">
        <f>VLOOKUP(A9,'Value (2)'!$A$6:$O$17,15,)</f>
        <v>11371.811182319991</v>
      </c>
      <c r="E9" s="14"/>
      <c r="F9" s="16">
        <f>ROUND(D9/B9,2)</f>
        <v>1.06</v>
      </c>
      <c r="G9" s="14"/>
      <c r="H9" s="14"/>
      <c r="I9" s="14"/>
      <c r="J9" s="14">
        <f>+B9</f>
        <v>10751</v>
      </c>
      <c r="K9" s="13">
        <f>YEAR(A9)</f>
        <v>2016</v>
      </c>
      <c r="O9" s="145">
        <f>VLOOKUP(A9,'Value (2)'!$A$6:$O$17,13,FALSE)</f>
        <v>22745.003632319989</v>
      </c>
      <c r="P9" s="113"/>
    </row>
    <row r="10" spans="1:27" s="16" customFormat="1" ht="11.25" x14ac:dyDescent="0.2">
      <c r="A10" s="17">
        <f>EOMONTH(A9,1)</f>
        <v>42582</v>
      </c>
      <c r="B10" s="19">
        <v>10733</v>
      </c>
      <c r="C10" s="14"/>
      <c r="D10" s="115">
        <f>VLOOKUP(A10,'Value (2)'!$A$6:$O$17,15,)</f>
        <v>10838.319768569991</v>
      </c>
      <c r="E10" s="14"/>
      <c r="F10" s="16">
        <f>ROUND(D10/B10,2)</f>
        <v>1.01</v>
      </c>
      <c r="G10" s="14"/>
      <c r="H10" s="14"/>
      <c r="I10" s="14"/>
      <c r="J10" s="14">
        <f>+B10</f>
        <v>10733</v>
      </c>
      <c r="K10" s="13">
        <f>YEAR(A10)</f>
        <v>2016</v>
      </c>
      <c r="O10" s="145">
        <f>VLOOKUP(A10,'Value (2)'!$A$6:$O$17,13,FALSE)</f>
        <v>21677.611218569989</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94</v>
      </c>
      <c r="B12" s="21">
        <f>SUM(B8:B11)</f>
        <v>32187</v>
      </c>
      <c r="C12" s="20" t="s">
        <v>8</v>
      </c>
      <c r="D12" s="22">
        <f>SUM(D8:D11)</f>
        <v>31857.033307609985</v>
      </c>
      <c r="E12" s="14"/>
      <c r="G12" s="14"/>
      <c r="H12" s="14"/>
      <c r="I12" s="14"/>
      <c r="J12" s="14"/>
      <c r="K12" s="13"/>
      <c r="O12" s="145"/>
      <c r="P12" s="113"/>
    </row>
    <row r="13" spans="1:27" s="16" customFormat="1" ht="11.25" x14ac:dyDescent="0.2">
      <c r="A13" s="17"/>
      <c r="B13" s="14"/>
      <c r="C13" s="14"/>
      <c r="E13" s="14"/>
      <c r="G13" s="14"/>
      <c r="H13" s="14"/>
      <c r="I13" s="14"/>
      <c r="J13" s="14"/>
      <c r="K13" s="13"/>
      <c r="O13" s="145"/>
      <c r="P13" s="113"/>
    </row>
    <row r="14" spans="1:27" s="16" customFormat="1" ht="11.25" x14ac:dyDescent="0.2">
      <c r="A14" s="17">
        <f>EOMONTH(A10,1)</f>
        <v>42613</v>
      </c>
      <c r="B14" s="19">
        <v>10758</v>
      </c>
      <c r="C14" s="14"/>
      <c r="D14" s="115">
        <f>VLOOKUP(A14,'Value (2)'!$A$6:$O$17,15,)</f>
        <v>14645.781780519997</v>
      </c>
      <c r="E14" s="14"/>
      <c r="F14" s="16">
        <f t="shared" ref="F14:F22" si="0">ROUND(D14/B14,2)</f>
        <v>1.36</v>
      </c>
      <c r="G14" s="23"/>
      <c r="H14" s="14"/>
      <c r="I14" s="14"/>
      <c r="J14" s="14">
        <f t="shared" ref="J14:J22" si="1">+B14</f>
        <v>10758</v>
      </c>
      <c r="K14" s="13">
        <f t="shared" ref="K14:K22" si="2">YEAR(A14)</f>
        <v>2016</v>
      </c>
      <c r="O14" s="145">
        <f>VLOOKUP(A14,'Value (2)'!$A$6:$O$17,13,FALSE)</f>
        <v>29291.561780519998</v>
      </c>
      <c r="P14" s="113"/>
    </row>
    <row r="15" spans="1:27" s="16" customFormat="1" ht="11.25" x14ac:dyDescent="0.2">
      <c r="A15" s="17">
        <f t="shared" ref="A15:A22" si="3">EOMONTH(A14,1)</f>
        <v>42643</v>
      </c>
      <c r="B15" s="19">
        <v>10775</v>
      </c>
      <c r="C15" s="14"/>
      <c r="D15" s="115">
        <f>VLOOKUP(A15,'Value (2)'!$A$6:$O$17,15,)</f>
        <v>12305.278885889997</v>
      </c>
      <c r="E15" s="14"/>
      <c r="F15" s="16">
        <f t="shared" si="0"/>
        <v>1.1399999999999999</v>
      </c>
      <c r="G15" s="23"/>
      <c r="H15" s="14"/>
      <c r="I15" s="14"/>
      <c r="J15" s="14">
        <f t="shared" si="1"/>
        <v>10775</v>
      </c>
      <c r="K15" s="13">
        <f t="shared" si="2"/>
        <v>2016</v>
      </c>
      <c r="O15" s="145">
        <f>VLOOKUP(A15,'Value (2)'!$A$6:$O$17,13,FALSE)</f>
        <v>24610.831185889998</v>
      </c>
      <c r="P15" s="113"/>
    </row>
    <row r="16" spans="1:27" s="16" customFormat="1" ht="11.25" x14ac:dyDescent="0.2">
      <c r="A16" s="17">
        <f t="shared" si="3"/>
        <v>42674</v>
      </c>
      <c r="B16" s="19">
        <v>10723</v>
      </c>
      <c r="C16" s="14"/>
      <c r="D16" s="115">
        <f>VLOOKUP(A16,'Value (2)'!$A$6:$O$17,15,)</f>
        <v>10726.788891279992</v>
      </c>
      <c r="E16" s="14"/>
      <c r="F16" s="16">
        <f t="shared" si="0"/>
        <v>1</v>
      </c>
      <c r="G16" s="23"/>
      <c r="H16" s="14"/>
      <c r="I16" s="14"/>
      <c r="J16" s="14">
        <f t="shared" si="1"/>
        <v>10723</v>
      </c>
      <c r="K16" s="13">
        <f t="shared" si="2"/>
        <v>2016</v>
      </c>
      <c r="O16" s="145">
        <f>VLOOKUP(A16,'Value (2)'!$A$6:$O$17,13,FALSE)</f>
        <v>21451.949491279993</v>
      </c>
      <c r="P16" s="113"/>
    </row>
    <row r="17" spans="1:27" s="16" customFormat="1" ht="11.25" x14ac:dyDescent="0.2">
      <c r="A17" s="17">
        <f t="shared" si="3"/>
        <v>42704</v>
      </c>
      <c r="B17" s="19">
        <v>10728</v>
      </c>
      <c r="C17" s="14"/>
      <c r="D17" s="115">
        <f>VLOOKUP(A17,'Value (2)'!$A$6:$O$17,15,)</f>
        <v>12052.887940414988</v>
      </c>
      <c r="E17" s="14"/>
      <c r="F17" s="16">
        <f t="shared" si="0"/>
        <v>1.1200000000000001</v>
      </c>
      <c r="G17" s="23"/>
      <c r="H17" s="14"/>
      <c r="I17" s="14"/>
      <c r="J17" s="14">
        <f t="shared" si="1"/>
        <v>10728</v>
      </c>
      <c r="K17" s="13">
        <f t="shared" si="2"/>
        <v>2016</v>
      </c>
      <c r="O17" s="145">
        <f>VLOOKUP(A17,'Value (2)'!$A$6:$O$17,13,FALSE)</f>
        <v>24106.088540414989</v>
      </c>
      <c r="P17" s="113"/>
    </row>
    <row r="18" spans="1:27" s="16" customFormat="1" ht="11.25" x14ac:dyDescent="0.2">
      <c r="A18" s="17">
        <f t="shared" si="3"/>
        <v>42735</v>
      </c>
      <c r="B18" s="19">
        <v>10770</v>
      </c>
      <c r="C18" s="14"/>
      <c r="D18" s="115">
        <f>VLOOKUP(A18,'Value (2)'!$A$6:$O$17,15,)</f>
        <v>14004.227122479997</v>
      </c>
      <c r="E18" s="14"/>
      <c r="F18" s="16">
        <f t="shared" si="0"/>
        <v>1.3</v>
      </c>
      <c r="G18" s="23"/>
      <c r="H18" s="14"/>
      <c r="I18" s="14"/>
      <c r="J18" s="14">
        <f t="shared" si="1"/>
        <v>10770</v>
      </c>
      <c r="K18" s="13">
        <f t="shared" si="2"/>
        <v>2016</v>
      </c>
      <c r="O18" s="145">
        <f>VLOOKUP(A18,'Value (2)'!$A$6:$O$17,13,FALSE)</f>
        <v>28008.377122479997</v>
      </c>
      <c r="P18" s="113"/>
    </row>
    <row r="19" spans="1:27" s="16" customFormat="1" ht="11.25" x14ac:dyDescent="0.2">
      <c r="A19" s="17">
        <f t="shared" si="3"/>
        <v>42766</v>
      </c>
      <c r="B19" s="19">
        <v>10775</v>
      </c>
      <c r="C19" s="14"/>
      <c r="D19" s="115">
        <f>VLOOKUP(A19,'Value (2)'!$A$6:$O$17,15,)</f>
        <v>14442.730522527994</v>
      </c>
      <c r="E19" s="14"/>
      <c r="F19" s="16">
        <f t="shared" si="0"/>
        <v>1.34</v>
      </c>
      <c r="G19" s="23"/>
      <c r="H19" s="14"/>
      <c r="I19" s="14"/>
      <c r="J19" s="14">
        <f t="shared" si="1"/>
        <v>10775</v>
      </c>
      <c r="K19" s="13">
        <f t="shared" si="2"/>
        <v>2017</v>
      </c>
      <c r="O19" s="145">
        <f>VLOOKUP(A19,'Value (2)'!$A$6:$O$17,13,FALSE)</f>
        <v>28884.837222527993</v>
      </c>
      <c r="P19" s="113"/>
      <c r="X19" s="14"/>
      <c r="Y19" s="14"/>
    </row>
    <row r="20" spans="1:27" s="16" customFormat="1" ht="11.25" x14ac:dyDescent="0.2">
      <c r="A20" s="17">
        <f t="shared" si="3"/>
        <v>42794</v>
      </c>
      <c r="B20" s="19">
        <v>10747</v>
      </c>
      <c r="C20" s="14"/>
      <c r="D20" s="115">
        <f>VLOOKUP(A20,'Value (2)'!$A$6:$O$17,15,)</f>
        <v>13501.430628533994</v>
      </c>
      <c r="E20" s="14"/>
      <c r="F20" s="16">
        <f t="shared" si="0"/>
        <v>1.26</v>
      </c>
      <c r="G20" s="23"/>
      <c r="H20" s="14"/>
      <c r="I20" s="14"/>
      <c r="J20" s="14">
        <f t="shared" si="1"/>
        <v>10747</v>
      </c>
      <c r="K20" s="13">
        <f t="shared" si="2"/>
        <v>2017</v>
      </c>
      <c r="L20" s="14"/>
      <c r="M20" s="14"/>
      <c r="N20" s="14"/>
      <c r="O20" s="145">
        <f>VLOOKUP(A20,'Value (2)'!$A$6:$O$17,13,FALSE)</f>
        <v>27002.218928533992</v>
      </c>
      <c r="P20" s="35"/>
      <c r="Q20" s="14"/>
      <c r="R20" s="14"/>
      <c r="S20" s="14"/>
      <c r="T20" s="14"/>
      <c r="U20" s="14"/>
      <c r="V20" s="14"/>
      <c r="W20" s="14"/>
      <c r="Y20" s="14"/>
      <c r="AA20" s="14"/>
    </row>
    <row r="21" spans="1:27" s="16" customFormat="1" ht="11.25" x14ac:dyDescent="0.2">
      <c r="A21" s="17">
        <f t="shared" si="3"/>
        <v>42825</v>
      </c>
      <c r="B21" s="19">
        <v>10783</v>
      </c>
      <c r="C21" s="14"/>
      <c r="D21" s="115">
        <f>VLOOKUP(A21,'Value (2)'!$A$6:$O$17,15,)</f>
        <v>15523.107179531995</v>
      </c>
      <c r="E21" s="14"/>
      <c r="F21" s="16">
        <f t="shared" si="0"/>
        <v>1.44</v>
      </c>
      <c r="G21" s="23"/>
      <c r="H21" s="20"/>
      <c r="I21" s="14"/>
      <c r="J21" s="14">
        <f t="shared" si="1"/>
        <v>10783</v>
      </c>
      <c r="K21" s="13">
        <f t="shared" si="2"/>
        <v>2017</v>
      </c>
      <c r="O21" s="145">
        <f>VLOOKUP(A21,'Value (2)'!$A$6:$O$17,13,FALSE)</f>
        <v>31046.700779531995</v>
      </c>
      <c r="P21" s="113"/>
    </row>
    <row r="22" spans="1:27" s="16" customFormat="1" ht="11.25" x14ac:dyDescent="0.2">
      <c r="A22" s="17">
        <f t="shared" si="3"/>
        <v>42855</v>
      </c>
      <c r="B22" s="19">
        <v>10826</v>
      </c>
      <c r="C22" s="14"/>
      <c r="D22" s="115">
        <f>VLOOKUP(A22,'Value (2)'!$A$6:$O$17,15,)</f>
        <v>8159.285114499995</v>
      </c>
      <c r="E22" s="14"/>
      <c r="F22" s="16">
        <f t="shared" si="0"/>
        <v>0.75</v>
      </c>
      <c r="G22" s="23"/>
      <c r="H22" s="20"/>
      <c r="I22" s="14"/>
      <c r="J22" s="14">
        <f t="shared" si="1"/>
        <v>10826</v>
      </c>
      <c r="K22" s="13">
        <f t="shared" si="2"/>
        <v>2017</v>
      </c>
      <c r="O22" s="145">
        <f>VLOOKUP(A22,'Value (2)'!$A$6:$O$17,13,FALSE)</f>
        <v>16318.372414499994</v>
      </c>
      <c r="P22" s="113"/>
    </row>
    <row r="23" spans="1:27" s="16" customFormat="1" ht="11.25" x14ac:dyDescent="0.2">
      <c r="A23" s="17"/>
      <c r="B23" s="14"/>
      <c r="C23" s="14"/>
      <c r="E23" s="14"/>
      <c r="G23" s="14"/>
      <c r="H23" s="14"/>
      <c r="I23" s="14"/>
      <c r="J23" s="14"/>
      <c r="K23" s="13"/>
      <c r="O23" s="146"/>
    </row>
    <row r="24" spans="1:27" s="16" customFormat="1" ht="11.25" x14ac:dyDescent="0.2">
      <c r="A24" s="17" t="s">
        <v>95</v>
      </c>
      <c r="B24" s="21">
        <f>SUM(B14:B22)</f>
        <v>96885</v>
      </c>
      <c r="C24" s="20" t="s">
        <v>9</v>
      </c>
      <c r="D24" s="22">
        <f>SUM(D13:D23)</f>
        <v>115361.51806567897</v>
      </c>
      <c r="E24" s="14"/>
      <c r="G24" s="14"/>
      <c r="H24" s="14"/>
      <c r="I24" s="14"/>
      <c r="J24" s="14"/>
      <c r="K24" s="13"/>
      <c r="O24" s="146"/>
      <c r="P24" s="147" t="s">
        <v>87</v>
      </c>
    </row>
    <row r="25" spans="1:27" x14ac:dyDescent="0.2">
      <c r="D25" s="25"/>
      <c r="O25" s="146">
        <f>SUM(O8:O24)</f>
        <v>294437.24107328895</v>
      </c>
      <c r="P25" s="120"/>
    </row>
    <row r="26" spans="1:27" s="16" customFormat="1" ht="12" thickBot="1" x14ac:dyDescent="0.25">
      <c r="A26" s="26"/>
      <c r="B26" s="27">
        <f>+B12+B24</f>
        <v>129072</v>
      </c>
      <c r="C26" s="20"/>
      <c r="D26" s="28">
        <f>+D12+D24</f>
        <v>147218.55137328897</v>
      </c>
      <c r="E26" s="20" t="s">
        <v>10</v>
      </c>
      <c r="F26" s="23">
        <f>ROUND(D26/B26,3)</f>
        <v>1.141</v>
      </c>
      <c r="G26" s="20" t="s">
        <v>11</v>
      </c>
      <c r="H26" s="14"/>
      <c r="I26" s="14"/>
      <c r="J26" s="27">
        <f>SUM(J8:J25)</f>
        <v>129072</v>
      </c>
      <c r="K26" s="20" t="s">
        <v>12</v>
      </c>
      <c r="O26" s="148">
        <f>ROUND(O25/J26,3)</f>
        <v>2.2810000000000001</v>
      </c>
      <c r="P26" s="113" t="s">
        <v>88</v>
      </c>
    </row>
    <row r="27" spans="1:27" s="16" customFormat="1" ht="12" thickTop="1" x14ac:dyDescent="0.2">
      <c r="B27" s="14"/>
      <c r="C27" s="14"/>
      <c r="D27" s="14"/>
      <c r="E27" s="14"/>
      <c r="F27" s="14"/>
      <c r="G27" s="14"/>
      <c r="H27" s="14"/>
      <c r="I27" s="14"/>
      <c r="J27" s="14"/>
      <c r="K27" s="14"/>
      <c r="O27" s="149">
        <f>+J22</f>
        <v>10826</v>
      </c>
      <c r="P27" s="113" t="s">
        <v>89</v>
      </c>
    </row>
    <row r="28" spans="1:27" s="16" customFormat="1" ht="11.25" x14ac:dyDescent="0.2">
      <c r="B28" s="14"/>
      <c r="C28" s="14"/>
      <c r="D28" s="14"/>
      <c r="E28" s="14"/>
      <c r="F28" s="14"/>
      <c r="G28" s="14"/>
      <c r="H28" s="14"/>
      <c r="I28" s="14"/>
      <c r="J28" s="14"/>
      <c r="K28" s="14"/>
      <c r="O28" s="113"/>
      <c r="P28" s="113" t="s">
        <v>90</v>
      </c>
    </row>
    <row r="29" spans="1:27" s="16" customFormat="1" ht="12" thickBot="1" x14ac:dyDescent="0.25">
      <c r="A29" s="16">
        <f>AVERAGE(B8:B10,B14:B22)</f>
        <v>10756</v>
      </c>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147219</v>
      </c>
      <c r="H31" s="20" t="s">
        <v>10</v>
      </c>
      <c r="I31" s="14"/>
      <c r="J31" s="14"/>
      <c r="K31" s="14"/>
    </row>
    <row r="32" spans="1:27" s="13" customFormat="1" ht="11.25" x14ac:dyDescent="0.2">
      <c r="A32" s="33"/>
      <c r="B32" s="31"/>
      <c r="C32" s="14"/>
      <c r="D32" s="14"/>
      <c r="E32" s="14"/>
      <c r="F32" s="14"/>
      <c r="G32" s="14"/>
      <c r="H32" s="20"/>
      <c r="I32" s="14"/>
      <c r="J32" s="14"/>
      <c r="K32" s="14"/>
      <c r="O32" s="16">
        <f>12*O27*O26</f>
        <v>296329.272</v>
      </c>
      <c r="P32" s="13" t="s">
        <v>91</v>
      </c>
      <c r="W32" s="14"/>
      <c r="X32" s="16"/>
      <c r="Y32" s="16"/>
      <c r="AA32" s="14"/>
    </row>
    <row r="33" spans="2:27" s="16" customFormat="1" ht="11.25" x14ac:dyDescent="0.2">
      <c r="B33" s="14" t="s">
        <v>15</v>
      </c>
      <c r="C33" s="14"/>
      <c r="D33" s="14"/>
      <c r="E33" s="14"/>
      <c r="F33" s="248">
        <v>0.97</v>
      </c>
      <c r="G33" s="14"/>
      <c r="H33" s="14"/>
      <c r="I33" s="14"/>
      <c r="J33" s="14"/>
      <c r="K33" s="14"/>
      <c r="O33" s="16">
        <f>12*O27*G56</f>
        <v>148229.66163834295</v>
      </c>
      <c r="P33" s="16" t="s">
        <v>92</v>
      </c>
    </row>
    <row r="34" spans="2:27" s="16" customFormat="1" ht="11.25" x14ac:dyDescent="0.2">
      <c r="B34" s="14"/>
      <c r="C34" s="14" t="str">
        <f>"Customers from "&amp;TEXT($A$8,"mm/yy")&amp;" - "&amp;TEXT($A$10,"mm/yy")</f>
        <v>Customers from 05/16 - 07/16</v>
      </c>
      <c r="D34" s="14"/>
      <c r="E34" s="14"/>
      <c r="F34" s="35">
        <f>+B12</f>
        <v>32187</v>
      </c>
      <c r="G34" s="20" t="s">
        <v>8</v>
      </c>
      <c r="H34" s="14"/>
      <c r="I34" s="14"/>
      <c r="J34" s="14"/>
      <c r="K34" s="14"/>
      <c r="O34" s="150">
        <f>+O33/O32</f>
        <v>0.50021943710759342</v>
      </c>
    </row>
    <row r="35" spans="2:27" s="16" customFormat="1" ht="11.25" x14ac:dyDescent="0.2">
      <c r="B35" s="14"/>
      <c r="C35" s="14" t="s">
        <v>16</v>
      </c>
      <c r="D35" s="14"/>
      <c r="E35" s="14"/>
      <c r="F35" s="21">
        <f>ROUND(F33*F34,0)</f>
        <v>31221</v>
      </c>
      <c r="G35" s="20"/>
      <c r="H35" s="14"/>
      <c r="I35" s="14"/>
      <c r="J35" s="14"/>
      <c r="K35" s="14"/>
    </row>
    <row r="36" spans="2:27" s="16" customFormat="1" ht="11.25" x14ac:dyDescent="0.2">
      <c r="B36" s="14"/>
      <c r="C36" s="14"/>
      <c r="D36" s="14"/>
      <c r="E36" s="14"/>
      <c r="F36" s="35"/>
      <c r="G36" s="20"/>
      <c r="H36" s="14" t="s">
        <v>217</v>
      </c>
      <c r="I36" s="14"/>
      <c r="J36" s="14"/>
      <c r="K36" s="14"/>
    </row>
    <row r="37" spans="2:27" s="16" customFormat="1" ht="11.25" x14ac:dyDescent="0.2">
      <c r="B37" s="14" t="s">
        <v>15</v>
      </c>
      <c r="C37" s="14"/>
      <c r="D37" s="14"/>
      <c r="E37" s="14"/>
      <c r="F37" s="248">
        <v>0.86</v>
      </c>
      <c r="G37" s="14"/>
      <c r="H37" s="14"/>
      <c r="I37" s="14"/>
      <c r="J37" s="14"/>
      <c r="K37" s="14"/>
    </row>
    <row r="38" spans="2:27" s="16" customFormat="1" ht="11.25" x14ac:dyDescent="0.2">
      <c r="B38" s="14"/>
      <c r="C38" s="14" t="str">
        <f>"Customers from "&amp;TEXT($A$14,"mm/yy")&amp;" - "&amp;TEXT($A$22,"mm/yy")</f>
        <v>Customers from 08/16 - 04/17</v>
      </c>
      <c r="D38" s="14"/>
      <c r="E38" s="14"/>
      <c r="F38" s="14">
        <f>+B24</f>
        <v>96885</v>
      </c>
      <c r="G38" s="20" t="s">
        <v>9</v>
      </c>
      <c r="H38" s="14"/>
      <c r="I38" s="14"/>
      <c r="J38" s="14"/>
      <c r="K38" s="14"/>
    </row>
    <row r="39" spans="2:27" s="16" customFormat="1" ht="11.25" x14ac:dyDescent="0.2">
      <c r="B39" s="14"/>
      <c r="C39" s="14" t="s">
        <v>16</v>
      </c>
      <c r="D39" s="14"/>
      <c r="E39" s="14"/>
      <c r="F39" s="21">
        <f>ROUND(F37*F38,0)</f>
        <v>83321</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114542</v>
      </c>
      <c r="G41" s="37">
        <f>+F41</f>
        <v>114542</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32677</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tr">
        <f>$K$22+1&amp;" Recycle Adjustment Calculation"</f>
        <v>2018 Recycle Adjustment Calculation</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tr">
        <f>$K$10&amp;"/"&amp;$K$22&amp;" True-up Computation"</f>
        <v>2016/2017 True-up Computation</v>
      </c>
      <c r="C49" s="14"/>
      <c r="D49" s="14"/>
      <c r="E49" s="14"/>
      <c r="F49" s="14"/>
      <c r="G49" s="14"/>
      <c r="H49" s="14"/>
      <c r="I49" s="14"/>
      <c r="J49" s="14"/>
      <c r="K49" s="14"/>
    </row>
    <row r="50" spans="1:25" s="16" customFormat="1" ht="11.25" x14ac:dyDescent="0.2">
      <c r="B50" s="14"/>
      <c r="C50" s="14"/>
      <c r="D50" s="14"/>
      <c r="E50" s="14"/>
      <c r="F50" s="32" t="s">
        <v>20</v>
      </c>
      <c r="G50" s="14">
        <f>+J26</f>
        <v>129072</v>
      </c>
      <c r="H50" s="20" t="s">
        <v>12</v>
      </c>
      <c r="I50" s="14"/>
      <c r="J50" s="14"/>
      <c r="K50" s="14"/>
    </row>
    <row r="51" spans="1:25" s="16" customFormat="1" ht="11.25" x14ac:dyDescent="0.2">
      <c r="B51" s="14"/>
      <c r="C51" s="14"/>
      <c r="D51" s="14"/>
      <c r="E51" s="14"/>
      <c r="F51" s="32" t="s">
        <v>18</v>
      </c>
      <c r="G51" s="14">
        <f>+G44</f>
        <v>32677</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81</v>
      </c>
      <c r="G53" s="39">
        <f>ROUND(G51/G50,3)</f>
        <v>0.253</v>
      </c>
      <c r="H53" s="14"/>
      <c r="I53" s="23">
        <f>+G53</f>
        <v>0.253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tr">
        <f>$K$22+1&amp;" Projected Credit"</f>
        <v>2018 Projected Credit</v>
      </c>
      <c r="C55" s="14"/>
      <c r="D55" s="14"/>
      <c r="E55" s="14"/>
      <c r="F55" s="32"/>
      <c r="G55" s="14"/>
      <c r="H55" s="14"/>
      <c r="I55" s="23"/>
      <c r="J55" s="14"/>
      <c r="K55" s="14"/>
      <c r="N55" s="151" t="s">
        <v>93</v>
      </c>
    </row>
    <row r="56" spans="1:25" s="16" customFormat="1" ht="12" thickBot="1" x14ac:dyDescent="0.25">
      <c r="B56" s="31"/>
      <c r="C56" s="14"/>
      <c r="D56" s="14"/>
      <c r="E56" s="14"/>
      <c r="F56" s="32" t="s">
        <v>79</v>
      </c>
      <c r="G56" s="40">
        <f>+F26/'Value (2)'!$P$18*N56</f>
        <v>1.1410005360424207</v>
      </c>
      <c r="H56" s="14"/>
      <c r="I56" s="23">
        <f>+G56</f>
        <v>1.1410005360424207</v>
      </c>
      <c r="J56" s="20" t="s">
        <v>11</v>
      </c>
      <c r="K56" s="14"/>
      <c r="N56" s="152">
        <f>+'[10]WUTC_AW of Kent_MF'!$O$56</f>
        <v>0.5</v>
      </c>
    </row>
    <row r="57" spans="1:25" s="14" customFormat="1" ht="12" thickTop="1" x14ac:dyDescent="0.2">
      <c r="B57" s="31"/>
      <c r="I57" s="23"/>
      <c r="X57" s="16"/>
      <c r="Y57" s="16"/>
    </row>
    <row r="58" spans="1:25" s="16" customFormat="1" ht="12" thickBot="1" x14ac:dyDescent="0.25">
      <c r="B58" s="14"/>
      <c r="C58" s="14"/>
      <c r="D58" s="14"/>
      <c r="E58" s="14"/>
      <c r="F58" s="14"/>
      <c r="G58" s="32" t="str">
        <f>$K$22+1&amp;" Adjusted Credit"</f>
        <v>2018 Adjusted Credit</v>
      </c>
      <c r="H58" s="27"/>
      <c r="I58" s="39">
        <f>+I53+I56</f>
        <v>1.3940005360424208</v>
      </c>
      <c r="J58" s="14"/>
      <c r="K58" s="14"/>
    </row>
    <row r="59" spans="1:25" s="16" customFormat="1" ht="12" thickTop="1" x14ac:dyDescent="0.2"/>
    <row r="60" spans="1:25" s="16" customFormat="1" ht="11.25" x14ac:dyDescent="0.2"/>
    <row r="61" spans="1:25" s="16" customFormat="1" ht="11.25" x14ac:dyDescent="0.2">
      <c r="G61" s="139" t="s">
        <v>84</v>
      </c>
      <c r="I61" s="286">
        <v>42042.012000000002</v>
      </c>
      <c r="L61" s="23"/>
    </row>
    <row r="62" spans="1:25" s="14" customFormat="1" ht="11.25" x14ac:dyDescent="0.2">
      <c r="A62" s="116"/>
      <c r="B62" s="35"/>
      <c r="C62" s="35"/>
      <c r="D62" s="113"/>
      <c r="E62" s="35"/>
      <c r="F62" s="113"/>
      <c r="X62" s="16"/>
      <c r="Y62" s="16"/>
    </row>
    <row r="63" spans="1:25" s="16" customFormat="1" ht="11.25" x14ac:dyDescent="0.2">
      <c r="A63" s="116"/>
      <c r="B63" s="35"/>
      <c r="C63" s="118"/>
      <c r="D63" s="113"/>
      <c r="E63" s="113"/>
      <c r="F63" s="113"/>
      <c r="G63" s="139" t="s">
        <v>85</v>
      </c>
      <c r="I63" s="22">
        <f>I61/(G50)</f>
        <v>0.32572526961695797</v>
      </c>
    </row>
    <row r="64" spans="1:25" s="16" customFormat="1" ht="11.25" x14ac:dyDescent="0.2">
      <c r="A64" s="116"/>
      <c r="B64" s="35"/>
      <c r="C64" s="35"/>
      <c r="D64" s="113"/>
      <c r="E64" s="113"/>
      <c r="F64" s="113"/>
    </row>
    <row r="65" spans="1:27" s="16" customFormat="1" ht="12" thickBot="1" x14ac:dyDescent="0.25">
      <c r="A65" s="116"/>
      <c r="B65" s="117"/>
      <c r="C65" s="35"/>
      <c r="D65" s="113"/>
      <c r="E65" s="113"/>
      <c r="F65" s="113"/>
      <c r="G65" s="32" t="str">
        <f>$K$22+1&amp;" Net Credit"</f>
        <v>2018 Net Credit</v>
      </c>
      <c r="H65" s="27"/>
      <c r="I65" s="153">
        <f>+I58+I63</f>
        <v>1.7197258056593787</v>
      </c>
    </row>
    <row r="66" spans="1:27" s="16" customFormat="1" ht="12" thickTop="1" x14ac:dyDescent="0.2">
      <c r="A66" s="116"/>
      <c r="B66" s="117"/>
      <c r="C66" s="35"/>
      <c r="D66" s="113"/>
      <c r="E66" s="113"/>
      <c r="F66" s="113"/>
    </row>
    <row r="67" spans="1:27" s="16" customFormat="1" ht="11.25" x14ac:dyDescent="0.2">
      <c r="A67" s="116"/>
      <c r="B67" s="117"/>
      <c r="C67" s="35"/>
      <c r="D67" s="113"/>
      <c r="E67" s="113"/>
      <c r="F67" s="113"/>
    </row>
    <row r="68" spans="1:27" s="16" customFormat="1" ht="11.25" x14ac:dyDescent="0.2">
      <c r="A68" s="116"/>
      <c r="B68" s="117"/>
      <c r="C68" s="35"/>
      <c r="D68" s="113"/>
      <c r="E68" s="113"/>
      <c r="F68" s="113"/>
      <c r="Y68" s="14"/>
    </row>
    <row r="69" spans="1:27" s="16" customFormat="1" ht="11.25" x14ac:dyDescent="0.2">
      <c r="A69" s="116"/>
      <c r="B69" s="117"/>
      <c r="C69" s="35"/>
      <c r="D69" s="113"/>
      <c r="E69" s="113"/>
      <c r="F69" s="113"/>
    </row>
    <row r="70" spans="1:27" s="16" customFormat="1" ht="11.25" x14ac:dyDescent="0.2">
      <c r="A70" s="116"/>
      <c r="B70" s="117"/>
      <c r="C70" s="35"/>
      <c r="D70" s="113"/>
      <c r="E70" s="113"/>
      <c r="F70" s="113"/>
    </row>
    <row r="71" spans="1:27" s="16" customFormat="1" ht="11.25" x14ac:dyDescent="0.2">
      <c r="A71" s="116"/>
      <c r="B71" s="117"/>
      <c r="C71" s="35"/>
      <c r="D71" s="113"/>
      <c r="E71" s="113"/>
      <c r="F71" s="113"/>
    </row>
    <row r="72" spans="1:27" s="16" customFormat="1" ht="11.25" x14ac:dyDescent="0.2">
      <c r="A72" s="116"/>
      <c r="B72" s="117"/>
      <c r="C72" s="35"/>
      <c r="D72" s="113"/>
      <c r="E72" s="119"/>
      <c r="F72" s="113"/>
      <c r="G72" s="14"/>
      <c r="H72" s="13"/>
      <c r="I72" s="14"/>
      <c r="J72" s="14"/>
      <c r="K72" s="13"/>
      <c r="L72" s="14"/>
      <c r="M72" s="14"/>
      <c r="N72" s="14"/>
      <c r="O72" s="14"/>
      <c r="P72" s="14"/>
      <c r="Q72" s="14"/>
      <c r="R72" s="14"/>
      <c r="S72" s="14"/>
      <c r="T72" s="14"/>
      <c r="U72" s="14"/>
      <c r="V72" s="13"/>
      <c r="W72" s="14"/>
      <c r="AA72" s="14"/>
    </row>
    <row r="73" spans="1:27" s="16" customFormat="1" ht="11.25" x14ac:dyDescent="0.2">
      <c r="A73" s="116"/>
      <c r="B73" s="117"/>
      <c r="C73" s="35"/>
      <c r="D73" s="113"/>
      <c r="E73" s="113"/>
      <c r="F73" s="113"/>
    </row>
    <row r="74" spans="1:27" s="16" customFormat="1" ht="11.25" x14ac:dyDescent="0.2">
      <c r="A74" s="116"/>
      <c r="B74" s="35"/>
      <c r="C74" s="35"/>
      <c r="D74" s="113"/>
      <c r="E74" s="113"/>
      <c r="F74" s="113"/>
    </row>
    <row r="75" spans="1:27" s="16" customFormat="1" ht="11.25" x14ac:dyDescent="0.2">
      <c r="A75" s="116"/>
      <c r="B75" s="35"/>
      <c r="C75" s="118"/>
      <c r="D75" s="113"/>
      <c r="E75" s="113"/>
      <c r="F75" s="113"/>
    </row>
    <row r="76" spans="1:27" s="16" customFormat="1" x14ac:dyDescent="0.2">
      <c r="A76" s="120"/>
      <c r="B76" s="120"/>
      <c r="C76" s="120"/>
      <c r="D76" s="121"/>
      <c r="E76" s="113"/>
      <c r="F76" s="120"/>
    </row>
    <row r="77" spans="1:27" s="16" customFormat="1" ht="11.25" x14ac:dyDescent="0.2">
      <c r="A77" s="122"/>
      <c r="B77" s="35"/>
      <c r="C77" s="118"/>
      <c r="D77" s="113"/>
      <c r="E77" s="113"/>
      <c r="F77" s="123"/>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56"/>
      <c r="I96" s="56"/>
      <c r="J96" s="56"/>
      <c r="L96" s="56"/>
      <c r="M96" s="56"/>
      <c r="N96" s="56"/>
      <c r="O96" s="56"/>
      <c r="P96" s="56"/>
      <c r="Q96" s="56"/>
      <c r="R96" s="56"/>
      <c r="S96" s="56"/>
      <c r="T96" s="56"/>
      <c r="U96" s="56"/>
      <c r="V96" s="56"/>
      <c r="W96" s="56"/>
      <c r="X96" s="56"/>
      <c r="Y96" s="56"/>
      <c r="AA96" s="5"/>
    </row>
    <row r="97" spans="7:27" s="16" customFormat="1" x14ac:dyDescent="0.2">
      <c r="AA97" s="5"/>
    </row>
    <row r="98" spans="7:27" s="16" customFormat="1" ht="13.5" thickBot="1" x14ac:dyDescent="0.25">
      <c r="G98" s="57"/>
      <c r="I98" s="57"/>
      <c r="J98" s="57"/>
      <c r="L98" s="57"/>
      <c r="M98" s="57"/>
      <c r="N98" s="57"/>
      <c r="O98" s="57"/>
      <c r="P98" s="57"/>
      <c r="Q98" s="57"/>
      <c r="R98" s="57"/>
      <c r="S98" s="57"/>
      <c r="T98" s="57"/>
      <c r="U98" s="57"/>
      <c r="V98" s="57"/>
      <c r="W98" s="57"/>
      <c r="X98" s="57"/>
      <c r="Y98" s="57"/>
      <c r="AA98" s="5"/>
    </row>
    <row r="99" spans="7:27" ht="13.5" thickTop="1" x14ac:dyDescent="0.2"/>
    <row r="100" spans="7:27" x14ac:dyDescent="0.2">
      <c r="W100" s="58"/>
      <c r="X100" s="58"/>
      <c r="Y100" s="58"/>
    </row>
    <row r="101" spans="7:27" x14ac:dyDescent="0.2">
      <c r="W101" s="58"/>
      <c r="AA101" s="58"/>
    </row>
  </sheetData>
  <printOptions horizontalCentered="1"/>
  <pageMargins left="0" right="0" top="0.52" bottom="0.44" header="0" footer="0"/>
  <pageSetup scale="57" orientation="portrait" r:id="rId1"/>
  <headerFooter alignWithMargins="0">
    <oddFooter>&amp;R&amp;"Helv,Regular"&amp;6\\SERVER1\PUBLIC\EXCEL&amp;F,&amp;A</oddFooter>
  </headerFooter>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118"/>
  <sheetViews>
    <sheetView showGridLines="0" view="pageBreakPreview" zoomScaleNormal="100" zoomScaleSheetLayoutView="100" workbookViewId="0">
      <selection activeCell="Q10" sqref="Q10"/>
    </sheetView>
  </sheetViews>
  <sheetFormatPr defaultRowHeight="12.75" x14ac:dyDescent="0.2"/>
  <cols>
    <col min="1" max="1" width="8.140625" style="195" customWidth="1"/>
    <col min="2" max="2" width="2.140625" style="195" customWidth="1"/>
    <col min="3" max="13" width="11.7109375" style="195" customWidth="1"/>
    <col min="14" max="14" width="3" style="195" customWidth="1"/>
    <col min="15" max="15" width="10.42578125" style="287" bestFit="1" customWidth="1"/>
    <col min="16" max="16" width="14.5703125" style="195" bestFit="1" customWidth="1"/>
    <col min="17" max="17" width="11.7109375" style="195" customWidth="1"/>
    <col min="18" max="16384" width="9.140625" style="195"/>
  </cols>
  <sheetData>
    <row r="1" spans="1:18" x14ac:dyDescent="0.2">
      <c r="A1" s="305" t="s">
        <v>46</v>
      </c>
      <c r="B1" s="304"/>
    </row>
    <row r="2" spans="1:18" x14ac:dyDescent="0.2">
      <c r="A2" s="303" t="str">
        <f>'WUTC_AW of Bellevue_SF (2)'!A1</f>
        <v>Rabanco Ltd (dba Allied Waste of Bellevue)</v>
      </c>
      <c r="B2" s="303"/>
    </row>
    <row r="3" spans="1:18" x14ac:dyDescent="0.2">
      <c r="A3" s="303"/>
      <c r="B3" s="303"/>
      <c r="O3" s="301"/>
    </row>
    <row r="4" spans="1:18" x14ac:dyDescent="0.2">
      <c r="A4" s="303"/>
      <c r="B4" s="303"/>
      <c r="O4" s="301" t="str">
        <f>+TEXT(P18,"00.0%")&amp;" of"</f>
        <v>50.0% of</v>
      </c>
    </row>
    <row r="5" spans="1:18" x14ac:dyDescent="0.2">
      <c r="B5" s="302"/>
      <c r="C5" s="300" t="s">
        <v>21</v>
      </c>
      <c r="D5" s="300" t="s">
        <v>22</v>
      </c>
      <c r="E5" s="300" t="s">
        <v>33</v>
      </c>
      <c r="F5" s="300" t="s">
        <v>23</v>
      </c>
      <c r="G5" s="300" t="s">
        <v>24</v>
      </c>
      <c r="H5" s="300" t="s">
        <v>25</v>
      </c>
      <c r="I5" s="300" t="s">
        <v>26</v>
      </c>
      <c r="J5" s="300" t="s">
        <v>27</v>
      </c>
      <c r="K5" s="300" t="s">
        <v>28</v>
      </c>
      <c r="L5" s="300" t="s">
        <v>29</v>
      </c>
      <c r="M5" s="300" t="s">
        <v>30</v>
      </c>
      <c r="O5" s="301" t="s">
        <v>30</v>
      </c>
      <c r="P5" s="300" t="s">
        <v>96</v>
      </c>
      <c r="Q5" s="299" t="s">
        <v>97</v>
      </c>
    </row>
    <row r="6" spans="1:18" ht="15.75" customHeight="1" x14ac:dyDescent="0.2">
      <c r="A6" s="298">
        <f>+'Pricing (2)'!A6</f>
        <v>42491</v>
      </c>
      <c r="B6" s="288"/>
      <c r="C6" s="291">
        <f>'Commodity Tonnages (2)'!C6*'Pricing (2)'!C6</f>
        <v>1999.2294000000002</v>
      </c>
      <c r="D6" s="297">
        <f>'Commodity Tonnages (2)'!D6*'Pricing (2)'!D6</f>
        <v>-129.92819840000004</v>
      </c>
      <c r="E6" s="297">
        <f>'Commodity Tonnages (2)'!E6*'Pricing (2)'!E6</f>
        <v>0</v>
      </c>
      <c r="F6" s="297">
        <f>'Commodity Tonnages (2)'!F6*'Pricing (2)'!F6</f>
        <v>407.4770238000001</v>
      </c>
      <c r="G6" s="297">
        <f>'Commodity Tonnages (2)'!G6*'Pricing (2)'!G6</f>
        <v>4706.2060500000007</v>
      </c>
      <c r="H6" s="297">
        <f>'Commodity Tonnages (2)'!H6*'Pricing (2)'!H6</f>
        <v>7457.9387153600001</v>
      </c>
      <c r="I6" s="297">
        <f>'Commodity Tonnages (2)'!I6*'Pricing (2)'!I6</f>
        <v>1003.3926924000002</v>
      </c>
      <c r="J6" s="297">
        <f>'Commodity Tonnages (2)'!J6*'Pricing (2)'!J6</f>
        <v>1003.3926924000002</v>
      </c>
      <c r="K6" s="297">
        <f>'Commodity Tonnages (2)'!K6*'Pricing (2)'!K6</f>
        <v>5226.3764783999995</v>
      </c>
      <c r="L6" s="297">
        <f>'Commodity Tonnages (2)'!L6*'Pricing (2)'!L6</f>
        <v>-2380.3960972400055</v>
      </c>
      <c r="M6" s="296">
        <f t="shared" ref="M6:M18" si="0">SUM(C6:L6)</f>
        <v>19293.688756719999</v>
      </c>
      <c r="O6" s="98">
        <f t="shared" ref="O6:O17" si="1">+M6-Q6</f>
        <v>9646.9023567200002</v>
      </c>
      <c r="P6" s="155">
        <f t="shared" ref="P6:P17" si="2">IFERROR(O6/M6,0)</f>
        <v>0.50000300504277495</v>
      </c>
      <c r="Q6" s="156">
        <v>9646.786399999999</v>
      </c>
      <c r="R6" s="159"/>
    </row>
    <row r="7" spans="1:18" ht="15.75" customHeight="1" x14ac:dyDescent="0.2">
      <c r="A7" s="298">
        <f>+'Pricing (2)'!A7</f>
        <v>42551</v>
      </c>
      <c r="B7" s="288"/>
      <c r="C7" s="291">
        <f>'Commodity Tonnages (2)'!C7*'Pricing (2)'!C7</f>
        <v>2281.3768574999999</v>
      </c>
      <c r="D7" s="297">
        <f>'Commodity Tonnages (2)'!D7*'Pricing (2)'!D7</f>
        <v>-539.38502903999995</v>
      </c>
      <c r="E7" s="297">
        <f>'Commodity Tonnages (2)'!E7*'Pricing (2)'!E7</f>
        <v>0</v>
      </c>
      <c r="F7" s="297">
        <f>'Commodity Tonnages (2)'!F7*'Pricing (2)'!F7</f>
        <v>418.30613550000004</v>
      </c>
      <c r="G7" s="297">
        <f>'Commodity Tonnages (2)'!G7*'Pricing (2)'!G7</f>
        <v>5760.9526454999996</v>
      </c>
      <c r="H7" s="297">
        <f>'Commodity Tonnages (2)'!H7*'Pricing (2)'!H7</f>
        <v>9046.9697059799983</v>
      </c>
      <c r="I7" s="297">
        <f>'Commodity Tonnages (2)'!I7*'Pricing (2)'!I7</f>
        <v>1135.230351075</v>
      </c>
      <c r="J7" s="297">
        <f>'Commodity Tonnages (2)'!J7*'Pricing (2)'!J7</f>
        <v>1135.230351075</v>
      </c>
      <c r="K7" s="297">
        <f>'Commodity Tonnages (2)'!K7*'Pricing (2)'!K7</f>
        <v>6289.9836357599997</v>
      </c>
      <c r="L7" s="297">
        <f>'Commodity Tonnages (2)'!L7*'Pricing (2)'!L7</f>
        <v>-2783.6610210300059</v>
      </c>
      <c r="M7" s="296">
        <f t="shared" si="0"/>
        <v>22745.003632319989</v>
      </c>
      <c r="O7" s="98">
        <f t="shared" si="1"/>
        <v>11371.811182319991</v>
      </c>
      <c r="P7" s="155">
        <f t="shared" si="2"/>
        <v>0.49996963579996873</v>
      </c>
      <c r="Q7" s="156">
        <v>11373.192449999999</v>
      </c>
      <c r="R7" s="159"/>
    </row>
    <row r="8" spans="1:18" ht="15.75" customHeight="1" x14ac:dyDescent="0.2">
      <c r="A8" s="298">
        <f>+'Pricing (2)'!A8</f>
        <v>42582</v>
      </c>
      <c r="B8" s="288"/>
      <c r="C8" s="291">
        <f>'Commodity Tonnages (2)'!C8*'Pricing (2)'!C8</f>
        <v>1979.1938250000001</v>
      </c>
      <c r="D8" s="297">
        <f>'Commodity Tonnages (2)'!D8*'Pricing (2)'!D8</f>
        <v>-482.17406951999999</v>
      </c>
      <c r="E8" s="297">
        <f>'Commodity Tonnages (2)'!E8*'Pricing (2)'!E8</f>
        <v>0</v>
      </c>
      <c r="F8" s="297">
        <f>'Commodity Tonnages (2)'!F8*'Pricing (2)'!F8</f>
        <v>326.87519535000001</v>
      </c>
      <c r="G8" s="297">
        <f>'Commodity Tonnages (2)'!G8*'Pricing (2)'!G8</f>
        <v>5536.6482599999999</v>
      </c>
      <c r="H8" s="297">
        <f>'Commodity Tonnages (2)'!H8*'Pricing (2)'!H8</f>
        <v>8543.4286507799989</v>
      </c>
      <c r="I8" s="297">
        <f>'Commodity Tonnages (2)'!I8*'Pricing (2)'!I8</f>
        <v>1024.8350533350001</v>
      </c>
      <c r="J8" s="297">
        <f>'Commodity Tonnages (2)'!J8*'Pricing (2)'!J8</f>
        <v>1024.8350533350001</v>
      </c>
      <c r="K8" s="297">
        <f>'Commodity Tonnages (2)'!K8*'Pricing (2)'!K8</f>
        <v>6144.2001403199993</v>
      </c>
      <c r="L8" s="297">
        <f>'Commodity Tonnages (2)'!L8*'Pricing (2)'!L8</f>
        <v>-2420.2308900300054</v>
      </c>
      <c r="M8" s="296">
        <f t="shared" si="0"/>
        <v>21677.611218569989</v>
      </c>
      <c r="O8" s="98">
        <f t="shared" si="1"/>
        <v>10838.319768569991</v>
      </c>
      <c r="P8" s="155">
        <f t="shared" si="2"/>
        <v>0.49997758790347768</v>
      </c>
      <c r="Q8" s="156">
        <v>10839.291449999999</v>
      </c>
      <c r="R8" s="159"/>
    </row>
    <row r="9" spans="1:18" ht="15.75" customHeight="1" x14ac:dyDescent="0.2">
      <c r="A9" s="298">
        <f>+'Pricing (2)'!A9</f>
        <v>42613</v>
      </c>
      <c r="B9" s="288"/>
      <c r="C9" s="291">
        <f>'Commodity Tonnages (2)'!C9*'Pricing (2)'!C9</f>
        <v>2451.3362999999999</v>
      </c>
      <c r="D9" s="297">
        <f>'Commodity Tonnages (2)'!D9*'Pricing (2)'!D9</f>
        <v>-110.06889088000001</v>
      </c>
      <c r="E9" s="297">
        <f>'Commodity Tonnages (2)'!E9*'Pricing (2)'!E9</f>
        <v>0</v>
      </c>
      <c r="F9" s="297">
        <f>'Commodity Tonnages (2)'!F9*'Pricing (2)'!F9</f>
        <v>400.41564749999998</v>
      </c>
      <c r="G9" s="297">
        <f>'Commodity Tonnages (2)'!G9*'Pricing (2)'!G9</f>
        <v>7457.2844970000006</v>
      </c>
      <c r="H9" s="297">
        <f>'Commodity Tonnages (2)'!H9*'Pricing (2)'!H9</f>
        <v>11528.794764679998</v>
      </c>
      <c r="I9" s="297">
        <f>'Commodity Tonnages (2)'!I9*'Pricing (2)'!I9</f>
        <v>1199.2211598199999</v>
      </c>
      <c r="J9" s="297">
        <f>'Commodity Tonnages (2)'!J9*'Pricing (2)'!J9</f>
        <v>1199.2211598199999</v>
      </c>
      <c r="K9" s="297">
        <f>'Commodity Tonnages (2)'!K9*'Pricing (2)'!K9</f>
        <v>8084.0573985600004</v>
      </c>
      <c r="L9" s="297">
        <f>'Commodity Tonnages (2)'!L9*'Pricing (2)'!L9</f>
        <v>-2918.7002559800062</v>
      </c>
      <c r="M9" s="296">
        <f t="shared" si="0"/>
        <v>29291.561780519998</v>
      </c>
      <c r="O9" s="98">
        <f t="shared" si="1"/>
        <v>14645.781780519997</v>
      </c>
      <c r="P9" s="155">
        <f t="shared" si="2"/>
        <v>0.5000000303930533</v>
      </c>
      <c r="Q9" s="156">
        <v>14645.78</v>
      </c>
      <c r="R9" s="159"/>
    </row>
    <row r="10" spans="1:18" ht="15.75" customHeight="1" x14ac:dyDescent="0.2">
      <c r="A10" s="298">
        <f>+'Pricing (2)'!A10</f>
        <v>42643</v>
      </c>
      <c r="B10" s="288"/>
      <c r="C10" s="291">
        <f>'Commodity Tonnages (2)'!C10*'Pricing (2)'!C10</f>
        <v>2254.8036000000002</v>
      </c>
      <c r="D10" s="297">
        <f>'Commodity Tonnages (2)'!D10*'Pricing (2)'!D10</f>
        <v>-400.68320136000006</v>
      </c>
      <c r="E10" s="297">
        <f>'Commodity Tonnages (2)'!E10*'Pricing (2)'!E10</f>
        <v>0</v>
      </c>
      <c r="F10" s="297">
        <f>'Commodity Tonnages (2)'!F10*'Pricing (2)'!F10</f>
        <v>375.14294895000006</v>
      </c>
      <c r="G10" s="297">
        <f>'Commodity Tonnages (2)'!G10*'Pricing (2)'!G10</f>
        <v>6779.2510890000003</v>
      </c>
      <c r="H10" s="297">
        <f>'Commodity Tonnages (2)'!H10*'Pricing (2)'!H10</f>
        <v>9601.8042652599997</v>
      </c>
      <c r="I10" s="297">
        <f>'Commodity Tonnages (2)'!I10*'Pricing (2)'!I10</f>
        <v>954.64108733500018</v>
      </c>
      <c r="J10" s="297">
        <f>'Commodity Tonnages (2)'!J10*'Pricing (2)'!J10</f>
        <v>954.64108733500018</v>
      </c>
      <c r="K10" s="297">
        <f>'Commodity Tonnages (2)'!K10*'Pricing (2)'!K10</f>
        <v>6823.8685904400008</v>
      </c>
      <c r="L10" s="297">
        <f>'Commodity Tonnages (2)'!L10*'Pricing (2)'!L10</f>
        <v>-2732.6382810700061</v>
      </c>
      <c r="M10" s="296">
        <f t="shared" si="0"/>
        <v>24610.831185889998</v>
      </c>
      <c r="O10" s="98">
        <f t="shared" si="1"/>
        <v>12305.278885889997</v>
      </c>
      <c r="P10" s="155">
        <f t="shared" si="2"/>
        <v>0.49999444524835551</v>
      </c>
      <c r="Q10" s="156">
        <v>12305.552300000001</v>
      </c>
      <c r="R10" s="159"/>
    </row>
    <row r="11" spans="1:18" ht="15.75" customHeight="1" x14ac:dyDescent="0.2">
      <c r="A11" s="298">
        <f>+'Pricing (2)'!A11</f>
        <v>42674</v>
      </c>
      <c r="B11" s="288"/>
      <c r="C11" s="291">
        <f>'Commodity Tonnages (2)'!C11*'Pricing (2)'!C11</f>
        <v>2058.1763999999998</v>
      </c>
      <c r="D11" s="297">
        <f>'Commodity Tonnages (2)'!D11*'Pricing (2)'!D11</f>
        <v>-400.93141087999999</v>
      </c>
      <c r="E11" s="297">
        <f>'Commodity Tonnages (2)'!E11*'Pricing (2)'!E11</f>
        <v>0</v>
      </c>
      <c r="F11" s="297">
        <f>'Commodity Tonnages (2)'!F11*'Pricing (2)'!F11</f>
        <v>292.60171248</v>
      </c>
      <c r="G11" s="297">
        <f>'Commodity Tonnages (2)'!G11*'Pricing (2)'!G11</f>
        <v>5830.3676339999993</v>
      </c>
      <c r="H11" s="297">
        <f>'Commodity Tonnages (2)'!H11*'Pricing (2)'!H11</f>
        <v>8311.0974497599982</v>
      </c>
      <c r="I11" s="297">
        <f>'Commodity Tonnages (2)'!I11*'Pricing (2)'!I11</f>
        <v>763.65188130000001</v>
      </c>
      <c r="J11" s="297">
        <f>'Commodity Tonnages (2)'!J11*'Pricing (2)'!J11</f>
        <v>763.65188130000001</v>
      </c>
      <c r="K11" s="297">
        <f>'Commodity Tonnages (2)'!K11*'Pricing (2)'!K11</f>
        <v>6241.6642780800003</v>
      </c>
      <c r="L11" s="297">
        <f>'Commodity Tonnages (2)'!L11*'Pricing (2)'!L11</f>
        <v>-2408.3303347600054</v>
      </c>
      <c r="M11" s="296">
        <f t="shared" si="0"/>
        <v>21451.949491279993</v>
      </c>
      <c r="O11" s="98">
        <f t="shared" si="1"/>
        <v>10726.788891279992</v>
      </c>
      <c r="P11" s="155">
        <f t="shared" si="2"/>
        <v>0.50003795205840507</v>
      </c>
      <c r="Q11" s="156">
        <v>10725.160600000001</v>
      </c>
      <c r="R11" s="159"/>
    </row>
    <row r="12" spans="1:18" ht="15.75" customHeight="1" x14ac:dyDescent="0.2">
      <c r="A12" s="298">
        <f>+'Pricing (2)'!A12</f>
        <v>42704</v>
      </c>
      <c r="B12" s="288"/>
      <c r="C12" s="291">
        <f>'Commodity Tonnages (2)'!C12*'Pricing (2)'!C12</f>
        <v>2292.84000225</v>
      </c>
      <c r="D12" s="297">
        <f>'Commodity Tonnages (2)'!D12*'Pricing (2)'!D12</f>
        <v>-1055.8106686400001</v>
      </c>
      <c r="E12" s="297">
        <f>'Commodity Tonnages (2)'!E12*'Pricing (2)'!E12</f>
        <v>0</v>
      </c>
      <c r="F12" s="297">
        <f>'Commodity Tonnages (2)'!F12*'Pricing (2)'!F12</f>
        <v>398.014920765</v>
      </c>
      <c r="G12" s="297">
        <f>'Commodity Tonnages (2)'!G12*'Pricing (2)'!G12</f>
        <v>6515.1971430000012</v>
      </c>
      <c r="H12" s="297">
        <f>'Commodity Tonnages (2)'!H12*'Pricing (2)'!H12</f>
        <v>9595.6567911399998</v>
      </c>
      <c r="I12" s="297">
        <f>'Commodity Tonnages (2)'!I12*'Pricing (2)'!I12</f>
        <v>878.816288665</v>
      </c>
      <c r="J12" s="297">
        <f>'Commodity Tonnages (2)'!J12*'Pricing (2)'!J12</f>
        <v>878.816288665</v>
      </c>
      <c r="K12" s="297">
        <f>'Commodity Tonnages (2)'!K12*'Pricing (2)'!K12</f>
        <v>7206.9265976400002</v>
      </c>
      <c r="L12" s="297">
        <f>'Commodity Tonnages (2)'!L12*'Pricing (2)'!L12</f>
        <v>-2604.3688230700059</v>
      </c>
      <c r="M12" s="296">
        <f t="shared" si="0"/>
        <v>24106.088540414989</v>
      </c>
      <c r="O12" s="98">
        <f t="shared" si="1"/>
        <v>12052.887940414988</v>
      </c>
      <c r="P12" s="155">
        <f t="shared" si="2"/>
        <v>0.49999351492498489</v>
      </c>
      <c r="Q12" s="156">
        <v>12053.2006</v>
      </c>
      <c r="R12" s="159"/>
    </row>
    <row r="13" spans="1:18" ht="15.75" customHeight="1" x14ac:dyDescent="0.2">
      <c r="A13" s="298">
        <f>+'Pricing (2)'!A13</f>
        <v>42735</v>
      </c>
      <c r="B13" s="288"/>
      <c r="C13" s="291">
        <f>'Commodity Tonnages (2)'!C13*'Pricing (2)'!C13</f>
        <v>2717.6516430000001</v>
      </c>
      <c r="D13" s="297">
        <f>'Commodity Tonnages (2)'!D13*'Pricing (2)'!D13</f>
        <v>-1462.1918688000001</v>
      </c>
      <c r="E13" s="297">
        <f>'Commodity Tonnages (2)'!E13*'Pricing (2)'!E13</f>
        <v>0</v>
      </c>
      <c r="F13" s="297">
        <f>'Commodity Tonnages (2)'!F13*'Pricing (2)'!F13</f>
        <v>467.62720619999999</v>
      </c>
      <c r="G13" s="297">
        <f>'Commodity Tonnages (2)'!G13*'Pricing (2)'!G13</f>
        <v>7376.4987659999997</v>
      </c>
      <c r="H13" s="297">
        <f>'Commodity Tonnages (2)'!H13*'Pricing (2)'!H13</f>
        <v>11605.054606879999</v>
      </c>
      <c r="I13" s="297">
        <f>'Commodity Tonnages (2)'!I13*'Pricing (2)'!I13</f>
        <v>937.14126968000005</v>
      </c>
      <c r="J13" s="297">
        <f>'Commodity Tonnages (2)'!J13*'Pricing (2)'!J13</f>
        <v>937.14126968000005</v>
      </c>
      <c r="K13" s="297">
        <f>'Commodity Tonnages (2)'!K13*'Pricing (2)'!K13</f>
        <v>8419.5578174400016</v>
      </c>
      <c r="L13" s="297">
        <f>'Commodity Tonnages (2)'!L13*'Pricing (2)'!L13</f>
        <v>-2990.1035876000064</v>
      </c>
      <c r="M13" s="296">
        <f t="shared" si="0"/>
        <v>28008.377122479997</v>
      </c>
      <c r="O13" s="98">
        <f t="shared" si="1"/>
        <v>14004.227122479997</v>
      </c>
      <c r="P13" s="155">
        <f t="shared" si="2"/>
        <v>0.50000137677523515</v>
      </c>
      <c r="Q13" s="156">
        <v>14004.15</v>
      </c>
      <c r="R13" s="159"/>
    </row>
    <row r="14" spans="1:18" ht="15.75" customHeight="1" x14ac:dyDescent="0.2">
      <c r="A14" s="298">
        <f>+'Pricing (2)'!A14</f>
        <v>42766</v>
      </c>
      <c r="B14" s="288"/>
      <c r="C14" s="291">
        <f>'Commodity Tonnages (2)'!C14*'Pricing (2)'!C14</f>
        <v>2763.4261431</v>
      </c>
      <c r="D14" s="297">
        <f>'Commodity Tonnages (2)'!D14*'Pricing (2)'!D14</f>
        <v>-808.37556800000016</v>
      </c>
      <c r="E14" s="297">
        <f>'Commodity Tonnages (2)'!E14*'Pricing (2)'!E14</f>
        <v>0</v>
      </c>
      <c r="F14" s="297">
        <f>'Commodity Tonnages (2)'!F14*'Pricing (2)'!F14</f>
        <v>565.59084813000004</v>
      </c>
      <c r="G14" s="297">
        <f>'Commodity Tonnages (2)'!G14*'Pricing (2)'!G14</f>
        <v>7626.0994719</v>
      </c>
      <c r="H14" s="297">
        <f>'Commodity Tonnages (2)'!H14*'Pricing (2)'!H14</f>
        <v>10753.58599826</v>
      </c>
      <c r="I14" s="297">
        <f>'Commodity Tonnages (2)'!I14*'Pricing (2)'!I14</f>
        <v>1044.8088991550001</v>
      </c>
      <c r="J14" s="297">
        <f>'Commodity Tonnages (2)'!J14*'Pricing (2)'!J14</f>
        <v>1044.8088991550001</v>
      </c>
      <c r="K14" s="297">
        <f>'Commodity Tonnages (2)'!K14*'Pricing (2)'!K14</f>
        <v>8856.9193592879983</v>
      </c>
      <c r="L14" s="297">
        <f>'Commodity Tonnages (2)'!L14*'Pricing (2)'!L14</f>
        <v>-2962.0268284600065</v>
      </c>
      <c r="M14" s="296">
        <f t="shared" si="0"/>
        <v>28884.837222527993</v>
      </c>
      <c r="O14" s="98">
        <f t="shared" si="1"/>
        <v>14442.730522527994</v>
      </c>
      <c r="P14" s="155">
        <f t="shared" si="2"/>
        <v>0.50001079844285068</v>
      </c>
      <c r="Q14" s="156">
        <v>14442.106699999998</v>
      </c>
      <c r="R14" s="159"/>
    </row>
    <row r="15" spans="1:18" ht="15.75" customHeight="1" x14ac:dyDescent="0.2">
      <c r="A15" s="298">
        <f>+'Pricing (2)'!A15</f>
        <v>42794</v>
      </c>
      <c r="B15" s="288"/>
      <c r="C15" s="291">
        <f>'Commodity Tonnages (2)'!C15*'Pricing (2)'!C15</f>
        <v>2239.7607518999998</v>
      </c>
      <c r="D15" s="297">
        <f>'Commodity Tonnages (2)'!D15*'Pricing (2)'!D15</f>
        <v>-592.94114360000003</v>
      </c>
      <c r="E15" s="297">
        <f>'Commodity Tonnages (2)'!E15*'Pricing (2)'!E15</f>
        <v>0</v>
      </c>
      <c r="F15" s="297">
        <f>'Commodity Tonnages (2)'!F15*'Pricing (2)'!F15</f>
        <v>385.59453008999998</v>
      </c>
      <c r="G15" s="297">
        <f>'Commodity Tonnages (2)'!G15*'Pricing (2)'!G15</f>
        <v>6898.8916951499996</v>
      </c>
      <c r="H15" s="297">
        <f>'Commodity Tonnages (2)'!H15*'Pricing (2)'!H15</f>
        <v>10539.967007065998</v>
      </c>
      <c r="I15" s="297">
        <f>'Commodity Tonnages (2)'!I15*'Pricing (2)'!I15</f>
        <v>892.32145793699988</v>
      </c>
      <c r="J15" s="297">
        <f>'Commodity Tonnages (2)'!J15*'Pricing (2)'!J15</f>
        <v>892.32145793699988</v>
      </c>
      <c r="K15" s="297">
        <f>'Commodity Tonnages (2)'!K15*'Pricing (2)'!K15</f>
        <v>8011.6130611439994</v>
      </c>
      <c r="L15" s="297">
        <f>'Commodity Tonnages (2)'!L15*'Pricing (2)'!L15</f>
        <v>-2265.3098890900046</v>
      </c>
      <c r="M15" s="296">
        <f t="shared" si="0"/>
        <v>27002.218928533992</v>
      </c>
      <c r="O15" s="98">
        <f t="shared" si="1"/>
        <v>13501.430628533994</v>
      </c>
      <c r="P15" s="155">
        <f t="shared" si="2"/>
        <v>0.50001189399537305</v>
      </c>
      <c r="Q15" s="156">
        <v>13500.788299999998</v>
      </c>
      <c r="R15" s="159"/>
    </row>
    <row r="16" spans="1:18" ht="15.75" customHeight="1" x14ac:dyDescent="0.2">
      <c r="A16" s="298">
        <f>+'Pricing (2)'!A16</f>
        <v>42825</v>
      </c>
      <c r="B16" s="288"/>
      <c r="C16" s="291">
        <f>'Commodity Tonnages (2)'!C16*'Pricing (2)'!C16</f>
        <v>2617.1972105999998</v>
      </c>
      <c r="D16" s="297">
        <f>'Commodity Tonnages (2)'!D16*'Pricing (2)'!D16</f>
        <v>-670.72389696000005</v>
      </c>
      <c r="E16" s="297">
        <f>'Commodity Tonnages (2)'!E16*'Pricing (2)'!E16</f>
        <v>0</v>
      </c>
      <c r="F16" s="297">
        <f>'Commodity Tonnages (2)'!F16*'Pricing (2)'!F16</f>
        <v>535.41626523000002</v>
      </c>
      <c r="G16" s="297">
        <f>'Commodity Tonnages (2)'!G16*'Pricing (2)'!G16</f>
        <v>7541.3922947999999</v>
      </c>
      <c r="H16" s="297">
        <f>'Commodity Tonnages (2)'!H16*'Pricing (2)'!H16</f>
        <v>11985.205995896</v>
      </c>
      <c r="I16" s="297">
        <f>'Commodity Tonnages (2)'!I16*'Pricing (2)'!I16</f>
        <v>889.07034502299996</v>
      </c>
      <c r="J16" s="297">
        <f>'Commodity Tonnages (2)'!J16*'Pricing (2)'!J16</f>
        <v>889.07034502299996</v>
      </c>
      <c r="K16" s="297">
        <f>'Commodity Tonnages (2)'!K16*'Pricing (2)'!K16</f>
        <v>10160.27595198</v>
      </c>
      <c r="L16" s="297">
        <f>'Commodity Tonnages (2)'!L16*'Pricing (2)'!L16</f>
        <v>-2900.2037320600061</v>
      </c>
      <c r="M16" s="296">
        <f t="shared" si="0"/>
        <v>31046.700779531995</v>
      </c>
      <c r="O16" s="98">
        <f t="shared" si="1"/>
        <v>15523.107179531995</v>
      </c>
      <c r="P16" s="155">
        <f t="shared" si="2"/>
        <v>0.49999216630985271</v>
      </c>
      <c r="Q16" s="156">
        <v>15523.5936</v>
      </c>
      <c r="R16" s="159"/>
    </row>
    <row r="17" spans="1:18" ht="15.75" customHeight="1" x14ac:dyDescent="0.2">
      <c r="A17" s="298">
        <f>+'Pricing (2)'!A17</f>
        <v>42855</v>
      </c>
      <c r="B17" s="288"/>
      <c r="C17" s="291">
        <f>'Commodity Tonnages (2)'!C17*'Pricing (2)'!C17</f>
        <v>2163.4895782499998</v>
      </c>
      <c r="D17" s="297">
        <f>'Commodity Tonnages (2)'!D17*'Pricing (2)'!D17</f>
        <v>-562.26793479999992</v>
      </c>
      <c r="E17" s="297">
        <f>'Commodity Tonnages (2)'!E17*'Pricing (2)'!E17</f>
        <v>0</v>
      </c>
      <c r="F17" s="297">
        <f>'Commodity Tonnages (2)'!F17*'Pricing (2)'!F17</f>
        <v>390.56799210000003</v>
      </c>
      <c r="G17" s="297">
        <f>'Commodity Tonnages (2)'!G17*'Pricing (2)'!G17</f>
        <v>3621.1922370000002</v>
      </c>
      <c r="H17" s="297">
        <f>'Commodity Tonnages (2)'!H17*'Pricing (2)'!H17</f>
        <v>5303.0932850999998</v>
      </c>
      <c r="I17" s="297">
        <f>'Commodity Tonnages (2)'!I17*'Pricing (2)'!I17</f>
        <v>689.09654931</v>
      </c>
      <c r="J17" s="297">
        <f>'Commodity Tonnages (2)'!J17*'Pricing (2)'!J17</f>
        <v>689.09654931</v>
      </c>
      <c r="K17" s="297">
        <f>'Commodity Tonnages (2)'!K17*'Pricing (2)'!K17</f>
        <v>6453.0187979399998</v>
      </c>
      <c r="L17" s="297">
        <f>'Commodity Tonnages (2)'!L17*'Pricing (2)'!L17</f>
        <v>-2428.9146397100053</v>
      </c>
      <c r="M17" s="296">
        <f t="shared" si="0"/>
        <v>16318.372414499994</v>
      </c>
      <c r="O17" s="98">
        <f t="shared" si="1"/>
        <v>8159.285114499995</v>
      </c>
      <c r="P17" s="155">
        <f t="shared" si="2"/>
        <v>0.50000606109772994</v>
      </c>
      <c r="Q17" s="156">
        <v>8159.0872999999992</v>
      </c>
      <c r="R17" s="159"/>
    </row>
    <row r="18" spans="1:18" ht="15.75" customHeight="1" x14ac:dyDescent="0.2">
      <c r="A18" s="295" t="s">
        <v>32</v>
      </c>
      <c r="B18" s="288"/>
      <c r="C18" s="294">
        <f t="shared" ref="C18:L18" si="3">SUM(C6:C17)</f>
        <v>27818.481711600001</v>
      </c>
      <c r="D18" s="293">
        <f t="shared" si="3"/>
        <v>-7215.481880880001</v>
      </c>
      <c r="E18" s="293">
        <f t="shared" si="3"/>
        <v>0</v>
      </c>
      <c r="F18" s="294">
        <f t="shared" si="3"/>
        <v>4963.6304260950001</v>
      </c>
      <c r="G18" s="294">
        <f t="shared" si="3"/>
        <v>75649.981783349998</v>
      </c>
      <c r="H18" s="294">
        <f t="shared" si="3"/>
        <v>114272.59723616196</v>
      </c>
      <c r="I18" s="294">
        <f t="shared" si="3"/>
        <v>11412.227035034999</v>
      </c>
      <c r="J18" s="294">
        <f t="shared" si="3"/>
        <v>11412.227035034999</v>
      </c>
      <c r="K18" s="294">
        <f t="shared" si="3"/>
        <v>87918.462106991996</v>
      </c>
      <c r="L18" s="293">
        <f t="shared" si="3"/>
        <v>-31794.884380100066</v>
      </c>
      <c r="M18" s="292">
        <f t="shared" si="0"/>
        <v>294437.2410732889</v>
      </c>
      <c r="O18" s="135">
        <f>SUM(O6:O17)</f>
        <v>147218.55137328894</v>
      </c>
      <c r="P18" s="141">
        <f>+O18/M18</f>
        <v>0.4999997650998384</v>
      </c>
      <c r="Q18" s="135">
        <f>+M18-O18</f>
        <v>147218.68969999996</v>
      </c>
    </row>
    <row r="19" spans="1:18" x14ac:dyDescent="0.2">
      <c r="A19" s="288"/>
      <c r="B19" s="288"/>
      <c r="C19" s="291"/>
      <c r="D19" s="291"/>
      <c r="E19" s="291"/>
      <c r="F19" s="291"/>
      <c r="G19" s="291"/>
      <c r="H19" s="291"/>
      <c r="I19" s="291"/>
      <c r="J19" s="291"/>
      <c r="K19" s="291"/>
      <c r="L19" s="291"/>
      <c r="M19" s="291"/>
      <c r="O19" s="80"/>
    </row>
    <row r="20" spans="1:18" x14ac:dyDescent="0.2">
      <c r="A20" s="288"/>
      <c r="B20" s="288"/>
      <c r="C20" s="288"/>
      <c r="D20" s="288"/>
      <c r="E20" s="288"/>
      <c r="F20" s="288"/>
      <c r="G20" s="288"/>
      <c r="H20" s="288"/>
      <c r="I20" s="288"/>
      <c r="J20" s="288"/>
      <c r="K20" s="288"/>
      <c r="L20" s="288"/>
      <c r="M20" s="289"/>
      <c r="O20" s="290"/>
    </row>
    <row r="21" spans="1:18" x14ac:dyDescent="0.2">
      <c r="A21" s="288"/>
      <c r="B21" s="288"/>
      <c r="C21" s="288"/>
      <c r="D21" s="288"/>
      <c r="E21" s="288"/>
      <c r="F21" s="288"/>
      <c r="G21" s="288"/>
      <c r="H21" s="288"/>
      <c r="I21" s="288"/>
      <c r="J21" s="288"/>
      <c r="K21" s="288"/>
      <c r="L21" s="288"/>
      <c r="M21" s="289"/>
      <c r="O21" s="82"/>
    </row>
    <row r="22" spans="1:18" x14ac:dyDescent="0.2">
      <c r="A22" s="288"/>
      <c r="B22" s="288"/>
      <c r="C22" s="288"/>
      <c r="D22" s="288"/>
      <c r="E22" s="288"/>
      <c r="F22" s="288"/>
      <c r="G22" s="288"/>
      <c r="H22" s="288"/>
      <c r="I22" s="288"/>
      <c r="J22" s="288"/>
      <c r="K22" s="288"/>
      <c r="L22" s="288"/>
      <c r="M22" s="289"/>
    </row>
    <row r="23" spans="1:18" x14ac:dyDescent="0.2">
      <c r="A23" s="288"/>
      <c r="B23" s="288"/>
      <c r="C23" s="288"/>
      <c r="D23" s="288"/>
      <c r="E23" s="288"/>
      <c r="F23" s="288"/>
      <c r="G23" s="288"/>
      <c r="H23" s="288"/>
      <c r="I23" s="288"/>
      <c r="J23" s="288"/>
      <c r="K23" s="288"/>
      <c r="L23" s="288"/>
      <c r="M23" s="289"/>
    </row>
    <row r="24" spans="1:18" x14ac:dyDescent="0.2">
      <c r="A24" s="288"/>
      <c r="B24" s="288"/>
      <c r="C24" s="288"/>
      <c r="D24" s="288"/>
      <c r="E24" s="288"/>
      <c r="F24" s="288"/>
      <c r="G24" s="288"/>
      <c r="H24" s="288"/>
      <c r="I24" s="288"/>
      <c r="J24" s="288"/>
      <c r="K24" s="288"/>
      <c r="L24" s="288"/>
      <c r="M24" s="289"/>
    </row>
    <row r="25" spans="1:18" x14ac:dyDescent="0.2">
      <c r="A25" s="288"/>
      <c r="B25" s="288"/>
      <c r="C25" s="288"/>
      <c r="D25" s="288"/>
      <c r="E25" s="288"/>
      <c r="F25" s="288"/>
      <c r="G25" s="288"/>
      <c r="H25" s="288"/>
      <c r="I25" s="288"/>
      <c r="J25" s="288"/>
      <c r="K25" s="288"/>
      <c r="L25" s="288"/>
      <c r="M25" s="289"/>
    </row>
    <row r="26" spans="1:18" x14ac:dyDescent="0.2">
      <c r="A26" s="288"/>
      <c r="B26" s="288"/>
      <c r="C26" s="288"/>
      <c r="D26" s="288"/>
      <c r="E26" s="288"/>
      <c r="F26" s="288"/>
      <c r="G26" s="288"/>
      <c r="H26" s="288"/>
      <c r="I26" s="288"/>
      <c r="J26" s="288"/>
      <c r="K26" s="288"/>
      <c r="L26" s="288"/>
      <c r="M26" s="289"/>
    </row>
    <row r="27" spans="1:18" x14ac:dyDescent="0.2">
      <c r="A27" s="288"/>
      <c r="B27" s="288"/>
      <c r="C27" s="288"/>
      <c r="D27" s="288"/>
      <c r="E27" s="288"/>
      <c r="F27" s="288"/>
      <c r="G27" s="288"/>
      <c r="H27" s="288"/>
      <c r="I27" s="288"/>
      <c r="J27" s="288"/>
      <c r="K27" s="288"/>
      <c r="L27" s="288"/>
      <c r="M27" s="289"/>
    </row>
    <row r="28" spans="1:18" x14ac:dyDescent="0.2">
      <c r="A28" s="288"/>
      <c r="B28" s="288"/>
      <c r="C28" s="288"/>
      <c r="D28" s="288"/>
      <c r="E28" s="288"/>
      <c r="F28" s="288"/>
      <c r="G28" s="288"/>
      <c r="H28" s="288"/>
      <c r="I28" s="288"/>
      <c r="J28" s="288"/>
      <c r="K28" s="288"/>
      <c r="L28" s="288"/>
      <c r="M28" s="288"/>
    </row>
    <row r="29" spans="1:18" x14ac:dyDescent="0.2">
      <c r="A29" s="288"/>
      <c r="B29" s="288"/>
      <c r="C29" s="288"/>
      <c r="D29" s="288"/>
      <c r="E29" s="288"/>
      <c r="F29" s="288"/>
      <c r="G29" s="288"/>
      <c r="H29" s="288"/>
      <c r="I29" s="288"/>
      <c r="J29" s="288"/>
      <c r="K29" s="288"/>
      <c r="L29" s="288"/>
      <c r="M29" s="288"/>
    </row>
    <row r="30" spans="1:18" x14ac:dyDescent="0.2">
      <c r="A30" s="288"/>
      <c r="B30" s="288"/>
      <c r="C30" s="288"/>
      <c r="D30" s="288"/>
      <c r="E30" s="288"/>
      <c r="F30" s="288"/>
      <c r="G30" s="288"/>
      <c r="H30" s="288"/>
      <c r="I30" s="288"/>
      <c r="J30" s="288"/>
      <c r="K30" s="288"/>
      <c r="L30" s="288"/>
      <c r="M30" s="288"/>
    </row>
    <row r="31" spans="1:18" x14ac:dyDescent="0.2">
      <c r="A31" s="288"/>
      <c r="B31" s="288"/>
      <c r="C31" s="288"/>
      <c r="D31" s="288"/>
      <c r="E31" s="288"/>
      <c r="F31" s="288"/>
      <c r="G31" s="288"/>
      <c r="H31" s="288"/>
      <c r="I31" s="288"/>
      <c r="J31" s="288"/>
      <c r="K31" s="288"/>
      <c r="L31" s="288"/>
      <c r="M31" s="288"/>
    </row>
    <row r="32" spans="1:18" x14ac:dyDescent="0.2">
      <c r="A32" s="288"/>
      <c r="B32" s="288"/>
      <c r="C32" s="288"/>
      <c r="D32" s="288"/>
      <c r="E32" s="288"/>
      <c r="F32" s="288"/>
      <c r="G32" s="288"/>
      <c r="H32" s="288"/>
      <c r="I32" s="288"/>
      <c r="J32" s="288"/>
      <c r="K32" s="288"/>
      <c r="L32" s="288"/>
      <c r="M32" s="288"/>
    </row>
    <row r="33" spans="1:13" x14ac:dyDescent="0.2">
      <c r="A33" s="288"/>
      <c r="B33" s="288"/>
      <c r="C33" s="288"/>
      <c r="D33" s="288"/>
      <c r="E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sheetData>
  <pageMargins left="0.25" right="0.25" top="0.75" bottom="0.75" header="0.3" footer="0.3"/>
  <pageSetup scale="76"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18"/>
  <sheetViews>
    <sheetView showGridLines="0" view="pageBreakPreview" zoomScaleNormal="100" zoomScaleSheetLayoutView="100" workbookViewId="0">
      <selection activeCell="E15" sqref="E15"/>
    </sheetView>
  </sheetViews>
  <sheetFormatPr defaultRowHeight="12.75" x14ac:dyDescent="0.2"/>
  <cols>
    <col min="1" max="1" width="9.140625" style="195"/>
    <col min="2" max="2" width="2.5703125" style="195" customWidth="1"/>
    <col min="3" max="12" width="11.7109375" style="195" customWidth="1"/>
    <col min="13" max="13" width="2.7109375" style="195" customWidth="1"/>
    <col min="14" max="14" width="11.7109375" style="195" customWidth="1"/>
    <col min="15" max="15" width="14.85546875" style="195" bestFit="1" customWidth="1"/>
    <col min="16" max="16384" width="9.140625" style="195"/>
  </cols>
  <sheetData>
    <row r="1" spans="1:16" x14ac:dyDescent="0.2">
      <c r="A1" s="305" t="str">
        <f>"Single-Family Tonnages by Commodity ("&amp;TEXT(A6,"mmmm yyyy")&amp;" through "&amp;TEXT(A17,"mmmm yyyy")&amp;")"</f>
        <v>Single-Family Tonnages by Commodity (May 2016 through April 2017)</v>
      </c>
      <c r="B1" s="304"/>
    </row>
    <row r="2" spans="1:16" x14ac:dyDescent="0.2">
      <c r="A2" s="303" t="str">
        <f>'WUTC_AW of Bellevue_SF (2)'!A1</f>
        <v>Rabanco Ltd (dba Allied Waste of Bellevue)</v>
      </c>
      <c r="B2" s="303"/>
    </row>
    <row r="3" spans="1:16" x14ac:dyDescent="0.2">
      <c r="A3" s="303"/>
      <c r="B3" s="303"/>
    </row>
    <row r="4" spans="1:16" x14ac:dyDescent="0.2">
      <c r="A4" s="303"/>
      <c r="B4" s="303"/>
    </row>
    <row r="5" spans="1:16" x14ac:dyDescent="0.2">
      <c r="A5" s="304"/>
      <c r="B5" s="309"/>
      <c r="C5" s="300" t="s">
        <v>21</v>
      </c>
      <c r="D5" s="300" t="s">
        <v>22</v>
      </c>
      <c r="E5" s="300" t="s">
        <v>33</v>
      </c>
      <c r="F5" s="300" t="s">
        <v>23</v>
      </c>
      <c r="G5" s="300" t="s">
        <v>24</v>
      </c>
      <c r="H5" s="300" t="s">
        <v>25</v>
      </c>
      <c r="I5" s="300" t="s">
        <v>26</v>
      </c>
      <c r="J5" s="300" t="s">
        <v>27</v>
      </c>
      <c r="K5" s="300" t="s">
        <v>28</v>
      </c>
      <c r="L5" s="300" t="s">
        <v>29</v>
      </c>
      <c r="M5" s="300"/>
      <c r="N5" s="300" t="s">
        <v>30</v>
      </c>
    </row>
    <row r="6" spans="1:16" ht="15.75" customHeight="1" x14ac:dyDescent="0.2">
      <c r="A6" s="308">
        <f>'Single Family (2)'!$C$6</f>
        <v>42491</v>
      </c>
      <c r="B6" s="288" t="s">
        <v>67</v>
      </c>
      <c r="C6" s="108">
        <f>'Single Family (2)'!C32</f>
        <v>2.5053000000000001</v>
      </c>
      <c r="D6" s="109">
        <f>'Single Family (2)'!C34</f>
        <v>59.058272000000009</v>
      </c>
      <c r="E6" s="108">
        <f>'Single Family (2)'!C35</f>
        <v>0</v>
      </c>
      <c r="F6" s="108">
        <f>'Single Family (2)'!C30</f>
        <v>5.5116600000000009</v>
      </c>
      <c r="G6" s="108">
        <f>'Single Family (2)'!C27</f>
        <v>65.137800000000013</v>
      </c>
      <c r="H6" s="108">
        <f>'Single Family (2)'!C37</f>
        <v>107.494072</v>
      </c>
      <c r="I6" s="108">
        <f>'Single Family (2)'!C31/2</f>
        <v>7.4991980000000007</v>
      </c>
      <c r="J6" s="108">
        <f>'Single Family (2)'!C31/2</f>
        <v>7.4991980000000007</v>
      </c>
      <c r="K6" s="108">
        <f>'Single Family (2)'!C28</f>
        <v>59.525928</v>
      </c>
      <c r="L6" s="108">
        <f>'Single Family (2)'!C36</f>
        <v>19.808572000000044</v>
      </c>
      <c r="M6" s="306"/>
      <c r="N6" s="175">
        <f t="shared" ref="N6:N17" si="0">SUM(C6:L6)</f>
        <v>334.04000000000008</v>
      </c>
      <c r="O6" s="75"/>
      <c r="P6" s="307"/>
    </row>
    <row r="7" spans="1:16" ht="15.75" customHeight="1" x14ac:dyDescent="0.2">
      <c r="A7" s="298">
        <f t="shared" ref="A7:A17" si="1">EOMONTH(A6,1)</f>
        <v>42551</v>
      </c>
      <c r="B7" s="288" t="s">
        <v>68</v>
      </c>
      <c r="C7" s="108">
        <f>'Single Family (2)'!D32</f>
        <v>2.9297249999999999</v>
      </c>
      <c r="D7" s="109">
        <f>'Single Family (2)'!D34</f>
        <v>69.063383999999999</v>
      </c>
      <c r="E7" s="108">
        <f>'Single Family (2)'!D35</f>
        <v>0</v>
      </c>
      <c r="F7" s="108">
        <f>'Single Family (2)'!D30</f>
        <v>6.4453950000000004</v>
      </c>
      <c r="G7" s="108">
        <f>'Single Family (2)'!D27</f>
        <v>76.172849999999997</v>
      </c>
      <c r="H7" s="108">
        <f>'Single Family (2)'!D37</f>
        <v>125.70473399999999</v>
      </c>
      <c r="I7" s="108">
        <f>'Single Family (2)'!D31/2</f>
        <v>8.7696435000000008</v>
      </c>
      <c r="J7" s="108">
        <f>'Single Family (2)'!D31/2</f>
        <v>8.7696435000000008</v>
      </c>
      <c r="K7" s="108">
        <f>'Single Family (2)'!D28</f>
        <v>69.610265999999996</v>
      </c>
      <c r="L7" s="108">
        <f>'Single Family (2)'!D36</f>
        <v>23.164359000000051</v>
      </c>
      <c r="M7" s="306"/>
      <c r="N7" s="175">
        <f t="shared" si="0"/>
        <v>390.63000000000005</v>
      </c>
      <c r="P7" s="307"/>
    </row>
    <row r="8" spans="1:16" ht="15.75" customHeight="1" x14ac:dyDescent="0.2">
      <c r="A8" s="298">
        <f t="shared" si="1"/>
        <v>42582</v>
      </c>
      <c r="B8" s="288" t="s">
        <v>69</v>
      </c>
      <c r="C8" s="108">
        <f>'Single Family (2)'!E32</f>
        <v>2.5472250000000001</v>
      </c>
      <c r="D8" s="109">
        <f>'Single Family (2)'!E34</f>
        <v>60.046584000000003</v>
      </c>
      <c r="E8" s="108">
        <f>'Single Family (2)'!E35</f>
        <v>0</v>
      </c>
      <c r="F8" s="108">
        <f>'Single Family (2)'!E30</f>
        <v>5.6038950000000005</v>
      </c>
      <c r="G8" s="108">
        <f>'Single Family (2)'!E27</f>
        <v>66.227850000000004</v>
      </c>
      <c r="H8" s="108">
        <f>'Single Family (2)'!E37</f>
        <v>109.29293399999999</v>
      </c>
      <c r="I8" s="108">
        <f>'Single Family (2)'!E31/2</f>
        <v>7.6246935000000002</v>
      </c>
      <c r="J8" s="108">
        <f>'Single Family (2)'!E31/2</f>
        <v>7.6246935000000002</v>
      </c>
      <c r="K8" s="108">
        <f>'Single Family (2)'!E28</f>
        <v>60.522065999999995</v>
      </c>
      <c r="L8" s="108">
        <f>'Single Family (2)'!E36</f>
        <v>20.140059000000043</v>
      </c>
      <c r="M8" s="306"/>
      <c r="N8" s="175">
        <f t="shared" si="0"/>
        <v>339.63000000000005</v>
      </c>
      <c r="P8" s="307"/>
    </row>
    <row r="9" spans="1:16" ht="15.75" customHeight="1" x14ac:dyDescent="0.2">
      <c r="A9" s="298">
        <f t="shared" si="1"/>
        <v>42613</v>
      </c>
      <c r="B9" s="288" t="s">
        <v>70</v>
      </c>
      <c r="C9" s="108">
        <f>'Single Family (2)'!F32</f>
        <v>3.07185</v>
      </c>
      <c r="D9" s="109">
        <f>'Single Family (2)'!F34</f>
        <v>72.413744000000008</v>
      </c>
      <c r="E9" s="108">
        <f>'Single Family (2)'!F35</f>
        <v>0</v>
      </c>
      <c r="F9" s="108">
        <f>'Single Family (2)'!F30</f>
        <v>6.75807</v>
      </c>
      <c r="G9" s="108">
        <f>'Single Family (2)'!F27</f>
        <v>79.868099999999998</v>
      </c>
      <c r="H9" s="108">
        <f>'Single Family (2)'!F37</f>
        <v>131.80284399999999</v>
      </c>
      <c r="I9" s="108">
        <f>'Single Family (2)'!F31/2</f>
        <v>9.1950710000000004</v>
      </c>
      <c r="J9" s="108">
        <f>'Single Family (2)'!F31/2</f>
        <v>9.1950710000000004</v>
      </c>
      <c r="K9" s="108">
        <f>'Single Family (2)'!F28</f>
        <v>72.987155999999999</v>
      </c>
      <c r="L9" s="108">
        <f>'Single Family (2)'!F36</f>
        <v>24.288094000000051</v>
      </c>
      <c r="M9" s="306"/>
      <c r="N9" s="175">
        <f t="shared" si="0"/>
        <v>409.58</v>
      </c>
      <c r="P9" s="307"/>
    </row>
    <row r="10" spans="1:16" ht="15.75" customHeight="1" x14ac:dyDescent="0.2">
      <c r="A10" s="298">
        <f t="shared" si="1"/>
        <v>42643</v>
      </c>
      <c r="B10" s="288" t="s">
        <v>71</v>
      </c>
      <c r="C10" s="108">
        <f>'Single Family (2)'!G32</f>
        <v>2.8760250000000003</v>
      </c>
      <c r="D10" s="109">
        <f>'Single Family (2)'!G34</f>
        <v>67.79749600000001</v>
      </c>
      <c r="E10" s="108">
        <f>'Single Family (2)'!G35</f>
        <v>0</v>
      </c>
      <c r="F10" s="108">
        <f>'Single Family (2)'!G30</f>
        <v>6.327255000000001</v>
      </c>
      <c r="G10" s="108">
        <f>'Single Family (2)'!G27</f>
        <v>74.776650000000004</v>
      </c>
      <c r="H10" s="108">
        <f>'Single Family (2)'!G37</f>
        <v>123.40064599999999</v>
      </c>
      <c r="I10" s="108">
        <f>'Single Family (2)'!G31/2</f>
        <v>8.6089015000000018</v>
      </c>
      <c r="J10" s="108">
        <f>'Single Family (2)'!G31/2</f>
        <v>8.6089015000000018</v>
      </c>
      <c r="K10" s="108">
        <f>'Single Family (2)'!G28</f>
        <v>68.334354000000005</v>
      </c>
      <c r="L10" s="108">
        <f>'Single Family (2)'!G36</f>
        <v>22.739771000000051</v>
      </c>
      <c r="M10" s="306"/>
      <c r="N10" s="175">
        <f t="shared" si="0"/>
        <v>383.47000000000008</v>
      </c>
      <c r="P10" s="307"/>
    </row>
    <row r="11" spans="1:16" ht="15.75" customHeight="1" x14ac:dyDescent="0.2">
      <c r="A11" s="298">
        <f t="shared" si="1"/>
        <v>42674</v>
      </c>
      <c r="B11" s="288" t="s">
        <v>72</v>
      </c>
      <c r="C11" s="108">
        <f>'Single Family (2)'!H32</f>
        <v>2.5347</v>
      </c>
      <c r="D11" s="109">
        <f>'Single Family (2)'!H34</f>
        <v>59.751328000000001</v>
      </c>
      <c r="E11" s="108">
        <f>'Single Family (2)'!H35</f>
        <v>0</v>
      </c>
      <c r="F11" s="108">
        <f>'Single Family (2)'!H30</f>
        <v>5.5763400000000001</v>
      </c>
      <c r="G11" s="108">
        <f>'Single Family (2)'!H27</f>
        <v>65.902199999999993</v>
      </c>
      <c r="H11" s="108">
        <f>'Single Family (2)'!H37</f>
        <v>108.75552799999998</v>
      </c>
      <c r="I11" s="108">
        <f>'Single Family (2)'!H31/2</f>
        <v>7.5872019999999996</v>
      </c>
      <c r="J11" s="108">
        <f>'Single Family (2)'!H31/2</f>
        <v>7.5872019999999996</v>
      </c>
      <c r="K11" s="108">
        <f>'Single Family (2)'!H28</f>
        <v>60.224471999999999</v>
      </c>
      <c r="L11" s="108">
        <f>'Single Family (2)'!H36</f>
        <v>20.041028000000043</v>
      </c>
      <c r="M11" s="306"/>
      <c r="N11" s="175">
        <f t="shared" si="0"/>
        <v>337.96</v>
      </c>
      <c r="P11" s="307"/>
    </row>
    <row r="12" spans="1:16" ht="15.75" customHeight="1" x14ac:dyDescent="0.2">
      <c r="A12" s="298">
        <f t="shared" si="1"/>
        <v>42704</v>
      </c>
      <c r="B12" s="288" t="s">
        <v>73</v>
      </c>
      <c r="C12" s="108">
        <f>'Single Family (2)'!I32</f>
        <v>2.741025</v>
      </c>
      <c r="D12" s="109">
        <f>'Single Family (2)'!I34</f>
        <v>64.615096000000008</v>
      </c>
      <c r="E12" s="108">
        <f>'Single Family (2)'!I35</f>
        <v>0</v>
      </c>
      <c r="F12" s="108">
        <f>'Single Family (2)'!I30</f>
        <v>6.0302550000000004</v>
      </c>
      <c r="G12" s="108">
        <f>'Single Family (2)'!I27</f>
        <v>71.266650000000013</v>
      </c>
      <c r="H12" s="108">
        <f>'Single Family (2)'!I37</f>
        <v>117.60824599999999</v>
      </c>
      <c r="I12" s="108">
        <f>'Single Family (2)'!I31/2</f>
        <v>8.2048015000000003</v>
      </c>
      <c r="J12" s="108">
        <f>'Single Family (2)'!I31/2</f>
        <v>8.2048015000000003</v>
      </c>
      <c r="K12" s="108">
        <f>'Single Family (2)'!I28</f>
        <v>65.126754000000005</v>
      </c>
      <c r="L12" s="108">
        <f>'Single Family (2)'!I36</f>
        <v>21.672371000000048</v>
      </c>
      <c r="M12" s="306"/>
      <c r="N12" s="175">
        <f t="shared" si="0"/>
        <v>365.47</v>
      </c>
      <c r="P12" s="307"/>
    </row>
    <row r="13" spans="1:16" ht="15.75" customHeight="1" x14ac:dyDescent="0.2">
      <c r="A13" s="298">
        <f t="shared" si="1"/>
        <v>42735</v>
      </c>
      <c r="B13" s="288" t="s">
        <v>74</v>
      </c>
      <c r="C13" s="108">
        <f>'Single Family (2)'!J32</f>
        <v>3.1470000000000002</v>
      </c>
      <c r="D13" s="109">
        <f>'Single Family (2)'!J34</f>
        <v>74.185280000000006</v>
      </c>
      <c r="E13" s="108">
        <f>'Single Family (2)'!J35</f>
        <v>0</v>
      </c>
      <c r="F13" s="108">
        <f>'Single Family (2)'!J30</f>
        <v>6.9234000000000009</v>
      </c>
      <c r="G13" s="108">
        <f>'Single Family (2)'!J27</f>
        <v>81.822000000000003</v>
      </c>
      <c r="H13" s="108">
        <f>'Single Family (2)'!J37</f>
        <v>135.02727999999999</v>
      </c>
      <c r="I13" s="108">
        <f>'Single Family (2)'!J31/2</f>
        <v>9.4200200000000009</v>
      </c>
      <c r="J13" s="108">
        <f>'Single Family (2)'!J31/2</f>
        <v>9.4200200000000009</v>
      </c>
      <c r="K13" s="108">
        <f>'Single Family (2)'!J28</f>
        <v>74.772720000000007</v>
      </c>
      <c r="L13" s="108">
        <f>'Single Family (2)'!J36</f>
        <v>24.882280000000055</v>
      </c>
      <c r="M13" s="306"/>
      <c r="N13" s="175">
        <f t="shared" si="0"/>
        <v>419.60000000000008</v>
      </c>
      <c r="P13" s="307"/>
    </row>
    <row r="14" spans="1:16" ht="15.75" customHeight="1" x14ac:dyDescent="0.2">
      <c r="A14" s="298">
        <f t="shared" si="1"/>
        <v>42766</v>
      </c>
      <c r="B14" s="288" t="s">
        <v>75</v>
      </c>
      <c r="C14" s="108">
        <f>'Single Family (2)'!K32</f>
        <v>3.1174500000000003</v>
      </c>
      <c r="D14" s="109">
        <f>'Single Family (2)'!K34</f>
        <v>73.48868800000001</v>
      </c>
      <c r="E14" s="108">
        <f>'Single Family (2)'!K35</f>
        <v>0</v>
      </c>
      <c r="F14" s="108">
        <f>'Single Family (2)'!K30</f>
        <v>6.8583900000000009</v>
      </c>
      <c r="G14" s="108">
        <f>'Single Family (2)'!K27</f>
        <v>81.053700000000006</v>
      </c>
      <c r="H14" s="108">
        <f>'Single Family (2)'!K37</f>
        <v>133.759388</v>
      </c>
      <c r="I14" s="108">
        <f>'Single Family (2)'!K31/2</f>
        <v>9.3315670000000015</v>
      </c>
      <c r="J14" s="108">
        <f>'Single Family (2)'!K31/2</f>
        <v>9.3315670000000015</v>
      </c>
      <c r="K14" s="108">
        <f>'Single Family (2)'!K28</f>
        <v>74.070611999999997</v>
      </c>
      <c r="L14" s="108">
        <f>'Single Family (2)'!K36</f>
        <v>24.648638000000055</v>
      </c>
      <c r="M14" s="306"/>
      <c r="N14" s="175">
        <f t="shared" si="0"/>
        <v>415.66000000000008</v>
      </c>
      <c r="P14" s="307"/>
    </row>
    <row r="15" spans="1:16" ht="15.75" customHeight="1" x14ac:dyDescent="0.2">
      <c r="A15" s="298">
        <f t="shared" si="1"/>
        <v>42794</v>
      </c>
      <c r="B15" s="288" t="s">
        <v>76</v>
      </c>
      <c r="C15" s="108">
        <f>'Single Family (2)'!L32</f>
        <v>2.3841749999999999</v>
      </c>
      <c r="D15" s="109">
        <f>'Single Family (2)'!L34</f>
        <v>56.202952000000003</v>
      </c>
      <c r="E15" s="108">
        <f>'Single Family (2)'!L35</f>
        <v>0</v>
      </c>
      <c r="F15" s="108">
        <f>'Single Family (2)'!L30</f>
        <v>5.2451850000000002</v>
      </c>
      <c r="G15" s="108">
        <f>'Single Family (2)'!L27</f>
        <v>61.988549999999996</v>
      </c>
      <c r="H15" s="108">
        <f>'Single Family (2)'!L37</f>
        <v>102.29700199999999</v>
      </c>
      <c r="I15" s="108">
        <f>'Single Family (2)'!L31/2</f>
        <v>7.1366304999999999</v>
      </c>
      <c r="J15" s="108">
        <f>'Single Family (2)'!L31/2</f>
        <v>7.1366304999999999</v>
      </c>
      <c r="K15" s="108">
        <f>'Single Family (2)'!L28</f>
        <v>56.647997999999994</v>
      </c>
      <c r="L15" s="108">
        <f>'Single Family (2)'!L36</f>
        <v>18.85087700000004</v>
      </c>
      <c r="M15" s="306"/>
      <c r="N15" s="175">
        <f t="shared" si="0"/>
        <v>317.89</v>
      </c>
      <c r="P15" s="307"/>
    </row>
    <row r="16" spans="1:16" ht="15.75" customHeight="1" x14ac:dyDescent="0.2">
      <c r="A16" s="298">
        <f t="shared" si="1"/>
        <v>42825</v>
      </c>
      <c r="B16" s="288" t="s">
        <v>77</v>
      </c>
      <c r="C16" s="108">
        <f>'Single Family (2)'!M32</f>
        <v>2.7253499999999997</v>
      </c>
      <c r="D16" s="109">
        <f>'Single Family (2)'!M34</f>
        <v>64.245584000000008</v>
      </c>
      <c r="E16" s="108">
        <f>'Single Family (2)'!M35</f>
        <v>0</v>
      </c>
      <c r="F16" s="108">
        <f>'Single Family (2)'!M30</f>
        <v>5.9957700000000003</v>
      </c>
      <c r="G16" s="108">
        <f>'Single Family (2)'!M27</f>
        <v>70.859099999999998</v>
      </c>
      <c r="H16" s="108">
        <f>'Single Family (2)'!M37</f>
        <v>116.93568399999999</v>
      </c>
      <c r="I16" s="108">
        <f>'Single Family (2)'!M31/2</f>
        <v>8.1578809999999997</v>
      </c>
      <c r="J16" s="108">
        <f>'Single Family (2)'!M31/2</f>
        <v>8.1578809999999997</v>
      </c>
      <c r="K16" s="108">
        <f>'Single Family (2)'!M28</f>
        <v>64.754316000000003</v>
      </c>
      <c r="L16" s="108">
        <f>'Single Family (2)'!M36</f>
        <v>21.548434000000046</v>
      </c>
      <c r="M16" s="306"/>
      <c r="N16" s="175">
        <f t="shared" si="0"/>
        <v>363.38</v>
      </c>
      <c r="P16" s="307"/>
    </row>
    <row r="17" spans="1:16" ht="15.75" customHeight="1" x14ac:dyDescent="0.2">
      <c r="A17" s="298">
        <f t="shared" si="1"/>
        <v>42855</v>
      </c>
      <c r="B17" s="288" t="s">
        <v>78</v>
      </c>
      <c r="C17" s="108">
        <f>'Single Family (2)'!N32</f>
        <v>2.2824749999999998</v>
      </c>
      <c r="D17" s="109">
        <f>'Single Family (2)'!N34</f>
        <v>53.805543999999998</v>
      </c>
      <c r="E17" s="108">
        <f>'Single Family (2)'!N35</f>
        <v>0</v>
      </c>
      <c r="F17" s="108">
        <f>'Single Family (2)'!N30</f>
        <v>5.0214449999999999</v>
      </c>
      <c r="G17" s="108">
        <f>'Single Family (2)'!N27</f>
        <v>59.344349999999999</v>
      </c>
      <c r="H17" s="108">
        <f>'Single Family (2)'!N37</f>
        <v>97.933393999999993</v>
      </c>
      <c r="I17" s="108">
        <f>'Single Family (2)'!N31/2</f>
        <v>6.8322085000000001</v>
      </c>
      <c r="J17" s="108">
        <f>'Single Family (2)'!N31/2</f>
        <v>6.8322085000000001</v>
      </c>
      <c r="K17" s="108">
        <f>'Single Family (2)'!N28</f>
        <v>54.231605999999999</v>
      </c>
      <c r="L17" s="108">
        <f>'Single Family (2)'!N36</f>
        <v>18.04676900000004</v>
      </c>
      <c r="M17" s="306"/>
      <c r="N17" s="175">
        <f t="shared" si="0"/>
        <v>304.33000000000004</v>
      </c>
      <c r="P17" s="307"/>
    </row>
    <row r="18" spans="1:16" ht="15.75" customHeight="1" x14ac:dyDescent="0.2">
      <c r="A18" s="295" t="s">
        <v>32</v>
      </c>
      <c r="B18" s="288"/>
      <c r="C18" s="137">
        <f t="shared" ref="C18:L18" si="2">SUM(C6:C17)</f>
        <v>32.862300000000005</v>
      </c>
      <c r="D18" s="137">
        <f t="shared" si="2"/>
        <v>774.6739520000001</v>
      </c>
      <c r="E18" s="137">
        <f t="shared" si="2"/>
        <v>0</v>
      </c>
      <c r="F18" s="137">
        <f t="shared" si="2"/>
        <v>72.297060000000002</v>
      </c>
      <c r="G18" s="137">
        <f t="shared" si="2"/>
        <v>854.41980000000012</v>
      </c>
      <c r="H18" s="137">
        <f t="shared" si="2"/>
        <v>1410.0117520000001</v>
      </c>
      <c r="I18" s="137">
        <f t="shared" si="2"/>
        <v>98.367818</v>
      </c>
      <c r="J18" s="137">
        <f t="shared" si="2"/>
        <v>98.367818</v>
      </c>
      <c r="K18" s="137">
        <f t="shared" si="2"/>
        <v>780.80824800000005</v>
      </c>
      <c r="L18" s="137">
        <f t="shared" si="2"/>
        <v>259.83125200000057</v>
      </c>
      <c r="M18" s="306"/>
      <c r="N18" s="176">
        <f>SUM(N6:N17)</f>
        <v>4381.6400000000003</v>
      </c>
      <c r="O18" s="289"/>
    </row>
    <row r="19" spans="1:16" x14ac:dyDescent="0.2">
      <c r="A19" s="298"/>
      <c r="B19" s="288"/>
      <c r="C19" s="288"/>
      <c r="D19" s="288"/>
      <c r="E19" s="288"/>
      <c r="F19" s="288"/>
      <c r="G19" s="288"/>
      <c r="H19" s="288"/>
      <c r="I19" s="288"/>
      <c r="J19" s="288"/>
      <c r="K19" s="288"/>
      <c r="L19" s="288"/>
      <c r="M19" s="306"/>
      <c r="N19" s="289"/>
    </row>
    <row r="20" spans="1:16" x14ac:dyDescent="0.2">
      <c r="A20" s="305"/>
      <c r="B20" s="288"/>
      <c r="C20" s="288"/>
      <c r="D20" s="288"/>
      <c r="E20" s="288"/>
      <c r="F20" s="288"/>
      <c r="G20" s="288"/>
      <c r="H20" s="288"/>
      <c r="I20" s="288"/>
      <c r="J20" s="288"/>
      <c r="K20" s="288"/>
      <c r="L20" s="288"/>
      <c r="M20" s="306"/>
      <c r="N20" s="289"/>
    </row>
    <row r="21" spans="1:16" x14ac:dyDescent="0.2">
      <c r="A21" s="298"/>
      <c r="B21" s="288"/>
      <c r="C21" s="288"/>
      <c r="D21" s="288"/>
      <c r="E21" s="288"/>
      <c r="F21" s="288"/>
      <c r="G21" s="288"/>
      <c r="H21" s="288"/>
      <c r="I21" s="288"/>
      <c r="J21" s="288"/>
      <c r="K21" s="288"/>
      <c r="L21" s="288"/>
      <c r="M21" s="306"/>
      <c r="N21" s="289"/>
    </row>
    <row r="22" spans="1:16" x14ac:dyDescent="0.2">
      <c r="A22" s="298"/>
      <c r="B22" s="288"/>
      <c r="C22" s="288"/>
      <c r="D22" s="288"/>
      <c r="E22" s="288"/>
      <c r="F22" s="288"/>
      <c r="G22" s="288"/>
      <c r="H22" s="288"/>
      <c r="I22" s="288"/>
      <c r="J22" s="288"/>
      <c r="K22" s="288"/>
      <c r="L22" s="288"/>
      <c r="M22" s="306"/>
      <c r="N22" s="289"/>
    </row>
    <row r="23" spans="1:16" x14ac:dyDescent="0.2">
      <c r="A23" s="288"/>
      <c r="B23" s="288"/>
      <c r="C23" s="288"/>
      <c r="D23" s="288"/>
      <c r="E23" s="288"/>
      <c r="F23" s="288"/>
      <c r="G23" s="288"/>
      <c r="H23" s="288"/>
      <c r="I23" s="288"/>
      <c r="J23" s="288"/>
      <c r="K23" s="288"/>
      <c r="L23" s="288"/>
      <c r="M23" s="306"/>
      <c r="N23" s="289"/>
    </row>
    <row r="24" spans="1:16" x14ac:dyDescent="0.2">
      <c r="A24" s="288"/>
      <c r="B24" s="288"/>
      <c r="C24" s="288"/>
      <c r="D24" s="288"/>
      <c r="E24" s="288"/>
      <c r="F24" s="288"/>
      <c r="G24" s="288"/>
      <c r="H24" s="288"/>
      <c r="I24" s="288"/>
      <c r="J24" s="288"/>
      <c r="K24" s="288"/>
      <c r="L24" s="288"/>
      <c r="M24" s="306"/>
      <c r="N24" s="289"/>
    </row>
    <row r="25" spans="1:16" x14ac:dyDescent="0.2">
      <c r="A25" s="288"/>
      <c r="B25" s="288"/>
      <c r="C25" s="288"/>
      <c r="E25" s="288"/>
      <c r="F25" s="288"/>
      <c r="G25" s="288"/>
      <c r="H25" s="288"/>
      <c r="I25" s="288"/>
      <c r="J25" s="288"/>
      <c r="K25" s="288"/>
      <c r="L25" s="288"/>
      <c r="M25" s="306"/>
      <c r="N25" s="289"/>
    </row>
    <row r="26" spans="1:16" x14ac:dyDescent="0.2">
      <c r="A26" s="288"/>
      <c r="B26" s="288"/>
      <c r="C26" s="288"/>
      <c r="D26" s="288"/>
      <c r="E26" s="288"/>
      <c r="F26" s="288"/>
      <c r="G26" s="288"/>
      <c r="H26" s="288"/>
      <c r="I26" s="288"/>
      <c r="J26" s="288"/>
      <c r="K26" s="288"/>
      <c r="L26" s="288"/>
      <c r="M26" s="306"/>
      <c r="N26" s="289"/>
    </row>
    <row r="27" spans="1:16" x14ac:dyDescent="0.2">
      <c r="A27" s="288"/>
      <c r="B27" s="288"/>
      <c r="C27" s="288"/>
      <c r="D27" s="288"/>
      <c r="E27" s="288"/>
      <c r="F27" s="288"/>
      <c r="G27" s="288"/>
      <c r="H27" s="288"/>
      <c r="I27" s="288"/>
      <c r="J27" s="288"/>
      <c r="K27" s="288"/>
      <c r="L27" s="288"/>
      <c r="M27" s="306"/>
      <c r="N27" s="289"/>
    </row>
    <row r="28" spans="1:16" x14ac:dyDescent="0.2">
      <c r="A28" s="288"/>
      <c r="B28" s="288"/>
      <c r="C28" s="288"/>
      <c r="D28" s="288"/>
      <c r="E28" s="288"/>
      <c r="F28" s="288"/>
      <c r="G28" s="288"/>
      <c r="H28" s="288"/>
      <c r="I28" s="288"/>
      <c r="J28" s="288"/>
      <c r="K28" s="288"/>
      <c r="L28" s="288"/>
      <c r="M28" s="306"/>
      <c r="N28" s="288"/>
    </row>
    <row r="29" spans="1:16" x14ac:dyDescent="0.2">
      <c r="A29" s="288"/>
      <c r="B29" s="288"/>
      <c r="C29" s="288"/>
      <c r="D29" s="288"/>
      <c r="E29" s="288"/>
      <c r="F29" s="288"/>
      <c r="G29" s="288"/>
      <c r="H29" s="288"/>
      <c r="I29" s="288"/>
      <c r="J29" s="288"/>
      <c r="K29" s="288"/>
      <c r="L29" s="288"/>
      <c r="M29" s="306"/>
      <c r="N29" s="288"/>
    </row>
    <row r="30" spans="1:16" x14ac:dyDescent="0.2">
      <c r="A30" s="288"/>
      <c r="B30" s="288"/>
      <c r="C30" s="288"/>
      <c r="D30" s="288"/>
      <c r="E30" s="288"/>
      <c r="F30" s="288"/>
      <c r="G30" s="288"/>
      <c r="H30" s="288"/>
      <c r="I30" s="288"/>
      <c r="J30" s="288"/>
      <c r="K30" s="288"/>
      <c r="L30" s="288"/>
      <c r="M30" s="306"/>
      <c r="N30" s="288"/>
    </row>
    <row r="31" spans="1:16" x14ac:dyDescent="0.2">
      <c r="A31" s="288"/>
      <c r="B31" s="288"/>
      <c r="C31" s="288"/>
      <c r="D31" s="288"/>
      <c r="E31" s="288"/>
      <c r="F31" s="288"/>
      <c r="G31" s="288"/>
      <c r="H31" s="288"/>
      <c r="I31" s="288"/>
      <c r="J31" s="288"/>
      <c r="K31" s="288"/>
      <c r="L31" s="288"/>
      <c r="M31" s="306"/>
      <c r="N31" s="288"/>
    </row>
    <row r="32" spans="1:16" x14ac:dyDescent="0.2">
      <c r="A32" s="288"/>
      <c r="B32" s="288"/>
      <c r="C32" s="288"/>
      <c r="D32" s="288"/>
      <c r="E32" s="288"/>
      <c r="F32" s="288"/>
      <c r="G32" s="288"/>
      <c r="H32" s="288"/>
      <c r="I32" s="288"/>
      <c r="J32" s="288"/>
      <c r="K32" s="288"/>
      <c r="L32" s="288"/>
      <c r="M32" s="306"/>
      <c r="N32" s="288"/>
    </row>
    <row r="33" spans="1:14" x14ac:dyDescent="0.2">
      <c r="A33" s="288"/>
      <c r="B33" s="288"/>
      <c r="C33" s="288"/>
      <c r="D33" s="288"/>
      <c r="E33" s="288"/>
      <c r="F33" s="288"/>
      <c r="G33" s="288"/>
      <c r="H33" s="288"/>
      <c r="I33" s="288"/>
      <c r="J33" s="288"/>
      <c r="K33" s="288"/>
      <c r="L33" s="288"/>
      <c r="M33" s="306"/>
      <c r="N33" s="288"/>
    </row>
    <row r="34" spans="1:14" x14ac:dyDescent="0.2">
      <c r="A34" s="288"/>
      <c r="B34" s="288"/>
      <c r="C34" s="288"/>
      <c r="D34" s="288"/>
      <c r="E34" s="288"/>
      <c r="F34" s="288"/>
      <c r="G34" s="288"/>
      <c r="H34" s="288"/>
      <c r="I34" s="288"/>
      <c r="J34" s="288"/>
      <c r="K34" s="288"/>
      <c r="L34" s="288"/>
      <c r="M34" s="306"/>
      <c r="N34" s="288"/>
    </row>
    <row r="35" spans="1:14" x14ac:dyDescent="0.2">
      <c r="A35" s="288"/>
      <c r="B35" s="288"/>
      <c r="C35" s="288"/>
      <c r="D35" s="288"/>
      <c r="E35" s="288"/>
      <c r="F35" s="288"/>
      <c r="G35" s="288"/>
      <c r="H35" s="288"/>
      <c r="I35" s="288"/>
      <c r="J35" s="288"/>
      <c r="K35" s="288"/>
      <c r="L35" s="288"/>
      <c r="M35" s="306"/>
      <c r="N35" s="288"/>
    </row>
    <row r="36" spans="1:14" x14ac:dyDescent="0.2">
      <c r="A36" s="288"/>
      <c r="B36" s="288"/>
      <c r="C36" s="288"/>
      <c r="D36" s="288"/>
      <c r="E36" s="288"/>
      <c r="F36" s="288"/>
      <c r="G36" s="288"/>
      <c r="H36" s="288"/>
      <c r="I36" s="288"/>
      <c r="J36" s="288"/>
      <c r="K36" s="288"/>
      <c r="L36" s="288"/>
      <c r="M36" s="306"/>
      <c r="N36" s="288"/>
    </row>
    <row r="37" spans="1:14" x14ac:dyDescent="0.2">
      <c r="A37" s="288"/>
      <c r="B37" s="288"/>
      <c r="C37" s="288"/>
      <c r="D37" s="288"/>
      <c r="E37" s="288"/>
      <c r="F37" s="288"/>
      <c r="G37" s="288"/>
      <c r="H37" s="288"/>
      <c r="I37" s="288"/>
      <c r="J37" s="288"/>
      <c r="K37" s="288"/>
      <c r="L37" s="288"/>
      <c r="M37" s="306"/>
      <c r="N37" s="288"/>
    </row>
    <row r="38" spans="1:14" x14ac:dyDescent="0.2">
      <c r="A38" s="288"/>
      <c r="B38" s="288"/>
      <c r="C38" s="288"/>
      <c r="D38" s="288"/>
      <c r="E38" s="288"/>
      <c r="F38" s="288"/>
      <c r="G38" s="288"/>
      <c r="H38" s="288"/>
      <c r="I38" s="288"/>
      <c r="J38" s="288"/>
      <c r="K38" s="288"/>
      <c r="L38" s="288"/>
      <c r="M38" s="306"/>
      <c r="N38" s="288"/>
    </row>
    <row r="39" spans="1:14" x14ac:dyDescent="0.2">
      <c r="A39" s="288"/>
      <c r="B39" s="288"/>
      <c r="C39" s="288"/>
      <c r="D39" s="288"/>
      <c r="E39" s="288"/>
      <c r="F39" s="288"/>
      <c r="G39" s="288"/>
      <c r="H39" s="288"/>
      <c r="I39" s="288"/>
      <c r="J39" s="288"/>
      <c r="K39" s="288"/>
      <c r="L39" s="288"/>
      <c r="M39" s="288"/>
      <c r="N39" s="288"/>
    </row>
    <row r="40" spans="1:14" x14ac:dyDescent="0.2">
      <c r="A40" s="288"/>
      <c r="B40" s="288"/>
      <c r="C40" s="288"/>
      <c r="D40" s="288"/>
      <c r="E40" s="288"/>
      <c r="F40" s="288"/>
      <c r="G40" s="288"/>
      <c r="H40" s="288"/>
      <c r="I40" s="288"/>
      <c r="J40" s="288"/>
      <c r="K40" s="288"/>
      <c r="L40" s="288"/>
      <c r="M40" s="288"/>
      <c r="N40" s="288"/>
    </row>
    <row r="41" spans="1:14" x14ac:dyDescent="0.2">
      <c r="A41" s="288"/>
      <c r="B41" s="288"/>
      <c r="C41" s="288"/>
      <c r="D41" s="288"/>
      <c r="E41" s="288"/>
      <c r="F41" s="288"/>
      <c r="G41" s="288"/>
      <c r="H41" s="288"/>
      <c r="I41" s="288"/>
      <c r="J41" s="288"/>
      <c r="K41" s="288"/>
      <c r="L41" s="288"/>
      <c r="M41" s="288"/>
      <c r="N41" s="288"/>
    </row>
    <row r="42" spans="1:14" x14ac:dyDescent="0.2">
      <c r="A42" s="288"/>
      <c r="B42" s="288"/>
      <c r="C42" s="288"/>
      <c r="D42" s="288"/>
      <c r="E42" s="288"/>
      <c r="F42" s="288"/>
      <c r="G42" s="288"/>
      <c r="H42" s="288"/>
      <c r="I42" s="288"/>
      <c r="J42" s="288"/>
      <c r="K42" s="288"/>
      <c r="L42" s="288"/>
      <c r="M42" s="288"/>
      <c r="N42" s="288"/>
    </row>
    <row r="43" spans="1:14" x14ac:dyDescent="0.2">
      <c r="A43" s="288"/>
      <c r="B43" s="288"/>
      <c r="C43" s="288"/>
      <c r="D43" s="288"/>
      <c r="E43" s="288"/>
      <c r="F43" s="288"/>
      <c r="G43" s="288"/>
      <c r="H43" s="288"/>
      <c r="I43" s="288"/>
      <c r="J43" s="288"/>
      <c r="K43" s="288"/>
      <c r="L43" s="288"/>
      <c r="M43" s="288"/>
      <c r="N43" s="288"/>
    </row>
    <row r="44" spans="1:14" x14ac:dyDescent="0.2">
      <c r="A44" s="288"/>
      <c r="B44" s="288"/>
      <c r="C44" s="288"/>
      <c r="D44" s="288"/>
      <c r="E44" s="288"/>
      <c r="F44" s="288"/>
      <c r="G44" s="288"/>
      <c r="H44" s="288"/>
      <c r="I44" s="288"/>
      <c r="J44" s="288"/>
      <c r="K44" s="288"/>
      <c r="L44" s="288"/>
      <c r="M44" s="288"/>
      <c r="N44" s="288"/>
    </row>
    <row r="45" spans="1:14" x14ac:dyDescent="0.2">
      <c r="A45" s="288"/>
      <c r="B45" s="288"/>
      <c r="C45" s="288"/>
      <c r="D45" s="288"/>
      <c r="E45" s="288"/>
      <c r="F45" s="288"/>
      <c r="G45" s="288"/>
      <c r="H45" s="288"/>
      <c r="I45" s="288"/>
      <c r="J45" s="288"/>
      <c r="K45" s="288"/>
      <c r="L45" s="288"/>
      <c r="M45" s="288"/>
      <c r="N45" s="288"/>
    </row>
    <row r="46" spans="1:14" x14ac:dyDescent="0.2">
      <c r="A46" s="288"/>
      <c r="B46" s="288"/>
      <c r="C46" s="288"/>
      <c r="D46" s="288"/>
      <c r="E46" s="288"/>
      <c r="F46" s="288"/>
      <c r="G46" s="288"/>
      <c r="H46" s="288"/>
      <c r="I46" s="288"/>
      <c r="J46" s="288"/>
      <c r="K46" s="288"/>
      <c r="L46" s="288"/>
      <c r="M46" s="288"/>
      <c r="N46" s="288"/>
    </row>
    <row r="47" spans="1:14" x14ac:dyDescent="0.2">
      <c r="A47" s="288"/>
      <c r="B47" s="288"/>
      <c r="C47" s="288"/>
      <c r="D47" s="288"/>
      <c r="E47" s="288"/>
      <c r="F47" s="288"/>
      <c r="G47" s="288"/>
      <c r="H47" s="288"/>
      <c r="I47" s="288"/>
      <c r="J47" s="288"/>
      <c r="K47" s="288"/>
      <c r="L47" s="288"/>
      <c r="M47" s="288"/>
      <c r="N47" s="288"/>
    </row>
    <row r="48" spans="1:14" x14ac:dyDescent="0.2">
      <c r="A48" s="288"/>
      <c r="B48" s="288"/>
      <c r="C48" s="288"/>
      <c r="D48" s="288"/>
      <c r="E48" s="288"/>
      <c r="F48" s="288"/>
      <c r="G48" s="288"/>
      <c r="H48" s="288"/>
      <c r="I48" s="288"/>
      <c r="J48" s="288"/>
      <c r="K48" s="288"/>
      <c r="L48" s="288"/>
      <c r="M48" s="288"/>
      <c r="N48" s="288"/>
    </row>
    <row r="49" spans="1:14" x14ac:dyDescent="0.2">
      <c r="A49" s="288"/>
      <c r="B49" s="288"/>
      <c r="C49" s="288"/>
      <c r="D49" s="288"/>
      <c r="E49" s="288"/>
      <c r="F49" s="288"/>
      <c r="G49" s="288"/>
      <c r="H49" s="288"/>
      <c r="I49" s="288"/>
      <c r="J49" s="288"/>
      <c r="K49" s="288"/>
      <c r="L49" s="288"/>
      <c r="M49" s="288"/>
      <c r="N49" s="288"/>
    </row>
    <row r="50" spans="1:14" x14ac:dyDescent="0.2">
      <c r="A50" s="288"/>
      <c r="B50" s="288"/>
      <c r="C50" s="288"/>
      <c r="D50" s="288"/>
      <c r="E50" s="288"/>
      <c r="F50" s="288"/>
      <c r="G50" s="288"/>
      <c r="H50" s="288"/>
      <c r="I50" s="288"/>
      <c r="J50" s="288"/>
      <c r="K50" s="288"/>
      <c r="L50" s="288"/>
      <c r="M50" s="288"/>
      <c r="N50" s="288"/>
    </row>
    <row r="51" spans="1:14" x14ac:dyDescent="0.2">
      <c r="A51" s="288"/>
      <c r="B51" s="288"/>
      <c r="C51" s="288"/>
      <c r="D51" s="288"/>
      <c r="E51" s="288"/>
      <c r="F51" s="288"/>
      <c r="G51" s="288"/>
      <c r="H51" s="288"/>
      <c r="I51" s="288"/>
      <c r="J51" s="288"/>
      <c r="K51" s="288"/>
      <c r="L51" s="288"/>
      <c r="M51" s="288"/>
      <c r="N51" s="288"/>
    </row>
    <row r="52" spans="1:14" x14ac:dyDescent="0.2">
      <c r="A52" s="288"/>
      <c r="B52" s="288"/>
      <c r="C52" s="288"/>
      <c r="D52" s="288"/>
      <c r="E52" s="288"/>
      <c r="F52" s="288"/>
      <c r="G52" s="288"/>
      <c r="H52" s="288"/>
      <c r="I52" s="288"/>
      <c r="J52" s="288"/>
      <c r="K52" s="288"/>
      <c r="L52" s="288"/>
      <c r="M52" s="288"/>
      <c r="N52" s="288"/>
    </row>
    <row r="53" spans="1:14" x14ac:dyDescent="0.2">
      <c r="A53" s="288"/>
      <c r="B53" s="288"/>
      <c r="C53" s="288"/>
      <c r="D53" s="288"/>
      <c r="E53" s="288"/>
      <c r="F53" s="288"/>
      <c r="G53" s="288"/>
      <c r="H53" s="288"/>
      <c r="I53" s="288"/>
      <c r="J53" s="288"/>
      <c r="K53" s="288"/>
      <c r="L53" s="288"/>
      <c r="M53" s="288"/>
      <c r="N53" s="288"/>
    </row>
    <row r="54" spans="1:14" x14ac:dyDescent="0.2">
      <c r="A54" s="288"/>
      <c r="B54" s="288"/>
      <c r="C54" s="288"/>
      <c r="D54" s="288"/>
      <c r="E54" s="288"/>
      <c r="F54" s="288"/>
      <c r="G54" s="288"/>
      <c r="H54" s="288"/>
      <c r="I54" s="288"/>
      <c r="J54" s="288"/>
      <c r="K54" s="288"/>
      <c r="L54" s="288"/>
      <c r="M54" s="288"/>
      <c r="N54" s="288"/>
    </row>
    <row r="55" spans="1:14" x14ac:dyDescent="0.2">
      <c r="A55" s="288"/>
      <c r="B55" s="288"/>
      <c r="C55" s="288"/>
      <c r="D55" s="288"/>
      <c r="E55" s="288"/>
      <c r="F55" s="288"/>
      <c r="G55" s="288"/>
      <c r="H55" s="288"/>
      <c r="I55" s="288"/>
      <c r="J55" s="288"/>
      <c r="K55" s="288"/>
      <c r="L55" s="288"/>
      <c r="M55" s="288"/>
      <c r="N55" s="288"/>
    </row>
    <row r="56" spans="1:14" x14ac:dyDescent="0.2">
      <c r="A56" s="288"/>
      <c r="B56" s="288"/>
      <c r="C56" s="288"/>
      <c r="D56" s="288"/>
      <c r="E56" s="288"/>
      <c r="F56" s="288"/>
      <c r="G56" s="288"/>
      <c r="H56" s="288"/>
      <c r="I56" s="288"/>
      <c r="J56" s="288"/>
      <c r="K56" s="288"/>
      <c r="L56" s="288"/>
      <c r="M56" s="288"/>
      <c r="N56" s="288"/>
    </row>
    <row r="57" spans="1:14" x14ac:dyDescent="0.2">
      <c r="A57" s="288"/>
      <c r="B57" s="288"/>
      <c r="C57" s="288"/>
      <c r="D57" s="288"/>
      <c r="E57" s="288"/>
      <c r="F57" s="288"/>
      <c r="G57" s="288"/>
      <c r="H57" s="288"/>
      <c r="I57" s="288"/>
      <c r="J57" s="288"/>
      <c r="K57" s="288"/>
      <c r="L57" s="288"/>
      <c r="M57" s="288"/>
      <c r="N57" s="288"/>
    </row>
    <row r="58" spans="1:14" x14ac:dyDescent="0.2">
      <c r="A58" s="288"/>
      <c r="B58" s="288"/>
      <c r="C58" s="288"/>
      <c r="D58" s="288"/>
      <c r="E58" s="288"/>
      <c r="F58" s="288"/>
      <c r="G58" s="288"/>
      <c r="H58" s="288"/>
      <c r="I58" s="288"/>
      <c r="J58" s="288"/>
      <c r="K58" s="288"/>
      <c r="L58" s="288"/>
      <c r="M58" s="288"/>
      <c r="N58" s="288"/>
    </row>
    <row r="59" spans="1:14" x14ac:dyDescent="0.2">
      <c r="A59" s="288"/>
      <c r="B59" s="288"/>
      <c r="C59" s="288"/>
      <c r="D59" s="288"/>
      <c r="E59" s="288"/>
      <c r="F59" s="288"/>
      <c r="G59" s="288"/>
      <c r="H59" s="288"/>
      <c r="I59" s="288"/>
      <c r="J59" s="288"/>
      <c r="K59" s="288"/>
      <c r="L59" s="288"/>
      <c r="M59" s="288"/>
      <c r="N59" s="288"/>
    </row>
    <row r="60" spans="1:14" x14ac:dyDescent="0.2">
      <c r="A60" s="288"/>
      <c r="B60" s="288"/>
      <c r="C60" s="288"/>
      <c r="D60" s="288"/>
      <c r="E60" s="288"/>
      <c r="F60" s="288"/>
      <c r="G60" s="288"/>
      <c r="H60" s="288"/>
      <c r="I60" s="288"/>
      <c r="J60" s="288"/>
      <c r="K60" s="288"/>
      <c r="L60" s="288"/>
      <c r="M60" s="288"/>
      <c r="N60" s="288"/>
    </row>
    <row r="61" spans="1:14" x14ac:dyDescent="0.2">
      <c r="A61" s="288"/>
      <c r="B61" s="288"/>
      <c r="C61" s="288"/>
      <c r="D61" s="288"/>
      <c r="E61" s="288"/>
      <c r="F61" s="288"/>
      <c r="G61" s="288"/>
      <c r="H61" s="288"/>
      <c r="I61" s="288"/>
      <c r="J61" s="288"/>
      <c r="K61" s="288"/>
      <c r="L61" s="288"/>
      <c r="M61" s="288"/>
      <c r="N61" s="288"/>
    </row>
    <row r="62" spans="1:14" x14ac:dyDescent="0.2">
      <c r="A62" s="288"/>
      <c r="B62" s="288"/>
      <c r="C62" s="288"/>
      <c r="D62" s="288"/>
      <c r="E62" s="288"/>
      <c r="F62" s="288"/>
      <c r="G62" s="288"/>
      <c r="H62" s="288"/>
      <c r="I62" s="288"/>
      <c r="J62" s="288"/>
      <c r="K62" s="288"/>
      <c r="L62" s="288"/>
      <c r="M62" s="288"/>
      <c r="N62" s="288"/>
    </row>
    <row r="63" spans="1:14" x14ac:dyDescent="0.2">
      <c r="A63" s="288"/>
      <c r="B63" s="288"/>
      <c r="C63" s="288"/>
      <c r="D63" s="288"/>
      <c r="E63" s="288"/>
      <c r="F63" s="288"/>
      <c r="G63" s="288"/>
      <c r="H63" s="288"/>
      <c r="I63" s="288"/>
      <c r="J63" s="288"/>
      <c r="K63" s="288"/>
      <c r="L63" s="288"/>
      <c r="M63" s="288"/>
      <c r="N63" s="288"/>
    </row>
    <row r="64" spans="1:14" x14ac:dyDescent="0.2">
      <c r="A64" s="288"/>
      <c r="B64" s="288"/>
      <c r="C64" s="288"/>
      <c r="D64" s="288"/>
      <c r="E64" s="288"/>
      <c r="F64" s="288"/>
      <c r="G64" s="288"/>
      <c r="H64" s="288"/>
      <c r="I64" s="288"/>
      <c r="J64" s="288"/>
      <c r="K64" s="288"/>
      <c r="L64" s="288"/>
      <c r="M64" s="288"/>
      <c r="N64" s="288"/>
    </row>
    <row r="65" spans="1:14" x14ac:dyDescent="0.2">
      <c r="A65" s="288"/>
      <c r="B65" s="288"/>
      <c r="C65" s="288"/>
      <c r="D65" s="288"/>
      <c r="E65" s="288"/>
      <c r="F65" s="288"/>
      <c r="G65" s="288"/>
      <c r="H65" s="288"/>
      <c r="I65" s="288"/>
      <c r="J65" s="288"/>
      <c r="K65" s="288"/>
      <c r="L65" s="288"/>
      <c r="M65" s="288"/>
      <c r="N65" s="288"/>
    </row>
    <row r="66" spans="1:14" x14ac:dyDescent="0.2">
      <c r="A66" s="288"/>
      <c r="B66" s="288"/>
      <c r="C66" s="288"/>
      <c r="D66" s="288"/>
      <c r="E66" s="288"/>
      <c r="F66" s="288"/>
      <c r="G66" s="288"/>
      <c r="H66" s="288"/>
      <c r="I66" s="288"/>
      <c r="J66" s="288"/>
      <c r="K66" s="288"/>
      <c r="L66" s="288"/>
      <c r="M66" s="288"/>
      <c r="N66" s="288"/>
    </row>
    <row r="67" spans="1:14" x14ac:dyDescent="0.2">
      <c r="A67" s="288"/>
      <c r="B67" s="288"/>
      <c r="C67" s="288"/>
      <c r="D67" s="288"/>
      <c r="E67" s="288"/>
      <c r="F67" s="288"/>
      <c r="G67" s="288"/>
      <c r="H67" s="288"/>
      <c r="I67" s="288"/>
      <c r="J67" s="288"/>
      <c r="K67" s="288"/>
      <c r="L67" s="288"/>
      <c r="M67" s="288"/>
      <c r="N67" s="288"/>
    </row>
    <row r="68" spans="1:14" x14ac:dyDescent="0.2">
      <c r="A68" s="288"/>
      <c r="B68" s="288"/>
      <c r="C68" s="288"/>
      <c r="D68" s="288"/>
      <c r="E68" s="288"/>
      <c r="F68" s="288"/>
      <c r="G68" s="288"/>
      <c r="H68" s="288"/>
      <c r="I68" s="288"/>
      <c r="J68" s="288"/>
      <c r="K68" s="288"/>
      <c r="L68" s="288"/>
      <c r="M68" s="288"/>
      <c r="N68" s="288"/>
    </row>
    <row r="69" spans="1:14" x14ac:dyDescent="0.2">
      <c r="A69" s="288"/>
      <c r="B69" s="288"/>
      <c r="C69" s="288"/>
      <c r="D69" s="288"/>
      <c r="E69" s="288"/>
      <c r="F69" s="288"/>
      <c r="G69" s="288"/>
      <c r="H69" s="288"/>
      <c r="I69" s="288"/>
      <c r="J69" s="288"/>
      <c r="K69" s="288"/>
      <c r="L69" s="288"/>
      <c r="M69" s="288"/>
      <c r="N69" s="288"/>
    </row>
    <row r="70" spans="1:14" x14ac:dyDescent="0.2">
      <c r="A70" s="288"/>
      <c r="B70" s="288"/>
      <c r="C70" s="288"/>
      <c r="D70" s="288"/>
      <c r="E70" s="288"/>
      <c r="F70" s="288"/>
      <c r="G70" s="288"/>
      <c r="H70" s="288"/>
      <c r="I70" s="288"/>
      <c r="J70" s="288"/>
      <c r="K70" s="288"/>
      <c r="L70" s="288"/>
      <c r="M70" s="288"/>
      <c r="N70" s="288"/>
    </row>
    <row r="71" spans="1:14" x14ac:dyDescent="0.2">
      <c r="A71" s="288"/>
      <c r="B71" s="288"/>
      <c r="C71" s="288"/>
      <c r="D71" s="288"/>
      <c r="E71" s="288"/>
      <c r="F71" s="288"/>
      <c r="G71" s="288"/>
      <c r="H71" s="288"/>
      <c r="I71" s="288"/>
      <c r="J71" s="288"/>
      <c r="K71" s="288"/>
      <c r="L71" s="288"/>
      <c r="M71" s="288"/>
      <c r="N71" s="288"/>
    </row>
    <row r="72" spans="1:14" x14ac:dyDescent="0.2">
      <c r="A72" s="288"/>
      <c r="B72" s="288"/>
      <c r="C72" s="288"/>
      <c r="D72" s="288"/>
      <c r="E72" s="288"/>
      <c r="F72" s="288"/>
      <c r="G72" s="288"/>
      <c r="H72" s="288"/>
      <c r="I72" s="288"/>
      <c r="J72" s="288"/>
      <c r="K72" s="288"/>
      <c r="L72" s="288"/>
      <c r="M72" s="288"/>
      <c r="N72" s="288"/>
    </row>
    <row r="73" spans="1:14" x14ac:dyDescent="0.2">
      <c r="A73" s="288"/>
      <c r="B73" s="288"/>
      <c r="C73" s="288"/>
      <c r="D73" s="288"/>
      <c r="E73" s="288"/>
      <c r="F73" s="288"/>
      <c r="G73" s="288"/>
      <c r="H73" s="288"/>
      <c r="I73" s="288"/>
      <c r="J73" s="288"/>
      <c r="K73" s="288"/>
      <c r="L73" s="288"/>
      <c r="M73" s="288"/>
      <c r="N73" s="288"/>
    </row>
    <row r="74" spans="1:14" x14ac:dyDescent="0.2">
      <c r="A74" s="288"/>
      <c r="B74" s="288"/>
      <c r="C74" s="288"/>
      <c r="D74" s="288"/>
      <c r="E74" s="288"/>
      <c r="F74" s="288"/>
      <c r="G74" s="288"/>
      <c r="H74" s="288"/>
      <c r="I74" s="288"/>
      <c r="J74" s="288"/>
      <c r="K74" s="288"/>
      <c r="L74" s="288"/>
      <c r="M74" s="288"/>
      <c r="N74" s="288"/>
    </row>
    <row r="75" spans="1:14" x14ac:dyDescent="0.2">
      <c r="A75" s="288"/>
      <c r="B75" s="288"/>
      <c r="C75" s="288"/>
      <c r="D75" s="288"/>
      <c r="E75" s="288"/>
      <c r="F75" s="288"/>
      <c r="G75" s="288"/>
      <c r="H75" s="288"/>
      <c r="I75" s="288"/>
      <c r="J75" s="288"/>
      <c r="K75" s="288"/>
      <c r="L75" s="288"/>
      <c r="M75" s="288"/>
      <c r="N75" s="288"/>
    </row>
    <row r="76" spans="1:14" x14ac:dyDescent="0.2">
      <c r="A76" s="288"/>
      <c r="B76" s="288"/>
      <c r="C76" s="288"/>
      <c r="D76" s="288"/>
      <c r="E76" s="288"/>
      <c r="F76" s="288"/>
      <c r="G76" s="288"/>
      <c r="H76" s="288"/>
      <c r="I76" s="288"/>
      <c r="J76" s="288"/>
      <c r="K76" s="288"/>
      <c r="L76" s="288"/>
      <c r="M76" s="288"/>
      <c r="N76" s="288"/>
    </row>
    <row r="77" spans="1:14" x14ac:dyDescent="0.2">
      <c r="A77" s="288"/>
      <c r="B77" s="288"/>
      <c r="C77" s="288"/>
      <c r="D77" s="288"/>
      <c r="E77" s="288"/>
      <c r="F77" s="288"/>
      <c r="G77" s="288"/>
      <c r="H77" s="288"/>
      <c r="I77" s="288"/>
      <c r="J77" s="288"/>
      <c r="K77" s="288"/>
      <c r="L77" s="288"/>
      <c r="M77" s="288"/>
      <c r="N77" s="288"/>
    </row>
    <row r="78" spans="1:14" x14ac:dyDescent="0.2">
      <c r="A78" s="288"/>
      <c r="B78" s="288"/>
      <c r="C78" s="288"/>
      <c r="D78" s="288"/>
      <c r="E78" s="288"/>
      <c r="F78" s="288"/>
      <c r="G78" s="288"/>
      <c r="H78" s="288"/>
      <c r="I78" s="288"/>
      <c r="J78" s="288"/>
      <c r="K78" s="288"/>
      <c r="L78" s="288"/>
      <c r="M78" s="288"/>
      <c r="N78" s="288"/>
    </row>
    <row r="79" spans="1:14" x14ac:dyDescent="0.2">
      <c r="A79" s="288"/>
      <c r="B79" s="288"/>
      <c r="C79" s="288"/>
      <c r="D79" s="288"/>
      <c r="E79" s="288"/>
      <c r="F79" s="288"/>
      <c r="G79" s="288"/>
      <c r="H79" s="288"/>
      <c r="I79" s="288"/>
      <c r="J79" s="288"/>
      <c r="K79" s="288"/>
      <c r="L79" s="288"/>
      <c r="M79" s="288"/>
      <c r="N79" s="288"/>
    </row>
    <row r="80" spans="1:14" x14ac:dyDescent="0.2">
      <c r="A80" s="288"/>
      <c r="B80" s="288"/>
      <c r="C80" s="288"/>
      <c r="D80" s="288"/>
      <c r="E80" s="288"/>
      <c r="F80" s="288"/>
      <c r="G80" s="288"/>
      <c r="H80" s="288"/>
      <c r="I80" s="288"/>
      <c r="J80" s="288"/>
      <c r="K80" s="288"/>
      <c r="L80" s="288"/>
      <c r="M80" s="288"/>
      <c r="N80" s="288"/>
    </row>
    <row r="81" spans="1:14" x14ac:dyDescent="0.2">
      <c r="A81" s="288"/>
      <c r="B81" s="288"/>
      <c r="C81" s="288"/>
      <c r="D81" s="288"/>
      <c r="E81" s="288"/>
      <c r="F81" s="288"/>
      <c r="G81" s="288"/>
      <c r="H81" s="288"/>
      <c r="I81" s="288"/>
      <c r="J81" s="288"/>
      <c r="K81" s="288"/>
      <c r="L81" s="288"/>
      <c r="M81" s="288"/>
      <c r="N81" s="288"/>
    </row>
    <row r="82" spans="1:14" x14ac:dyDescent="0.2">
      <c r="A82" s="288"/>
      <c r="B82" s="288"/>
      <c r="C82" s="288"/>
      <c r="D82" s="288"/>
      <c r="E82" s="288"/>
      <c r="F82" s="288"/>
      <c r="G82" s="288"/>
      <c r="H82" s="288"/>
      <c r="I82" s="288"/>
      <c r="J82" s="288"/>
      <c r="K82" s="288"/>
      <c r="L82" s="288"/>
      <c r="M82" s="288"/>
      <c r="N82" s="288"/>
    </row>
    <row r="83" spans="1:14" x14ac:dyDescent="0.2">
      <c r="A83" s="288"/>
      <c r="B83" s="288"/>
      <c r="C83" s="288"/>
      <c r="D83" s="288"/>
      <c r="E83" s="288"/>
      <c r="F83" s="288"/>
      <c r="G83" s="288"/>
      <c r="H83" s="288"/>
      <c r="I83" s="288"/>
      <c r="J83" s="288"/>
      <c r="K83" s="288"/>
      <c r="L83" s="288"/>
      <c r="M83" s="288"/>
      <c r="N83" s="288"/>
    </row>
    <row r="84" spans="1:14" x14ac:dyDescent="0.2">
      <c r="A84" s="288"/>
      <c r="B84" s="288"/>
      <c r="C84" s="288"/>
      <c r="D84" s="288"/>
      <c r="E84" s="288"/>
      <c r="F84" s="288"/>
      <c r="G84" s="288"/>
      <c r="H84" s="288"/>
      <c r="I84" s="288"/>
      <c r="J84" s="288"/>
      <c r="K84" s="288"/>
      <c r="L84" s="288"/>
      <c r="M84" s="288"/>
      <c r="N84" s="288"/>
    </row>
    <row r="85" spans="1:14" x14ac:dyDescent="0.2">
      <c r="A85" s="288"/>
      <c r="B85" s="288"/>
      <c r="C85" s="288"/>
      <c r="D85" s="288"/>
      <c r="E85" s="288"/>
      <c r="F85" s="288"/>
      <c r="G85" s="288"/>
      <c r="H85" s="288"/>
      <c r="I85" s="288"/>
      <c r="J85" s="288"/>
      <c r="K85" s="288"/>
      <c r="L85" s="288"/>
      <c r="M85" s="288"/>
      <c r="N85" s="288"/>
    </row>
    <row r="86" spans="1:14" x14ac:dyDescent="0.2">
      <c r="A86" s="288"/>
      <c r="B86" s="288"/>
      <c r="C86" s="288"/>
      <c r="D86" s="288"/>
      <c r="E86" s="288"/>
      <c r="F86" s="288"/>
      <c r="G86" s="288"/>
      <c r="H86" s="288"/>
      <c r="I86" s="288"/>
      <c r="J86" s="288"/>
      <c r="K86" s="288"/>
      <c r="L86" s="288"/>
      <c r="M86" s="288"/>
      <c r="N86" s="288"/>
    </row>
    <row r="87" spans="1:14" x14ac:dyDescent="0.2">
      <c r="A87" s="288"/>
      <c r="B87" s="288"/>
      <c r="C87" s="288"/>
      <c r="D87" s="288"/>
      <c r="E87" s="288"/>
      <c r="F87" s="288"/>
      <c r="G87" s="288"/>
      <c r="H87" s="288"/>
      <c r="I87" s="288"/>
      <c r="J87" s="288"/>
      <c r="K87" s="288"/>
      <c r="L87" s="288"/>
      <c r="M87" s="288"/>
      <c r="N87" s="288"/>
    </row>
    <row r="88" spans="1:14" x14ac:dyDescent="0.2">
      <c r="A88" s="288"/>
      <c r="B88" s="288"/>
      <c r="C88" s="288"/>
      <c r="D88" s="288"/>
      <c r="E88" s="288"/>
      <c r="F88" s="288"/>
      <c r="G88" s="288"/>
      <c r="H88" s="288"/>
      <c r="I88" s="288"/>
      <c r="J88" s="288"/>
      <c r="K88" s="288"/>
      <c r="L88" s="288"/>
      <c r="M88" s="288"/>
      <c r="N88" s="288"/>
    </row>
    <row r="89" spans="1:14" x14ac:dyDescent="0.2">
      <c r="A89" s="288"/>
      <c r="B89" s="288"/>
      <c r="C89" s="288"/>
      <c r="D89" s="288"/>
      <c r="E89" s="288"/>
      <c r="F89" s="288"/>
      <c r="G89" s="288"/>
      <c r="H89" s="288"/>
      <c r="I89" s="288"/>
      <c r="J89" s="288"/>
      <c r="K89" s="288"/>
      <c r="L89" s="288"/>
      <c r="M89" s="288"/>
      <c r="N89" s="288"/>
    </row>
    <row r="90" spans="1:14" x14ac:dyDescent="0.2">
      <c r="A90" s="288"/>
      <c r="B90" s="288"/>
      <c r="C90" s="288"/>
      <c r="D90" s="288"/>
      <c r="E90" s="288"/>
      <c r="F90" s="288"/>
      <c r="G90" s="288"/>
      <c r="H90" s="288"/>
      <c r="I90" s="288"/>
      <c r="J90" s="288"/>
      <c r="K90" s="288"/>
      <c r="L90" s="288"/>
      <c r="M90" s="288"/>
      <c r="N90" s="288"/>
    </row>
    <row r="91" spans="1:14" x14ac:dyDescent="0.2">
      <c r="A91" s="288"/>
      <c r="B91" s="288"/>
      <c r="C91" s="288"/>
      <c r="D91" s="288"/>
      <c r="E91" s="288"/>
      <c r="F91" s="288"/>
      <c r="G91" s="288"/>
      <c r="H91" s="288"/>
      <c r="I91" s="288"/>
      <c r="J91" s="288"/>
      <c r="K91" s="288"/>
      <c r="L91" s="288"/>
      <c r="M91" s="288"/>
      <c r="N91" s="288"/>
    </row>
    <row r="92" spans="1:14" x14ac:dyDescent="0.2">
      <c r="A92" s="288"/>
      <c r="B92" s="288"/>
      <c r="C92" s="288"/>
      <c r="D92" s="288"/>
      <c r="E92" s="288"/>
      <c r="F92" s="288"/>
      <c r="G92" s="288"/>
      <c r="H92" s="288"/>
      <c r="I92" s="288"/>
      <c r="J92" s="288"/>
      <c r="K92" s="288"/>
      <c r="L92" s="288"/>
      <c r="M92" s="288"/>
      <c r="N92" s="288"/>
    </row>
    <row r="93" spans="1:14" x14ac:dyDescent="0.2">
      <c r="A93" s="288"/>
      <c r="B93" s="288"/>
      <c r="C93" s="288"/>
      <c r="D93" s="288"/>
      <c r="E93" s="288"/>
      <c r="F93" s="288"/>
      <c r="G93" s="288"/>
      <c r="H93" s="288"/>
      <c r="I93" s="288"/>
      <c r="J93" s="288"/>
      <c r="K93" s="288"/>
      <c r="L93" s="288"/>
      <c r="M93" s="288"/>
      <c r="N93" s="288"/>
    </row>
    <row r="94" spans="1:14" x14ac:dyDescent="0.2">
      <c r="A94" s="288"/>
      <c r="B94" s="288"/>
      <c r="C94" s="288"/>
      <c r="D94" s="288"/>
      <c r="E94" s="288"/>
      <c r="F94" s="288"/>
      <c r="G94" s="288"/>
      <c r="H94" s="288"/>
      <c r="I94" s="288"/>
      <c r="J94" s="288"/>
      <c r="K94" s="288"/>
      <c r="L94" s="288"/>
      <c r="M94" s="288"/>
      <c r="N94" s="288"/>
    </row>
    <row r="95" spans="1:14" x14ac:dyDescent="0.2">
      <c r="A95" s="288"/>
      <c r="B95" s="288"/>
      <c r="C95" s="288"/>
      <c r="D95" s="288"/>
      <c r="E95" s="288"/>
      <c r="F95" s="288"/>
      <c r="G95" s="288"/>
      <c r="H95" s="288"/>
      <c r="I95" s="288"/>
      <c r="J95" s="288"/>
      <c r="K95" s="288"/>
      <c r="L95" s="288"/>
      <c r="M95" s="288"/>
      <c r="N95" s="288"/>
    </row>
    <row r="96" spans="1:14" x14ac:dyDescent="0.2">
      <c r="A96" s="288"/>
      <c r="B96" s="288"/>
      <c r="C96" s="288"/>
      <c r="D96" s="288"/>
      <c r="E96" s="288"/>
      <c r="F96" s="288"/>
      <c r="G96" s="288"/>
      <c r="H96" s="288"/>
      <c r="I96" s="288"/>
      <c r="J96" s="288"/>
      <c r="K96" s="288"/>
      <c r="L96" s="288"/>
      <c r="M96" s="288"/>
      <c r="N96" s="288"/>
    </row>
    <row r="97" spans="1:14" x14ac:dyDescent="0.2">
      <c r="A97" s="288"/>
      <c r="B97" s="288"/>
      <c r="C97" s="288"/>
      <c r="D97" s="288"/>
      <c r="E97" s="288"/>
      <c r="F97" s="288"/>
      <c r="G97" s="288"/>
      <c r="H97" s="288"/>
      <c r="I97" s="288"/>
      <c r="J97" s="288"/>
      <c r="K97" s="288"/>
      <c r="L97" s="288"/>
      <c r="M97" s="288"/>
      <c r="N97" s="288"/>
    </row>
    <row r="98" spans="1:14" x14ac:dyDescent="0.2">
      <c r="A98" s="288"/>
      <c r="B98" s="288"/>
      <c r="C98" s="288"/>
      <c r="D98" s="288"/>
      <c r="E98" s="288"/>
      <c r="F98" s="288"/>
      <c r="G98" s="288"/>
      <c r="H98" s="288"/>
      <c r="I98" s="288"/>
      <c r="J98" s="288"/>
      <c r="K98" s="288"/>
      <c r="L98" s="288"/>
      <c r="M98" s="288"/>
      <c r="N98" s="288"/>
    </row>
    <row r="99" spans="1:14" x14ac:dyDescent="0.2">
      <c r="A99" s="288"/>
      <c r="B99" s="288"/>
      <c r="C99" s="288"/>
      <c r="D99" s="288"/>
      <c r="E99" s="288"/>
      <c r="F99" s="288"/>
      <c r="G99" s="288"/>
      <c r="H99" s="288"/>
      <c r="I99" s="288"/>
      <c r="J99" s="288"/>
      <c r="K99" s="288"/>
      <c r="L99" s="288"/>
      <c r="M99" s="288"/>
      <c r="N99" s="288"/>
    </row>
    <row r="100" spans="1:14" x14ac:dyDescent="0.2">
      <c r="A100" s="288"/>
      <c r="B100" s="288"/>
      <c r="C100" s="288"/>
      <c r="D100" s="288"/>
      <c r="E100" s="288"/>
      <c r="F100" s="288"/>
      <c r="G100" s="288"/>
      <c r="H100" s="288"/>
      <c r="I100" s="288"/>
      <c r="J100" s="288"/>
      <c r="K100" s="288"/>
      <c r="L100" s="288"/>
      <c r="M100" s="288"/>
      <c r="N100" s="288"/>
    </row>
    <row r="101" spans="1:14" x14ac:dyDescent="0.2">
      <c r="A101" s="288"/>
      <c r="B101" s="288"/>
      <c r="C101" s="288"/>
      <c r="D101" s="288"/>
      <c r="E101" s="288"/>
      <c r="F101" s="288"/>
      <c r="G101" s="288"/>
      <c r="H101" s="288"/>
      <c r="I101" s="288"/>
      <c r="J101" s="288"/>
      <c r="K101" s="288"/>
      <c r="L101" s="288"/>
      <c r="M101" s="288"/>
      <c r="N101" s="288"/>
    </row>
    <row r="102" spans="1:14" x14ac:dyDescent="0.2">
      <c r="A102" s="288"/>
      <c r="B102" s="288"/>
      <c r="C102" s="288"/>
      <c r="D102" s="288"/>
      <c r="E102" s="288"/>
      <c r="F102" s="288"/>
      <c r="G102" s="288"/>
      <c r="H102" s="288"/>
      <c r="I102" s="288"/>
      <c r="J102" s="288"/>
      <c r="K102" s="288"/>
      <c r="L102" s="288"/>
      <c r="M102" s="288"/>
      <c r="N102" s="288"/>
    </row>
    <row r="103" spans="1:14" x14ac:dyDescent="0.2">
      <c r="A103" s="288"/>
      <c r="B103" s="288"/>
      <c r="C103" s="288"/>
      <c r="D103" s="288"/>
      <c r="E103" s="288"/>
      <c r="F103" s="288"/>
      <c r="G103" s="288"/>
      <c r="H103" s="288"/>
      <c r="I103" s="288"/>
      <c r="J103" s="288"/>
      <c r="K103" s="288"/>
      <c r="L103" s="288"/>
      <c r="M103" s="288"/>
      <c r="N103" s="288"/>
    </row>
    <row r="104" spans="1:14" x14ac:dyDescent="0.2">
      <c r="A104" s="288"/>
      <c r="B104" s="288"/>
      <c r="C104" s="288"/>
      <c r="D104" s="288"/>
      <c r="E104" s="288"/>
      <c r="F104" s="288"/>
      <c r="G104" s="288"/>
      <c r="H104" s="288"/>
      <c r="I104" s="288"/>
      <c r="J104" s="288"/>
      <c r="K104" s="288"/>
      <c r="L104" s="288"/>
      <c r="M104" s="288"/>
      <c r="N104" s="288"/>
    </row>
    <row r="105" spans="1:14" x14ac:dyDescent="0.2">
      <c r="A105" s="288"/>
      <c r="B105" s="288"/>
      <c r="C105" s="288"/>
      <c r="D105" s="288"/>
      <c r="E105" s="288"/>
      <c r="F105" s="288"/>
      <c r="G105" s="288"/>
      <c r="H105" s="288"/>
      <c r="I105" s="288"/>
      <c r="J105" s="288"/>
      <c r="K105" s="288"/>
      <c r="L105" s="288"/>
      <c r="M105" s="288"/>
      <c r="N105" s="288"/>
    </row>
    <row r="106" spans="1:14" x14ac:dyDescent="0.2">
      <c r="A106" s="288"/>
      <c r="B106" s="288"/>
      <c r="C106" s="288"/>
      <c r="D106" s="288"/>
      <c r="E106" s="288"/>
      <c r="F106" s="288"/>
      <c r="G106" s="288"/>
      <c r="H106" s="288"/>
      <c r="I106" s="288"/>
      <c r="J106" s="288"/>
      <c r="K106" s="288"/>
      <c r="L106" s="288"/>
      <c r="M106" s="288"/>
      <c r="N106" s="288"/>
    </row>
    <row r="107" spans="1:14" x14ac:dyDescent="0.2">
      <c r="A107" s="288"/>
      <c r="B107" s="288"/>
      <c r="C107" s="288"/>
      <c r="D107" s="288"/>
      <c r="E107" s="288"/>
      <c r="F107" s="288"/>
      <c r="G107" s="288"/>
      <c r="H107" s="288"/>
      <c r="I107" s="288"/>
      <c r="J107" s="288"/>
      <c r="K107" s="288"/>
      <c r="L107" s="288"/>
      <c r="M107" s="288"/>
      <c r="N107" s="288"/>
    </row>
    <row r="108" spans="1:14" x14ac:dyDescent="0.2">
      <c r="A108" s="288"/>
      <c r="B108" s="288"/>
      <c r="C108" s="288"/>
      <c r="D108" s="288"/>
      <c r="E108" s="288"/>
      <c r="F108" s="288"/>
      <c r="G108" s="288"/>
      <c r="H108" s="288"/>
      <c r="I108" s="288"/>
      <c r="J108" s="288"/>
      <c r="K108" s="288"/>
      <c r="L108" s="288"/>
      <c r="M108" s="288"/>
      <c r="N108" s="288"/>
    </row>
    <row r="109" spans="1:14" x14ac:dyDescent="0.2">
      <c r="A109" s="288"/>
      <c r="B109" s="288"/>
      <c r="C109" s="288"/>
      <c r="D109" s="288"/>
      <c r="E109" s="288"/>
      <c r="F109" s="288"/>
      <c r="G109" s="288"/>
      <c r="H109" s="288"/>
      <c r="I109" s="288"/>
      <c r="J109" s="288"/>
      <c r="K109" s="288"/>
      <c r="L109" s="288"/>
      <c r="M109" s="288"/>
      <c r="N109" s="288"/>
    </row>
    <row r="110" spans="1:14" x14ac:dyDescent="0.2">
      <c r="A110" s="288"/>
      <c r="B110" s="288"/>
      <c r="C110" s="288"/>
      <c r="D110" s="288"/>
      <c r="E110" s="288"/>
      <c r="F110" s="288"/>
      <c r="G110" s="288"/>
      <c r="H110" s="288"/>
      <c r="I110" s="288"/>
      <c r="J110" s="288"/>
      <c r="K110" s="288"/>
      <c r="L110" s="288"/>
      <c r="M110" s="288"/>
      <c r="N110" s="288"/>
    </row>
    <row r="111" spans="1:14" x14ac:dyDescent="0.2">
      <c r="A111" s="288"/>
      <c r="B111" s="288"/>
      <c r="C111" s="288"/>
      <c r="D111" s="288"/>
      <c r="E111" s="288"/>
      <c r="F111" s="288"/>
      <c r="G111" s="288"/>
      <c r="H111" s="288"/>
      <c r="I111" s="288"/>
      <c r="J111" s="288"/>
      <c r="K111" s="288"/>
      <c r="L111" s="288"/>
      <c r="M111" s="288"/>
      <c r="N111" s="288"/>
    </row>
    <row r="112" spans="1:14" x14ac:dyDescent="0.2">
      <c r="A112" s="288"/>
      <c r="B112" s="288"/>
      <c r="C112" s="288"/>
      <c r="D112" s="288"/>
      <c r="E112" s="288"/>
      <c r="F112" s="288"/>
      <c r="G112" s="288"/>
      <c r="H112" s="288"/>
      <c r="I112" s="288"/>
      <c r="J112" s="288"/>
      <c r="K112" s="288"/>
      <c r="L112" s="288"/>
      <c r="M112" s="288"/>
      <c r="N112" s="288"/>
    </row>
    <row r="113" spans="1:14" x14ac:dyDescent="0.2">
      <c r="A113" s="288"/>
      <c r="B113" s="288"/>
      <c r="C113" s="288"/>
      <c r="D113" s="288"/>
      <c r="E113" s="288"/>
      <c r="F113" s="288"/>
      <c r="G113" s="288"/>
      <c r="H113" s="288"/>
      <c r="I113" s="288"/>
      <c r="J113" s="288"/>
      <c r="K113" s="288"/>
      <c r="L113" s="288"/>
      <c r="M113" s="288"/>
      <c r="N113" s="288"/>
    </row>
    <row r="114" spans="1:14" x14ac:dyDescent="0.2">
      <c r="A114" s="288"/>
      <c r="B114" s="288"/>
      <c r="C114" s="288"/>
      <c r="D114" s="288"/>
      <c r="E114" s="288"/>
      <c r="F114" s="288"/>
      <c r="G114" s="288"/>
      <c r="H114" s="288"/>
      <c r="I114" s="288"/>
      <c r="J114" s="288"/>
      <c r="K114" s="288"/>
      <c r="L114" s="288"/>
      <c r="M114" s="288"/>
      <c r="N114" s="288"/>
    </row>
    <row r="115" spans="1:14" x14ac:dyDescent="0.2">
      <c r="A115" s="288"/>
      <c r="B115" s="288"/>
      <c r="C115" s="288"/>
      <c r="D115" s="288"/>
      <c r="E115" s="288"/>
      <c r="F115" s="288"/>
      <c r="G115" s="288"/>
      <c r="H115" s="288"/>
      <c r="I115" s="288"/>
      <c r="J115" s="288"/>
      <c r="K115" s="288"/>
      <c r="L115" s="288"/>
      <c r="M115" s="288"/>
      <c r="N115" s="288"/>
    </row>
    <row r="116" spans="1:14" x14ac:dyDescent="0.2">
      <c r="A116" s="288"/>
      <c r="B116" s="288"/>
      <c r="C116" s="288"/>
      <c r="D116" s="288"/>
      <c r="E116" s="288"/>
      <c r="F116" s="288"/>
      <c r="G116" s="288"/>
      <c r="H116" s="288"/>
      <c r="I116" s="288"/>
      <c r="J116" s="288"/>
      <c r="K116" s="288"/>
      <c r="L116" s="288"/>
      <c r="M116" s="288"/>
      <c r="N116" s="288"/>
    </row>
    <row r="117" spans="1:14" x14ac:dyDescent="0.2">
      <c r="A117" s="288"/>
      <c r="B117" s="288"/>
      <c r="C117" s="288"/>
      <c r="D117" s="288"/>
      <c r="E117" s="288"/>
      <c r="F117" s="288"/>
      <c r="G117" s="288"/>
      <c r="H117" s="288"/>
      <c r="I117" s="288"/>
      <c r="J117" s="288"/>
      <c r="K117" s="288"/>
      <c r="L117" s="288"/>
      <c r="M117" s="288"/>
      <c r="N117" s="288"/>
    </row>
    <row r="118" spans="1:14" x14ac:dyDescent="0.2">
      <c r="A118" s="288"/>
      <c r="B118" s="288"/>
      <c r="C118" s="288"/>
      <c r="D118" s="288"/>
      <c r="E118" s="288"/>
      <c r="F118" s="288"/>
      <c r="G118" s="288"/>
      <c r="H118" s="288"/>
      <c r="I118" s="288"/>
      <c r="J118" s="288"/>
      <c r="K118" s="288"/>
      <c r="L118" s="288"/>
      <c r="M118" s="288"/>
      <c r="N118" s="288"/>
    </row>
  </sheetData>
  <pageMargins left="0.5" right="0.5" top="0.75" bottom="0.75" header="0.5" footer="0.5"/>
  <pageSetup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120"/>
  <sheetViews>
    <sheetView showGridLines="0" view="pageBreakPreview" zoomScaleNormal="100" zoomScaleSheetLayoutView="100" workbookViewId="0">
      <selection activeCell="K8" sqref="K8"/>
    </sheetView>
  </sheetViews>
  <sheetFormatPr defaultRowHeight="12.75" x14ac:dyDescent="0.2"/>
  <cols>
    <col min="1" max="1" width="9.140625" style="195"/>
    <col min="2" max="2" width="2.28515625" style="195" bestFit="1" customWidth="1"/>
    <col min="3" max="12" width="11.7109375" style="195" customWidth="1"/>
    <col min="13" max="16384" width="9.140625" style="195"/>
  </cols>
  <sheetData>
    <row r="1" spans="1:13" x14ac:dyDescent="0.2">
      <c r="A1" s="305" t="str">
        <f>"Commodity Pricing ("&amp;TEXT(A6,"mmmm yyyy")&amp;" through "&amp;TEXT(A17,"mmmm yyyy")&amp;")"</f>
        <v>Commodity Pricing (May 2016 through April 2017)</v>
      </c>
      <c r="B1" s="304"/>
    </row>
    <row r="2" spans="1:13" x14ac:dyDescent="0.2">
      <c r="A2" s="303" t="str">
        <f>'Value (2)'!A2</f>
        <v>Rabanco Ltd (dba Allied Waste of Bellevue)</v>
      </c>
      <c r="B2" s="303"/>
    </row>
    <row r="3" spans="1:13" x14ac:dyDescent="0.2">
      <c r="A3" s="303"/>
      <c r="B3" s="303"/>
    </row>
    <row r="4" spans="1:13" x14ac:dyDescent="0.2">
      <c r="A4" s="303"/>
      <c r="B4" s="303"/>
    </row>
    <row r="5" spans="1:13" x14ac:dyDescent="0.2">
      <c r="B5" s="302"/>
      <c r="C5" s="300" t="s">
        <v>21</v>
      </c>
      <c r="D5" s="300" t="s">
        <v>22</v>
      </c>
      <c r="E5" s="300" t="s">
        <v>33</v>
      </c>
      <c r="F5" s="300" t="s">
        <v>23</v>
      </c>
      <c r="G5" s="300" t="s">
        <v>24</v>
      </c>
      <c r="H5" s="300" t="s">
        <v>25</v>
      </c>
      <c r="I5" s="300" t="s">
        <v>26</v>
      </c>
      <c r="J5" s="300" t="s">
        <v>27</v>
      </c>
      <c r="K5" s="300" t="s">
        <v>28</v>
      </c>
      <c r="L5" s="300" t="s">
        <v>29</v>
      </c>
      <c r="M5" s="300"/>
    </row>
    <row r="6" spans="1:13" ht="15.75" customHeight="1" x14ac:dyDescent="0.2">
      <c r="A6" s="308">
        <f>'Single Family (2)'!$C$6</f>
        <v>42491</v>
      </c>
      <c r="B6" s="288" t="s">
        <v>67</v>
      </c>
      <c r="C6" s="311">
        <f>'Single Family (2)'!C74</f>
        <v>798</v>
      </c>
      <c r="D6" s="310">
        <f>'Single Family (2)'!C76</f>
        <v>-2.2000000000000002</v>
      </c>
      <c r="E6" s="310">
        <f>'Single Family (2)'!C77</f>
        <v>-120.17</v>
      </c>
      <c r="F6" s="108">
        <f>'Single Family (2)'!C72</f>
        <v>73.930000000000007</v>
      </c>
      <c r="G6" s="311">
        <f>'Single Family (2)'!C69</f>
        <v>72.25</v>
      </c>
      <c r="H6" s="311">
        <f>'Single Family (2)'!C79</f>
        <v>69.38</v>
      </c>
      <c r="I6" s="311">
        <f>'Single Family (2)'!C73</f>
        <v>133.80000000000001</v>
      </c>
      <c r="J6" s="311">
        <f>'Single Family (2)'!C73</f>
        <v>133.80000000000001</v>
      </c>
      <c r="K6" s="311">
        <f>'Single Family (2)'!C70</f>
        <v>87.8</v>
      </c>
      <c r="L6" s="310">
        <f>'Single Family (2)'!C78</f>
        <v>-120.17</v>
      </c>
      <c r="M6" s="302"/>
    </row>
    <row r="7" spans="1:13" ht="15.75" customHeight="1" x14ac:dyDescent="0.2">
      <c r="A7" s="298">
        <f>+'Commodity Tonnages (2)'!A7</f>
        <v>42551</v>
      </c>
      <c r="B7" s="288" t="s">
        <v>68</v>
      </c>
      <c r="C7" s="311">
        <f>'Single Family (2)'!D74</f>
        <v>778.7</v>
      </c>
      <c r="D7" s="310">
        <f>'Single Family (2)'!D76</f>
        <v>-7.81</v>
      </c>
      <c r="E7" s="310">
        <f>'Single Family (2)'!D77</f>
        <v>-120.17</v>
      </c>
      <c r="F7" s="108">
        <f>'Single Family (2)'!D72</f>
        <v>64.900000000000006</v>
      </c>
      <c r="G7" s="311">
        <f>'Single Family (2)'!D69</f>
        <v>75.63</v>
      </c>
      <c r="H7" s="311">
        <f>'Single Family (2)'!D79</f>
        <v>71.97</v>
      </c>
      <c r="I7" s="311">
        <f>'Single Family (2)'!D73</f>
        <v>129.44999999999999</v>
      </c>
      <c r="J7" s="311">
        <f>'Single Family (2)'!D73</f>
        <v>129.44999999999999</v>
      </c>
      <c r="K7" s="311">
        <f>'Single Family (2)'!D70</f>
        <v>90.36</v>
      </c>
      <c r="L7" s="310">
        <f>'Single Family (2)'!D78</f>
        <v>-120.17</v>
      </c>
      <c r="M7" s="302"/>
    </row>
    <row r="8" spans="1:13" ht="15.75" customHeight="1" x14ac:dyDescent="0.2">
      <c r="A8" s="298">
        <f>+'Commodity Tonnages (2)'!A8</f>
        <v>42582</v>
      </c>
      <c r="B8" s="288" t="s">
        <v>69</v>
      </c>
      <c r="C8" s="311">
        <f>'Single Family (2)'!E74</f>
        <v>777</v>
      </c>
      <c r="D8" s="310">
        <f>'Single Family (2)'!E76</f>
        <v>-8.0299999999999994</v>
      </c>
      <c r="E8" s="310">
        <f>'Single Family (2)'!E77</f>
        <v>-120.17</v>
      </c>
      <c r="F8" s="108">
        <f>'Single Family (2)'!E72</f>
        <v>58.33</v>
      </c>
      <c r="G8" s="311">
        <f>'Single Family (2)'!E69</f>
        <v>83.6</v>
      </c>
      <c r="H8" s="311">
        <f>'Single Family (2)'!E79</f>
        <v>78.17</v>
      </c>
      <c r="I8" s="311">
        <f>'Single Family (2)'!E73</f>
        <v>134.41</v>
      </c>
      <c r="J8" s="311">
        <f>'Single Family (2)'!E73</f>
        <v>134.41</v>
      </c>
      <c r="K8" s="311">
        <f>'Single Family (2)'!E70</f>
        <v>101.52</v>
      </c>
      <c r="L8" s="310">
        <f>'Single Family (2)'!E78</f>
        <v>-120.17</v>
      </c>
      <c r="M8" s="289"/>
    </row>
    <row r="9" spans="1:13" ht="15.75" customHeight="1" x14ac:dyDescent="0.2">
      <c r="A9" s="298">
        <f>+'Commodity Tonnages (2)'!A9</f>
        <v>42613</v>
      </c>
      <c r="B9" s="288" t="s">
        <v>70</v>
      </c>
      <c r="C9" s="311">
        <f>'Single Family (2)'!F74</f>
        <v>798</v>
      </c>
      <c r="D9" s="310">
        <f>'Single Family (2)'!F76</f>
        <v>-1.52</v>
      </c>
      <c r="E9" s="310">
        <f>'Single Family (2)'!F77</f>
        <v>-120.17</v>
      </c>
      <c r="F9" s="108">
        <f>'Single Family (2)'!F72</f>
        <v>59.25</v>
      </c>
      <c r="G9" s="311">
        <f>'Single Family (2)'!F69</f>
        <v>93.37</v>
      </c>
      <c r="H9" s="311">
        <f>'Single Family (2)'!F79</f>
        <v>87.47</v>
      </c>
      <c r="I9" s="311">
        <f>'Single Family (2)'!F73</f>
        <v>130.41999999999999</v>
      </c>
      <c r="J9" s="311">
        <f>'Single Family (2)'!F73</f>
        <v>130.41999999999999</v>
      </c>
      <c r="K9" s="311">
        <f>'Single Family (2)'!F70</f>
        <v>110.76</v>
      </c>
      <c r="L9" s="310">
        <f>'Single Family (2)'!F78</f>
        <v>-120.17</v>
      </c>
      <c r="M9" s="289"/>
    </row>
    <row r="10" spans="1:13" ht="15.75" customHeight="1" x14ac:dyDescent="0.2">
      <c r="A10" s="298">
        <f>+'Commodity Tonnages (2)'!A10</f>
        <v>42643</v>
      </c>
      <c r="B10" s="288" t="s">
        <v>71</v>
      </c>
      <c r="C10" s="311">
        <f>'Single Family (2)'!G74</f>
        <v>784</v>
      </c>
      <c r="D10" s="310">
        <f>'Single Family (2)'!G76</f>
        <v>-5.91</v>
      </c>
      <c r="E10" s="310">
        <f>'Single Family (2)'!G77</f>
        <v>-120.17</v>
      </c>
      <c r="F10" s="108">
        <f>'Single Family (2)'!G72</f>
        <v>59.29</v>
      </c>
      <c r="G10" s="311">
        <f>'Single Family (2)'!G69</f>
        <v>90.66</v>
      </c>
      <c r="H10" s="311">
        <f>'Single Family (2)'!G79</f>
        <v>77.81</v>
      </c>
      <c r="I10" s="311">
        <f>'Single Family (2)'!G73</f>
        <v>110.89</v>
      </c>
      <c r="J10" s="311">
        <f>'Single Family (2)'!G73</f>
        <v>110.89</v>
      </c>
      <c r="K10" s="311">
        <f>'Single Family (2)'!G70</f>
        <v>99.86</v>
      </c>
      <c r="L10" s="310">
        <f>'Single Family (2)'!G78</f>
        <v>-120.17</v>
      </c>
      <c r="M10" s="289"/>
    </row>
    <row r="11" spans="1:13" ht="15.75" customHeight="1" x14ac:dyDescent="0.2">
      <c r="A11" s="298">
        <f>+'Commodity Tonnages (2)'!A11</f>
        <v>42674</v>
      </c>
      <c r="B11" s="288" t="s">
        <v>72</v>
      </c>
      <c r="C11" s="311">
        <f>'Single Family (2)'!H74</f>
        <v>812</v>
      </c>
      <c r="D11" s="310">
        <f>'Single Family (2)'!H76</f>
        <v>-6.71</v>
      </c>
      <c r="E11" s="310">
        <f>'Single Family (2)'!H77</f>
        <v>-120.17</v>
      </c>
      <c r="F11" s="108">
        <f>'Single Family (2)'!H72</f>
        <v>52.472000000000001</v>
      </c>
      <c r="G11" s="311">
        <f>'Single Family (2)'!H69</f>
        <v>88.47</v>
      </c>
      <c r="H11" s="311">
        <f>'Single Family (2)'!H79</f>
        <v>76.42</v>
      </c>
      <c r="I11" s="311">
        <f>'Single Family (2)'!H73</f>
        <v>100.65</v>
      </c>
      <c r="J11" s="311">
        <f>'Single Family (2)'!H73</f>
        <v>100.65</v>
      </c>
      <c r="K11" s="311">
        <f>'Single Family (2)'!H70</f>
        <v>103.64</v>
      </c>
      <c r="L11" s="310">
        <f>'Single Family (2)'!H78</f>
        <v>-120.17</v>
      </c>
      <c r="M11" s="289"/>
    </row>
    <row r="12" spans="1:13" ht="15.75" customHeight="1" x14ac:dyDescent="0.2">
      <c r="A12" s="298">
        <f>+'Commodity Tonnages (2)'!A12</f>
        <v>42704</v>
      </c>
      <c r="B12" s="288" t="s">
        <v>73</v>
      </c>
      <c r="C12" s="311">
        <f>'Single Family (2)'!I74</f>
        <v>836.49</v>
      </c>
      <c r="D12" s="310">
        <f>'Single Family (2)'!I76</f>
        <v>-16.34</v>
      </c>
      <c r="E12" s="310">
        <f>'Single Family (2)'!I77</f>
        <v>-120.17</v>
      </c>
      <c r="F12" s="108">
        <f>'Single Family (2)'!I72</f>
        <v>66.003</v>
      </c>
      <c r="G12" s="311">
        <f>'Single Family (2)'!I69</f>
        <v>91.42</v>
      </c>
      <c r="H12" s="311">
        <f>'Single Family (2)'!I79</f>
        <v>81.59</v>
      </c>
      <c r="I12" s="311">
        <f>'Single Family (2)'!I73</f>
        <v>107.11</v>
      </c>
      <c r="J12" s="311">
        <f>'Single Family (2)'!I73</f>
        <v>107.11</v>
      </c>
      <c r="K12" s="311">
        <f>'Single Family (2)'!I70</f>
        <v>110.66</v>
      </c>
      <c r="L12" s="310">
        <f>'Single Family (2)'!I78</f>
        <v>-120.17</v>
      </c>
      <c r="M12" s="289"/>
    </row>
    <row r="13" spans="1:13" ht="15.75" customHeight="1" x14ac:dyDescent="0.2">
      <c r="A13" s="298">
        <f>+'Commodity Tonnages (2)'!A13</f>
        <v>42735</v>
      </c>
      <c r="B13" s="288" t="s">
        <v>74</v>
      </c>
      <c r="C13" s="311">
        <f>'Single Family (2)'!J74</f>
        <v>863.56899999999996</v>
      </c>
      <c r="D13" s="310">
        <f>'Single Family (2)'!J76</f>
        <v>-19.71</v>
      </c>
      <c r="E13" s="310">
        <f>'Single Family (2)'!J77</f>
        <v>-120.17</v>
      </c>
      <c r="F13" s="108">
        <f>'Single Family (2)'!J72</f>
        <v>67.542999999999992</v>
      </c>
      <c r="G13" s="311">
        <f>'Single Family (2)'!J69</f>
        <v>90.152999999999992</v>
      </c>
      <c r="H13" s="311">
        <f>'Single Family (2)'!J79</f>
        <v>85.945999999999998</v>
      </c>
      <c r="I13" s="311">
        <f>'Single Family (2)'!J73</f>
        <v>99.483999999999995</v>
      </c>
      <c r="J13" s="311">
        <f>'Single Family (2)'!J73</f>
        <v>99.483999999999995</v>
      </c>
      <c r="K13" s="311">
        <f>'Single Family (2)'!J70</f>
        <v>112.602</v>
      </c>
      <c r="L13" s="310">
        <f>'Single Family (2)'!J78</f>
        <v>-120.17</v>
      </c>
      <c r="M13" s="289"/>
    </row>
    <row r="14" spans="1:13" ht="15.75" customHeight="1" x14ac:dyDescent="0.2">
      <c r="A14" s="298">
        <f>+'Commodity Tonnages (2)'!A14</f>
        <v>42766</v>
      </c>
      <c r="B14" s="288" t="s">
        <v>75</v>
      </c>
      <c r="C14" s="311">
        <f>'Single Family (2)'!K74</f>
        <v>886.43799999999987</v>
      </c>
      <c r="D14" s="310">
        <f>'Single Family (2)'!K76</f>
        <v>-11</v>
      </c>
      <c r="E14" s="310">
        <f>'Single Family (2)'!K77</f>
        <v>-120.17</v>
      </c>
      <c r="F14" s="108">
        <f>'Single Family (2)'!K72</f>
        <v>82.466999999999999</v>
      </c>
      <c r="G14" s="311">
        <f>'Single Family (2)'!K69</f>
        <v>94.086999999999989</v>
      </c>
      <c r="H14" s="311">
        <f>'Single Family (2)'!K79</f>
        <v>80.394999999999996</v>
      </c>
      <c r="I14" s="311">
        <f>'Single Family (2)'!K73</f>
        <v>111.96499999999999</v>
      </c>
      <c r="J14" s="311">
        <f>'Single Family (2)'!K73</f>
        <v>111.96499999999999</v>
      </c>
      <c r="K14" s="311">
        <f>'Single Family (2)'!K70</f>
        <v>119.57399999999998</v>
      </c>
      <c r="L14" s="310">
        <f>'Single Family (2)'!K78</f>
        <v>-120.17</v>
      </c>
      <c r="M14" s="289"/>
    </row>
    <row r="15" spans="1:13" ht="15.75" customHeight="1" x14ac:dyDescent="0.2">
      <c r="A15" s="298">
        <f>+'Commodity Tonnages (2)'!A15</f>
        <v>42794</v>
      </c>
      <c r="B15" s="288" t="s">
        <v>76</v>
      </c>
      <c r="C15" s="311">
        <f>'Single Family (2)'!L74</f>
        <v>939.42799999999988</v>
      </c>
      <c r="D15" s="310">
        <f>'Single Family (2)'!L76</f>
        <v>-10.55</v>
      </c>
      <c r="E15" s="310">
        <f>'Single Family (2)'!L77</f>
        <v>-120.17</v>
      </c>
      <c r="F15" s="108">
        <f>'Single Family (2)'!L72</f>
        <v>73.513999999999996</v>
      </c>
      <c r="G15" s="311">
        <f>'Single Family (2)'!L69</f>
        <v>111.29300000000001</v>
      </c>
      <c r="H15" s="311">
        <f>'Single Family (2)'!L79</f>
        <v>103.03299999999999</v>
      </c>
      <c r="I15" s="311">
        <f>'Single Family (2)'!L73</f>
        <v>125.03399999999999</v>
      </c>
      <c r="J15" s="311">
        <f>'Single Family (2)'!L73</f>
        <v>125.03399999999999</v>
      </c>
      <c r="K15" s="311">
        <f>'Single Family (2)'!L70</f>
        <v>141.428</v>
      </c>
      <c r="L15" s="310">
        <f>'Single Family (2)'!$L$78</f>
        <v>-120.17</v>
      </c>
      <c r="M15" s="289"/>
    </row>
    <row r="16" spans="1:13" ht="15.75" customHeight="1" x14ac:dyDescent="0.2">
      <c r="A16" s="298">
        <f>+'Commodity Tonnages (2)'!A16</f>
        <v>42825</v>
      </c>
      <c r="B16" s="288" t="s">
        <v>77</v>
      </c>
      <c r="C16" s="311">
        <f>'Single Family (2)'!M74</f>
        <v>960.31600000000003</v>
      </c>
      <c r="D16" s="310">
        <f>'Single Family (2)'!M76</f>
        <v>-10.44</v>
      </c>
      <c r="E16" s="310">
        <f>'Single Family (2)'!M77</f>
        <v>-134.59</v>
      </c>
      <c r="F16" s="108">
        <f>'Single Family (2)'!M72</f>
        <v>89.299000000000007</v>
      </c>
      <c r="G16" s="311">
        <f>'Single Family (2)'!M69</f>
        <v>106.428</v>
      </c>
      <c r="H16" s="311">
        <f>'Single Family (2)'!M79</f>
        <v>102.494</v>
      </c>
      <c r="I16" s="311">
        <f>'Single Family (2)'!M73</f>
        <v>108.983</v>
      </c>
      <c r="J16" s="311">
        <f>'Single Family (2)'!M73</f>
        <v>108.983</v>
      </c>
      <c r="K16" s="311">
        <f>'Single Family (2)'!M70</f>
        <v>156.905</v>
      </c>
      <c r="L16" s="310">
        <f>'Single Family (2)'!$M$78</f>
        <v>-134.59</v>
      </c>
      <c r="M16" s="289"/>
    </row>
    <row r="17" spans="1:14" ht="15.75" customHeight="1" x14ac:dyDescent="0.2">
      <c r="A17" s="298">
        <f>+'Commodity Tonnages (2)'!A17</f>
        <v>42855</v>
      </c>
      <c r="B17" s="288" t="s">
        <v>78</v>
      </c>
      <c r="C17" s="311">
        <f>'Single Family (2)'!N74</f>
        <v>947.87</v>
      </c>
      <c r="D17" s="310">
        <f>'Single Family (2)'!N76</f>
        <v>-10.45</v>
      </c>
      <c r="E17" s="310">
        <f>'Single Family (2)'!N77</f>
        <v>-134.59</v>
      </c>
      <c r="F17" s="108">
        <f>'Single Family (2)'!N72</f>
        <v>77.78</v>
      </c>
      <c r="G17" s="311">
        <f>'Single Family (2)'!N69</f>
        <v>61.02</v>
      </c>
      <c r="H17" s="311">
        <f>'Single Family (2)'!N79</f>
        <v>54.15</v>
      </c>
      <c r="I17" s="311">
        <f>'Single Family (2)'!N73</f>
        <v>100.86</v>
      </c>
      <c r="J17" s="311">
        <f>'Single Family (2)'!N73</f>
        <v>100.86</v>
      </c>
      <c r="K17" s="311">
        <f>'Single Family (2)'!N70</f>
        <v>118.99</v>
      </c>
      <c r="L17" s="310">
        <f>'Single Family (2)'!$M$78</f>
        <v>-134.59</v>
      </c>
      <c r="M17" s="289"/>
    </row>
    <row r="18" spans="1:14" x14ac:dyDescent="0.2">
      <c r="A18" s="288"/>
      <c r="B18" s="288"/>
      <c r="C18" s="289"/>
      <c r="D18" s="289"/>
      <c r="E18" s="289"/>
      <c r="F18" s="289"/>
      <c r="G18" s="289"/>
      <c r="H18" s="289"/>
      <c r="I18" s="289"/>
      <c r="J18" s="289"/>
      <c r="K18" s="289"/>
      <c r="L18" s="288"/>
      <c r="M18" s="289"/>
    </row>
    <row r="19" spans="1:14" x14ac:dyDescent="0.2">
      <c r="A19" s="295"/>
      <c r="B19" s="288"/>
      <c r="C19" s="289"/>
      <c r="D19" s="289"/>
      <c r="E19" s="289"/>
      <c r="F19" s="289"/>
      <c r="G19" s="289"/>
      <c r="H19" s="289"/>
      <c r="I19" s="289"/>
      <c r="J19" s="289"/>
      <c r="K19" s="289"/>
      <c r="L19" s="289"/>
      <c r="M19" s="289"/>
      <c r="N19" s="289" t="s">
        <v>31</v>
      </c>
    </row>
    <row r="20" spans="1:14" x14ac:dyDescent="0.2">
      <c r="A20" s="288"/>
      <c r="B20" s="288"/>
      <c r="C20" s="288"/>
      <c r="D20" s="288"/>
      <c r="E20" s="288"/>
      <c r="F20" s="288"/>
      <c r="G20" s="288"/>
      <c r="H20" s="288"/>
      <c r="I20" s="288"/>
      <c r="J20" s="288"/>
      <c r="K20" s="288"/>
      <c r="L20" s="288"/>
      <c r="M20" s="289"/>
    </row>
    <row r="21" spans="1:14" x14ac:dyDescent="0.2">
      <c r="A21" s="288"/>
      <c r="B21" s="288"/>
      <c r="C21" s="288"/>
      <c r="D21" s="288"/>
      <c r="E21" s="288"/>
      <c r="F21" s="288"/>
      <c r="G21" s="288"/>
      <c r="H21" s="288"/>
      <c r="I21" s="288"/>
      <c r="J21" s="288"/>
      <c r="K21" s="288"/>
      <c r="L21" s="288"/>
      <c r="M21" s="289"/>
    </row>
    <row r="22" spans="1:14" x14ac:dyDescent="0.2">
      <c r="A22" s="288"/>
      <c r="B22" s="288"/>
      <c r="C22" s="288"/>
      <c r="D22" s="288"/>
      <c r="F22" s="288"/>
      <c r="G22" s="288"/>
      <c r="H22" s="288"/>
      <c r="I22" s="288"/>
      <c r="J22" s="288"/>
      <c r="K22" s="288"/>
      <c r="L22" s="288"/>
      <c r="M22" s="289"/>
    </row>
    <row r="23" spans="1:14" x14ac:dyDescent="0.2">
      <c r="A23" s="288"/>
      <c r="B23" s="288"/>
      <c r="C23" s="288"/>
      <c r="D23" s="288"/>
      <c r="F23" s="288"/>
      <c r="G23" s="288"/>
      <c r="H23" s="288"/>
      <c r="I23" s="288"/>
      <c r="J23" s="288"/>
      <c r="K23" s="288"/>
      <c r="L23" s="288"/>
      <c r="M23" s="289"/>
    </row>
    <row r="24" spans="1:14" x14ac:dyDescent="0.2">
      <c r="A24" s="288"/>
      <c r="B24" s="288"/>
      <c r="C24" s="288"/>
      <c r="D24" s="288"/>
      <c r="G24" s="288"/>
      <c r="H24" s="288"/>
      <c r="I24" s="288"/>
      <c r="J24" s="288"/>
      <c r="K24" s="288"/>
      <c r="L24" s="288"/>
      <c r="M24" s="289"/>
    </row>
    <row r="25" spans="1:14" x14ac:dyDescent="0.2">
      <c r="A25" s="288"/>
      <c r="B25" s="288"/>
      <c r="C25" s="288"/>
      <c r="D25" s="288"/>
      <c r="F25" s="288"/>
      <c r="G25" s="288"/>
      <c r="H25" s="288"/>
      <c r="I25" s="288"/>
      <c r="J25" s="288"/>
      <c r="K25" s="288"/>
      <c r="L25" s="288"/>
      <c r="M25" s="289"/>
    </row>
    <row r="26" spans="1:14" x14ac:dyDescent="0.2">
      <c r="A26" s="288"/>
      <c r="B26" s="288"/>
      <c r="C26" s="288"/>
      <c r="D26" s="288"/>
      <c r="F26" s="288"/>
      <c r="G26" s="288"/>
      <c r="H26" s="288"/>
      <c r="I26" s="288"/>
      <c r="J26" s="288"/>
      <c r="K26" s="288"/>
      <c r="L26" s="288"/>
      <c r="M26" s="289"/>
    </row>
    <row r="27" spans="1:14" x14ac:dyDescent="0.2">
      <c r="A27" s="288"/>
      <c r="B27" s="288"/>
      <c r="C27" s="288"/>
      <c r="D27" s="288"/>
      <c r="F27" s="288"/>
      <c r="G27" s="288"/>
      <c r="H27" s="288"/>
      <c r="I27" s="288"/>
      <c r="J27" s="288"/>
      <c r="K27" s="288"/>
      <c r="L27" s="288"/>
      <c r="M27" s="289"/>
    </row>
    <row r="28" spans="1:14" x14ac:dyDescent="0.2">
      <c r="A28" s="288"/>
      <c r="B28" s="288"/>
      <c r="C28" s="288"/>
      <c r="D28" s="288"/>
      <c r="F28" s="288"/>
      <c r="G28" s="288"/>
      <c r="H28" s="288"/>
      <c r="I28" s="288"/>
      <c r="J28" s="288"/>
      <c r="K28" s="288"/>
      <c r="L28" s="288"/>
      <c r="M28" s="289"/>
    </row>
    <row r="29" spans="1:14" x14ac:dyDescent="0.2">
      <c r="A29" s="288"/>
      <c r="B29" s="288"/>
      <c r="C29" s="288"/>
      <c r="D29" s="288"/>
      <c r="F29" s="288"/>
      <c r="G29" s="288"/>
      <c r="H29" s="288"/>
      <c r="I29" s="288"/>
      <c r="J29" s="288"/>
      <c r="K29" s="288"/>
      <c r="L29" s="288"/>
      <c r="M29" s="289"/>
    </row>
    <row r="30" spans="1:14" x14ac:dyDescent="0.2">
      <c r="A30" s="288"/>
      <c r="B30" s="288"/>
      <c r="C30" s="288"/>
      <c r="D30" s="288"/>
      <c r="F30" s="288"/>
      <c r="G30" s="288"/>
      <c r="H30" s="288"/>
      <c r="I30" s="288"/>
      <c r="J30" s="288"/>
      <c r="K30" s="288"/>
      <c r="L30" s="288"/>
      <c r="M30" s="288"/>
    </row>
    <row r="31" spans="1:14" x14ac:dyDescent="0.2">
      <c r="A31" s="288"/>
      <c r="B31" s="288"/>
      <c r="C31" s="288"/>
      <c r="D31" s="288"/>
      <c r="F31" s="288"/>
      <c r="G31" s="288"/>
      <c r="H31" s="288"/>
      <c r="I31" s="288"/>
      <c r="J31" s="288"/>
      <c r="K31" s="288"/>
      <c r="L31" s="288"/>
      <c r="M31" s="288"/>
    </row>
    <row r="32" spans="1:14" x14ac:dyDescent="0.2">
      <c r="A32" s="288"/>
      <c r="B32" s="288"/>
      <c r="C32" s="288"/>
      <c r="D32" s="288"/>
      <c r="F32" s="288"/>
      <c r="G32" s="288"/>
      <c r="H32" s="288"/>
      <c r="I32" s="288"/>
      <c r="J32" s="288"/>
      <c r="K32" s="288"/>
      <c r="L32" s="288"/>
      <c r="M32" s="288"/>
    </row>
    <row r="33" spans="1:13" x14ac:dyDescent="0.2">
      <c r="A33" s="288"/>
      <c r="B33" s="288"/>
      <c r="C33" s="288"/>
      <c r="D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row r="119" spans="1:13" x14ac:dyDescent="0.2">
      <c r="A119" s="288"/>
      <c r="B119" s="288"/>
      <c r="C119" s="288"/>
      <c r="D119" s="288"/>
      <c r="E119" s="288"/>
      <c r="F119" s="288"/>
      <c r="G119" s="288"/>
      <c r="H119" s="288"/>
      <c r="I119" s="288"/>
      <c r="J119" s="288"/>
      <c r="K119" s="288"/>
      <c r="L119" s="288"/>
      <c r="M119" s="288"/>
    </row>
    <row r="120" spans="1:13" x14ac:dyDescent="0.2">
      <c r="A120" s="288"/>
      <c r="B120" s="288"/>
      <c r="C120" s="288"/>
      <c r="D120" s="288"/>
      <c r="E120" s="288"/>
      <c r="F120" s="288"/>
      <c r="G120" s="288"/>
      <c r="H120" s="288"/>
      <c r="I120" s="288"/>
      <c r="J120" s="288"/>
      <c r="K120" s="288"/>
      <c r="L120" s="288"/>
      <c r="M120" s="288"/>
    </row>
  </sheetData>
  <pageMargins left="0.5" right="0.5" top="0.75" bottom="0.75" header="0.5" footer="0.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2:U105"/>
  <sheetViews>
    <sheetView showGridLines="0" view="pageBreakPreview" zoomScaleNormal="100" zoomScaleSheetLayoutView="100" workbookViewId="0">
      <pane xSplit="2" ySplit="6" topLeftCell="C67" activePane="bottomRight" state="frozen"/>
      <selection activeCell="I58" sqref="I58"/>
      <selection pane="topRight" activeCell="I58" sqref="I58"/>
      <selection pane="bottomLeft" activeCell="I58" sqref="I58"/>
      <selection pane="bottomRight" activeCell="S79" sqref="S79"/>
    </sheetView>
  </sheetViews>
  <sheetFormatPr defaultRowHeight="11.25" x14ac:dyDescent="0.2"/>
  <cols>
    <col min="1" max="1" width="6" style="288" customWidth="1"/>
    <col min="2" max="2" width="17.85546875" style="288" customWidth="1"/>
    <col min="3" max="4" width="9.85546875" style="288" customWidth="1"/>
    <col min="5" max="5" width="11.28515625" style="288" customWidth="1"/>
    <col min="6" max="7" width="9.5703125" style="288" customWidth="1"/>
    <col min="8" max="8" width="9.85546875" style="288" customWidth="1"/>
    <col min="9" max="9" width="10.42578125" style="288" customWidth="1"/>
    <col min="10" max="10" width="10.7109375" style="288" customWidth="1"/>
    <col min="11" max="14" width="11.140625" style="288" bestFit="1" customWidth="1"/>
    <col min="15" max="15" width="10.7109375" style="288" bestFit="1" customWidth="1"/>
    <col min="16" max="17" width="9.140625" style="288"/>
    <col min="18" max="19" width="9.7109375" style="288" bestFit="1" customWidth="1"/>
    <col min="20" max="16384" width="9.140625" style="288"/>
  </cols>
  <sheetData>
    <row r="2" spans="1:14" x14ac:dyDescent="0.2">
      <c r="B2" s="312" t="s">
        <v>80</v>
      </c>
      <c r="C2" s="328"/>
    </row>
    <row r="3" spans="1:14" x14ac:dyDescent="0.2">
      <c r="C3" s="328"/>
    </row>
    <row r="4" spans="1:14" x14ac:dyDescent="0.2">
      <c r="C4" s="326"/>
      <c r="D4" s="326"/>
      <c r="E4" s="326"/>
      <c r="F4" s="326"/>
      <c r="G4" s="326"/>
      <c r="H4" s="327"/>
      <c r="I4" s="327"/>
      <c r="J4" s="312"/>
    </row>
    <row r="5" spans="1:14" x14ac:dyDescent="0.2">
      <c r="C5" s="326"/>
      <c r="D5" s="326"/>
      <c r="E5" s="326"/>
      <c r="F5" s="326"/>
      <c r="G5" s="326"/>
      <c r="H5" s="327"/>
      <c r="I5" s="327"/>
      <c r="J5" s="326"/>
    </row>
    <row r="6" spans="1:14" ht="9.9499999999999993" customHeight="1" x14ac:dyDescent="0.2">
      <c r="C6" s="325">
        <v>42491</v>
      </c>
      <c r="D6" s="324">
        <f t="shared" ref="D6:N6" si="0">EOMONTH(C6,1)</f>
        <v>42551</v>
      </c>
      <c r="E6" s="324">
        <f t="shared" si="0"/>
        <v>42582</v>
      </c>
      <c r="F6" s="324">
        <f t="shared" si="0"/>
        <v>42613</v>
      </c>
      <c r="G6" s="324">
        <f t="shared" si="0"/>
        <v>42643</v>
      </c>
      <c r="H6" s="324">
        <f t="shared" si="0"/>
        <v>42674</v>
      </c>
      <c r="I6" s="324">
        <f t="shared" si="0"/>
        <v>42704</v>
      </c>
      <c r="J6" s="324">
        <f t="shared" si="0"/>
        <v>42735</v>
      </c>
      <c r="K6" s="324">
        <f t="shared" si="0"/>
        <v>42766</v>
      </c>
      <c r="L6" s="324">
        <f t="shared" si="0"/>
        <v>42794</v>
      </c>
      <c r="M6" s="324">
        <f t="shared" si="0"/>
        <v>42825</v>
      </c>
      <c r="N6" s="324">
        <f t="shared" si="0"/>
        <v>42855</v>
      </c>
    </row>
    <row r="7" spans="1:14" s="289" customFormat="1" x14ac:dyDescent="0.2">
      <c r="A7" s="323" t="s">
        <v>47</v>
      </c>
      <c r="C7" s="322">
        <v>334.04</v>
      </c>
      <c r="D7" s="322">
        <v>390.63</v>
      </c>
      <c r="E7" s="322">
        <v>339.63</v>
      </c>
      <c r="F7" s="322">
        <v>409.58</v>
      </c>
      <c r="G7" s="322">
        <v>383.47</v>
      </c>
      <c r="H7" s="322">
        <v>337.96</v>
      </c>
      <c r="I7" s="322">
        <v>365.47</v>
      </c>
      <c r="J7" s="322">
        <v>419.6</v>
      </c>
      <c r="K7" s="322">
        <v>415.66</v>
      </c>
      <c r="L7" s="322">
        <v>317.89</v>
      </c>
      <c r="M7" s="322">
        <v>363.38</v>
      </c>
      <c r="N7" s="322">
        <v>304.33</v>
      </c>
    </row>
    <row r="8" spans="1:14" x14ac:dyDescent="0.2">
      <c r="A8" s="288" t="s">
        <v>48</v>
      </c>
      <c r="C8" s="89">
        <v>0</v>
      </c>
      <c r="D8" s="89">
        <v>0</v>
      </c>
      <c r="E8" s="89">
        <v>0</v>
      </c>
      <c r="F8" s="89">
        <v>0</v>
      </c>
      <c r="G8" s="89">
        <v>0</v>
      </c>
      <c r="H8" s="89">
        <v>0</v>
      </c>
      <c r="I8" s="89">
        <v>0</v>
      </c>
      <c r="J8" s="89">
        <v>0</v>
      </c>
      <c r="K8" s="89">
        <v>0</v>
      </c>
      <c r="L8" s="89">
        <v>0</v>
      </c>
      <c r="M8" s="89">
        <v>0</v>
      </c>
      <c r="N8" s="89">
        <v>0</v>
      </c>
    </row>
    <row r="9" spans="1:14" x14ac:dyDescent="0.2">
      <c r="A9" s="288"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4" x14ac:dyDescent="0.2">
      <c r="A10" s="312" t="s">
        <v>50</v>
      </c>
      <c r="C10" s="321">
        <f t="shared" ref="C10:N10" si="2">+C7-C9</f>
        <v>334.04</v>
      </c>
      <c r="D10" s="321">
        <f t="shared" si="2"/>
        <v>390.63</v>
      </c>
      <c r="E10" s="321">
        <f t="shared" si="2"/>
        <v>339.63</v>
      </c>
      <c r="F10" s="321">
        <f t="shared" si="2"/>
        <v>409.58</v>
      </c>
      <c r="G10" s="321">
        <f t="shared" si="2"/>
        <v>383.47</v>
      </c>
      <c r="H10" s="321">
        <f t="shared" si="2"/>
        <v>337.96</v>
      </c>
      <c r="I10" s="321">
        <f t="shared" si="2"/>
        <v>365.47</v>
      </c>
      <c r="J10" s="321">
        <f t="shared" si="2"/>
        <v>419.6</v>
      </c>
      <c r="K10" s="321">
        <f t="shared" si="2"/>
        <v>415.66</v>
      </c>
      <c r="L10" s="321">
        <f t="shared" si="2"/>
        <v>317.89</v>
      </c>
      <c r="M10" s="321">
        <f t="shared" si="2"/>
        <v>363.38</v>
      </c>
      <c r="N10" s="321">
        <f t="shared" si="2"/>
        <v>304.33</v>
      </c>
    </row>
    <row r="12" spans="1:14" x14ac:dyDescent="0.2">
      <c r="A12" s="312" t="s">
        <v>51</v>
      </c>
    </row>
    <row r="13" spans="1:14" s="319" customFormat="1" x14ac:dyDescent="0.2">
      <c r="B13" s="319" t="s">
        <v>24</v>
      </c>
      <c r="C13" s="320">
        <v>0.19500000000000001</v>
      </c>
      <c r="D13" s="320">
        <f t="shared" ref="D13:N13" si="3">+C13</f>
        <v>0.19500000000000001</v>
      </c>
      <c r="E13" s="320">
        <f t="shared" si="3"/>
        <v>0.19500000000000001</v>
      </c>
      <c r="F13" s="320">
        <f t="shared" si="3"/>
        <v>0.19500000000000001</v>
      </c>
      <c r="G13" s="320">
        <f t="shared" si="3"/>
        <v>0.19500000000000001</v>
      </c>
      <c r="H13" s="320">
        <f t="shared" si="3"/>
        <v>0.19500000000000001</v>
      </c>
      <c r="I13" s="320">
        <f t="shared" si="3"/>
        <v>0.19500000000000001</v>
      </c>
      <c r="J13" s="320">
        <f t="shared" si="3"/>
        <v>0.19500000000000001</v>
      </c>
      <c r="K13" s="320">
        <f t="shared" si="3"/>
        <v>0.19500000000000001</v>
      </c>
      <c r="L13" s="320">
        <f t="shared" si="3"/>
        <v>0.19500000000000001</v>
      </c>
      <c r="M13" s="320">
        <f t="shared" si="3"/>
        <v>0.19500000000000001</v>
      </c>
      <c r="N13" s="320">
        <f t="shared" si="3"/>
        <v>0.19500000000000001</v>
      </c>
    </row>
    <row r="14" spans="1:14" s="319" customFormat="1" x14ac:dyDescent="0.2">
      <c r="B14" s="319" t="s">
        <v>28</v>
      </c>
      <c r="C14" s="320">
        <v>0.1782</v>
      </c>
      <c r="D14" s="320">
        <f t="shared" ref="D14:N14" si="4">+C14</f>
        <v>0.1782</v>
      </c>
      <c r="E14" s="320">
        <f t="shared" si="4"/>
        <v>0.1782</v>
      </c>
      <c r="F14" s="320">
        <f t="shared" si="4"/>
        <v>0.1782</v>
      </c>
      <c r="G14" s="320">
        <f t="shared" si="4"/>
        <v>0.1782</v>
      </c>
      <c r="H14" s="320">
        <f t="shared" si="4"/>
        <v>0.1782</v>
      </c>
      <c r="I14" s="320">
        <f t="shared" si="4"/>
        <v>0.1782</v>
      </c>
      <c r="J14" s="320">
        <f t="shared" si="4"/>
        <v>0.1782</v>
      </c>
      <c r="K14" s="320">
        <f t="shared" si="4"/>
        <v>0.1782</v>
      </c>
      <c r="L14" s="320">
        <f t="shared" si="4"/>
        <v>0.1782</v>
      </c>
      <c r="M14" s="320">
        <f t="shared" si="4"/>
        <v>0.1782</v>
      </c>
      <c r="N14" s="320">
        <f t="shared" si="4"/>
        <v>0.1782</v>
      </c>
    </row>
    <row r="15" spans="1:14" s="319" customFormat="1" x14ac:dyDescent="0.2">
      <c r="B15" s="319" t="s">
        <v>52</v>
      </c>
      <c r="C15" s="320">
        <v>0</v>
      </c>
      <c r="D15" s="320">
        <f t="shared" ref="D15:N15" si="5">+C15</f>
        <v>0</v>
      </c>
      <c r="E15" s="320">
        <f t="shared" si="5"/>
        <v>0</v>
      </c>
      <c r="F15" s="320">
        <f t="shared" si="5"/>
        <v>0</v>
      </c>
      <c r="G15" s="320">
        <f t="shared" si="5"/>
        <v>0</v>
      </c>
      <c r="H15" s="320">
        <f t="shared" si="5"/>
        <v>0</v>
      </c>
      <c r="I15" s="320">
        <f t="shared" si="5"/>
        <v>0</v>
      </c>
      <c r="J15" s="320">
        <f t="shared" si="5"/>
        <v>0</v>
      </c>
      <c r="K15" s="320">
        <f t="shared" si="5"/>
        <v>0</v>
      </c>
      <c r="L15" s="320">
        <f t="shared" si="5"/>
        <v>0</v>
      </c>
      <c r="M15" s="320">
        <f t="shared" si="5"/>
        <v>0</v>
      </c>
      <c r="N15" s="320">
        <f t="shared" si="5"/>
        <v>0</v>
      </c>
    </row>
    <row r="16" spans="1:14" s="319" customFormat="1" x14ac:dyDescent="0.2">
      <c r="B16" s="319" t="s">
        <v>53</v>
      </c>
      <c r="C16" s="320">
        <v>1.6500000000000001E-2</v>
      </c>
      <c r="D16" s="320">
        <f t="shared" ref="D16:N16" si="6">+C16</f>
        <v>1.6500000000000001E-2</v>
      </c>
      <c r="E16" s="320">
        <f t="shared" si="6"/>
        <v>1.6500000000000001E-2</v>
      </c>
      <c r="F16" s="320">
        <f t="shared" si="6"/>
        <v>1.6500000000000001E-2</v>
      </c>
      <c r="G16" s="320">
        <f t="shared" si="6"/>
        <v>1.6500000000000001E-2</v>
      </c>
      <c r="H16" s="320">
        <f t="shared" si="6"/>
        <v>1.6500000000000001E-2</v>
      </c>
      <c r="I16" s="320">
        <f t="shared" si="6"/>
        <v>1.6500000000000001E-2</v>
      </c>
      <c r="J16" s="320">
        <f t="shared" si="6"/>
        <v>1.6500000000000001E-2</v>
      </c>
      <c r="K16" s="320">
        <f t="shared" si="6"/>
        <v>1.6500000000000001E-2</v>
      </c>
      <c r="L16" s="320">
        <f t="shared" si="6"/>
        <v>1.6500000000000001E-2</v>
      </c>
      <c r="M16" s="320">
        <f t="shared" si="6"/>
        <v>1.6500000000000001E-2</v>
      </c>
      <c r="N16" s="320">
        <f t="shared" si="6"/>
        <v>1.6500000000000001E-2</v>
      </c>
    </row>
    <row r="17" spans="1:16" s="319" customFormat="1" x14ac:dyDescent="0.2">
      <c r="B17" s="319" t="s">
        <v>54</v>
      </c>
      <c r="C17" s="320">
        <v>4.4900000000000002E-2</v>
      </c>
      <c r="D17" s="320">
        <f t="shared" ref="D17:N17" si="7">+C17</f>
        <v>4.4900000000000002E-2</v>
      </c>
      <c r="E17" s="320">
        <f t="shared" si="7"/>
        <v>4.4900000000000002E-2</v>
      </c>
      <c r="F17" s="320">
        <f t="shared" si="7"/>
        <v>4.4900000000000002E-2</v>
      </c>
      <c r="G17" s="320">
        <f t="shared" si="7"/>
        <v>4.4900000000000002E-2</v>
      </c>
      <c r="H17" s="320">
        <f t="shared" si="7"/>
        <v>4.4900000000000002E-2</v>
      </c>
      <c r="I17" s="320">
        <f t="shared" si="7"/>
        <v>4.4900000000000002E-2</v>
      </c>
      <c r="J17" s="320">
        <f t="shared" si="7"/>
        <v>4.4900000000000002E-2</v>
      </c>
      <c r="K17" s="320">
        <f t="shared" si="7"/>
        <v>4.4900000000000002E-2</v>
      </c>
      <c r="L17" s="320">
        <f t="shared" si="7"/>
        <v>4.4900000000000002E-2</v>
      </c>
      <c r="M17" s="320">
        <f t="shared" si="7"/>
        <v>4.4900000000000002E-2</v>
      </c>
      <c r="N17" s="320">
        <f t="shared" si="7"/>
        <v>4.4900000000000002E-2</v>
      </c>
    </row>
    <row r="18" spans="1:16" s="319" customFormat="1" x14ac:dyDescent="0.2">
      <c r="B18" s="319" t="s">
        <v>55</v>
      </c>
      <c r="C18" s="320">
        <v>7.4999999999999997E-3</v>
      </c>
      <c r="D18" s="320">
        <f t="shared" ref="D18:N18" si="8">+C18</f>
        <v>7.4999999999999997E-3</v>
      </c>
      <c r="E18" s="320">
        <f t="shared" si="8"/>
        <v>7.4999999999999997E-3</v>
      </c>
      <c r="F18" s="320">
        <f t="shared" si="8"/>
        <v>7.4999999999999997E-3</v>
      </c>
      <c r="G18" s="320">
        <f t="shared" si="8"/>
        <v>7.4999999999999997E-3</v>
      </c>
      <c r="H18" s="320">
        <f t="shared" si="8"/>
        <v>7.4999999999999997E-3</v>
      </c>
      <c r="I18" s="320">
        <f t="shared" si="8"/>
        <v>7.4999999999999997E-3</v>
      </c>
      <c r="J18" s="320">
        <f t="shared" si="8"/>
        <v>7.4999999999999997E-3</v>
      </c>
      <c r="K18" s="320">
        <f t="shared" si="8"/>
        <v>7.4999999999999997E-3</v>
      </c>
      <c r="L18" s="320">
        <f t="shared" si="8"/>
        <v>7.4999999999999997E-3</v>
      </c>
      <c r="M18" s="320">
        <f t="shared" si="8"/>
        <v>7.4999999999999997E-3</v>
      </c>
      <c r="N18" s="320">
        <f t="shared" si="8"/>
        <v>7.4999999999999997E-3</v>
      </c>
    </row>
    <row r="19" spans="1:16" s="319" customFormat="1" x14ac:dyDescent="0.2">
      <c r="B19" s="288" t="s">
        <v>56</v>
      </c>
      <c r="C19" s="320">
        <v>0</v>
      </c>
      <c r="D19" s="320">
        <f t="shared" ref="D19:N19" si="9">+C19</f>
        <v>0</v>
      </c>
      <c r="E19" s="320">
        <f t="shared" si="9"/>
        <v>0</v>
      </c>
      <c r="F19" s="320">
        <f t="shared" si="9"/>
        <v>0</v>
      </c>
      <c r="G19" s="320">
        <f t="shared" si="9"/>
        <v>0</v>
      </c>
      <c r="H19" s="320">
        <f t="shared" si="9"/>
        <v>0</v>
      </c>
      <c r="I19" s="320">
        <f t="shared" si="9"/>
        <v>0</v>
      </c>
      <c r="J19" s="320">
        <f t="shared" si="9"/>
        <v>0</v>
      </c>
      <c r="K19" s="320">
        <f t="shared" si="9"/>
        <v>0</v>
      </c>
      <c r="L19" s="320">
        <f t="shared" si="9"/>
        <v>0</v>
      </c>
      <c r="M19" s="320">
        <f t="shared" si="9"/>
        <v>0</v>
      </c>
      <c r="N19" s="320">
        <f t="shared" si="9"/>
        <v>0</v>
      </c>
    </row>
    <row r="20" spans="1:16" s="319" customFormat="1" x14ac:dyDescent="0.2">
      <c r="B20" s="288" t="s">
        <v>22</v>
      </c>
      <c r="C20" s="320">
        <v>0.17680000000000001</v>
      </c>
      <c r="D20" s="320">
        <f t="shared" ref="D20:N20" si="10">+C20</f>
        <v>0.17680000000000001</v>
      </c>
      <c r="E20" s="320">
        <f t="shared" si="10"/>
        <v>0.17680000000000001</v>
      </c>
      <c r="F20" s="320">
        <f t="shared" si="10"/>
        <v>0.17680000000000001</v>
      </c>
      <c r="G20" s="320">
        <f t="shared" si="10"/>
        <v>0.17680000000000001</v>
      </c>
      <c r="H20" s="320">
        <f t="shared" si="10"/>
        <v>0.17680000000000001</v>
      </c>
      <c r="I20" s="320">
        <f t="shared" si="10"/>
        <v>0.17680000000000001</v>
      </c>
      <c r="J20" s="320">
        <f t="shared" si="10"/>
        <v>0.17680000000000001</v>
      </c>
      <c r="K20" s="320">
        <f t="shared" si="10"/>
        <v>0.17680000000000001</v>
      </c>
      <c r="L20" s="320">
        <f t="shared" si="10"/>
        <v>0.17680000000000001</v>
      </c>
      <c r="M20" s="320">
        <f t="shared" si="10"/>
        <v>0.17680000000000001</v>
      </c>
      <c r="N20" s="320">
        <f t="shared" si="10"/>
        <v>0.17680000000000001</v>
      </c>
    </row>
    <row r="21" spans="1:16" s="319" customFormat="1" x14ac:dyDescent="0.2">
      <c r="B21" s="319" t="s">
        <v>57</v>
      </c>
      <c r="C21" s="320">
        <v>0</v>
      </c>
      <c r="D21" s="320">
        <f t="shared" ref="D21:N21" si="11">+C21</f>
        <v>0</v>
      </c>
      <c r="E21" s="320">
        <f t="shared" si="11"/>
        <v>0</v>
      </c>
      <c r="F21" s="320">
        <f t="shared" si="11"/>
        <v>0</v>
      </c>
      <c r="G21" s="320">
        <f t="shared" si="11"/>
        <v>0</v>
      </c>
      <c r="H21" s="320">
        <f t="shared" si="11"/>
        <v>0</v>
      </c>
      <c r="I21" s="320">
        <f t="shared" si="11"/>
        <v>0</v>
      </c>
      <c r="J21" s="320">
        <f t="shared" si="11"/>
        <v>0</v>
      </c>
      <c r="K21" s="320">
        <f t="shared" si="11"/>
        <v>0</v>
      </c>
      <c r="L21" s="320">
        <f t="shared" si="11"/>
        <v>0</v>
      </c>
      <c r="M21" s="320">
        <f t="shared" si="11"/>
        <v>0</v>
      </c>
      <c r="N21" s="320">
        <f t="shared" si="11"/>
        <v>0</v>
      </c>
    </row>
    <row r="22" spans="1:16" s="319" customFormat="1" x14ac:dyDescent="0.2">
      <c r="B22" s="319" t="s">
        <v>58</v>
      </c>
      <c r="C22" s="320">
        <v>5.930000000000013E-2</v>
      </c>
      <c r="D22" s="320">
        <f t="shared" ref="D22:N22" si="12">+C22</f>
        <v>5.930000000000013E-2</v>
      </c>
      <c r="E22" s="320">
        <f t="shared" si="12"/>
        <v>5.930000000000013E-2</v>
      </c>
      <c r="F22" s="320">
        <f t="shared" si="12"/>
        <v>5.930000000000013E-2</v>
      </c>
      <c r="G22" s="320">
        <f t="shared" si="12"/>
        <v>5.930000000000013E-2</v>
      </c>
      <c r="H22" s="320">
        <f t="shared" si="12"/>
        <v>5.930000000000013E-2</v>
      </c>
      <c r="I22" s="320">
        <f t="shared" si="12"/>
        <v>5.930000000000013E-2</v>
      </c>
      <c r="J22" s="320">
        <f t="shared" si="12"/>
        <v>5.930000000000013E-2</v>
      </c>
      <c r="K22" s="320">
        <f t="shared" si="12"/>
        <v>5.930000000000013E-2</v>
      </c>
      <c r="L22" s="320">
        <f t="shared" si="12"/>
        <v>5.930000000000013E-2</v>
      </c>
      <c r="M22" s="320">
        <f t="shared" si="12"/>
        <v>5.930000000000013E-2</v>
      </c>
      <c r="N22" s="320">
        <f t="shared" si="12"/>
        <v>5.930000000000013E-2</v>
      </c>
    </row>
    <row r="23" spans="1:16" s="319" customFormat="1" x14ac:dyDescent="0.2">
      <c r="B23" s="319" t="s">
        <v>59</v>
      </c>
      <c r="C23" s="125">
        <v>0.32179999999999997</v>
      </c>
      <c r="D23" s="320">
        <f t="shared" ref="D23:N23" si="13">+C23</f>
        <v>0.32179999999999997</v>
      </c>
      <c r="E23" s="320">
        <f t="shared" si="13"/>
        <v>0.32179999999999997</v>
      </c>
      <c r="F23" s="320">
        <f t="shared" si="13"/>
        <v>0.32179999999999997</v>
      </c>
      <c r="G23" s="320">
        <f t="shared" si="13"/>
        <v>0.32179999999999997</v>
      </c>
      <c r="H23" s="320">
        <f t="shared" si="13"/>
        <v>0.32179999999999997</v>
      </c>
      <c r="I23" s="320">
        <f t="shared" si="13"/>
        <v>0.32179999999999997</v>
      </c>
      <c r="J23" s="320">
        <f t="shared" si="13"/>
        <v>0.32179999999999997</v>
      </c>
      <c r="K23" s="320">
        <f t="shared" si="13"/>
        <v>0.32179999999999997</v>
      </c>
      <c r="L23" s="320">
        <f t="shared" si="13"/>
        <v>0.32179999999999997</v>
      </c>
      <c r="M23" s="320">
        <f t="shared" si="13"/>
        <v>0.32179999999999997</v>
      </c>
      <c r="N23" s="320">
        <f t="shared" si="13"/>
        <v>0.32179999999999997</v>
      </c>
    </row>
    <row r="24" spans="1:16" x14ac:dyDescent="0.2">
      <c r="C24" s="93">
        <v>1</v>
      </c>
      <c r="D24" s="93">
        <v>1</v>
      </c>
      <c r="E24" s="93">
        <v>1</v>
      </c>
      <c r="F24" s="93">
        <v>1</v>
      </c>
      <c r="G24" s="93">
        <v>1</v>
      </c>
      <c r="H24" s="93">
        <v>1</v>
      </c>
      <c r="I24" s="93">
        <v>1</v>
      </c>
      <c r="J24" s="93">
        <v>1</v>
      </c>
      <c r="K24" s="93">
        <v>1</v>
      </c>
      <c r="L24" s="93">
        <v>1</v>
      </c>
      <c r="M24" s="93">
        <v>1</v>
      </c>
      <c r="N24" s="93">
        <v>1</v>
      </c>
    </row>
    <row r="26" spans="1:16" x14ac:dyDescent="0.2">
      <c r="A26" s="312" t="s">
        <v>60</v>
      </c>
    </row>
    <row r="27" spans="1:16" x14ac:dyDescent="0.2">
      <c r="B27" s="288" t="s">
        <v>24</v>
      </c>
      <c r="C27" s="75">
        <f t="shared" ref="C27:N27" si="14">+C$10*C13</f>
        <v>65.137800000000013</v>
      </c>
      <c r="D27" s="75">
        <f t="shared" si="14"/>
        <v>76.172849999999997</v>
      </c>
      <c r="E27" s="75">
        <f t="shared" si="14"/>
        <v>66.227850000000004</v>
      </c>
      <c r="F27" s="75">
        <f t="shared" si="14"/>
        <v>79.868099999999998</v>
      </c>
      <c r="G27" s="75">
        <f t="shared" si="14"/>
        <v>74.776650000000004</v>
      </c>
      <c r="H27" s="75">
        <f t="shared" si="14"/>
        <v>65.902199999999993</v>
      </c>
      <c r="I27" s="75">
        <f t="shared" si="14"/>
        <v>71.266650000000013</v>
      </c>
      <c r="J27" s="75">
        <f t="shared" si="14"/>
        <v>81.822000000000003</v>
      </c>
      <c r="K27" s="75">
        <f t="shared" si="14"/>
        <v>81.053700000000006</v>
      </c>
      <c r="L27" s="75">
        <f t="shared" si="14"/>
        <v>61.988549999999996</v>
      </c>
      <c r="M27" s="75">
        <f t="shared" si="14"/>
        <v>70.859099999999998</v>
      </c>
      <c r="N27" s="75">
        <f t="shared" si="14"/>
        <v>59.344349999999999</v>
      </c>
    </row>
    <row r="28" spans="1:16" x14ac:dyDescent="0.2">
      <c r="B28" s="288" t="s">
        <v>28</v>
      </c>
      <c r="C28" s="75">
        <f t="shared" ref="C28:N28" si="15">+C$10*C14</f>
        <v>59.525928</v>
      </c>
      <c r="D28" s="75">
        <f t="shared" si="15"/>
        <v>69.610265999999996</v>
      </c>
      <c r="E28" s="75">
        <f t="shared" si="15"/>
        <v>60.522065999999995</v>
      </c>
      <c r="F28" s="75">
        <f t="shared" si="15"/>
        <v>72.987155999999999</v>
      </c>
      <c r="G28" s="75">
        <f t="shared" si="15"/>
        <v>68.334354000000005</v>
      </c>
      <c r="H28" s="75">
        <f t="shared" si="15"/>
        <v>60.224471999999999</v>
      </c>
      <c r="I28" s="75">
        <f t="shared" si="15"/>
        <v>65.126754000000005</v>
      </c>
      <c r="J28" s="75">
        <f t="shared" si="15"/>
        <v>74.772720000000007</v>
      </c>
      <c r="K28" s="75">
        <f t="shared" si="15"/>
        <v>74.070611999999997</v>
      </c>
      <c r="L28" s="75">
        <f t="shared" si="15"/>
        <v>56.647997999999994</v>
      </c>
      <c r="M28" s="75">
        <f t="shared" si="15"/>
        <v>64.754316000000003</v>
      </c>
      <c r="N28" s="75">
        <f t="shared" si="15"/>
        <v>54.231605999999999</v>
      </c>
    </row>
    <row r="29" spans="1:16" x14ac:dyDescent="0.2">
      <c r="B29" s="288" t="s">
        <v>52</v>
      </c>
      <c r="C29" s="75">
        <f t="shared" ref="C29:N29" si="16">+C$10*C15</f>
        <v>0</v>
      </c>
      <c r="D29" s="75">
        <f t="shared" si="16"/>
        <v>0</v>
      </c>
      <c r="E29" s="75">
        <f t="shared" si="16"/>
        <v>0</v>
      </c>
      <c r="F29" s="75">
        <f t="shared" si="16"/>
        <v>0</v>
      </c>
      <c r="G29" s="75">
        <f t="shared" si="16"/>
        <v>0</v>
      </c>
      <c r="H29" s="75">
        <f t="shared" si="16"/>
        <v>0</v>
      </c>
      <c r="I29" s="75">
        <f t="shared" si="16"/>
        <v>0</v>
      </c>
      <c r="J29" s="75">
        <f t="shared" si="16"/>
        <v>0</v>
      </c>
      <c r="K29" s="75">
        <f t="shared" si="16"/>
        <v>0</v>
      </c>
      <c r="L29" s="75">
        <f t="shared" si="16"/>
        <v>0</v>
      </c>
      <c r="M29" s="75">
        <f t="shared" si="16"/>
        <v>0</v>
      </c>
      <c r="N29" s="75">
        <f t="shared" si="16"/>
        <v>0</v>
      </c>
    </row>
    <row r="30" spans="1:16" x14ac:dyDescent="0.2">
      <c r="B30" s="288" t="s">
        <v>53</v>
      </c>
      <c r="C30" s="75">
        <f t="shared" ref="C30:N30" si="17">+C$10*C16</f>
        <v>5.5116600000000009</v>
      </c>
      <c r="D30" s="75">
        <f t="shared" si="17"/>
        <v>6.4453950000000004</v>
      </c>
      <c r="E30" s="75">
        <f t="shared" si="17"/>
        <v>5.6038950000000005</v>
      </c>
      <c r="F30" s="75">
        <f t="shared" si="17"/>
        <v>6.75807</v>
      </c>
      <c r="G30" s="75">
        <f t="shared" si="17"/>
        <v>6.327255000000001</v>
      </c>
      <c r="H30" s="75">
        <f t="shared" si="17"/>
        <v>5.5763400000000001</v>
      </c>
      <c r="I30" s="75">
        <f t="shared" si="17"/>
        <v>6.0302550000000004</v>
      </c>
      <c r="J30" s="75">
        <f t="shared" si="17"/>
        <v>6.9234000000000009</v>
      </c>
      <c r="K30" s="75">
        <f t="shared" si="17"/>
        <v>6.8583900000000009</v>
      </c>
      <c r="L30" s="75">
        <f t="shared" si="17"/>
        <v>5.2451850000000002</v>
      </c>
      <c r="M30" s="75">
        <f t="shared" si="17"/>
        <v>5.9957700000000003</v>
      </c>
      <c r="N30" s="75">
        <f t="shared" si="17"/>
        <v>5.0214449999999999</v>
      </c>
      <c r="P30" s="313"/>
    </row>
    <row r="31" spans="1:16" ht="12.75" x14ac:dyDescent="0.2">
      <c r="B31" s="288" t="s">
        <v>54</v>
      </c>
      <c r="C31" s="75">
        <f t="shared" ref="C31:N31" si="18">+C$10*C17</f>
        <v>14.998396000000001</v>
      </c>
      <c r="D31" s="75">
        <f t="shared" si="18"/>
        <v>17.539287000000002</v>
      </c>
      <c r="E31" s="75">
        <f t="shared" si="18"/>
        <v>15.249387</v>
      </c>
      <c r="F31" s="75">
        <f t="shared" si="18"/>
        <v>18.390142000000001</v>
      </c>
      <c r="G31" s="75">
        <f t="shared" si="18"/>
        <v>17.217803000000004</v>
      </c>
      <c r="H31" s="75">
        <f t="shared" si="18"/>
        <v>15.174403999999999</v>
      </c>
      <c r="I31" s="75">
        <f t="shared" si="18"/>
        <v>16.409603000000001</v>
      </c>
      <c r="J31" s="75">
        <f t="shared" si="18"/>
        <v>18.840040000000002</v>
      </c>
      <c r="K31" s="75">
        <f t="shared" si="18"/>
        <v>18.663134000000003</v>
      </c>
      <c r="L31" s="75">
        <f t="shared" si="18"/>
        <v>14.273261</v>
      </c>
      <c r="M31" s="75">
        <f t="shared" si="18"/>
        <v>16.315761999999999</v>
      </c>
      <c r="N31" s="75">
        <f t="shared" si="18"/>
        <v>13.664417</v>
      </c>
      <c r="P31" s="304"/>
    </row>
    <row r="32" spans="1:16" ht="12.75" x14ac:dyDescent="0.2">
      <c r="B32" s="288" t="s">
        <v>55</v>
      </c>
      <c r="C32" s="75">
        <f t="shared" ref="C32:N32" si="19">+C$10*C18</f>
        <v>2.5053000000000001</v>
      </c>
      <c r="D32" s="75">
        <f t="shared" si="19"/>
        <v>2.9297249999999999</v>
      </c>
      <c r="E32" s="75">
        <f t="shared" si="19"/>
        <v>2.5472250000000001</v>
      </c>
      <c r="F32" s="75">
        <f t="shared" si="19"/>
        <v>3.07185</v>
      </c>
      <c r="G32" s="75">
        <f t="shared" si="19"/>
        <v>2.8760250000000003</v>
      </c>
      <c r="H32" s="75">
        <f t="shared" si="19"/>
        <v>2.5347</v>
      </c>
      <c r="I32" s="75">
        <f t="shared" si="19"/>
        <v>2.741025</v>
      </c>
      <c r="J32" s="75">
        <f t="shared" si="19"/>
        <v>3.1470000000000002</v>
      </c>
      <c r="K32" s="75">
        <f t="shared" si="19"/>
        <v>3.1174500000000003</v>
      </c>
      <c r="L32" s="75">
        <f t="shared" si="19"/>
        <v>2.3841749999999999</v>
      </c>
      <c r="M32" s="75">
        <f t="shared" si="19"/>
        <v>2.7253499999999997</v>
      </c>
      <c r="N32" s="75">
        <f t="shared" si="19"/>
        <v>2.2824749999999998</v>
      </c>
      <c r="P32" s="304"/>
    </row>
    <row r="33" spans="1:16" ht="12.75" x14ac:dyDescent="0.2">
      <c r="B33" s="288" t="s">
        <v>56</v>
      </c>
      <c r="C33" s="75">
        <f t="shared" ref="C33:N33" si="20">+C$10*C19</f>
        <v>0</v>
      </c>
      <c r="D33" s="75">
        <f t="shared" si="20"/>
        <v>0</v>
      </c>
      <c r="E33" s="75">
        <f t="shared" si="20"/>
        <v>0</v>
      </c>
      <c r="F33" s="75">
        <f t="shared" si="20"/>
        <v>0</v>
      </c>
      <c r="G33" s="75">
        <f t="shared" si="20"/>
        <v>0</v>
      </c>
      <c r="H33" s="75">
        <f t="shared" si="20"/>
        <v>0</v>
      </c>
      <c r="I33" s="75">
        <f t="shared" si="20"/>
        <v>0</v>
      </c>
      <c r="J33" s="75">
        <f t="shared" si="20"/>
        <v>0</v>
      </c>
      <c r="K33" s="75">
        <f t="shared" si="20"/>
        <v>0</v>
      </c>
      <c r="L33" s="75">
        <f t="shared" si="20"/>
        <v>0</v>
      </c>
      <c r="M33" s="75">
        <f t="shared" si="20"/>
        <v>0</v>
      </c>
      <c r="N33" s="75">
        <f t="shared" si="20"/>
        <v>0</v>
      </c>
      <c r="P33" s="304"/>
    </row>
    <row r="34" spans="1:16" ht="12.75" x14ac:dyDescent="0.2">
      <c r="B34" s="288" t="s">
        <v>22</v>
      </c>
      <c r="C34" s="75">
        <f t="shared" ref="C34:N34" si="21">+C$10*C20</f>
        <v>59.058272000000009</v>
      </c>
      <c r="D34" s="75">
        <f t="shared" si="21"/>
        <v>69.063383999999999</v>
      </c>
      <c r="E34" s="75">
        <f t="shared" si="21"/>
        <v>60.046584000000003</v>
      </c>
      <c r="F34" s="75">
        <f t="shared" si="21"/>
        <v>72.413744000000008</v>
      </c>
      <c r="G34" s="75">
        <f t="shared" si="21"/>
        <v>67.79749600000001</v>
      </c>
      <c r="H34" s="75">
        <f t="shared" si="21"/>
        <v>59.751328000000001</v>
      </c>
      <c r="I34" s="75">
        <f t="shared" si="21"/>
        <v>64.615096000000008</v>
      </c>
      <c r="J34" s="75">
        <f t="shared" si="21"/>
        <v>74.185280000000006</v>
      </c>
      <c r="K34" s="75">
        <f t="shared" si="21"/>
        <v>73.48868800000001</v>
      </c>
      <c r="L34" s="75">
        <f t="shared" si="21"/>
        <v>56.202952000000003</v>
      </c>
      <c r="M34" s="75">
        <f t="shared" si="21"/>
        <v>64.245584000000008</v>
      </c>
      <c r="N34" s="75">
        <f t="shared" si="21"/>
        <v>53.805543999999998</v>
      </c>
      <c r="P34" s="304"/>
    </row>
    <row r="35" spans="1:16" ht="12.75" x14ac:dyDescent="0.2">
      <c r="B35" s="288" t="s">
        <v>57</v>
      </c>
      <c r="C35" s="75">
        <f t="shared" ref="C35:N35" si="22">+C$10*C21</f>
        <v>0</v>
      </c>
      <c r="D35" s="75">
        <f t="shared" si="22"/>
        <v>0</v>
      </c>
      <c r="E35" s="75">
        <f t="shared" si="22"/>
        <v>0</v>
      </c>
      <c r="F35" s="75">
        <f t="shared" si="22"/>
        <v>0</v>
      </c>
      <c r="G35" s="75">
        <f t="shared" si="22"/>
        <v>0</v>
      </c>
      <c r="H35" s="75">
        <f t="shared" si="22"/>
        <v>0</v>
      </c>
      <c r="I35" s="75">
        <f t="shared" si="22"/>
        <v>0</v>
      </c>
      <c r="J35" s="75">
        <f t="shared" si="22"/>
        <v>0</v>
      </c>
      <c r="K35" s="75">
        <f t="shared" si="22"/>
        <v>0</v>
      </c>
      <c r="L35" s="75">
        <f t="shared" si="22"/>
        <v>0</v>
      </c>
      <c r="M35" s="75">
        <f t="shared" si="22"/>
        <v>0</v>
      </c>
      <c r="N35" s="75">
        <f t="shared" si="22"/>
        <v>0</v>
      </c>
      <c r="P35" s="304"/>
    </row>
    <row r="36" spans="1:16" ht="12.75" x14ac:dyDescent="0.2">
      <c r="B36" s="288" t="s">
        <v>58</v>
      </c>
      <c r="C36" s="75">
        <f t="shared" ref="C36:N36" si="23">+C$10*C22</f>
        <v>19.808572000000044</v>
      </c>
      <c r="D36" s="75">
        <f t="shared" si="23"/>
        <v>23.164359000000051</v>
      </c>
      <c r="E36" s="75">
        <f t="shared" si="23"/>
        <v>20.140059000000043</v>
      </c>
      <c r="F36" s="75">
        <f t="shared" si="23"/>
        <v>24.288094000000051</v>
      </c>
      <c r="G36" s="75">
        <f t="shared" si="23"/>
        <v>22.739771000000051</v>
      </c>
      <c r="H36" s="75">
        <f t="shared" si="23"/>
        <v>20.041028000000043</v>
      </c>
      <c r="I36" s="75">
        <f t="shared" si="23"/>
        <v>21.672371000000048</v>
      </c>
      <c r="J36" s="75">
        <f t="shared" si="23"/>
        <v>24.882280000000055</v>
      </c>
      <c r="K36" s="75">
        <f t="shared" si="23"/>
        <v>24.648638000000055</v>
      </c>
      <c r="L36" s="75">
        <f t="shared" si="23"/>
        <v>18.85087700000004</v>
      </c>
      <c r="M36" s="75">
        <f t="shared" si="23"/>
        <v>21.548434000000046</v>
      </c>
      <c r="N36" s="75">
        <f t="shared" si="23"/>
        <v>18.04676900000004</v>
      </c>
      <c r="P36" s="304"/>
    </row>
    <row r="37" spans="1:16" ht="12.75" x14ac:dyDescent="0.2">
      <c r="B37" s="288" t="s">
        <v>59</v>
      </c>
      <c r="C37" s="90">
        <f t="shared" ref="C37:N37" si="24">+C$10*C23</f>
        <v>107.494072</v>
      </c>
      <c r="D37" s="90">
        <f t="shared" si="24"/>
        <v>125.70473399999999</v>
      </c>
      <c r="E37" s="90">
        <f t="shared" si="24"/>
        <v>109.29293399999999</v>
      </c>
      <c r="F37" s="90">
        <f t="shared" si="24"/>
        <v>131.80284399999999</v>
      </c>
      <c r="G37" s="90">
        <f t="shared" si="24"/>
        <v>123.40064599999999</v>
      </c>
      <c r="H37" s="90">
        <f t="shared" si="24"/>
        <v>108.75552799999998</v>
      </c>
      <c r="I37" s="90">
        <f t="shared" si="24"/>
        <v>117.60824599999999</v>
      </c>
      <c r="J37" s="90">
        <f t="shared" si="24"/>
        <v>135.02727999999999</v>
      </c>
      <c r="K37" s="90">
        <f t="shared" si="24"/>
        <v>133.759388</v>
      </c>
      <c r="L37" s="90">
        <f t="shared" si="24"/>
        <v>102.29700199999999</v>
      </c>
      <c r="M37" s="90">
        <f t="shared" si="24"/>
        <v>116.93568399999999</v>
      </c>
      <c r="N37" s="90">
        <f t="shared" si="24"/>
        <v>97.933393999999993</v>
      </c>
      <c r="P37" s="304"/>
    </row>
    <row r="38" spans="1:16" ht="12.75" x14ac:dyDescent="0.2">
      <c r="C38" s="75">
        <f t="shared" ref="C38:N38" si="25">SUM(C27:C37)</f>
        <v>334.04000000000013</v>
      </c>
      <c r="D38" s="75">
        <f t="shared" si="25"/>
        <v>390.63</v>
      </c>
      <c r="E38" s="75">
        <f t="shared" si="25"/>
        <v>339.63000000000005</v>
      </c>
      <c r="F38" s="75">
        <f t="shared" si="25"/>
        <v>409.58000000000004</v>
      </c>
      <c r="G38" s="75">
        <f t="shared" si="25"/>
        <v>383.47000000000008</v>
      </c>
      <c r="H38" s="75">
        <f t="shared" si="25"/>
        <v>337.96</v>
      </c>
      <c r="I38" s="75">
        <f t="shared" si="25"/>
        <v>365.47000000000014</v>
      </c>
      <c r="J38" s="75">
        <f t="shared" si="25"/>
        <v>419.6</v>
      </c>
      <c r="K38" s="75">
        <f t="shared" si="25"/>
        <v>415.66000000000008</v>
      </c>
      <c r="L38" s="75">
        <f t="shared" si="25"/>
        <v>317.89</v>
      </c>
      <c r="M38" s="75">
        <f t="shared" si="25"/>
        <v>363.38000000000005</v>
      </c>
      <c r="N38" s="75">
        <f t="shared" si="25"/>
        <v>304.33000000000004</v>
      </c>
      <c r="P38" s="304"/>
    </row>
    <row r="39" spans="1:16" x14ac:dyDescent="0.2">
      <c r="P39" s="313"/>
    </row>
    <row r="40" spans="1:16" x14ac:dyDescent="0.2">
      <c r="A40" s="312" t="s">
        <v>61</v>
      </c>
    </row>
    <row r="41" spans="1:16" x14ac:dyDescent="0.2">
      <c r="B41" s="288" t="s">
        <v>24</v>
      </c>
      <c r="C41" s="185">
        <v>1</v>
      </c>
      <c r="D41" s="95">
        <v>1</v>
      </c>
      <c r="E41" s="95">
        <v>1</v>
      </c>
      <c r="F41" s="95">
        <v>1</v>
      </c>
      <c r="G41" s="95">
        <v>1</v>
      </c>
      <c r="H41" s="95">
        <v>1</v>
      </c>
      <c r="I41" s="95">
        <v>1</v>
      </c>
      <c r="J41" s="95">
        <v>1</v>
      </c>
      <c r="K41" s="95">
        <v>1</v>
      </c>
      <c r="L41" s="95">
        <v>1</v>
      </c>
      <c r="M41" s="95">
        <v>1</v>
      </c>
      <c r="N41" s="95">
        <v>1</v>
      </c>
    </row>
    <row r="42" spans="1:16" x14ac:dyDescent="0.2">
      <c r="B42" s="288" t="s">
        <v>28</v>
      </c>
      <c r="C42" s="185">
        <v>1</v>
      </c>
      <c r="D42" s="95">
        <v>1</v>
      </c>
      <c r="E42" s="95">
        <v>1</v>
      </c>
      <c r="F42" s="95">
        <v>1</v>
      </c>
      <c r="G42" s="95">
        <v>1</v>
      </c>
      <c r="H42" s="95">
        <v>1</v>
      </c>
      <c r="I42" s="95">
        <v>1</v>
      </c>
      <c r="J42" s="95">
        <v>1</v>
      </c>
      <c r="K42" s="95">
        <v>1</v>
      </c>
      <c r="L42" s="95">
        <v>1</v>
      </c>
      <c r="M42" s="95">
        <v>1</v>
      </c>
      <c r="N42" s="95">
        <v>1</v>
      </c>
    </row>
    <row r="43" spans="1:16" x14ac:dyDescent="0.2">
      <c r="B43" s="288" t="s">
        <v>52</v>
      </c>
      <c r="C43" s="185">
        <v>1</v>
      </c>
      <c r="D43" s="95">
        <v>1</v>
      </c>
      <c r="E43" s="95">
        <v>1</v>
      </c>
      <c r="F43" s="95">
        <v>1</v>
      </c>
      <c r="G43" s="95">
        <v>1</v>
      </c>
      <c r="H43" s="95">
        <v>1</v>
      </c>
      <c r="I43" s="95">
        <v>1</v>
      </c>
      <c r="J43" s="95">
        <v>1</v>
      </c>
      <c r="K43" s="95">
        <v>1</v>
      </c>
      <c r="L43" s="95">
        <v>1</v>
      </c>
      <c r="M43" s="95">
        <v>1</v>
      </c>
      <c r="N43" s="95">
        <v>1</v>
      </c>
    </row>
    <row r="44" spans="1:16" x14ac:dyDescent="0.2">
      <c r="B44" s="288" t="s">
        <v>53</v>
      </c>
      <c r="C44" s="185">
        <v>1</v>
      </c>
      <c r="D44" s="95">
        <v>1</v>
      </c>
      <c r="E44" s="95">
        <v>1</v>
      </c>
      <c r="F44" s="95">
        <v>1</v>
      </c>
      <c r="G44" s="95">
        <v>1</v>
      </c>
      <c r="H44" s="95">
        <v>1</v>
      </c>
      <c r="I44" s="95">
        <v>1</v>
      </c>
      <c r="J44" s="95">
        <v>1</v>
      </c>
      <c r="K44" s="95">
        <v>1</v>
      </c>
      <c r="L44" s="95">
        <v>1</v>
      </c>
      <c r="M44" s="95">
        <v>1</v>
      </c>
      <c r="N44" s="95">
        <v>1</v>
      </c>
    </row>
    <row r="45" spans="1:16" x14ac:dyDescent="0.2">
      <c r="B45" s="288" t="s">
        <v>54</v>
      </c>
      <c r="C45" s="185">
        <v>1</v>
      </c>
      <c r="D45" s="95">
        <v>1</v>
      </c>
      <c r="E45" s="95">
        <v>1</v>
      </c>
      <c r="F45" s="95">
        <v>1</v>
      </c>
      <c r="G45" s="95">
        <v>1</v>
      </c>
      <c r="H45" s="95">
        <v>1</v>
      </c>
      <c r="I45" s="95">
        <v>1</v>
      </c>
      <c r="J45" s="95">
        <v>1</v>
      </c>
      <c r="K45" s="95">
        <v>1</v>
      </c>
      <c r="L45" s="95">
        <v>1</v>
      </c>
      <c r="M45" s="95">
        <v>1</v>
      </c>
      <c r="N45" s="95">
        <v>1</v>
      </c>
    </row>
    <row r="46" spans="1:16" x14ac:dyDescent="0.2">
      <c r="B46" s="288" t="s">
        <v>55</v>
      </c>
      <c r="C46" s="185">
        <v>1</v>
      </c>
      <c r="D46" s="95">
        <v>1</v>
      </c>
      <c r="E46" s="95">
        <v>1</v>
      </c>
      <c r="F46" s="95">
        <v>1</v>
      </c>
      <c r="G46" s="95">
        <v>1</v>
      </c>
      <c r="H46" s="95">
        <v>1</v>
      </c>
      <c r="I46" s="95">
        <v>1</v>
      </c>
      <c r="J46" s="95">
        <v>1</v>
      </c>
      <c r="K46" s="95">
        <v>1</v>
      </c>
      <c r="L46" s="95">
        <v>1</v>
      </c>
      <c r="M46" s="95">
        <v>1</v>
      </c>
      <c r="N46" s="95">
        <v>1</v>
      </c>
    </row>
    <row r="47" spans="1:16" x14ac:dyDescent="0.2">
      <c r="B47" s="288" t="s">
        <v>56</v>
      </c>
      <c r="C47" s="185">
        <v>1</v>
      </c>
      <c r="D47" s="95">
        <v>1</v>
      </c>
      <c r="E47" s="95">
        <v>1</v>
      </c>
      <c r="F47" s="95">
        <v>1</v>
      </c>
      <c r="G47" s="95">
        <v>1</v>
      </c>
      <c r="H47" s="95">
        <v>1</v>
      </c>
      <c r="I47" s="95">
        <v>1</v>
      </c>
      <c r="J47" s="95">
        <v>1</v>
      </c>
      <c r="K47" s="95">
        <v>1</v>
      </c>
      <c r="L47" s="95">
        <v>1</v>
      </c>
      <c r="M47" s="95">
        <v>1</v>
      </c>
      <c r="N47" s="95">
        <v>1</v>
      </c>
    </row>
    <row r="48" spans="1:16" x14ac:dyDescent="0.2">
      <c r="B48" s="288" t="s">
        <v>22</v>
      </c>
      <c r="C48" s="185">
        <v>1</v>
      </c>
      <c r="D48" s="95">
        <v>1</v>
      </c>
      <c r="E48" s="95">
        <v>1</v>
      </c>
      <c r="F48" s="95">
        <v>1</v>
      </c>
      <c r="G48" s="95">
        <v>1</v>
      </c>
      <c r="H48" s="95">
        <v>1</v>
      </c>
      <c r="I48" s="95">
        <v>1</v>
      </c>
      <c r="J48" s="95">
        <v>1</v>
      </c>
      <c r="K48" s="95">
        <v>1</v>
      </c>
      <c r="L48" s="95">
        <v>1</v>
      </c>
      <c r="M48" s="95">
        <v>1</v>
      </c>
      <c r="N48" s="95">
        <v>1</v>
      </c>
    </row>
    <row r="49" spans="1:20" x14ac:dyDescent="0.2">
      <c r="B49" s="288" t="s">
        <v>57</v>
      </c>
      <c r="C49" s="185">
        <v>1</v>
      </c>
      <c r="D49" s="95">
        <v>1</v>
      </c>
      <c r="E49" s="95">
        <v>1</v>
      </c>
      <c r="F49" s="95">
        <v>1</v>
      </c>
      <c r="G49" s="95">
        <v>1</v>
      </c>
      <c r="H49" s="95">
        <v>1</v>
      </c>
      <c r="I49" s="95">
        <v>1</v>
      </c>
      <c r="J49" s="95">
        <v>1</v>
      </c>
      <c r="K49" s="95">
        <v>1</v>
      </c>
      <c r="L49" s="95">
        <v>1</v>
      </c>
      <c r="M49" s="95">
        <v>1</v>
      </c>
      <c r="N49" s="95">
        <v>1</v>
      </c>
    </row>
    <row r="50" spans="1:20" x14ac:dyDescent="0.2">
      <c r="B50" s="288" t="s">
        <v>58</v>
      </c>
      <c r="C50" s="185">
        <v>1</v>
      </c>
      <c r="D50" s="95">
        <v>1</v>
      </c>
      <c r="E50" s="95">
        <v>1</v>
      </c>
      <c r="F50" s="95">
        <v>1</v>
      </c>
      <c r="G50" s="95">
        <v>1</v>
      </c>
      <c r="H50" s="95">
        <v>1</v>
      </c>
      <c r="I50" s="95">
        <v>1</v>
      </c>
      <c r="J50" s="95">
        <v>1</v>
      </c>
      <c r="K50" s="95">
        <v>1</v>
      </c>
      <c r="L50" s="95">
        <v>1</v>
      </c>
      <c r="M50" s="95">
        <v>1</v>
      </c>
      <c r="N50" s="95">
        <v>1</v>
      </c>
    </row>
    <row r="51" spans="1:20" ht="14.25" customHeight="1" x14ac:dyDescent="0.2">
      <c r="C51" s="93"/>
      <c r="D51" s="95"/>
      <c r="E51" s="95"/>
      <c r="F51" s="95"/>
      <c r="G51" s="95"/>
      <c r="H51" s="95"/>
      <c r="I51" s="95"/>
      <c r="J51" s="95"/>
      <c r="K51" s="95"/>
      <c r="L51" s="95"/>
      <c r="M51" s="95"/>
      <c r="N51" s="95"/>
    </row>
    <row r="52" spans="1:20" x14ac:dyDescent="0.2">
      <c r="A52" s="288" t="s">
        <v>59</v>
      </c>
      <c r="C52" s="93">
        <f>+C65/C37</f>
        <v>0.99999999999999911</v>
      </c>
      <c r="D52" s="95">
        <v>1</v>
      </c>
      <c r="E52" s="95">
        <v>1</v>
      </c>
      <c r="F52" s="95">
        <v>1</v>
      </c>
      <c r="G52" s="95">
        <v>1</v>
      </c>
      <c r="H52" s="95">
        <v>1</v>
      </c>
      <c r="I52" s="95">
        <v>1</v>
      </c>
      <c r="J52" s="95">
        <v>1</v>
      </c>
      <c r="K52" s="95">
        <v>1</v>
      </c>
      <c r="L52" s="95">
        <v>1</v>
      </c>
      <c r="M52" s="95">
        <v>1</v>
      </c>
      <c r="N52" s="95">
        <v>1</v>
      </c>
    </row>
    <row r="53" spans="1:20" x14ac:dyDescent="0.2">
      <c r="L53" s="93"/>
      <c r="N53" s="95"/>
    </row>
    <row r="54" spans="1:20" x14ac:dyDescent="0.2">
      <c r="A54" s="312" t="s">
        <v>62</v>
      </c>
      <c r="L54" s="93"/>
      <c r="N54" s="95"/>
    </row>
    <row r="55" spans="1:20" x14ac:dyDescent="0.2">
      <c r="B55" s="288" t="s">
        <v>24</v>
      </c>
      <c r="C55" s="75">
        <f t="shared" ref="C55:N55" si="26">+C27*C41</f>
        <v>65.137800000000013</v>
      </c>
      <c r="D55" s="75">
        <f t="shared" si="26"/>
        <v>76.172849999999997</v>
      </c>
      <c r="E55" s="75">
        <f t="shared" si="26"/>
        <v>66.227850000000004</v>
      </c>
      <c r="F55" s="75">
        <f t="shared" si="26"/>
        <v>79.868099999999998</v>
      </c>
      <c r="G55" s="75">
        <f t="shared" si="26"/>
        <v>74.776650000000004</v>
      </c>
      <c r="H55" s="75">
        <f t="shared" si="26"/>
        <v>65.902199999999993</v>
      </c>
      <c r="I55" s="75">
        <f t="shared" si="26"/>
        <v>71.266650000000013</v>
      </c>
      <c r="J55" s="75">
        <f t="shared" si="26"/>
        <v>81.822000000000003</v>
      </c>
      <c r="K55" s="75">
        <f t="shared" si="26"/>
        <v>81.053700000000006</v>
      </c>
      <c r="L55" s="75">
        <f t="shared" si="26"/>
        <v>61.988549999999996</v>
      </c>
      <c r="M55" s="75">
        <f t="shared" si="26"/>
        <v>70.859099999999998</v>
      </c>
      <c r="N55" s="75">
        <f t="shared" si="26"/>
        <v>59.344349999999999</v>
      </c>
    </row>
    <row r="56" spans="1:20" ht="12.75" x14ac:dyDescent="0.2">
      <c r="B56" s="288" t="s">
        <v>28</v>
      </c>
      <c r="C56" s="75">
        <f t="shared" ref="C56:N56" si="27">+C28*C42</f>
        <v>59.525928</v>
      </c>
      <c r="D56" s="75">
        <f t="shared" si="27"/>
        <v>69.610265999999996</v>
      </c>
      <c r="E56" s="75">
        <f t="shared" si="27"/>
        <v>60.522065999999995</v>
      </c>
      <c r="F56" s="75">
        <f t="shared" si="27"/>
        <v>72.987155999999999</v>
      </c>
      <c r="G56" s="75">
        <f t="shared" si="27"/>
        <v>68.334354000000005</v>
      </c>
      <c r="H56" s="75">
        <f t="shared" si="27"/>
        <v>60.224471999999999</v>
      </c>
      <c r="I56" s="75">
        <f t="shared" si="27"/>
        <v>65.126754000000005</v>
      </c>
      <c r="J56" s="75">
        <f t="shared" si="27"/>
        <v>74.772720000000007</v>
      </c>
      <c r="K56" s="75">
        <f t="shared" si="27"/>
        <v>74.070611999999997</v>
      </c>
      <c r="L56" s="75">
        <f t="shared" si="27"/>
        <v>56.647997999999994</v>
      </c>
      <c r="M56" s="75">
        <f t="shared" si="27"/>
        <v>64.754316000000003</v>
      </c>
      <c r="N56" s="75">
        <f t="shared" si="27"/>
        <v>54.231605999999999</v>
      </c>
      <c r="P56" s="157"/>
    </row>
    <row r="57" spans="1:20" ht="12.75" x14ac:dyDescent="0.2">
      <c r="B57" s="288" t="s">
        <v>52</v>
      </c>
      <c r="C57" s="75">
        <f t="shared" ref="C57:N57" si="28">+C29*C43</f>
        <v>0</v>
      </c>
      <c r="D57" s="75">
        <f t="shared" si="28"/>
        <v>0</v>
      </c>
      <c r="E57" s="75">
        <f t="shared" si="28"/>
        <v>0</v>
      </c>
      <c r="F57" s="75">
        <f t="shared" si="28"/>
        <v>0</v>
      </c>
      <c r="G57" s="75">
        <f t="shared" si="28"/>
        <v>0</v>
      </c>
      <c r="H57" s="75">
        <f t="shared" si="28"/>
        <v>0</v>
      </c>
      <c r="I57" s="75">
        <f t="shared" si="28"/>
        <v>0</v>
      </c>
      <c r="J57" s="75">
        <f t="shared" si="28"/>
        <v>0</v>
      </c>
      <c r="K57" s="75">
        <f t="shared" si="28"/>
        <v>0</v>
      </c>
      <c r="L57" s="75">
        <f t="shared" si="28"/>
        <v>0</v>
      </c>
      <c r="M57" s="75">
        <f t="shared" si="28"/>
        <v>0</v>
      </c>
      <c r="N57" s="75">
        <f t="shared" si="28"/>
        <v>0</v>
      </c>
      <c r="P57" s="157"/>
    </row>
    <row r="58" spans="1:20" ht="12.75" x14ac:dyDescent="0.2">
      <c r="B58" s="288" t="s">
        <v>53</v>
      </c>
      <c r="C58" s="75">
        <f t="shared" ref="C58:N58" si="29">+C30*C44</f>
        <v>5.5116600000000009</v>
      </c>
      <c r="D58" s="75">
        <f t="shared" si="29"/>
        <v>6.4453950000000004</v>
      </c>
      <c r="E58" s="75">
        <f t="shared" si="29"/>
        <v>5.6038950000000005</v>
      </c>
      <c r="F58" s="75">
        <f t="shared" si="29"/>
        <v>6.75807</v>
      </c>
      <c r="G58" s="75">
        <f t="shared" si="29"/>
        <v>6.327255000000001</v>
      </c>
      <c r="H58" s="75">
        <f t="shared" si="29"/>
        <v>5.5763400000000001</v>
      </c>
      <c r="I58" s="75">
        <f t="shared" si="29"/>
        <v>6.0302550000000004</v>
      </c>
      <c r="J58" s="75">
        <f t="shared" si="29"/>
        <v>6.9234000000000009</v>
      </c>
      <c r="K58" s="75">
        <f t="shared" si="29"/>
        <v>6.8583900000000009</v>
      </c>
      <c r="L58" s="75">
        <f t="shared" si="29"/>
        <v>5.2451850000000002</v>
      </c>
      <c r="M58" s="75">
        <f t="shared" si="29"/>
        <v>5.9957700000000003</v>
      </c>
      <c r="N58" s="75">
        <f t="shared" si="29"/>
        <v>5.0214449999999999</v>
      </c>
      <c r="P58" s="157"/>
    </row>
    <row r="59" spans="1:20" ht="12.75" x14ac:dyDescent="0.2">
      <c r="B59" s="288" t="s">
        <v>54</v>
      </c>
      <c r="C59" s="75">
        <f t="shared" ref="C59:N59" si="30">+C31*C45</f>
        <v>14.998396000000001</v>
      </c>
      <c r="D59" s="75">
        <f t="shared" si="30"/>
        <v>17.539287000000002</v>
      </c>
      <c r="E59" s="75">
        <f t="shared" si="30"/>
        <v>15.249387</v>
      </c>
      <c r="F59" s="75">
        <f t="shared" si="30"/>
        <v>18.390142000000001</v>
      </c>
      <c r="G59" s="75">
        <f t="shared" si="30"/>
        <v>17.217803000000004</v>
      </c>
      <c r="H59" s="75">
        <f t="shared" si="30"/>
        <v>15.174403999999999</v>
      </c>
      <c r="I59" s="75">
        <f t="shared" si="30"/>
        <v>16.409603000000001</v>
      </c>
      <c r="J59" s="75">
        <f t="shared" si="30"/>
        <v>18.840040000000002</v>
      </c>
      <c r="K59" s="75">
        <f t="shared" si="30"/>
        <v>18.663134000000003</v>
      </c>
      <c r="L59" s="75">
        <f t="shared" si="30"/>
        <v>14.273261</v>
      </c>
      <c r="M59" s="75">
        <f t="shared" si="30"/>
        <v>16.315761999999999</v>
      </c>
      <c r="N59" s="75">
        <f t="shared" si="30"/>
        <v>13.664417</v>
      </c>
      <c r="P59" s="157"/>
    </row>
    <row r="60" spans="1:20" ht="12.75" x14ac:dyDescent="0.2">
      <c r="B60" s="288" t="s">
        <v>55</v>
      </c>
      <c r="C60" s="96">
        <f t="shared" ref="C60:N60" si="31">+C32*C46</f>
        <v>2.5053000000000001</v>
      </c>
      <c r="D60" s="96">
        <f t="shared" si="31"/>
        <v>2.9297249999999999</v>
      </c>
      <c r="E60" s="96">
        <f t="shared" si="31"/>
        <v>2.5472250000000001</v>
      </c>
      <c r="F60" s="96">
        <f t="shared" si="31"/>
        <v>3.07185</v>
      </c>
      <c r="G60" s="96">
        <f t="shared" si="31"/>
        <v>2.8760250000000003</v>
      </c>
      <c r="H60" s="96">
        <f t="shared" si="31"/>
        <v>2.5347</v>
      </c>
      <c r="I60" s="96">
        <f t="shared" si="31"/>
        <v>2.741025</v>
      </c>
      <c r="J60" s="96">
        <f t="shared" si="31"/>
        <v>3.1470000000000002</v>
      </c>
      <c r="K60" s="96">
        <f t="shared" si="31"/>
        <v>3.1174500000000003</v>
      </c>
      <c r="L60" s="96">
        <f t="shared" si="31"/>
        <v>2.3841749999999999</v>
      </c>
      <c r="M60" s="96">
        <f t="shared" si="31"/>
        <v>2.7253499999999997</v>
      </c>
      <c r="N60" s="96">
        <f t="shared" si="31"/>
        <v>2.2824749999999998</v>
      </c>
      <c r="P60" s="157"/>
    </row>
    <row r="61" spans="1:20" ht="12.75" x14ac:dyDescent="0.2">
      <c r="B61" s="288" t="s">
        <v>56</v>
      </c>
      <c r="C61" s="75">
        <f t="shared" ref="C61:N61" si="32">+C33*C47</f>
        <v>0</v>
      </c>
      <c r="D61" s="75">
        <f t="shared" si="32"/>
        <v>0</v>
      </c>
      <c r="E61" s="75">
        <f t="shared" si="32"/>
        <v>0</v>
      </c>
      <c r="F61" s="75">
        <f t="shared" si="32"/>
        <v>0</v>
      </c>
      <c r="G61" s="75">
        <f t="shared" si="32"/>
        <v>0</v>
      </c>
      <c r="H61" s="75">
        <f t="shared" si="32"/>
        <v>0</v>
      </c>
      <c r="I61" s="75">
        <f t="shared" si="32"/>
        <v>0</v>
      </c>
      <c r="J61" s="75">
        <f t="shared" si="32"/>
        <v>0</v>
      </c>
      <c r="K61" s="75">
        <f t="shared" si="32"/>
        <v>0</v>
      </c>
      <c r="L61" s="75">
        <f t="shared" si="32"/>
        <v>0</v>
      </c>
      <c r="M61" s="75">
        <f t="shared" si="32"/>
        <v>0</v>
      </c>
      <c r="N61" s="75">
        <f t="shared" si="32"/>
        <v>0</v>
      </c>
      <c r="P61" s="157"/>
    </row>
    <row r="62" spans="1:20" ht="12.75" x14ac:dyDescent="0.2">
      <c r="B62" s="288" t="s">
        <v>49</v>
      </c>
      <c r="C62" s="75">
        <f t="shared" ref="C62:N62" si="33">+C34*C48</f>
        <v>59.058272000000009</v>
      </c>
      <c r="D62" s="75">
        <f t="shared" si="33"/>
        <v>69.063383999999999</v>
      </c>
      <c r="E62" s="75">
        <f t="shared" si="33"/>
        <v>60.046584000000003</v>
      </c>
      <c r="F62" s="75">
        <f t="shared" si="33"/>
        <v>72.413744000000008</v>
      </c>
      <c r="G62" s="75">
        <f t="shared" si="33"/>
        <v>67.79749600000001</v>
      </c>
      <c r="H62" s="75">
        <f t="shared" si="33"/>
        <v>59.751328000000001</v>
      </c>
      <c r="I62" s="75">
        <f t="shared" si="33"/>
        <v>64.615096000000008</v>
      </c>
      <c r="J62" s="75">
        <f t="shared" si="33"/>
        <v>74.185280000000006</v>
      </c>
      <c r="K62" s="75">
        <f t="shared" si="33"/>
        <v>73.48868800000001</v>
      </c>
      <c r="L62" s="75">
        <f t="shared" si="33"/>
        <v>56.202952000000003</v>
      </c>
      <c r="M62" s="75">
        <f t="shared" si="33"/>
        <v>64.245584000000008</v>
      </c>
      <c r="N62" s="75">
        <f t="shared" si="33"/>
        <v>53.805543999999998</v>
      </c>
      <c r="Q62" s="316"/>
      <c r="R62" s="313"/>
      <c r="S62" s="158"/>
      <c r="T62" s="158"/>
    </row>
    <row r="63" spans="1:20" ht="12.75" x14ac:dyDescent="0.2">
      <c r="B63" s="288" t="s">
        <v>57</v>
      </c>
      <c r="C63" s="75">
        <f t="shared" ref="C63:N63" si="34">+C35*C49</f>
        <v>0</v>
      </c>
      <c r="D63" s="75">
        <f t="shared" si="34"/>
        <v>0</v>
      </c>
      <c r="E63" s="75">
        <f t="shared" si="34"/>
        <v>0</v>
      </c>
      <c r="F63" s="75">
        <f t="shared" si="34"/>
        <v>0</v>
      </c>
      <c r="G63" s="75">
        <f t="shared" si="34"/>
        <v>0</v>
      </c>
      <c r="H63" s="75">
        <f t="shared" si="34"/>
        <v>0</v>
      </c>
      <c r="I63" s="75">
        <f t="shared" si="34"/>
        <v>0</v>
      </c>
      <c r="J63" s="75">
        <f t="shared" si="34"/>
        <v>0</v>
      </c>
      <c r="K63" s="75">
        <f t="shared" si="34"/>
        <v>0</v>
      </c>
      <c r="L63" s="75">
        <f t="shared" si="34"/>
        <v>0</v>
      </c>
      <c r="M63" s="75">
        <f t="shared" si="34"/>
        <v>0</v>
      </c>
      <c r="N63" s="75">
        <f t="shared" si="34"/>
        <v>0</v>
      </c>
      <c r="Q63" s="316"/>
      <c r="R63" s="313"/>
      <c r="S63" s="158"/>
      <c r="T63" s="158"/>
    </row>
    <row r="64" spans="1:20" ht="12.75" x14ac:dyDescent="0.2">
      <c r="B64" s="288" t="s">
        <v>58</v>
      </c>
      <c r="C64" s="75">
        <f t="shared" ref="C64:N64" si="35">+C36*C50</f>
        <v>19.808572000000044</v>
      </c>
      <c r="D64" s="75">
        <f t="shared" si="35"/>
        <v>23.164359000000051</v>
      </c>
      <c r="E64" s="75">
        <f t="shared" si="35"/>
        <v>20.140059000000043</v>
      </c>
      <c r="F64" s="75">
        <f t="shared" si="35"/>
        <v>24.288094000000051</v>
      </c>
      <c r="G64" s="75">
        <f t="shared" si="35"/>
        <v>22.739771000000051</v>
      </c>
      <c r="H64" s="75">
        <f t="shared" si="35"/>
        <v>20.041028000000043</v>
      </c>
      <c r="I64" s="75">
        <f t="shared" si="35"/>
        <v>21.672371000000048</v>
      </c>
      <c r="J64" s="75">
        <f t="shared" si="35"/>
        <v>24.882280000000055</v>
      </c>
      <c r="K64" s="75">
        <f t="shared" si="35"/>
        <v>24.648638000000055</v>
      </c>
      <c r="L64" s="75">
        <f t="shared" si="35"/>
        <v>18.85087700000004</v>
      </c>
      <c r="M64" s="75">
        <f t="shared" si="35"/>
        <v>21.548434000000046</v>
      </c>
      <c r="N64" s="75">
        <f t="shared" si="35"/>
        <v>18.04676900000004</v>
      </c>
      <c r="Q64" s="316"/>
      <c r="R64" s="313"/>
      <c r="S64" s="158"/>
      <c r="T64" s="158"/>
    </row>
    <row r="65" spans="1:21" ht="12.75" x14ac:dyDescent="0.2">
      <c r="B65" s="288" t="s">
        <v>59</v>
      </c>
      <c r="C65" s="90">
        <f t="shared" ref="C65:N65" si="36">+C7-SUM(C55:C64)</f>
        <v>107.4940719999999</v>
      </c>
      <c r="D65" s="90">
        <f t="shared" si="36"/>
        <v>125.70473399999997</v>
      </c>
      <c r="E65" s="90">
        <f t="shared" si="36"/>
        <v>109.29293399999995</v>
      </c>
      <c r="F65" s="90">
        <f t="shared" si="36"/>
        <v>131.80284399999994</v>
      </c>
      <c r="G65" s="90">
        <f t="shared" si="36"/>
        <v>123.40064599999994</v>
      </c>
      <c r="H65" s="90">
        <f t="shared" si="36"/>
        <v>108.75552799999997</v>
      </c>
      <c r="I65" s="90">
        <f t="shared" si="36"/>
        <v>117.60824599999989</v>
      </c>
      <c r="J65" s="90">
        <f t="shared" si="36"/>
        <v>135.02728000000002</v>
      </c>
      <c r="K65" s="90">
        <f t="shared" si="36"/>
        <v>133.75938799999994</v>
      </c>
      <c r="L65" s="90">
        <f t="shared" si="36"/>
        <v>102.29700199999996</v>
      </c>
      <c r="M65" s="90">
        <f t="shared" si="36"/>
        <v>116.93568399999995</v>
      </c>
      <c r="N65" s="90">
        <f t="shared" si="36"/>
        <v>97.933393999999936</v>
      </c>
      <c r="Q65" s="316"/>
      <c r="R65" s="313"/>
      <c r="S65" s="158"/>
      <c r="T65" s="158"/>
    </row>
    <row r="66" spans="1:21" ht="12.75" x14ac:dyDescent="0.2">
      <c r="C66" s="75">
        <f t="shared" ref="C66:N66" si="37">SUM(C55:C65)</f>
        <v>334.04</v>
      </c>
      <c r="D66" s="75">
        <f t="shared" si="37"/>
        <v>390.63</v>
      </c>
      <c r="E66" s="75">
        <f t="shared" si="37"/>
        <v>339.63</v>
      </c>
      <c r="F66" s="75">
        <f t="shared" si="37"/>
        <v>409.58</v>
      </c>
      <c r="G66" s="75">
        <f t="shared" si="37"/>
        <v>383.47</v>
      </c>
      <c r="H66" s="75">
        <f t="shared" si="37"/>
        <v>337.96</v>
      </c>
      <c r="I66" s="75">
        <f t="shared" si="37"/>
        <v>365.47</v>
      </c>
      <c r="J66" s="75">
        <f t="shared" si="37"/>
        <v>419.6</v>
      </c>
      <c r="K66" s="75">
        <f t="shared" si="37"/>
        <v>415.66</v>
      </c>
      <c r="L66" s="75">
        <f t="shared" si="37"/>
        <v>317.89</v>
      </c>
      <c r="M66" s="75">
        <f t="shared" si="37"/>
        <v>363.38</v>
      </c>
      <c r="N66" s="75">
        <f t="shared" si="37"/>
        <v>304.33</v>
      </c>
      <c r="Q66" s="316"/>
      <c r="R66" s="313"/>
      <c r="S66" s="158"/>
      <c r="T66" s="158"/>
    </row>
    <row r="67" spans="1:21" ht="8.1" customHeight="1" x14ac:dyDescent="0.2">
      <c r="Q67" s="316"/>
      <c r="R67" s="313"/>
      <c r="S67" s="158"/>
      <c r="T67" s="158"/>
    </row>
    <row r="68" spans="1:21" ht="12.75" x14ac:dyDescent="0.2">
      <c r="A68" s="318" t="s">
        <v>63</v>
      </c>
      <c r="Q68" s="316"/>
      <c r="R68" s="313"/>
      <c r="S68" s="158"/>
      <c r="T68" s="158"/>
    </row>
    <row r="69" spans="1:21" ht="12.75" x14ac:dyDescent="0.2">
      <c r="B69" s="288" t="s">
        <v>24</v>
      </c>
      <c r="C69" s="128">
        <v>72.25</v>
      </c>
      <c r="D69" s="128">
        <v>75.63</v>
      </c>
      <c r="E69" s="128">
        <v>83.6</v>
      </c>
      <c r="F69" s="128">
        <v>93.37</v>
      </c>
      <c r="G69" s="317">
        <v>90.66</v>
      </c>
      <c r="H69" s="317">
        <v>88.47</v>
      </c>
      <c r="I69" s="128">
        <v>91.42</v>
      </c>
      <c r="J69" s="128">
        <v>90.152999999999992</v>
      </c>
      <c r="K69" s="128">
        <v>94.086999999999989</v>
      </c>
      <c r="L69" s="128">
        <v>111.29300000000001</v>
      </c>
      <c r="M69" s="128">
        <v>106.428</v>
      </c>
      <c r="N69" s="128">
        <v>61.02</v>
      </c>
      <c r="Q69" s="316"/>
      <c r="R69" s="313"/>
      <c r="S69" s="158"/>
      <c r="T69" s="158"/>
      <c r="U69" s="304"/>
    </row>
    <row r="70" spans="1:21" ht="12.75" x14ac:dyDescent="0.2">
      <c r="B70" s="288" t="s">
        <v>28</v>
      </c>
      <c r="C70" s="128">
        <v>87.8</v>
      </c>
      <c r="D70" s="128">
        <v>90.36</v>
      </c>
      <c r="E70" s="128">
        <v>101.52</v>
      </c>
      <c r="F70" s="128">
        <v>110.76</v>
      </c>
      <c r="G70" s="317">
        <v>99.86</v>
      </c>
      <c r="H70" s="317">
        <v>103.64</v>
      </c>
      <c r="I70" s="128">
        <v>110.66</v>
      </c>
      <c r="J70" s="128">
        <v>112.602</v>
      </c>
      <c r="K70" s="128">
        <v>119.57399999999998</v>
      </c>
      <c r="L70" s="128">
        <v>141.428</v>
      </c>
      <c r="M70" s="128">
        <v>156.905</v>
      </c>
      <c r="N70" s="128">
        <v>118.99</v>
      </c>
      <c r="Q70" s="304"/>
      <c r="R70" s="313"/>
      <c r="S70" s="313"/>
      <c r="T70" s="158"/>
      <c r="U70" s="158"/>
    </row>
    <row r="71" spans="1:21" ht="12.75" x14ac:dyDescent="0.2">
      <c r="B71" s="288" t="s">
        <v>52</v>
      </c>
      <c r="C71" s="128">
        <v>0</v>
      </c>
      <c r="D71" s="128"/>
      <c r="E71" s="128"/>
      <c r="F71" s="128"/>
      <c r="G71" s="317"/>
      <c r="H71" s="317"/>
      <c r="I71" s="128"/>
      <c r="J71" s="128"/>
      <c r="K71" s="128"/>
      <c r="L71" s="128"/>
      <c r="M71" s="128"/>
      <c r="N71" s="128"/>
      <c r="Q71" s="304"/>
      <c r="R71" s="313"/>
      <c r="S71" s="313"/>
      <c r="T71" s="158"/>
      <c r="U71" s="158"/>
    </row>
    <row r="72" spans="1:21" ht="12.75" x14ac:dyDescent="0.2">
      <c r="B72" s="288" t="s">
        <v>53</v>
      </c>
      <c r="C72" s="128">
        <v>73.930000000000007</v>
      </c>
      <c r="D72" s="128">
        <v>64.900000000000006</v>
      </c>
      <c r="E72" s="128">
        <v>58.33</v>
      </c>
      <c r="F72" s="128">
        <v>59.25</v>
      </c>
      <c r="G72" s="317">
        <v>59.29</v>
      </c>
      <c r="H72" s="317">
        <v>52.472000000000001</v>
      </c>
      <c r="I72" s="128">
        <v>66.003</v>
      </c>
      <c r="J72" s="128">
        <v>67.542999999999992</v>
      </c>
      <c r="K72" s="128">
        <v>82.466999999999999</v>
      </c>
      <c r="L72" s="128">
        <v>73.513999999999996</v>
      </c>
      <c r="M72" s="128">
        <v>89.299000000000007</v>
      </c>
      <c r="N72" s="128">
        <v>77.78</v>
      </c>
      <c r="Q72" s="304"/>
      <c r="R72" s="313"/>
      <c r="T72" s="158"/>
      <c r="U72" s="158"/>
    </row>
    <row r="73" spans="1:21" ht="12.75" x14ac:dyDescent="0.2">
      <c r="B73" s="288" t="s">
        <v>54</v>
      </c>
      <c r="C73" s="128">
        <v>133.80000000000001</v>
      </c>
      <c r="D73" s="128">
        <v>129.44999999999999</v>
      </c>
      <c r="E73" s="128">
        <v>134.41</v>
      </c>
      <c r="F73" s="128">
        <v>130.41999999999999</v>
      </c>
      <c r="G73" s="317">
        <v>110.89</v>
      </c>
      <c r="H73" s="317">
        <v>100.65</v>
      </c>
      <c r="I73" s="128">
        <v>107.11</v>
      </c>
      <c r="J73" s="128">
        <v>99.483999999999995</v>
      </c>
      <c r="K73" s="128">
        <v>111.96499999999999</v>
      </c>
      <c r="L73" s="128">
        <v>125.03399999999999</v>
      </c>
      <c r="M73" s="128">
        <v>108.983</v>
      </c>
      <c r="N73" s="128">
        <v>100.86</v>
      </c>
      <c r="Q73" s="313"/>
      <c r="R73" s="313"/>
      <c r="T73" s="158"/>
      <c r="U73" s="158"/>
    </row>
    <row r="74" spans="1:21" ht="12.75" x14ac:dyDescent="0.2">
      <c r="B74" s="288" t="s">
        <v>55</v>
      </c>
      <c r="C74" s="128">
        <v>798</v>
      </c>
      <c r="D74" s="128">
        <v>778.7</v>
      </c>
      <c r="E74" s="128">
        <v>777</v>
      </c>
      <c r="F74" s="128">
        <v>798</v>
      </c>
      <c r="G74" s="317">
        <v>784</v>
      </c>
      <c r="H74" s="317">
        <v>812</v>
      </c>
      <c r="I74" s="128">
        <v>836.49</v>
      </c>
      <c r="J74" s="128">
        <v>863.56899999999996</v>
      </c>
      <c r="K74" s="128">
        <v>886.43799999999987</v>
      </c>
      <c r="L74" s="128">
        <v>939.42799999999988</v>
      </c>
      <c r="M74" s="128">
        <v>960.31600000000003</v>
      </c>
      <c r="N74" s="128">
        <v>947.87</v>
      </c>
      <c r="R74" s="316"/>
      <c r="S74" s="313"/>
      <c r="T74" s="158"/>
      <c r="U74" s="158"/>
    </row>
    <row r="75" spans="1:21" ht="12.75" x14ac:dyDescent="0.2">
      <c r="B75" s="288" t="s">
        <v>56</v>
      </c>
      <c r="C75" s="128">
        <v>0</v>
      </c>
      <c r="D75" s="128"/>
      <c r="E75" s="128"/>
      <c r="F75" s="128"/>
      <c r="G75" s="317"/>
      <c r="H75" s="317"/>
      <c r="I75" s="128"/>
      <c r="J75" s="128"/>
      <c r="K75" s="128"/>
      <c r="L75" s="128"/>
      <c r="M75" s="128"/>
      <c r="N75" s="128"/>
      <c r="R75" s="316"/>
      <c r="S75" s="313"/>
      <c r="T75" s="158"/>
      <c r="U75" s="158"/>
    </row>
    <row r="76" spans="1:21" ht="12.75" x14ac:dyDescent="0.2">
      <c r="B76" s="288" t="s">
        <v>49</v>
      </c>
      <c r="C76" s="128">
        <v>-2.2000000000000002</v>
      </c>
      <c r="D76" s="128">
        <v>-7.81</v>
      </c>
      <c r="E76" s="128">
        <v>-8.0299999999999994</v>
      </c>
      <c r="F76" s="128">
        <v>-1.52</v>
      </c>
      <c r="G76" s="317">
        <v>-5.91</v>
      </c>
      <c r="H76" s="317">
        <v>-6.71</v>
      </c>
      <c r="I76" s="128">
        <v>-16.34</v>
      </c>
      <c r="J76" s="128">
        <v>-19.71</v>
      </c>
      <c r="K76" s="128">
        <v>-11</v>
      </c>
      <c r="L76" s="128">
        <v>-10.55</v>
      </c>
      <c r="M76" s="128">
        <v>-10.44</v>
      </c>
      <c r="N76" s="128">
        <v>-10.45</v>
      </c>
      <c r="R76" s="316"/>
      <c r="S76" s="313"/>
      <c r="T76" s="158"/>
      <c r="U76" s="158"/>
    </row>
    <row r="77" spans="1:21" ht="12.75" x14ac:dyDescent="0.2">
      <c r="B77" s="288" t="s">
        <v>57</v>
      </c>
      <c r="C77" s="128">
        <v>-120.17</v>
      </c>
      <c r="D77" s="128">
        <v>-120.17</v>
      </c>
      <c r="E77" s="128">
        <v>-120.17</v>
      </c>
      <c r="F77" s="128">
        <v>-120.17</v>
      </c>
      <c r="G77" s="317">
        <v>-120.17</v>
      </c>
      <c r="H77" s="317">
        <v>-120.17</v>
      </c>
      <c r="I77" s="128">
        <v>-120.17</v>
      </c>
      <c r="J77" s="128">
        <v>-120.17</v>
      </c>
      <c r="K77" s="128">
        <v>-120.17</v>
      </c>
      <c r="L77" s="128">
        <v>-120.17</v>
      </c>
      <c r="M77" s="128">
        <v>-134.59</v>
      </c>
      <c r="N77" s="128">
        <v>-134.59</v>
      </c>
      <c r="R77" s="316"/>
      <c r="S77" s="158"/>
      <c r="T77" s="158"/>
      <c r="U77" s="158"/>
    </row>
    <row r="78" spans="1:21" ht="12.75" x14ac:dyDescent="0.2">
      <c r="B78" s="288" t="s">
        <v>58</v>
      </c>
      <c r="C78" s="128">
        <v>-120.17</v>
      </c>
      <c r="D78" s="128">
        <v>-120.17</v>
      </c>
      <c r="E78" s="128">
        <v>-120.17</v>
      </c>
      <c r="F78" s="128">
        <v>-120.17</v>
      </c>
      <c r="G78" s="317">
        <v>-120.17</v>
      </c>
      <c r="H78" s="317">
        <v>-120.17</v>
      </c>
      <c r="I78" s="128">
        <v>-120.17</v>
      </c>
      <c r="J78" s="128">
        <v>-120.17</v>
      </c>
      <c r="K78" s="128">
        <v>-120.17</v>
      </c>
      <c r="L78" s="128">
        <v>-120.17</v>
      </c>
      <c r="M78" s="128">
        <v>-134.59</v>
      </c>
      <c r="N78" s="128">
        <v>-134.59</v>
      </c>
      <c r="R78" s="316"/>
      <c r="S78" s="313"/>
    </row>
    <row r="79" spans="1:21" ht="12.75" x14ac:dyDescent="0.2">
      <c r="B79" s="288" t="s">
        <v>59</v>
      </c>
      <c r="C79" s="128">
        <v>69.38</v>
      </c>
      <c r="D79" s="128">
        <v>71.97</v>
      </c>
      <c r="E79" s="128">
        <v>78.17</v>
      </c>
      <c r="F79" s="128">
        <v>87.47</v>
      </c>
      <c r="G79" s="317">
        <v>77.81</v>
      </c>
      <c r="H79" s="317">
        <v>76.42</v>
      </c>
      <c r="I79" s="128">
        <v>81.59</v>
      </c>
      <c r="J79" s="128">
        <v>85.945999999999998</v>
      </c>
      <c r="K79" s="128">
        <v>80.394999999999996</v>
      </c>
      <c r="L79" s="128">
        <v>103.03299999999999</v>
      </c>
      <c r="M79" s="128">
        <v>102.494</v>
      </c>
      <c r="N79" s="128">
        <v>54.15</v>
      </c>
      <c r="O79" s="315">
        <f>SUM(C69:N79)</f>
        <v>12728.522999999996</v>
      </c>
      <c r="R79" s="316"/>
    </row>
    <row r="80" spans="1:21" ht="8.1" customHeight="1" x14ac:dyDescent="0.2">
      <c r="R80" s="316"/>
    </row>
    <row r="81" spans="1:19" ht="12.75" x14ac:dyDescent="0.2">
      <c r="A81" s="312" t="s">
        <v>64</v>
      </c>
      <c r="R81" s="316"/>
    </row>
    <row r="82" spans="1:19" x14ac:dyDescent="0.2">
      <c r="B82" s="288" t="s">
        <v>24</v>
      </c>
      <c r="C82" s="98">
        <f t="shared" ref="C82:N82" si="38">+C69*C55</f>
        <v>4706.2060500000007</v>
      </c>
      <c r="D82" s="75">
        <f t="shared" si="38"/>
        <v>5760.9526454999996</v>
      </c>
      <c r="E82" s="75">
        <f t="shared" si="38"/>
        <v>5536.6482599999999</v>
      </c>
      <c r="F82" s="75">
        <f t="shared" si="38"/>
        <v>7457.2844970000006</v>
      </c>
      <c r="G82" s="75">
        <f t="shared" si="38"/>
        <v>6779.2510890000003</v>
      </c>
      <c r="H82" s="75">
        <f t="shared" si="38"/>
        <v>5830.3676339999993</v>
      </c>
      <c r="I82" s="75">
        <f t="shared" si="38"/>
        <v>6515.1971430000012</v>
      </c>
      <c r="J82" s="75">
        <f t="shared" si="38"/>
        <v>7376.4987659999997</v>
      </c>
      <c r="K82" s="75">
        <f t="shared" si="38"/>
        <v>7626.0994719</v>
      </c>
      <c r="L82" s="75">
        <f t="shared" si="38"/>
        <v>6898.8916951499996</v>
      </c>
      <c r="M82" s="75">
        <f t="shared" si="38"/>
        <v>7541.3922947999999</v>
      </c>
      <c r="N82" s="75">
        <f t="shared" si="38"/>
        <v>3621.1922370000002</v>
      </c>
      <c r="P82" s="313"/>
      <c r="Q82" s="313"/>
      <c r="R82" s="313"/>
      <c r="S82" s="313"/>
    </row>
    <row r="83" spans="1:19" ht="12.75" x14ac:dyDescent="0.2">
      <c r="B83" s="288" t="s">
        <v>28</v>
      </c>
      <c r="C83" s="98">
        <f t="shared" ref="C83:C92" si="39">+C70*C56</f>
        <v>5226.3764783999995</v>
      </c>
      <c r="D83" s="75">
        <f>D70*D56</f>
        <v>6289.9836357599997</v>
      </c>
      <c r="E83" s="75">
        <f t="shared" ref="E83:N83" si="40">+E70*E56</f>
        <v>6144.2001403199993</v>
      </c>
      <c r="F83" s="75">
        <f t="shared" si="40"/>
        <v>8084.0573985600004</v>
      </c>
      <c r="G83" s="75">
        <f t="shared" si="40"/>
        <v>6823.8685904400008</v>
      </c>
      <c r="H83" s="75">
        <f t="shared" si="40"/>
        <v>6241.6642780800003</v>
      </c>
      <c r="I83" s="75">
        <f t="shared" si="40"/>
        <v>7206.9265976400002</v>
      </c>
      <c r="J83" s="75">
        <f t="shared" si="40"/>
        <v>8419.5578174400016</v>
      </c>
      <c r="K83" s="75">
        <f t="shared" si="40"/>
        <v>8856.9193592879983</v>
      </c>
      <c r="L83" s="75">
        <f t="shared" si="40"/>
        <v>8011.6130611439994</v>
      </c>
      <c r="M83" s="75">
        <f t="shared" si="40"/>
        <v>10160.27595198</v>
      </c>
      <c r="N83" s="75">
        <f t="shared" si="40"/>
        <v>6453.0187979399998</v>
      </c>
      <c r="P83" s="313"/>
      <c r="Q83" s="304"/>
      <c r="R83" s="158"/>
      <c r="S83" s="313"/>
    </row>
    <row r="84" spans="1:19" ht="12.75" x14ac:dyDescent="0.2">
      <c r="B84" s="288" t="s">
        <v>52</v>
      </c>
      <c r="C84" s="98">
        <f t="shared" si="39"/>
        <v>0</v>
      </c>
      <c r="D84" s="75">
        <f t="shared" ref="D84:H92" si="41">+D71*D57</f>
        <v>0</v>
      </c>
      <c r="E84" s="75">
        <f t="shared" si="41"/>
        <v>0</v>
      </c>
      <c r="F84" s="75">
        <f t="shared" si="41"/>
        <v>0</v>
      </c>
      <c r="G84" s="75">
        <f t="shared" si="41"/>
        <v>0</v>
      </c>
      <c r="H84" s="75">
        <f t="shared" si="41"/>
        <v>0</v>
      </c>
      <c r="I84" s="75"/>
      <c r="J84" s="75">
        <f t="shared" ref="J84:N92" si="42">+J71*J57</f>
        <v>0</v>
      </c>
      <c r="K84" s="75">
        <f t="shared" si="42"/>
        <v>0</v>
      </c>
      <c r="L84" s="75">
        <f t="shared" si="42"/>
        <v>0</v>
      </c>
      <c r="M84" s="75">
        <f t="shared" si="42"/>
        <v>0</v>
      </c>
      <c r="N84" s="75">
        <f t="shared" si="42"/>
        <v>0</v>
      </c>
      <c r="P84" s="313"/>
      <c r="Q84" s="304"/>
      <c r="R84" s="158"/>
      <c r="S84" s="313"/>
    </row>
    <row r="85" spans="1:19" ht="12.75" x14ac:dyDescent="0.2">
      <c r="B85" s="288" t="s">
        <v>53</v>
      </c>
      <c r="C85" s="98">
        <f t="shared" si="39"/>
        <v>407.4770238000001</v>
      </c>
      <c r="D85" s="75">
        <f t="shared" si="41"/>
        <v>418.30613550000004</v>
      </c>
      <c r="E85" s="75">
        <f t="shared" si="41"/>
        <v>326.87519535000001</v>
      </c>
      <c r="F85" s="75">
        <f t="shared" si="41"/>
        <v>400.41564749999998</v>
      </c>
      <c r="G85" s="75">
        <f t="shared" si="41"/>
        <v>375.14294895000006</v>
      </c>
      <c r="H85" s="75">
        <f t="shared" si="41"/>
        <v>292.60171248</v>
      </c>
      <c r="I85" s="75">
        <f>+I72*I58</f>
        <v>398.014920765</v>
      </c>
      <c r="J85" s="75">
        <f t="shared" si="42"/>
        <v>467.62720619999999</v>
      </c>
      <c r="K85" s="75">
        <f t="shared" si="42"/>
        <v>565.59084813000004</v>
      </c>
      <c r="L85" s="75">
        <f t="shared" si="42"/>
        <v>385.59453008999998</v>
      </c>
      <c r="M85" s="75">
        <f t="shared" si="42"/>
        <v>535.41626523000002</v>
      </c>
      <c r="N85" s="75">
        <f t="shared" si="42"/>
        <v>390.56799210000003</v>
      </c>
      <c r="P85" s="313"/>
      <c r="Q85" s="304"/>
      <c r="R85" s="158"/>
      <c r="S85" s="313"/>
    </row>
    <row r="86" spans="1:19" ht="12.75" x14ac:dyDescent="0.2">
      <c r="B86" s="288" t="s">
        <v>54</v>
      </c>
      <c r="C86" s="98">
        <f t="shared" si="39"/>
        <v>2006.7853848000004</v>
      </c>
      <c r="D86" s="75">
        <f t="shared" si="41"/>
        <v>2270.4607021500001</v>
      </c>
      <c r="E86" s="75">
        <f t="shared" si="41"/>
        <v>2049.6701066700002</v>
      </c>
      <c r="F86" s="75">
        <f t="shared" si="41"/>
        <v>2398.4423196399998</v>
      </c>
      <c r="G86" s="75">
        <f t="shared" si="41"/>
        <v>1909.2821746700004</v>
      </c>
      <c r="H86" s="75">
        <f t="shared" si="41"/>
        <v>1527.3037626</v>
      </c>
      <c r="I86" s="75">
        <f>+I73*I59</f>
        <v>1757.63257733</v>
      </c>
      <c r="J86" s="75">
        <f t="shared" si="42"/>
        <v>1874.2825393600001</v>
      </c>
      <c r="K86" s="75">
        <f t="shared" si="42"/>
        <v>2089.6177983100001</v>
      </c>
      <c r="L86" s="75">
        <f t="shared" si="42"/>
        <v>1784.6429158739998</v>
      </c>
      <c r="M86" s="75">
        <f t="shared" si="42"/>
        <v>1778.1406900459999</v>
      </c>
      <c r="N86" s="75">
        <f t="shared" si="42"/>
        <v>1378.19309862</v>
      </c>
      <c r="P86" s="313"/>
      <c r="Q86" s="304"/>
      <c r="R86" s="158"/>
      <c r="S86" s="313"/>
    </row>
    <row r="87" spans="1:19" ht="12.75" x14ac:dyDescent="0.2">
      <c r="B87" s="288" t="s">
        <v>55</v>
      </c>
      <c r="C87" s="98">
        <f t="shared" si="39"/>
        <v>1999.2294000000002</v>
      </c>
      <c r="D87" s="75">
        <f t="shared" si="41"/>
        <v>2281.3768574999999</v>
      </c>
      <c r="E87" s="75">
        <f t="shared" si="41"/>
        <v>1979.1938250000001</v>
      </c>
      <c r="F87" s="75">
        <f t="shared" si="41"/>
        <v>2451.3362999999999</v>
      </c>
      <c r="G87" s="75">
        <f t="shared" si="41"/>
        <v>2254.8036000000002</v>
      </c>
      <c r="H87" s="75">
        <f t="shared" si="41"/>
        <v>2058.1763999999998</v>
      </c>
      <c r="I87" s="75">
        <f>+I74*I60</f>
        <v>2292.84000225</v>
      </c>
      <c r="J87" s="75">
        <f t="shared" si="42"/>
        <v>2717.6516430000001</v>
      </c>
      <c r="K87" s="75">
        <f t="shared" si="42"/>
        <v>2763.4261431</v>
      </c>
      <c r="L87" s="75">
        <f t="shared" si="42"/>
        <v>2239.7607518999998</v>
      </c>
      <c r="M87" s="75">
        <f t="shared" si="42"/>
        <v>2617.1972105999998</v>
      </c>
      <c r="N87" s="75">
        <f t="shared" si="42"/>
        <v>2163.4895782499998</v>
      </c>
      <c r="P87" s="313"/>
      <c r="Q87" s="304"/>
      <c r="R87" s="158"/>
      <c r="S87" s="313"/>
    </row>
    <row r="88" spans="1:19" ht="12.75" x14ac:dyDescent="0.2">
      <c r="B88" s="288" t="s">
        <v>56</v>
      </c>
      <c r="C88" s="98">
        <f t="shared" si="39"/>
        <v>0</v>
      </c>
      <c r="D88" s="75">
        <f t="shared" si="41"/>
        <v>0</v>
      </c>
      <c r="E88" s="75">
        <f t="shared" si="41"/>
        <v>0</v>
      </c>
      <c r="F88" s="75">
        <f t="shared" si="41"/>
        <v>0</v>
      </c>
      <c r="G88" s="75">
        <f t="shared" si="41"/>
        <v>0</v>
      </c>
      <c r="H88" s="75">
        <f t="shared" si="41"/>
        <v>0</v>
      </c>
      <c r="I88" s="75"/>
      <c r="J88" s="75">
        <f t="shared" si="42"/>
        <v>0</v>
      </c>
      <c r="K88" s="75">
        <f t="shared" si="42"/>
        <v>0</v>
      </c>
      <c r="L88" s="75">
        <f t="shared" si="42"/>
        <v>0</v>
      </c>
      <c r="M88" s="75">
        <f t="shared" si="42"/>
        <v>0</v>
      </c>
      <c r="N88" s="75">
        <f t="shared" si="42"/>
        <v>0</v>
      </c>
      <c r="P88" s="313"/>
      <c r="Q88" s="304"/>
      <c r="R88" s="158"/>
      <c r="S88" s="313"/>
    </row>
    <row r="89" spans="1:19" ht="12.75" x14ac:dyDescent="0.2">
      <c r="B89" s="288" t="s">
        <v>49</v>
      </c>
      <c r="C89" s="98">
        <f t="shared" si="39"/>
        <v>-129.92819840000004</v>
      </c>
      <c r="D89" s="75">
        <f t="shared" si="41"/>
        <v>-539.38502903999995</v>
      </c>
      <c r="E89" s="75">
        <f t="shared" si="41"/>
        <v>-482.17406951999999</v>
      </c>
      <c r="F89" s="75">
        <f t="shared" si="41"/>
        <v>-110.06889088000001</v>
      </c>
      <c r="G89" s="75">
        <f t="shared" si="41"/>
        <v>-400.68320136000006</v>
      </c>
      <c r="H89" s="75">
        <f t="shared" si="41"/>
        <v>-400.93141087999999</v>
      </c>
      <c r="I89" s="75">
        <f>+I76*I62</f>
        <v>-1055.8106686400001</v>
      </c>
      <c r="J89" s="75">
        <f t="shared" si="42"/>
        <v>-1462.1918688000001</v>
      </c>
      <c r="K89" s="75">
        <f t="shared" si="42"/>
        <v>-808.37556800000016</v>
      </c>
      <c r="L89" s="75">
        <f t="shared" si="42"/>
        <v>-592.94114360000003</v>
      </c>
      <c r="M89" s="75">
        <f t="shared" si="42"/>
        <v>-670.72389696000005</v>
      </c>
      <c r="N89" s="75">
        <f t="shared" si="42"/>
        <v>-562.26793479999992</v>
      </c>
      <c r="P89" s="313"/>
      <c r="Q89" s="304"/>
      <c r="R89" s="158"/>
      <c r="S89" s="313"/>
    </row>
    <row r="90" spans="1:19" ht="12.75" x14ac:dyDescent="0.2">
      <c r="B90" s="288" t="s">
        <v>57</v>
      </c>
      <c r="C90" s="98">
        <f t="shared" si="39"/>
        <v>0</v>
      </c>
      <c r="D90" s="75">
        <f t="shared" si="41"/>
        <v>0</v>
      </c>
      <c r="E90" s="75">
        <f t="shared" si="41"/>
        <v>0</v>
      </c>
      <c r="F90" s="75">
        <f t="shared" si="41"/>
        <v>0</v>
      </c>
      <c r="G90" s="75">
        <f t="shared" si="41"/>
        <v>0</v>
      </c>
      <c r="H90" s="75">
        <f t="shared" si="41"/>
        <v>0</v>
      </c>
      <c r="I90" s="75">
        <f>+I77*I63</f>
        <v>0</v>
      </c>
      <c r="J90" s="75">
        <f t="shared" si="42"/>
        <v>0</v>
      </c>
      <c r="K90" s="75">
        <f t="shared" si="42"/>
        <v>0</v>
      </c>
      <c r="L90" s="75">
        <f t="shared" si="42"/>
        <v>0</v>
      </c>
      <c r="M90" s="75">
        <f t="shared" si="42"/>
        <v>0</v>
      </c>
      <c r="N90" s="75">
        <f t="shared" si="42"/>
        <v>0</v>
      </c>
      <c r="P90" s="313"/>
      <c r="Q90" s="304"/>
      <c r="R90" s="158"/>
      <c r="S90" s="313"/>
    </row>
    <row r="91" spans="1:19" x14ac:dyDescent="0.2">
      <c r="B91" s="288" t="s">
        <v>58</v>
      </c>
      <c r="C91" s="98">
        <f t="shared" si="39"/>
        <v>-2380.3960972400055</v>
      </c>
      <c r="D91" s="75">
        <f t="shared" si="41"/>
        <v>-2783.6610210300059</v>
      </c>
      <c r="E91" s="75">
        <f t="shared" si="41"/>
        <v>-2420.2308900300054</v>
      </c>
      <c r="F91" s="75">
        <f t="shared" si="41"/>
        <v>-2918.7002559800062</v>
      </c>
      <c r="G91" s="75">
        <f t="shared" si="41"/>
        <v>-2732.6382810700061</v>
      </c>
      <c r="H91" s="75">
        <f t="shared" si="41"/>
        <v>-2408.3303347600054</v>
      </c>
      <c r="I91" s="75">
        <f>+I78*I64</f>
        <v>-2604.3688230700059</v>
      </c>
      <c r="J91" s="75">
        <f t="shared" si="42"/>
        <v>-2990.1035876000064</v>
      </c>
      <c r="K91" s="75">
        <f t="shared" si="42"/>
        <v>-2962.0268284600065</v>
      </c>
      <c r="L91" s="75">
        <f t="shared" si="42"/>
        <v>-2265.3098890900046</v>
      </c>
      <c r="M91" s="75">
        <f t="shared" si="42"/>
        <v>-2900.2037320600061</v>
      </c>
      <c r="N91" s="75">
        <f t="shared" si="42"/>
        <v>-2428.9146397100053</v>
      </c>
      <c r="P91" s="313"/>
      <c r="Q91" s="313"/>
      <c r="R91" s="313"/>
      <c r="S91" s="313"/>
    </row>
    <row r="92" spans="1:19" x14ac:dyDescent="0.2">
      <c r="B92" s="288" t="s">
        <v>59</v>
      </c>
      <c r="C92" s="99">
        <f t="shared" si="39"/>
        <v>7457.9387153599928</v>
      </c>
      <c r="D92" s="90">
        <f t="shared" si="41"/>
        <v>9046.9697059799983</v>
      </c>
      <c r="E92" s="90">
        <f t="shared" si="41"/>
        <v>8543.4286507799952</v>
      </c>
      <c r="F92" s="90">
        <f t="shared" si="41"/>
        <v>11528.794764679995</v>
      </c>
      <c r="G92" s="90">
        <f t="shared" si="41"/>
        <v>9601.8042652599961</v>
      </c>
      <c r="H92" s="90">
        <f t="shared" si="41"/>
        <v>8311.0974497599982</v>
      </c>
      <c r="I92" s="90">
        <f>+I79*I65</f>
        <v>9595.6567911399925</v>
      </c>
      <c r="J92" s="90">
        <f t="shared" si="42"/>
        <v>11605.054606880001</v>
      </c>
      <c r="K92" s="90">
        <f t="shared" si="42"/>
        <v>10753.585998259996</v>
      </c>
      <c r="L92" s="90">
        <f t="shared" si="42"/>
        <v>10539.967007065994</v>
      </c>
      <c r="M92" s="90">
        <f t="shared" si="42"/>
        <v>11985.205995895994</v>
      </c>
      <c r="N92" s="75">
        <f t="shared" si="42"/>
        <v>5303.0932850999961</v>
      </c>
    </row>
    <row r="93" spans="1:19" x14ac:dyDescent="0.2">
      <c r="A93" s="312" t="s">
        <v>65</v>
      </c>
      <c r="B93" s="312"/>
      <c r="C93" s="187">
        <f t="shared" ref="C93:N93" si="43">SUM(C82:C92)</f>
        <v>19293.688756719988</v>
      </c>
      <c r="D93" s="188">
        <f t="shared" si="43"/>
        <v>22745.003632319993</v>
      </c>
      <c r="E93" s="188">
        <f t="shared" si="43"/>
        <v>21677.611218569989</v>
      </c>
      <c r="F93" s="188">
        <f t="shared" si="43"/>
        <v>29291.561780519987</v>
      </c>
      <c r="G93" s="188">
        <f t="shared" si="43"/>
        <v>24610.831185889998</v>
      </c>
      <c r="H93" s="188">
        <f t="shared" si="43"/>
        <v>21451.949491279993</v>
      </c>
      <c r="I93" s="188">
        <f t="shared" si="43"/>
        <v>24106.088540414989</v>
      </c>
      <c r="J93" s="188">
        <f t="shared" si="43"/>
        <v>28008.37712248</v>
      </c>
      <c r="K93" s="188">
        <f t="shared" si="43"/>
        <v>28884.837222527989</v>
      </c>
      <c r="L93" s="188">
        <f t="shared" si="43"/>
        <v>27002.218928533992</v>
      </c>
      <c r="M93" s="188">
        <f t="shared" si="43"/>
        <v>31046.700779531984</v>
      </c>
      <c r="N93" s="189">
        <f t="shared" si="43"/>
        <v>16318.372414499989</v>
      </c>
      <c r="O93" s="315">
        <f>SUM(C93:N93)/2</f>
        <v>147218.62053664445</v>
      </c>
    </row>
    <row r="94" spans="1:19" x14ac:dyDescent="0.2">
      <c r="A94" s="312" t="s">
        <v>66</v>
      </c>
      <c r="B94" s="312"/>
      <c r="C94" s="187">
        <f t="shared" ref="C94:N94" si="44">+C93/C66</f>
        <v>57.758617999999963</v>
      </c>
      <c r="D94" s="188">
        <f t="shared" si="44"/>
        <v>58.226463999999986</v>
      </c>
      <c r="E94" s="188">
        <f t="shared" si="44"/>
        <v>63.827138999999967</v>
      </c>
      <c r="F94" s="188">
        <f t="shared" si="44"/>
        <v>71.516093999999967</v>
      </c>
      <c r="G94" s="188">
        <f t="shared" si="44"/>
        <v>64.179286999999988</v>
      </c>
      <c r="H94" s="188">
        <f t="shared" si="44"/>
        <v>63.474817999999985</v>
      </c>
      <c r="I94" s="188">
        <f t="shared" si="44"/>
        <v>65.959144499999965</v>
      </c>
      <c r="J94" s="188">
        <f t="shared" si="44"/>
        <v>66.750183800000002</v>
      </c>
      <c r="K94" s="188">
        <f t="shared" si="44"/>
        <v>69.491500799999969</v>
      </c>
      <c r="L94" s="188">
        <f t="shared" si="44"/>
        <v>84.942020599999978</v>
      </c>
      <c r="M94" s="188">
        <f t="shared" si="44"/>
        <v>85.438661399999958</v>
      </c>
      <c r="N94" s="75">
        <f t="shared" si="44"/>
        <v>53.620649999999969</v>
      </c>
    </row>
    <row r="95" spans="1:19" ht="8.1" customHeight="1" x14ac:dyDescent="0.2"/>
    <row r="96" spans="1:19" x14ac:dyDescent="0.2">
      <c r="A96" s="312" t="s">
        <v>82</v>
      </c>
      <c r="C96" s="315">
        <f t="shared" ref="C96:N96" si="45">C94*0.7</f>
        <v>40.431032599999973</v>
      </c>
      <c r="D96" s="315">
        <f t="shared" si="45"/>
        <v>40.758524799999989</v>
      </c>
      <c r="E96" s="315">
        <f t="shared" si="45"/>
        <v>44.678997299999978</v>
      </c>
      <c r="F96" s="315">
        <f t="shared" si="45"/>
        <v>50.061265799999973</v>
      </c>
      <c r="G96" s="315">
        <f t="shared" si="45"/>
        <v>44.925500899999989</v>
      </c>
      <c r="H96" s="315">
        <f t="shared" si="45"/>
        <v>44.432372599999987</v>
      </c>
      <c r="I96" s="315">
        <f t="shared" si="45"/>
        <v>46.171401149999973</v>
      </c>
      <c r="J96" s="315">
        <f t="shared" si="45"/>
        <v>46.725128659999996</v>
      </c>
      <c r="K96" s="315">
        <f t="shared" si="45"/>
        <v>48.644050559999975</v>
      </c>
      <c r="L96" s="315">
        <f t="shared" si="45"/>
        <v>59.45941441999998</v>
      </c>
      <c r="M96" s="315">
        <f t="shared" si="45"/>
        <v>59.807062979999969</v>
      </c>
      <c r="N96" s="315">
        <f t="shared" si="45"/>
        <v>37.534454999999973</v>
      </c>
    </row>
    <row r="97" spans="1:10" x14ac:dyDescent="0.2">
      <c r="C97" s="102"/>
      <c r="D97" s="102"/>
      <c r="E97" s="102"/>
      <c r="F97" s="102"/>
      <c r="G97" s="102"/>
      <c r="H97" s="102"/>
      <c r="I97" s="102"/>
      <c r="J97" s="313"/>
    </row>
    <row r="98" spans="1:10" x14ac:dyDescent="0.2">
      <c r="A98" s="312"/>
      <c r="B98" s="312"/>
      <c r="C98" s="187"/>
      <c r="D98" s="187"/>
      <c r="E98" s="187">
        <v>27.49</v>
      </c>
      <c r="F98" s="187"/>
      <c r="G98" s="187"/>
      <c r="H98" s="187"/>
      <c r="I98" s="187"/>
      <c r="J98" s="314"/>
    </row>
    <row r="99" spans="1:10" ht="8.1" customHeight="1" x14ac:dyDescent="0.2">
      <c r="C99" s="313"/>
      <c r="D99" s="313"/>
      <c r="E99" s="313"/>
      <c r="F99" s="313"/>
      <c r="G99" s="313"/>
      <c r="H99" s="313"/>
      <c r="I99" s="313"/>
      <c r="J99" s="313"/>
    </row>
    <row r="100" spans="1:10" x14ac:dyDescent="0.2">
      <c r="A100" s="312"/>
      <c r="B100" s="312"/>
      <c r="C100" s="314"/>
      <c r="D100" s="314"/>
      <c r="E100" s="314"/>
      <c r="F100" s="314"/>
      <c r="G100" s="314"/>
      <c r="H100" s="314"/>
      <c r="I100" s="314"/>
      <c r="J100" s="314"/>
    </row>
    <row r="101" spans="1:10" ht="8.1" customHeight="1" x14ac:dyDescent="0.2">
      <c r="C101" s="313"/>
      <c r="D101" s="313"/>
      <c r="E101" s="313"/>
      <c r="F101" s="313"/>
      <c r="G101" s="313"/>
      <c r="H101" s="313"/>
      <c r="I101" s="313"/>
      <c r="J101" s="313"/>
    </row>
    <row r="102" spans="1:10" x14ac:dyDescent="0.2">
      <c r="A102" s="312"/>
      <c r="C102" s="102"/>
      <c r="D102" s="102"/>
      <c r="E102" s="102"/>
      <c r="F102" s="102"/>
      <c r="G102" s="102"/>
      <c r="H102" s="102"/>
      <c r="I102" s="102"/>
      <c r="J102" s="105"/>
    </row>
    <row r="105" spans="1:10" x14ac:dyDescent="0.2">
      <c r="B105" s="288" t="str">
        <f ca="1">CELL("filename")</f>
        <v>S:\District\~WUTC Files~\1. RSA\2017-2019 Plan Year\UTC Filing 12-2018\Revised Filing\Bellevue\[Revised TG-181020 fixed Staff comm CR RS adjust.xlsx]Staff Analysis</v>
      </c>
    </row>
  </sheetData>
  <pageMargins left="0.5" right="0.5" top="0.75" bottom="0.75" header="0.5" footer="0.5"/>
  <pageSetup scale="58" fitToWidth="0" orientation="portrait" r:id="rId1"/>
  <headerFooter alignWithMargins="0"/>
  <rowBreaks count="1" manualBreakCount="1">
    <brk id="53" max="1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76"/>
  <sheetViews>
    <sheetView workbookViewId="0">
      <selection activeCell="H36" sqref="H36"/>
    </sheetView>
  </sheetViews>
  <sheetFormatPr defaultRowHeight="12.75" x14ac:dyDescent="0.2"/>
  <cols>
    <col min="1" max="1" width="7" bestFit="1" customWidth="1"/>
    <col min="2" max="2" width="22.85546875" bestFit="1" customWidth="1"/>
    <col min="3" max="3" width="18.28515625" bestFit="1" customWidth="1"/>
    <col min="4" max="4" width="16.5703125" bestFit="1" customWidth="1"/>
    <col min="5" max="5" width="12.28515625" bestFit="1" customWidth="1"/>
    <col min="6" max="6" width="18.140625" bestFit="1" customWidth="1"/>
  </cols>
  <sheetData>
    <row r="1" spans="1:6" x14ac:dyDescent="0.2">
      <c r="A1" s="359" t="s">
        <v>159</v>
      </c>
      <c r="B1" s="359"/>
      <c r="C1" s="359"/>
      <c r="D1" s="359"/>
      <c r="E1" s="359"/>
      <c r="F1" s="359"/>
    </row>
    <row r="2" spans="1:6" ht="15" x14ac:dyDescent="0.25">
      <c r="A2" s="360" t="s">
        <v>1</v>
      </c>
      <c r="B2" s="360"/>
      <c r="C2" s="360"/>
      <c r="D2" s="257"/>
    </row>
    <row r="3" spans="1:6" ht="90" x14ac:dyDescent="0.25">
      <c r="A3" s="257"/>
      <c r="B3" s="257"/>
      <c r="C3" s="257" t="s">
        <v>160</v>
      </c>
      <c r="D3" s="257" t="s">
        <v>161</v>
      </c>
      <c r="E3" s="258" t="s">
        <v>162</v>
      </c>
      <c r="F3" s="258" t="s">
        <v>163</v>
      </c>
    </row>
    <row r="4" spans="1:6" x14ac:dyDescent="0.2">
      <c r="A4" s="277">
        <v>160806</v>
      </c>
      <c r="B4" s="277" t="s">
        <v>164</v>
      </c>
      <c r="C4" s="278">
        <v>219206.53</v>
      </c>
      <c r="D4" s="279">
        <f>C4*0.5</f>
        <v>109603.265</v>
      </c>
      <c r="E4" s="279">
        <f>(D4/($D$4+$D$5+$D$6+$D$13+$D$14+$D$15))*$E$32</f>
        <v>109509.23868908605</v>
      </c>
      <c r="F4" s="279">
        <f>C4-E4</f>
        <v>109697.29131091395</v>
      </c>
    </row>
    <row r="5" spans="1:6" x14ac:dyDescent="0.2">
      <c r="A5" s="277">
        <v>160807</v>
      </c>
      <c r="B5" s="277" t="s">
        <v>165</v>
      </c>
      <c r="C5" s="278">
        <v>352005.81</v>
      </c>
      <c r="D5" s="279">
        <f t="shared" ref="D5:D7" si="0">C5*0.5</f>
        <v>176002.905</v>
      </c>
      <c r="E5" s="279">
        <f>(D5/($D$4+$D$5+$D$6+$D$13+$D$14+$D$15))*$E$32</f>
        <v>175851.91584956466</v>
      </c>
      <c r="F5" s="279">
        <f t="shared" ref="F5:F7" si="1">C5-E5</f>
        <v>176153.89415043534</v>
      </c>
    </row>
    <row r="6" spans="1:6" x14ac:dyDescent="0.2">
      <c r="A6" s="277">
        <v>160813</v>
      </c>
      <c r="B6" s="277" t="s">
        <v>166</v>
      </c>
      <c r="C6" s="278">
        <v>72871.23</v>
      </c>
      <c r="D6" s="279">
        <f t="shared" si="0"/>
        <v>36435.614999999998</v>
      </c>
      <c r="E6" s="279">
        <f>(D6/($D$4+$D$5+$D$6+$D$13+$D$14+$D$15))*$E$32</f>
        <v>36404.357660500747</v>
      </c>
      <c r="F6" s="279">
        <f t="shared" si="1"/>
        <v>36466.872339499248</v>
      </c>
    </row>
    <row r="7" spans="1:6" x14ac:dyDescent="0.2">
      <c r="A7" s="259">
        <v>160810</v>
      </c>
      <c r="B7" s="259" t="s">
        <v>167</v>
      </c>
      <c r="C7" s="260">
        <v>310903.52</v>
      </c>
      <c r="D7" s="261">
        <f t="shared" si="0"/>
        <v>155451.76</v>
      </c>
      <c r="E7" s="261">
        <f>(D7/($D$7+$D$16))*$E$44</f>
        <v>151664.75962237545</v>
      </c>
      <c r="F7" s="261">
        <f t="shared" si="1"/>
        <v>159238.76037762457</v>
      </c>
    </row>
    <row r="8" spans="1:6" x14ac:dyDescent="0.2">
      <c r="B8" s="280" t="s">
        <v>168</v>
      </c>
      <c r="C8" s="280">
        <f>SUM(C4:C6)</f>
        <v>644083.56999999995</v>
      </c>
      <c r="D8" s="280">
        <f>SUM(D4:D6)</f>
        <v>322041.78499999997</v>
      </c>
      <c r="E8" s="280">
        <f>SUM(E4:E6)</f>
        <v>321765.51219915145</v>
      </c>
      <c r="F8" s="280">
        <f>SUM(F4:F6)</f>
        <v>322318.05780084856</v>
      </c>
    </row>
    <row r="9" spans="1:6" x14ac:dyDescent="0.2">
      <c r="B9" s="282" t="s">
        <v>169</v>
      </c>
      <c r="C9" s="282">
        <f>C7</f>
        <v>310903.52</v>
      </c>
      <c r="D9" s="282">
        <f>D7</f>
        <v>155451.76</v>
      </c>
      <c r="E9" s="282">
        <f t="shared" ref="E9:F9" si="2">E7</f>
        <v>151664.75962237545</v>
      </c>
      <c r="F9" s="282">
        <f t="shared" si="2"/>
        <v>159238.76037762457</v>
      </c>
    </row>
    <row r="10" spans="1:6" x14ac:dyDescent="0.2">
      <c r="B10" t="s">
        <v>30</v>
      </c>
      <c r="C10" s="263">
        <f>SUM(C8:C9)</f>
        <v>954987.09</v>
      </c>
      <c r="D10" s="263">
        <f t="shared" ref="D10:F10" si="3">SUM(D8:D9)</f>
        <v>477493.54499999998</v>
      </c>
      <c r="E10" s="263">
        <f t="shared" si="3"/>
        <v>473430.27182152693</v>
      </c>
      <c r="F10" s="263">
        <f t="shared" si="3"/>
        <v>481556.81817847316</v>
      </c>
    </row>
    <row r="11" spans="1:6" ht="15" x14ac:dyDescent="0.25">
      <c r="A11" s="360" t="s">
        <v>170</v>
      </c>
      <c r="B11" s="360"/>
      <c r="C11" s="360"/>
      <c r="D11" s="257"/>
    </row>
    <row r="12" spans="1:6" ht="15" x14ac:dyDescent="0.25">
      <c r="A12" s="257"/>
      <c r="B12" s="257"/>
      <c r="C12" s="257" t="s">
        <v>160</v>
      </c>
      <c r="D12" s="257" t="s">
        <v>171</v>
      </c>
    </row>
    <row r="13" spans="1:6" x14ac:dyDescent="0.2">
      <c r="A13" s="277">
        <v>160806</v>
      </c>
      <c r="B13" s="277" t="s">
        <v>164</v>
      </c>
      <c r="C13" s="278">
        <v>27466.12</v>
      </c>
      <c r="D13" s="279">
        <f>C13*0.5</f>
        <v>13733.06</v>
      </c>
      <c r="E13" s="279">
        <f>(D13/($D$4+$D$5+$D$6+$D$13+$D$14+$D$15))*$E$32</f>
        <v>13721.27869978636</v>
      </c>
      <c r="F13" s="279">
        <f>C13-E13</f>
        <v>13744.841300213639</v>
      </c>
    </row>
    <row r="14" spans="1:6" x14ac:dyDescent="0.2">
      <c r="A14" s="277">
        <v>160807</v>
      </c>
      <c r="B14" s="277" t="s">
        <v>165</v>
      </c>
      <c r="C14" s="278">
        <v>3963.92</v>
      </c>
      <c r="D14" s="279">
        <f t="shared" ref="D14:D16" si="4">C14*0.5</f>
        <v>1981.96</v>
      </c>
      <c r="E14" s="279">
        <f>(D14/($D$4+$D$5+$D$6+$D$13+$D$14+$D$15))*$E$32</f>
        <v>1980.259718651821</v>
      </c>
      <c r="F14" s="279">
        <f t="shared" ref="F14:F16" si="5">C14-E14</f>
        <v>1983.6602813481791</v>
      </c>
    </row>
    <row r="15" spans="1:6" x14ac:dyDescent="0.2">
      <c r="A15" s="277">
        <v>160813</v>
      </c>
      <c r="B15" s="277" t="s">
        <v>166</v>
      </c>
      <c r="C15" s="278">
        <v>8911.7900000000009</v>
      </c>
      <c r="D15" s="279">
        <f t="shared" si="4"/>
        <v>4455.8950000000004</v>
      </c>
      <c r="E15" s="279">
        <f>(D15/($D$4+$D$5+$D$6+$D$13+$D$14+$D$15))*$E$32</f>
        <v>4452.0723824103698</v>
      </c>
      <c r="F15" s="279">
        <f t="shared" si="5"/>
        <v>4459.7176175896311</v>
      </c>
    </row>
    <row r="16" spans="1:6" x14ac:dyDescent="0.2">
      <c r="A16" s="259">
        <v>160810</v>
      </c>
      <c r="B16" s="259" t="s">
        <v>167</v>
      </c>
      <c r="C16" s="260">
        <v>56638.26</v>
      </c>
      <c r="D16" s="261">
        <f t="shared" si="4"/>
        <v>28319.13</v>
      </c>
      <c r="E16" s="261">
        <f>(D16/($D$7+$D$16))*$E$44</f>
        <v>27629.240377624552</v>
      </c>
      <c r="F16" s="261">
        <f t="shared" si="5"/>
        <v>29009.01962237545</v>
      </c>
    </row>
    <row r="17" spans="1:8" x14ac:dyDescent="0.2">
      <c r="B17" s="280" t="s">
        <v>168</v>
      </c>
      <c r="C17" s="280">
        <f>SUM(C13:C16)</f>
        <v>96980.09</v>
      </c>
      <c r="D17" s="280">
        <f>SUM(D13:D16)</f>
        <v>48490.044999999998</v>
      </c>
      <c r="E17" s="280">
        <f>SUM(E13:E15)</f>
        <v>20153.610800848553</v>
      </c>
      <c r="F17" s="280">
        <f>SUM(F13:F15)</f>
        <v>20188.219199151448</v>
      </c>
    </row>
    <row r="18" spans="1:8" x14ac:dyDescent="0.2">
      <c r="B18" s="282" t="s">
        <v>169</v>
      </c>
      <c r="C18" s="282">
        <f>C16</f>
        <v>56638.26</v>
      </c>
      <c r="D18" s="282">
        <f t="shared" ref="D18:F18" si="6">D16</f>
        <v>28319.13</v>
      </c>
      <c r="E18" s="282">
        <f t="shared" si="6"/>
        <v>27629.240377624552</v>
      </c>
      <c r="F18" s="282">
        <f t="shared" si="6"/>
        <v>29009.01962237545</v>
      </c>
    </row>
    <row r="19" spans="1:8" x14ac:dyDescent="0.2">
      <c r="B19" t="s">
        <v>30</v>
      </c>
      <c r="C19" s="263">
        <f>SUM(C17:C18)</f>
        <v>153618.35</v>
      </c>
      <c r="D19" s="263">
        <f t="shared" ref="D19:F19" si="7">SUM(D17:D18)</f>
        <v>76809.175000000003</v>
      </c>
      <c r="E19" s="263">
        <f t="shared" si="7"/>
        <v>47782.851178473109</v>
      </c>
      <c r="F19" s="263">
        <f t="shared" si="7"/>
        <v>49197.238821526902</v>
      </c>
    </row>
    <row r="20" spans="1:8" ht="15.75" thickBot="1" x14ac:dyDescent="0.3">
      <c r="B20" s="264" t="s">
        <v>172</v>
      </c>
      <c r="C20" s="265">
        <f>C19+C10</f>
        <v>1108605.4399999999</v>
      </c>
      <c r="D20" s="265">
        <f t="shared" ref="D20:F20" si="8">D19+D10</f>
        <v>554302.71999999997</v>
      </c>
      <c r="E20" s="265">
        <f t="shared" si="8"/>
        <v>521213.12300000002</v>
      </c>
      <c r="F20" s="265">
        <f t="shared" si="8"/>
        <v>530754.05700000003</v>
      </c>
    </row>
    <row r="21" spans="1:8" x14ac:dyDescent="0.2">
      <c r="C21" s="263"/>
      <c r="D21" s="263"/>
      <c r="E21" s="263"/>
      <c r="F21" s="263"/>
    </row>
    <row r="22" spans="1:8" ht="15" x14ac:dyDescent="0.25">
      <c r="A22" s="361" t="s">
        <v>173</v>
      </c>
      <c r="B22" s="361"/>
      <c r="C22" s="361"/>
      <c r="D22" s="281"/>
      <c r="E22" s="277"/>
      <c r="F22" s="277"/>
    </row>
    <row r="23" spans="1:8" ht="15" x14ac:dyDescent="0.25">
      <c r="A23" s="281"/>
      <c r="B23" s="281"/>
      <c r="C23" s="281" t="s">
        <v>174</v>
      </c>
      <c r="D23" s="281"/>
      <c r="E23" s="281" t="s">
        <v>175</v>
      </c>
      <c r="F23" s="281" t="s">
        <v>176</v>
      </c>
    </row>
    <row r="24" spans="1:8" x14ac:dyDescent="0.2">
      <c r="A24" s="277" t="s">
        <v>177</v>
      </c>
      <c r="B24" s="277" t="s">
        <v>178</v>
      </c>
      <c r="C24" s="278">
        <v>174000</v>
      </c>
      <c r="D24" s="279"/>
      <c r="E24" s="278">
        <f>66000+20727</f>
        <v>86727</v>
      </c>
      <c r="F24" s="278">
        <f>C24-E24</f>
        <v>87273</v>
      </c>
      <c r="H24" s="285"/>
    </row>
    <row r="25" spans="1:8" x14ac:dyDescent="0.2">
      <c r="A25" s="277" t="s">
        <v>179</v>
      </c>
      <c r="B25" s="277" t="s">
        <v>180</v>
      </c>
      <c r="C25" s="278">
        <v>22000</v>
      </c>
      <c r="D25" s="279"/>
      <c r="E25" s="278">
        <v>11000</v>
      </c>
      <c r="F25" s="278">
        <f t="shared" ref="F25:F29" si="9">C25-E25</f>
        <v>11000</v>
      </c>
    </row>
    <row r="26" spans="1:8" x14ac:dyDescent="0.2">
      <c r="A26" s="277" t="s">
        <v>181</v>
      </c>
      <c r="B26" s="277" t="s">
        <v>182</v>
      </c>
      <c r="C26" s="278">
        <v>145000</v>
      </c>
      <c r="D26" s="279"/>
      <c r="E26" s="278">
        <v>131410.51</v>
      </c>
      <c r="F26" s="278">
        <f t="shared" si="9"/>
        <v>13589.489999999991</v>
      </c>
    </row>
    <row r="27" spans="1:8" x14ac:dyDescent="0.2">
      <c r="A27" s="277" t="s">
        <v>183</v>
      </c>
      <c r="B27" s="277" t="s">
        <v>184</v>
      </c>
      <c r="C27" s="278">
        <v>0</v>
      </c>
      <c r="D27" s="279"/>
      <c r="E27" s="278">
        <v>0</v>
      </c>
      <c r="F27" s="278">
        <f t="shared" si="9"/>
        <v>0</v>
      </c>
    </row>
    <row r="28" spans="1:8" x14ac:dyDescent="0.2">
      <c r="A28" s="277" t="s">
        <v>185</v>
      </c>
      <c r="B28" s="277" t="s">
        <v>186</v>
      </c>
      <c r="C28" s="278">
        <v>200000</v>
      </c>
      <c r="D28" s="279"/>
      <c r="E28" s="278">
        <v>15950</v>
      </c>
      <c r="F28" s="278">
        <f t="shared" si="9"/>
        <v>184050</v>
      </c>
    </row>
    <row r="29" spans="1:8" x14ac:dyDescent="0.2">
      <c r="A29" s="277" t="s">
        <v>187</v>
      </c>
      <c r="B29" s="277" t="s">
        <v>188</v>
      </c>
      <c r="C29" s="278">
        <v>190000</v>
      </c>
      <c r="D29" s="279"/>
      <c r="E29" s="278">
        <f>15210+65339.75</f>
        <v>80549.75</v>
      </c>
      <c r="F29" s="278">
        <f t="shared" si="9"/>
        <v>109450.25</v>
      </c>
    </row>
    <row r="30" spans="1:8" x14ac:dyDescent="0.2">
      <c r="A30" s="277"/>
      <c r="B30" s="277"/>
      <c r="C30" s="280">
        <f>SUM(C24:C29)</f>
        <v>731000</v>
      </c>
      <c r="D30" s="280"/>
      <c r="E30" s="280">
        <f>SUM(E24:E29)</f>
        <v>325637.26</v>
      </c>
      <c r="F30" s="280">
        <f>SUM(F24:F29)</f>
        <v>405362.74</v>
      </c>
    </row>
    <row r="31" spans="1:8" x14ac:dyDescent="0.2">
      <c r="D31" t="s">
        <v>189</v>
      </c>
      <c r="E31" s="263">
        <f>E30*0.05</f>
        <v>16281.863000000001</v>
      </c>
      <c r="F31" s="263">
        <f>F30*0.05</f>
        <v>20268.137000000002</v>
      </c>
    </row>
    <row r="32" spans="1:8" ht="13.5" thickBot="1" x14ac:dyDescent="0.25">
      <c r="D32" t="s">
        <v>190</v>
      </c>
      <c r="E32" s="267">
        <f>E31+E30</f>
        <v>341919.12300000002</v>
      </c>
      <c r="F32" s="267">
        <f>F31+F30</f>
        <v>425630.87699999998</v>
      </c>
    </row>
    <row r="33" spans="1:6" ht="13.5" thickTop="1" x14ac:dyDescent="0.2"/>
    <row r="35" spans="1:6" ht="15" x14ac:dyDescent="0.25">
      <c r="A35" s="362" t="s">
        <v>191</v>
      </c>
      <c r="B35" s="362"/>
      <c r="C35" s="362"/>
      <c r="D35" s="266"/>
      <c r="E35" s="259"/>
      <c r="F35" s="259"/>
    </row>
    <row r="36" spans="1:6" ht="15" x14ac:dyDescent="0.25">
      <c r="A36" s="266"/>
      <c r="B36" s="266"/>
      <c r="C36" s="266" t="s">
        <v>174</v>
      </c>
      <c r="D36" s="266"/>
      <c r="E36" s="266" t="s">
        <v>175</v>
      </c>
      <c r="F36" s="266" t="s">
        <v>176</v>
      </c>
    </row>
    <row r="37" spans="1:6" x14ac:dyDescent="0.2">
      <c r="A37" s="259" t="s">
        <v>177</v>
      </c>
      <c r="B37" s="259" t="s">
        <v>178</v>
      </c>
      <c r="C37" s="260">
        <v>74000</v>
      </c>
      <c r="D37" s="261"/>
      <c r="E37" s="260">
        <f>27000+8883</f>
        <v>35883</v>
      </c>
      <c r="F37" s="260">
        <f>C37-E37</f>
        <v>38117</v>
      </c>
    </row>
    <row r="38" spans="1:6" x14ac:dyDescent="0.2">
      <c r="A38" s="259" t="s">
        <v>179</v>
      </c>
      <c r="B38" s="259" t="s">
        <v>180</v>
      </c>
      <c r="C38" s="260">
        <v>0</v>
      </c>
      <c r="D38" s="261"/>
      <c r="E38" s="260">
        <v>0</v>
      </c>
      <c r="F38" s="260">
        <f t="shared" ref="F38:F43" si="10">C38-E38</f>
        <v>0</v>
      </c>
    </row>
    <row r="39" spans="1:6" x14ac:dyDescent="0.2">
      <c r="A39" s="259" t="s">
        <v>181</v>
      </c>
      <c r="B39" s="259" t="s">
        <v>192</v>
      </c>
      <c r="C39" s="260">
        <v>10000</v>
      </c>
      <c r="D39" s="261"/>
      <c r="E39" s="260">
        <v>0</v>
      </c>
      <c r="F39" s="260">
        <f t="shared" si="10"/>
        <v>10000</v>
      </c>
    </row>
    <row r="40" spans="1:6" x14ac:dyDescent="0.2">
      <c r="A40" s="259" t="s">
        <v>183</v>
      </c>
      <c r="B40" s="259" t="s">
        <v>184</v>
      </c>
      <c r="C40" s="260">
        <v>29000</v>
      </c>
      <c r="D40" s="261"/>
      <c r="E40" s="260">
        <v>0</v>
      </c>
      <c r="F40" s="260">
        <f t="shared" si="10"/>
        <v>29000</v>
      </c>
    </row>
    <row r="41" spans="1:6" x14ac:dyDescent="0.2">
      <c r="A41" s="259" t="s">
        <v>185</v>
      </c>
      <c r="B41" s="259" t="s">
        <v>182</v>
      </c>
      <c r="C41" s="260">
        <v>75000</v>
      </c>
      <c r="D41" s="261"/>
      <c r="E41" s="260">
        <v>60919</v>
      </c>
      <c r="F41" s="260">
        <f t="shared" si="10"/>
        <v>14081</v>
      </c>
    </row>
    <row r="42" spans="1:6" x14ac:dyDescent="0.2">
      <c r="A42" s="259" t="s">
        <v>187</v>
      </c>
      <c r="B42" s="259" t="s">
        <v>193</v>
      </c>
      <c r="C42" s="260">
        <v>130000</v>
      </c>
      <c r="D42" s="261"/>
      <c r="E42" s="260">
        <v>61388</v>
      </c>
      <c r="F42" s="260">
        <f t="shared" si="10"/>
        <v>68612</v>
      </c>
    </row>
    <row r="43" spans="1:6" x14ac:dyDescent="0.2">
      <c r="A43" s="259" t="s">
        <v>194</v>
      </c>
      <c r="B43" s="259" t="s">
        <v>195</v>
      </c>
      <c r="C43" s="260">
        <v>90000</v>
      </c>
      <c r="D43" s="261"/>
      <c r="E43" s="260">
        <v>21104</v>
      </c>
      <c r="F43" s="260">
        <f t="shared" si="10"/>
        <v>68896</v>
      </c>
    </row>
    <row r="44" spans="1:6" x14ac:dyDescent="0.2">
      <c r="A44" s="259"/>
      <c r="B44" s="259"/>
      <c r="C44" s="262">
        <f>SUM(C37:C43)</f>
        <v>408000</v>
      </c>
      <c r="D44" s="262"/>
      <c r="E44" s="262">
        <f>SUM(E37:E43)</f>
        <v>179294</v>
      </c>
      <c r="F44" s="262">
        <f>SUM(F37:F43)</f>
        <v>228706</v>
      </c>
    </row>
    <row r="46" spans="1:6" x14ac:dyDescent="0.2">
      <c r="B46" s="359" t="s">
        <v>196</v>
      </c>
      <c r="C46" s="359"/>
      <c r="D46" s="359"/>
      <c r="E46" s="359"/>
      <c r="F46" s="359"/>
    </row>
    <row r="47" spans="1:6" ht="15" x14ac:dyDescent="0.25">
      <c r="B47" t="s">
        <v>197</v>
      </c>
      <c r="C47" s="283">
        <v>160806</v>
      </c>
      <c r="D47" s="283">
        <v>160807</v>
      </c>
      <c r="E47" s="269">
        <v>160810</v>
      </c>
      <c r="F47" s="283">
        <v>160813</v>
      </c>
    </row>
    <row r="48" spans="1:6" ht="15" x14ac:dyDescent="0.25">
      <c r="A48" s="270"/>
      <c r="B48" s="270" t="s">
        <v>198</v>
      </c>
      <c r="C48" s="284" t="s">
        <v>164</v>
      </c>
      <c r="D48" s="284" t="s">
        <v>165</v>
      </c>
      <c r="E48" s="271" t="s">
        <v>199</v>
      </c>
      <c r="F48" s="284" t="s">
        <v>166</v>
      </c>
    </row>
    <row r="49" spans="1:6" x14ac:dyDescent="0.2">
      <c r="A49" s="273">
        <v>2015</v>
      </c>
      <c r="B49" s="273" t="s">
        <v>200</v>
      </c>
      <c r="C49" s="274">
        <v>10554</v>
      </c>
      <c r="D49" s="274">
        <v>19522</v>
      </c>
      <c r="E49" s="274">
        <v>17403</v>
      </c>
      <c r="F49" s="274">
        <v>4734</v>
      </c>
    </row>
    <row r="50" spans="1:6" x14ac:dyDescent="0.2">
      <c r="A50" s="273">
        <v>2015</v>
      </c>
      <c r="B50" s="273" t="s">
        <v>201</v>
      </c>
      <c r="C50" s="274">
        <v>10531</v>
      </c>
      <c r="D50" s="274">
        <v>19731</v>
      </c>
      <c r="E50" s="274">
        <v>17517</v>
      </c>
      <c r="F50" s="274">
        <v>4788</v>
      </c>
    </row>
    <row r="51" spans="1:6" x14ac:dyDescent="0.2">
      <c r="A51" s="273">
        <v>2015</v>
      </c>
      <c r="B51" s="273" t="s">
        <v>202</v>
      </c>
      <c r="C51" s="274">
        <v>10582</v>
      </c>
      <c r="D51" s="274">
        <v>19343</v>
      </c>
      <c r="E51" s="274">
        <v>17663</v>
      </c>
      <c r="F51" s="274">
        <v>4746</v>
      </c>
    </row>
    <row r="52" spans="1:6" x14ac:dyDescent="0.2">
      <c r="A52">
        <v>2015</v>
      </c>
      <c r="B52" t="s">
        <v>203</v>
      </c>
      <c r="C52" s="80">
        <v>10598</v>
      </c>
      <c r="D52" s="80">
        <v>19802</v>
      </c>
      <c r="E52" s="80">
        <v>17588</v>
      </c>
      <c r="F52" s="80">
        <v>4765</v>
      </c>
    </row>
    <row r="53" spans="1:6" x14ac:dyDescent="0.2">
      <c r="A53">
        <v>2015</v>
      </c>
      <c r="B53" t="s">
        <v>204</v>
      </c>
      <c r="C53" s="80">
        <v>10622</v>
      </c>
      <c r="D53" s="80">
        <v>19819</v>
      </c>
      <c r="E53" s="80">
        <v>17666</v>
      </c>
      <c r="F53" s="80">
        <v>4809</v>
      </c>
    </row>
    <row r="54" spans="1:6" x14ac:dyDescent="0.2">
      <c r="A54">
        <v>2015</v>
      </c>
      <c r="B54" t="s">
        <v>205</v>
      </c>
      <c r="C54" s="80">
        <v>10671</v>
      </c>
      <c r="D54" s="80">
        <v>19840</v>
      </c>
      <c r="E54" s="80">
        <v>17662</v>
      </c>
      <c r="F54" s="80">
        <v>4832</v>
      </c>
    </row>
    <row r="55" spans="1:6" x14ac:dyDescent="0.2">
      <c r="A55">
        <v>2015</v>
      </c>
      <c r="B55" t="s">
        <v>206</v>
      </c>
      <c r="C55" s="80">
        <v>10627</v>
      </c>
      <c r="D55" s="80">
        <v>19851</v>
      </c>
      <c r="E55" s="80">
        <v>17587</v>
      </c>
      <c r="F55" s="80">
        <v>4770</v>
      </c>
    </row>
    <row r="56" spans="1:6" x14ac:dyDescent="0.2">
      <c r="A56">
        <v>2015</v>
      </c>
      <c r="B56" t="s">
        <v>207</v>
      </c>
      <c r="C56" s="80">
        <v>10631</v>
      </c>
      <c r="D56" s="80">
        <v>19851</v>
      </c>
      <c r="E56" s="80">
        <v>17622</v>
      </c>
      <c r="F56" s="80">
        <v>4819</v>
      </c>
    </row>
    <row r="57" spans="1:6" x14ac:dyDescent="0.2">
      <c r="A57">
        <v>2016</v>
      </c>
      <c r="B57" t="s">
        <v>208</v>
      </c>
      <c r="C57" s="80">
        <v>10631</v>
      </c>
      <c r="D57" s="80">
        <v>19926</v>
      </c>
      <c r="E57" s="80">
        <v>17608</v>
      </c>
      <c r="F57" s="80">
        <v>4794</v>
      </c>
    </row>
    <row r="58" spans="1:6" x14ac:dyDescent="0.2">
      <c r="A58">
        <v>2016</v>
      </c>
      <c r="B58" t="s">
        <v>209</v>
      </c>
      <c r="C58" s="80">
        <v>10637</v>
      </c>
      <c r="D58" s="80">
        <v>19894</v>
      </c>
      <c r="E58" s="80">
        <v>17561</v>
      </c>
      <c r="F58" s="80">
        <v>4773</v>
      </c>
    </row>
    <row r="59" spans="1:6" x14ac:dyDescent="0.2">
      <c r="A59">
        <v>2016</v>
      </c>
      <c r="B59" t="s">
        <v>210</v>
      </c>
      <c r="C59" s="80">
        <v>10642</v>
      </c>
      <c r="D59" s="80">
        <v>19999</v>
      </c>
      <c r="E59" s="80">
        <v>17683</v>
      </c>
      <c r="F59" s="80">
        <v>4810</v>
      </c>
    </row>
    <row r="60" spans="1:6" x14ac:dyDescent="0.2">
      <c r="A60">
        <v>2016</v>
      </c>
      <c r="B60" t="s">
        <v>211</v>
      </c>
      <c r="C60" s="80">
        <v>10659</v>
      </c>
      <c r="D60" s="80">
        <v>20014</v>
      </c>
      <c r="E60" s="80">
        <v>17762</v>
      </c>
      <c r="F60" s="80">
        <v>4752</v>
      </c>
    </row>
    <row r="62" spans="1:6" x14ac:dyDescent="0.2">
      <c r="B62" s="359" t="s">
        <v>212</v>
      </c>
      <c r="C62" s="359"/>
      <c r="D62" s="359"/>
      <c r="E62" s="359"/>
      <c r="F62" s="359"/>
    </row>
    <row r="63" spans="1:6" ht="15" x14ac:dyDescent="0.25">
      <c r="B63" t="s">
        <v>197</v>
      </c>
      <c r="C63" s="268">
        <v>160806</v>
      </c>
      <c r="D63" s="268">
        <v>160807</v>
      </c>
      <c r="E63" s="269">
        <v>160810</v>
      </c>
      <c r="F63" s="268">
        <v>160813</v>
      </c>
    </row>
    <row r="64" spans="1:6" ht="15" x14ac:dyDescent="0.25">
      <c r="A64" s="270"/>
      <c r="B64" s="270" t="s">
        <v>198</v>
      </c>
      <c r="C64" s="271" t="s">
        <v>164</v>
      </c>
      <c r="D64" s="271" t="s">
        <v>165</v>
      </c>
      <c r="E64" s="272" t="s">
        <v>199</v>
      </c>
      <c r="F64" s="271" t="s">
        <v>166</v>
      </c>
    </row>
    <row r="65" spans="1:6" x14ac:dyDescent="0.2">
      <c r="A65" s="273">
        <v>2015</v>
      </c>
      <c r="B65" s="273" t="s">
        <v>200</v>
      </c>
      <c r="C65" s="274">
        <v>2175.31</v>
      </c>
      <c r="D65" s="275">
        <v>488.25</v>
      </c>
      <c r="E65" s="274">
        <v>7723.13</v>
      </c>
      <c r="F65" s="274">
        <v>814.26</v>
      </c>
    </row>
    <row r="66" spans="1:6" x14ac:dyDescent="0.2">
      <c r="A66" s="273">
        <v>2015</v>
      </c>
      <c r="B66" s="273" t="s">
        <v>201</v>
      </c>
      <c r="C66" s="274">
        <v>2175.31</v>
      </c>
      <c r="D66" s="275">
        <v>488.25</v>
      </c>
      <c r="E66" s="274">
        <v>7723.82</v>
      </c>
      <c r="F66" s="274">
        <v>814</v>
      </c>
    </row>
    <row r="67" spans="1:6" x14ac:dyDescent="0.2">
      <c r="A67" s="273">
        <v>2015</v>
      </c>
      <c r="B67" s="273" t="s">
        <v>202</v>
      </c>
      <c r="C67" s="274">
        <v>2172.31</v>
      </c>
      <c r="D67" s="275">
        <v>467.59</v>
      </c>
      <c r="E67" s="274">
        <v>7840.73</v>
      </c>
      <c r="F67" s="274">
        <v>814</v>
      </c>
    </row>
    <row r="68" spans="1:6" x14ac:dyDescent="0.2">
      <c r="A68">
        <v>2015</v>
      </c>
      <c r="B68" t="s">
        <v>203</v>
      </c>
      <c r="C68" s="80">
        <v>2171.62</v>
      </c>
      <c r="D68" s="276">
        <v>467.59</v>
      </c>
      <c r="E68" s="80">
        <v>7836.4</v>
      </c>
      <c r="F68" s="80">
        <v>814.26</v>
      </c>
    </row>
    <row r="69" spans="1:6" x14ac:dyDescent="0.2">
      <c r="A69">
        <v>2015</v>
      </c>
      <c r="B69" t="s">
        <v>204</v>
      </c>
      <c r="C69" s="80">
        <v>2206.9499999999998</v>
      </c>
      <c r="D69" s="276">
        <v>467.59</v>
      </c>
      <c r="E69" s="80">
        <v>7774.64</v>
      </c>
      <c r="F69" s="80">
        <v>814.26</v>
      </c>
    </row>
    <row r="70" spans="1:6" x14ac:dyDescent="0.2">
      <c r="A70">
        <v>2015</v>
      </c>
      <c r="B70" t="s">
        <v>205</v>
      </c>
      <c r="C70" s="80">
        <v>2237.2600000000002</v>
      </c>
      <c r="D70" s="276">
        <v>469.5</v>
      </c>
      <c r="E70" s="80">
        <v>7862.6</v>
      </c>
      <c r="F70" s="80">
        <v>840.28</v>
      </c>
    </row>
    <row r="71" spans="1:6" x14ac:dyDescent="0.2">
      <c r="A71">
        <v>2015</v>
      </c>
      <c r="B71" t="s">
        <v>206</v>
      </c>
      <c r="C71" s="80">
        <v>2237.2600000000002</v>
      </c>
      <c r="D71" s="276">
        <v>456.51</v>
      </c>
      <c r="E71" s="80">
        <v>7831.85</v>
      </c>
      <c r="F71" s="80">
        <v>840.24</v>
      </c>
    </row>
    <row r="72" spans="1:6" x14ac:dyDescent="0.2">
      <c r="A72">
        <v>2015</v>
      </c>
      <c r="B72" t="s">
        <v>207</v>
      </c>
      <c r="C72" s="80">
        <v>2239.77</v>
      </c>
      <c r="D72" s="276">
        <v>456.51</v>
      </c>
      <c r="E72" s="80">
        <v>7816.26</v>
      </c>
      <c r="F72" s="80">
        <v>840.24</v>
      </c>
    </row>
    <row r="73" spans="1:6" x14ac:dyDescent="0.2">
      <c r="A73">
        <v>2016</v>
      </c>
      <c r="B73" t="s">
        <v>208</v>
      </c>
      <c r="C73" s="80">
        <v>2248</v>
      </c>
      <c r="D73" s="276">
        <v>429.49</v>
      </c>
      <c r="E73" s="80">
        <v>7816.96</v>
      </c>
      <c r="F73" s="80">
        <v>840.24</v>
      </c>
    </row>
    <row r="74" spans="1:6" x14ac:dyDescent="0.2">
      <c r="A74">
        <v>2016</v>
      </c>
      <c r="B74" t="s">
        <v>209</v>
      </c>
      <c r="C74" s="80">
        <v>1698.52</v>
      </c>
      <c r="D74" s="276">
        <v>429.49</v>
      </c>
      <c r="E74" s="80">
        <v>7834.28</v>
      </c>
      <c r="F74" s="80">
        <v>840.24</v>
      </c>
    </row>
    <row r="75" spans="1:6" x14ac:dyDescent="0.2">
      <c r="A75">
        <v>2016</v>
      </c>
      <c r="B75" t="s">
        <v>210</v>
      </c>
      <c r="C75" s="80">
        <v>1688.96</v>
      </c>
      <c r="D75" s="276">
        <v>429.49</v>
      </c>
      <c r="E75" s="80">
        <v>7776.78</v>
      </c>
      <c r="F75" s="80">
        <v>840.25</v>
      </c>
    </row>
    <row r="76" spans="1:6" x14ac:dyDescent="0.2">
      <c r="A76">
        <v>2016</v>
      </c>
      <c r="B76" t="s">
        <v>211</v>
      </c>
      <c r="C76" s="80">
        <v>1701.95</v>
      </c>
      <c r="D76" s="276">
        <v>429.49</v>
      </c>
      <c r="E76" s="80">
        <v>7764.93</v>
      </c>
      <c r="F76" s="80">
        <v>840</v>
      </c>
    </row>
  </sheetData>
  <mergeCells count="7">
    <mergeCell ref="B62:F62"/>
    <mergeCell ref="A1:F1"/>
    <mergeCell ref="A2:C2"/>
    <mergeCell ref="A11:C11"/>
    <mergeCell ref="A22:C22"/>
    <mergeCell ref="A35:C35"/>
    <mergeCell ref="B46:F4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A101"/>
  <sheetViews>
    <sheetView showGridLines="0" zoomScaleNormal="100" workbookViewId="0">
      <pane ySplit="4" topLeftCell="A17" activePane="bottomLeft" state="frozenSplit"/>
      <selection activeCell="G25" sqref="G25"/>
      <selection pane="bottomLeft" activeCell="F37" sqref="F37"/>
    </sheetView>
  </sheetViews>
  <sheetFormatPr defaultColWidth="9.140625" defaultRowHeight="12.75" x14ac:dyDescent="0.2"/>
  <cols>
    <col min="1" max="1" width="17.14062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10.7109375" style="5" bestFit="1" customWidth="1"/>
    <col min="10" max="10" width="9.42578125" style="5" customWidth="1"/>
    <col min="11" max="11" width="4.7109375" style="5" bestFit="1"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2015</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31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4" t="str">
        <f>+F6</f>
        <v>Revenue</v>
      </c>
      <c r="P6" s="113"/>
    </row>
    <row r="7" spans="1:27" s="16" customFormat="1" ht="11.25" x14ac:dyDescent="0.2">
      <c r="A7" s="15" t="s">
        <v>5</v>
      </c>
      <c r="B7" s="12" t="s">
        <v>6</v>
      </c>
      <c r="C7" s="12"/>
      <c r="D7" s="12" t="s">
        <v>3</v>
      </c>
      <c r="E7" s="12"/>
      <c r="F7" s="12" t="s">
        <v>7</v>
      </c>
      <c r="G7" s="12"/>
      <c r="H7" s="12"/>
      <c r="I7" s="12"/>
      <c r="J7" s="12" t="s">
        <v>6</v>
      </c>
      <c r="K7" s="12"/>
      <c r="O7" s="144" t="str">
        <f>+F7</f>
        <v>per Customer</v>
      </c>
      <c r="P7" s="113"/>
    </row>
    <row r="8" spans="1:27" s="16" customFormat="1" ht="11.25" x14ac:dyDescent="0.2">
      <c r="A8" s="129">
        <f>'Single Family'!$C$6</f>
        <v>41760</v>
      </c>
      <c r="B8" s="112">
        <v>10477</v>
      </c>
      <c r="C8" s="114"/>
      <c r="D8" s="115">
        <f>VLOOKUP(A8,'SF Value'!$A$6:$O$17,15,)</f>
        <v>11482.591097048837</v>
      </c>
      <c r="E8" s="114"/>
      <c r="F8" s="16">
        <f t="shared" ref="F8:F18" si="0">ROUND(D8/B8,2)</f>
        <v>1.1000000000000001</v>
      </c>
      <c r="G8" s="114"/>
      <c r="H8" s="114"/>
      <c r="I8" s="114"/>
      <c r="J8" s="14">
        <f t="shared" ref="J8:J18" si="1">+B8</f>
        <v>10477</v>
      </c>
      <c r="K8" s="13">
        <f t="shared" ref="K8:K18" si="2">YEAR(A8)</f>
        <v>2014</v>
      </c>
      <c r="O8" s="145">
        <f>VLOOKUP(A8,'SF Value'!$A$6:$O$17,13,FALSE)</f>
        <v>22965.150197048839</v>
      </c>
      <c r="P8" s="113"/>
    </row>
    <row r="9" spans="1:27" s="16" customFormat="1" ht="11.25" x14ac:dyDescent="0.2">
      <c r="A9" s="17">
        <f t="shared" ref="A9:A18" si="3">EOMONTH(A8,1)</f>
        <v>41820</v>
      </c>
      <c r="B9" s="19">
        <v>10420</v>
      </c>
      <c r="C9" s="20"/>
      <c r="D9" s="115">
        <f>VLOOKUP(A9,'SF Value'!$A$6:$O$17,15,)</f>
        <v>10260.486424205996</v>
      </c>
      <c r="E9" s="14"/>
      <c r="F9" s="16">
        <f t="shared" si="0"/>
        <v>0.98</v>
      </c>
      <c r="G9" s="14"/>
      <c r="H9" s="14"/>
      <c r="I9" s="14"/>
      <c r="J9" s="14">
        <f t="shared" si="1"/>
        <v>10420</v>
      </c>
      <c r="K9" s="13">
        <f t="shared" si="2"/>
        <v>2014</v>
      </c>
      <c r="O9" s="145">
        <f>VLOOKUP(A9,'SF Value'!$A$6:$O$17,13,FALSE)</f>
        <v>20520.605224205996</v>
      </c>
      <c r="P9" s="113"/>
    </row>
    <row r="10" spans="1:27" s="16" customFormat="1" ht="11.25" x14ac:dyDescent="0.2">
      <c r="A10" s="17">
        <f t="shared" si="3"/>
        <v>41851</v>
      </c>
      <c r="B10" s="19">
        <v>10439</v>
      </c>
      <c r="C10" s="14"/>
      <c r="D10" s="115">
        <f>VLOOKUP(A10,'SF Value'!$A$6:$O$17,15,)</f>
        <v>11895.400107457994</v>
      </c>
      <c r="E10" s="14"/>
      <c r="F10" s="16">
        <f t="shared" si="0"/>
        <v>1.1399999999999999</v>
      </c>
      <c r="G10" s="14"/>
      <c r="H10" s="14"/>
      <c r="I10" s="14"/>
      <c r="J10" s="14">
        <f t="shared" si="1"/>
        <v>10439</v>
      </c>
      <c r="K10" s="13">
        <f t="shared" si="2"/>
        <v>2014</v>
      </c>
      <c r="O10" s="145">
        <f>VLOOKUP(A10,'SF Value'!$A$6:$O$17,13,FALSE)</f>
        <v>23790.671557457994</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94</v>
      </c>
      <c r="B12" s="21">
        <f>SUM(B8:B11)</f>
        <v>31336</v>
      </c>
      <c r="C12" s="20" t="s">
        <v>8</v>
      </c>
      <c r="D12" s="22">
        <f>SUM(D8:D11)</f>
        <v>33638.477628712826</v>
      </c>
      <c r="E12" s="14"/>
      <c r="G12" s="14"/>
      <c r="H12" s="14"/>
      <c r="I12" s="14"/>
      <c r="J12" s="14"/>
      <c r="K12" s="13"/>
      <c r="O12" s="145"/>
      <c r="P12" s="113"/>
    </row>
    <row r="13" spans="1:27" s="16" customFormat="1" ht="11.25" x14ac:dyDescent="0.2">
      <c r="A13" s="17"/>
      <c r="B13" s="14"/>
      <c r="C13" s="14"/>
      <c r="E13" s="14"/>
      <c r="G13" s="14"/>
      <c r="H13" s="14"/>
      <c r="I13" s="14"/>
      <c r="J13" s="14"/>
      <c r="K13" s="13"/>
      <c r="O13" s="145"/>
      <c r="P13" s="113"/>
    </row>
    <row r="14" spans="1:27" s="16" customFormat="1" ht="11.25" x14ac:dyDescent="0.2">
      <c r="A14" s="17">
        <f>EOMONTH(A10,1)</f>
        <v>41882</v>
      </c>
      <c r="B14" s="19">
        <v>10437</v>
      </c>
      <c r="C14" s="14"/>
      <c r="D14" s="115">
        <f>VLOOKUP(A14,'SF Value'!$A$6:$O$17,15,)</f>
        <v>10451.014529504993</v>
      </c>
      <c r="E14" s="14"/>
      <c r="F14" s="16">
        <f t="shared" si="0"/>
        <v>1</v>
      </c>
      <c r="G14" s="23"/>
      <c r="H14" s="14"/>
      <c r="I14" s="14"/>
      <c r="J14" s="14">
        <f t="shared" si="1"/>
        <v>10437</v>
      </c>
      <c r="K14" s="13">
        <f t="shared" si="2"/>
        <v>2014</v>
      </c>
      <c r="O14" s="145">
        <f>VLOOKUP(A14,'SF Value'!$A$6:$O$17,13,FALSE)</f>
        <v>20900.713679504992</v>
      </c>
      <c r="P14" s="113"/>
    </row>
    <row r="15" spans="1:27" s="16" customFormat="1" ht="11.25" x14ac:dyDescent="0.2">
      <c r="A15" s="17">
        <f t="shared" si="3"/>
        <v>41912</v>
      </c>
      <c r="B15" s="19">
        <v>10475</v>
      </c>
      <c r="C15" s="14"/>
      <c r="D15" s="115">
        <f>VLOOKUP(A15,'SF Value'!$A$6:$O$17,15,)</f>
        <v>11326.260891139991</v>
      </c>
      <c r="E15" s="14"/>
      <c r="F15" s="16">
        <f t="shared" si="0"/>
        <v>1.08</v>
      </c>
      <c r="G15" s="23"/>
      <c r="H15" s="14"/>
      <c r="I15" s="14"/>
      <c r="J15" s="14">
        <f t="shared" si="1"/>
        <v>10475</v>
      </c>
      <c r="K15" s="13">
        <f t="shared" si="2"/>
        <v>2014</v>
      </c>
      <c r="O15" s="145">
        <f>VLOOKUP(A15,'SF Value'!$A$6:$O$17,13,FALSE)</f>
        <v>22651.803391139991</v>
      </c>
      <c r="P15" s="113"/>
    </row>
    <row r="16" spans="1:27" s="16" customFormat="1" ht="11.25" x14ac:dyDescent="0.2">
      <c r="A16" s="17">
        <f t="shared" si="3"/>
        <v>41943</v>
      </c>
      <c r="B16" s="19">
        <v>10475</v>
      </c>
      <c r="C16" s="14"/>
      <c r="D16" s="115">
        <f>VLOOKUP(A16,'SF Value'!$A$6:$O$17,15,)</f>
        <v>12235.586806715994</v>
      </c>
      <c r="E16" s="14"/>
      <c r="F16" s="16">
        <f t="shared" si="0"/>
        <v>1.17</v>
      </c>
      <c r="G16" s="23"/>
      <c r="H16" s="14"/>
      <c r="I16" s="14"/>
      <c r="J16" s="14">
        <f t="shared" si="1"/>
        <v>10475</v>
      </c>
      <c r="K16" s="13">
        <f t="shared" si="2"/>
        <v>2014</v>
      </c>
      <c r="O16" s="145">
        <f>VLOOKUP(A16,'SF Value'!$A$6:$O$17,13,FALSE)</f>
        <v>24469.680706715993</v>
      </c>
      <c r="P16" s="113"/>
    </row>
    <row r="17" spans="1:27" s="16" customFormat="1" ht="11.25" x14ac:dyDescent="0.2">
      <c r="A17" s="17">
        <f t="shared" si="3"/>
        <v>41973</v>
      </c>
      <c r="B17" s="19">
        <v>10492</v>
      </c>
      <c r="C17" s="14"/>
      <c r="D17" s="115">
        <f>VLOOKUP(A17,'SF Value'!$A$6:$O$17,15,)</f>
        <v>9637.7154469439938</v>
      </c>
      <c r="E17" s="14"/>
      <c r="F17" s="16">
        <f t="shared" si="0"/>
        <v>0.92</v>
      </c>
      <c r="G17" s="23"/>
      <c r="H17" s="14"/>
      <c r="I17" s="14"/>
      <c r="J17" s="14">
        <f t="shared" si="1"/>
        <v>10492</v>
      </c>
      <c r="K17" s="13">
        <f t="shared" si="2"/>
        <v>2014</v>
      </c>
      <c r="O17" s="145">
        <f>VLOOKUP(A17,'SF Value'!$A$6:$O$17,13,FALSE)</f>
        <v>19276.133846943994</v>
      </c>
      <c r="P17" s="113"/>
    </row>
    <row r="18" spans="1:27" s="16" customFormat="1" ht="11.25" x14ac:dyDescent="0.2">
      <c r="A18" s="17">
        <f t="shared" si="3"/>
        <v>42004</v>
      </c>
      <c r="B18" s="19">
        <v>10540</v>
      </c>
      <c r="C18" s="14"/>
      <c r="D18" s="115">
        <f>VLOOKUP(A18,'SF Value'!$A$6:$O$17,15,)</f>
        <v>10532.01343881599</v>
      </c>
      <c r="E18" s="14"/>
      <c r="F18" s="16">
        <f t="shared" si="0"/>
        <v>1</v>
      </c>
      <c r="G18" s="23"/>
      <c r="H18" s="14"/>
      <c r="I18" s="14"/>
      <c r="J18" s="14">
        <f t="shared" si="1"/>
        <v>10540</v>
      </c>
      <c r="K18" s="13">
        <f t="shared" si="2"/>
        <v>2014</v>
      </c>
      <c r="O18" s="145">
        <f>VLOOKUP(A18,'SF Value'!$A$6:$O$17,13,FALSE)</f>
        <v>21062.15383881599</v>
      </c>
      <c r="P18" s="113"/>
    </row>
    <row r="19" spans="1:27" s="16" customFormat="1" ht="11.25" x14ac:dyDescent="0.2">
      <c r="A19" s="17">
        <f>EOMONTH(A18,1)</f>
        <v>42035</v>
      </c>
      <c r="B19" s="19">
        <v>10511</v>
      </c>
      <c r="C19" s="14"/>
      <c r="D19" s="115">
        <f>VLOOKUP(A19,'SF Value'!$A$6:$O$17,15,)</f>
        <v>10542.166264870726</v>
      </c>
      <c r="E19" s="14"/>
      <c r="F19" s="16">
        <f>ROUND(D19/B19,2)</f>
        <v>1</v>
      </c>
      <c r="G19" s="23"/>
      <c r="H19" s="14"/>
      <c r="I19" s="14"/>
      <c r="J19" s="14">
        <f>+B19</f>
        <v>10511</v>
      </c>
      <c r="K19" s="13">
        <f>YEAR(A19)</f>
        <v>2015</v>
      </c>
      <c r="O19" s="145">
        <f>VLOOKUP(A19,'SF Value'!$A$6:$O$17,13,FALSE)</f>
        <v>21321.904164870728</v>
      </c>
      <c r="P19" s="113"/>
      <c r="X19" s="14"/>
      <c r="Y19" s="14"/>
    </row>
    <row r="20" spans="1:27" s="16" customFormat="1" ht="11.25" x14ac:dyDescent="0.2">
      <c r="A20" s="17">
        <f>EOMONTH(A19,1)</f>
        <v>42063</v>
      </c>
      <c r="B20" s="19">
        <v>10498</v>
      </c>
      <c r="C20" s="14"/>
      <c r="D20" s="115">
        <f>VLOOKUP(A20,'SF Value'!$A$6:$O$17,15,)</f>
        <v>6969.0519402919972</v>
      </c>
      <c r="E20" s="14"/>
      <c r="F20" s="16">
        <f>ROUND(D20/B20,2)</f>
        <v>0.66</v>
      </c>
      <c r="G20" s="23"/>
      <c r="H20" s="14"/>
      <c r="I20" s="14"/>
      <c r="J20" s="14">
        <f>+B20</f>
        <v>10498</v>
      </c>
      <c r="K20" s="13">
        <f>YEAR(A20)</f>
        <v>2015</v>
      </c>
      <c r="L20" s="14"/>
      <c r="M20" s="14"/>
      <c r="N20" s="14"/>
      <c r="O20" s="145">
        <f>VLOOKUP(A20,'SF Value'!$A$6:$O$17,13,FALSE)</f>
        <v>14140.986240291997</v>
      </c>
      <c r="P20" s="35"/>
      <c r="Q20" s="14"/>
      <c r="R20" s="14"/>
      <c r="S20" s="14"/>
      <c r="T20" s="14"/>
      <c r="U20" s="14"/>
      <c r="V20" s="14"/>
      <c r="W20" s="14"/>
      <c r="Y20" s="14"/>
      <c r="AA20" s="14"/>
    </row>
    <row r="21" spans="1:27" s="16" customFormat="1" ht="11.25" x14ac:dyDescent="0.2">
      <c r="A21" s="17">
        <f>EOMONTH(A20,1)</f>
        <v>42094</v>
      </c>
      <c r="B21" s="19">
        <v>10483</v>
      </c>
      <c r="C21" s="14"/>
      <c r="D21" s="115">
        <f>VLOOKUP(A21,'SF Value'!$A$6:$O$17,15,)</f>
        <v>8392.2947649229918</v>
      </c>
      <c r="E21" s="14"/>
      <c r="F21" s="16">
        <f>ROUND(D21/B21,2)</f>
        <v>0.8</v>
      </c>
      <c r="G21" s="23"/>
      <c r="H21" s="20"/>
      <c r="I21" s="14"/>
      <c r="J21" s="14">
        <f>+B21</f>
        <v>10483</v>
      </c>
      <c r="K21" s="13">
        <f>YEAR(A21)</f>
        <v>2015</v>
      </c>
      <c r="O21" s="145">
        <f>VLOOKUP(A21,'SF Value'!$A$6:$O$17,13,FALSE)</f>
        <v>16983.327214922992</v>
      </c>
      <c r="P21" s="113"/>
    </row>
    <row r="22" spans="1:27" s="16" customFormat="1" ht="11.25" x14ac:dyDescent="0.2">
      <c r="A22" s="17">
        <f>EOMONTH(A21,1)</f>
        <v>42124</v>
      </c>
      <c r="B22" s="19">
        <v>10549</v>
      </c>
      <c r="C22" s="14"/>
      <c r="D22" s="115">
        <f>VLOOKUP(A22,'SF Value'!$A$6:$O$17,15,)</f>
        <v>8295.9385508959949</v>
      </c>
      <c r="E22" s="14"/>
      <c r="F22" s="16">
        <f>ROUND(D22/B22,2)</f>
        <v>0.79</v>
      </c>
      <c r="G22" s="23"/>
      <c r="H22" s="20"/>
      <c r="I22" s="14"/>
      <c r="J22" s="14">
        <f>+B22</f>
        <v>10549</v>
      </c>
      <c r="K22" s="13">
        <f>YEAR(A22)</f>
        <v>2015</v>
      </c>
      <c r="O22" s="145">
        <f>VLOOKUP(A22,'SF Value'!$A$6:$O$17,13,FALSE)</f>
        <v>17119.538550895995</v>
      </c>
      <c r="P22" s="113"/>
    </row>
    <row r="23" spans="1:27" s="16" customFormat="1" ht="11.25" x14ac:dyDescent="0.2">
      <c r="A23" s="17"/>
      <c r="B23" s="14"/>
      <c r="C23" s="14"/>
      <c r="E23" s="14"/>
      <c r="G23" s="14"/>
      <c r="H23" s="14"/>
      <c r="I23" s="14"/>
      <c r="J23" s="14"/>
      <c r="K23" s="13"/>
      <c r="O23" s="146"/>
    </row>
    <row r="24" spans="1:27" s="16" customFormat="1" ht="11.25" x14ac:dyDescent="0.2">
      <c r="A24" s="17" t="s">
        <v>95</v>
      </c>
      <c r="B24" s="21">
        <f>SUM(B13:B23)</f>
        <v>94460</v>
      </c>
      <c r="C24" s="20" t="s">
        <v>9</v>
      </c>
      <c r="D24" s="22">
        <f>SUM(D13:D23)</f>
        <v>88382.042634102676</v>
      </c>
      <c r="E24" s="14"/>
      <c r="G24" s="14"/>
      <c r="H24" s="14"/>
      <c r="I24" s="14"/>
      <c r="J24" s="14"/>
      <c r="K24" s="13"/>
      <c r="O24" s="146"/>
      <c r="P24" s="147" t="s">
        <v>87</v>
      </c>
    </row>
    <row r="25" spans="1:27" x14ac:dyDescent="0.2">
      <c r="D25" s="25"/>
      <c r="O25" s="146">
        <f>SUM(O8:O24)</f>
        <v>245202.6686128155</v>
      </c>
      <c r="P25" s="120"/>
    </row>
    <row r="26" spans="1:27" s="16" customFormat="1" ht="12" thickBot="1" x14ac:dyDescent="0.25">
      <c r="A26" s="26"/>
      <c r="B26" s="27">
        <f>+B12+B24</f>
        <v>125796</v>
      </c>
      <c r="C26" s="20"/>
      <c r="D26" s="28">
        <f>+D12+D24</f>
        <v>122020.52026281549</v>
      </c>
      <c r="E26" s="20" t="s">
        <v>10</v>
      </c>
      <c r="F26" s="23">
        <f>ROUND(D26/B26,3)</f>
        <v>0.97</v>
      </c>
      <c r="G26" s="20" t="s">
        <v>11</v>
      </c>
      <c r="H26" s="14"/>
      <c r="I26" s="14"/>
      <c r="J26" s="27">
        <f>SUM(J8:J25)</f>
        <v>125796</v>
      </c>
      <c r="K26" s="20" t="s">
        <v>12</v>
      </c>
      <c r="O26" s="148">
        <f>ROUND(O25/J26,3)</f>
        <v>1.9490000000000001</v>
      </c>
      <c r="P26" s="113" t="s">
        <v>88</v>
      </c>
    </row>
    <row r="27" spans="1:27" s="16" customFormat="1" ht="12" thickTop="1" x14ac:dyDescent="0.2">
      <c r="B27" s="14"/>
      <c r="C27" s="14"/>
      <c r="D27" s="14"/>
      <c r="E27" s="14"/>
      <c r="F27" s="14"/>
      <c r="G27" s="14"/>
      <c r="H27" s="14"/>
      <c r="I27" s="14"/>
      <c r="J27" s="14"/>
      <c r="K27" s="14"/>
      <c r="O27" s="149">
        <f>+J22</f>
        <v>10549</v>
      </c>
      <c r="P27" s="113" t="s">
        <v>89</v>
      </c>
    </row>
    <row r="28" spans="1:27" s="16" customFormat="1" ht="11.25" x14ac:dyDescent="0.2">
      <c r="B28" s="14"/>
      <c r="C28" s="14"/>
      <c r="D28" s="14"/>
      <c r="E28" s="14"/>
      <c r="F28" s="14"/>
      <c r="G28" s="14"/>
      <c r="H28" s="14"/>
      <c r="I28" s="14"/>
      <c r="J28" s="14"/>
      <c r="K28" s="14"/>
      <c r="O28" s="113"/>
      <c r="P28" s="113" t="s">
        <v>90</v>
      </c>
    </row>
    <row r="29" spans="1:27" s="16" customFormat="1" ht="12" thickBot="1" x14ac:dyDescent="0.25">
      <c r="A29" s="16">
        <f>AVERAGE(B8:B10,B14:B22)</f>
        <v>10483</v>
      </c>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122021</v>
      </c>
      <c r="H31" s="20" t="s">
        <v>10</v>
      </c>
      <c r="I31" s="14"/>
      <c r="J31" s="14"/>
      <c r="K31" s="14"/>
    </row>
    <row r="32" spans="1:27" s="13" customFormat="1" ht="11.25" x14ac:dyDescent="0.2">
      <c r="A32" s="33"/>
      <c r="B32" s="31"/>
      <c r="C32" s="14"/>
      <c r="D32" s="14"/>
      <c r="E32" s="14"/>
      <c r="F32" s="14"/>
      <c r="G32" s="14"/>
      <c r="H32" s="20"/>
      <c r="I32" s="14"/>
      <c r="J32" s="14"/>
      <c r="K32" s="14"/>
      <c r="O32" s="16">
        <f>12*O27*O26</f>
        <v>246720.01200000002</v>
      </c>
      <c r="P32" s="13" t="s">
        <v>91</v>
      </c>
      <c r="W32" s="14"/>
      <c r="X32" s="16"/>
      <c r="Y32" s="16"/>
      <c r="AA32" s="14"/>
    </row>
    <row r="33" spans="2:27" s="16" customFormat="1" ht="11.25" x14ac:dyDescent="0.2">
      <c r="B33" s="14" t="s">
        <v>15</v>
      </c>
      <c r="C33" s="14"/>
      <c r="D33" s="14"/>
      <c r="E33" s="14"/>
      <c r="F33" s="34">
        <v>1</v>
      </c>
      <c r="G33" s="14"/>
      <c r="H33" s="14"/>
      <c r="I33" s="14"/>
      <c r="J33" s="14"/>
      <c r="K33" s="14"/>
      <c r="O33" s="16">
        <f>12*O27*G56</f>
        <v>123374.83845782114</v>
      </c>
      <c r="P33" s="16" t="s">
        <v>92</v>
      </c>
    </row>
    <row r="34" spans="2:27" s="16" customFormat="1" ht="11.25" x14ac:dyDescent="0.2">
      <c r="B34" s="14"/>
      <c r="C34" s="14" t="str">
        <f>"Customers from "&amp;TEXT($A$8,"mm/yy")&amp;" - "&amp;TEXT($A$10,"mm/yy")</f>
        <v>Customers from 05/14 - 07/14</v>
      </c>
      <c r="D34" s="14"/>
      <c r="E34" s="14"/>
      <c r="F34" s="35">
        <f>+B12</f>
        <v>31336</v>
      </c>
      <c r="G34" s="20" t="s">
        <v>8</v>
      </c>
      <c r="H34" s="14"/>
      <c r="I34" s="14"/>
      <c r="J34" s="14"/>
      <c r="K34" s="14"/>
      <c r="O34" s="150">
        <f>+O33/O32</f>
        <v>0.50006011858422383</v>
      </c>
    </row>
    <row r="35" spans="2:27" s="16" customFormat="1" ht="11.25" x14ac:dyDescent="0.2">
      <c r="B35" s="14"/>
      <c r="C35" s="14" t="s">
        <v>16</v>
      </c>
      <c r="D35" s="14"/>
      <c r="E35" s="14"/>
      <c r="F35" s="21">
        <f>ROUND(F33*F34,0)</f>
        <v>31336</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248">
        <v>1.004</v>
      </c>
      <c r="G37" s="249" t="s">
        <v>154</v>
      </c>
      <c r="H37" s="14"/>
      <c r="I37" s="14"/>
      <c r="J37" s="14"/>
      <c r="K37" s="14"/>
    </row>
    <row r="38" spans="2:27" s="16" customFormat="1" ht="11.25" x14ac:dyDescent="0.2">
      <c r="B38" s="14"/>
      <c r="C38" s="14" t="str">
        <f>"Customers from "&amp;TEXT($A$14,"mm/yy")&amp;" - "&amp;TEXT($A$22,"mm/yy")</f>
        <v>Customers from 08/14 - 04/15</v>
      </c>
      <c r="D38" s="14"/>
      <c r="E38" s="14"/>
      <c r="F38" s="14">
        <f>+B24</f>
        <v>94460</v>
      </c>
      <c r="G38" s="20" t="s">
        <v>9</v>
      </c>
      <c r="H38" s="14"/>
      <c r="I38" s="14"/>
      <c r="J38" s="14"/>
      <c r="K38" s="14"/>
    </row>
    <row r="39" spans="2:27" s="16" customFormat="1" ht="11.25" x14ac:dyDescent="0.2">
      <c r="B39" s="14"/>
      <c r="C39" s="14" t="s">
        <v>16</v>
      </c>
      <c r="D39" s="14"/>
      <c r="E39" s="14"/>
      <c r="F39" s="21">
        <f>ROUND(F37*F38,0)</f>
        <v>94838</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126174</v>
      </c>
      <c r="G41" s="37">
        <f>+F41</f>
        <v>126174</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-4153</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tr">
        <f>$K$22+1&amp;" Recycle Adjustment Calculation"</f>
        <v>2016 Recycle Adjustment Calculation</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tr">
        <f>$K$10&amp;"/"&amp;$K$22&amp;" True-up Computation"</f>
        <v>2014/2015 True-up Computation</v>
      </c>
      <c r="C49" s="14"/>
      <c r="D49" s="14"/>
      <c r="E49" s="14"/>
      <c r="F49" s="14"/>
      <c r="G49" s="14"/>
      <c r="H49" s="14"/>
      <c r="I49" s="14"/>
      <c r="J49" s="14"/>
      <c r="K49" s="14"/>
    </row>
    <row r="50" spans="1:25" s="16" customFormat="1" ht="11.25" x14ac:dyDescent="0.2">
      <c r="B50" s="14"/>
      <c r="C50" s="14"/>
      <c r="D50" s="14"/>
      <c r="E50" s="14"/>
      <c r="F50" s="32" t="s">
        <v>20</v>
      </c>
      <c r="G50" s="14">
        <f>+J26</f>
        <v>125796</v>
      </c>
      <c r="H50" s="20" t="s">
        <v>12</v>
      </c>
      <c r="I50" s="14"/>
      <c r="J50" s="14"/>
      <c r="K50" s="14"/>
    </row>
    <row r="51" spans="1:25" s="16" customFormat="1" ht="11.25" x14ac:dyDescent="0.2">
      <c r="B51" s="14"/>
      <c r="C51" s="14"/>
      <c r="D51" s="14"/>
      <c r="E51" s="14"/>
      <c r="F51" s="32" t="s">
        <v>18</v>
      </c>
      <c r="G51" s="14">
        <f>+G44</f>
        <v>-4153</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81</v>
      </c>
      <c r="G53" s="39">
        <f>ROUND(G51/G50,3)</f>
        <v>-3.3000000000000002E-2</v>
      </c>
      <c r="H53" s="14"/>
      <c r="I53" s="23">
        <f>+G53</f>
        <v>-3.3000000000000002E-2</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tr">
        <f>$K$22+1&amp;" Projected Credit"</f>
        <v>2016 Projected Credit</v>
      </c>
      <c r="C55" s="14"/>
      <c r="D55" s="14"/>
      <c r="E55" s="14"/>
      <c r="F55" s="32"/>
      <c r="G55" s="14"/>
      <c r="H55" s="14"/>
      <c r="I55" s="23"/>
      <c r="J55" s="14"/>
      <c r="K55" s="14"/>
      <c r="N55" s="151" t="s">
        <v>93</v>
      </c>
    </row>
    <row r="56" spans="1:25" s="16" customFormat="1" ht="12" thickBot="1" x14ac:dyDescent="0.25">
      <c r="B56" s="31"/>
      <c r="C56" s="14"/>
      <c r="D56" s="14"/>
      <c r="E56" s="14"/>
      <c r="F56" s="32" t="s">
        <v>79</v>
      </c>
      <c r="G56" s="40">
        <f>+F26/'SF Value'!$P$18*N56</f>
        <v>0.97461717112065238</v>
      </c>
      <c r="H56" s="14"/>
      <c r="I56" s="23">
        <f>+G56</f>
        <v>0.97461717112065238</v>
      </c>
      <c r="J56" s="20" t="s">
        <v>11</v>
      </c>
      <c r="K56" s="14"/>
      <c r="N56" s="152">
        <f>+'[13]WUTC_AW of Kent_MF'!$O$56</f>
        <v>0.5</v>
      </c>
    </row>
    <row r="57" spans="1:25" s="14" customFormat="1" ht="12" thickTop="1" x14ac:dyDescent="0.2">
      <c r="B57" s="31"/>
      <c r="I57" s="23"/>
      <c r="X57" s="16"/>
      <c r="Y57" s="16"/>
    </row>
    <row r="58" spans="1:25" s="16" customFormat="1" ht="12" thickBot="1" x14ac:dyDescent="0.25">
      <c r="B58" s="14"/>
      <c r="C58" s="14"/>
      <c r="D58" s="14"/>
      <c r="E58" s="14"/>
      <c r="F58" s="14"/>
      <c r="G58" s="32" t="str">
        <f>$K$22+1&amp;" Adjusted Credit"</f>
        <v>2016 Adjusted Credit</v>
      </c>
      <c r="H58" s="27"/>
      <c r="I58" s="39">
        <f>+I53+I56</f>
        <v>0.94161717112065235</v>
      </c>
      <c r="J58" s="14"/>
      <c r="K58" s="14"/>
    </row>
    <row r="59" spans="1:25" s="16" customFormat="1" ht="12" thickTop="1" x14ac:dyDescent="0.2"/>
    <row r="60" spans="1:25" s="16" customFormat="1" ht="11.25" x14ac:dyDescent="0.2"/>
    <row r="61" spans="1:25" s="16" customFormat="1" ht="11.25" x14ac:dyDescent="0.2">
      <c r="G61" s="139" t="s">
        <v>84</v>
      </c>
      <c r="I61" s="140">
        <f>'[14]2014-2015'!$C$6</f>
        <v>1777.3063396774123</v>
      </c>
    </row>
    <row r="62" spans="1:25" s="14" customFormat="1" ht="11.25" x14ac:dyDescent="0.2">
      <c r="A62" s="116"/>
      <c r="B62" s="35"/>
      <c r="C62" s="35"/>
      <c r="D62" s="113"/>
      <c r="E62" s="35"/>
      <c r="F62" s="113"/>
      <c r="X62" s="16"/>
      <c r="Y62" s="16"/>
    </row>
    <row r="63" spans="1:25" s="16" customFormat="1" ht="11.25" x14ac:dyDescent="0.2">
      <c r="A63" s="116"/>
      <c r="B63" s="35"/>
      <c r="C63" s="118"/>
      <c r="D63" s="113"/>
      <c r="E63" s="113"/>
      <c r="F63" s="113"/>
      <c r="G63" s="139" t="s">
        <v>85</v>
      </c>
      <c r="I63" s="22">
        <f>I61/(G50)</f>
        <v>1.4128480553256164E-2</v>
      </c>
    </row>
    <row r="64" spans="1:25" s="16" customFormat="1" ht="11.25" x14ac:dyDescent="0.2">
      <c r="A64" s="116"/>
      <c r="B64" s="35"/>
      <c r="C64" s="35"/>
      <c r="D64" s="113"/>
      <c r="E64" s="113"/>
      <c r="F64" s="113"/>
    </row>
    <row r="65" spans="1:27" s="16" customFormat="1" ht="12" thickBot="1" x14ac:dyDescent="0.25">
      <c r="A65" s="116"/>
      <c r="B65" s="117"/>
      <c r="C65" s="35"/>
      <c r="D65" s="113"/>
      <c r="E65" s="113"/>
      <c r="F65" s="113"/>
      <c r="G65" s="32" t="str">
        <f>$K$22+1&amp;" Net Credit"</f>
        <v>2016 Net Credit</v>
      </c>
      <c r="H65" s="27"/>
      <c r="I65" s="153">
        <f>+I58+I63</f>
        <v>0.95574565167390857</v>
      </c>
    </row>
    <row r="66" spans="1:27" s="16" customFormat="1" ht="12" thickTop="1" x14ac:dyDescent="0.2">
      <c r="A66" s="116"/>
      <c r="B66" s="117"/>
      <c r="C66" s="35"/>
      <c r="D66" s="113"/>
      <c r="E66" s="113"/>
      <c r="F66" s="113"/>
    </row>
    <row r="67" spans="1:27" s="16" customFormat="1" ht="11.25" x14ac:dyDescent="0.2">
      <c r="A67" s="116"/>
      <c r="B67" s="117"/>
      <c r="C67" s="35"/>
      <c r="D67" s="113"/>
      <c r="E67" s="113"/>
      <c r="F67" s="113"/>
    </row>
    <row r="68" spans="1:27" s="16" customFormat="1" ht="11.25" x14ac:dyDescent="0.2">
      <c r="A68" s="116"/>
      <c r="B68" s="117"/>
      <c r="C68" s="35"/>
      <c r="D68" s="113"/>
      <c r="E68" s="113"/>
      <c r="F68" s="113"/>
      <c r="Y68" s="14"/>
    </row>
    <row r="69" spans="1:27" s="16" customFormat="1" ht="11.25" x14ac:dyDescent="0.2">
      <c r="A69" s="116"/>
      <c r="B69" s="117"/>
      <c r="C69" s="35"/>
      <c r="D69" s="113"/>
      <c r="E69" s="113"/>
      <c r="F69" s="113"/>
    </row>
    <row r="70" spans="1:27" s="16" customFormat="1" ht="11.25" x14ac:dyDescent="0.2">
      <c r="A70" s="116"/>
      <c r="B70" s="117"/>
      <c r="C70" s="35"/>
      <c r="D70" s="113"/>
      <c r="E70" s="113"/>
      <c r="F70" s="113"/>
    </row>
    <row r="71" spans="1:27" s="16" customFormat="1" ht="11.25" x14ac:dyDescent="0.2">
      <c r="A71" s="116"/>
      <c r="B71" s="117"/>
      <c r="C71" s="35"/>
      <c r="D71" s="113"/>
      <c r="E71" s="113"/>
      <c r="F71" s="113"/>
    </row>
    <row r="72" spans="1:27" s="16" customFormat="1" ht="11.25" x14ac:dyDescent="0.2">
      <c r="A72" s="116"/>
      <c r="B72" s="117"/>
      <c r="C72" s="35"/>
      <c r="D72" s="113"/>
      <c r="E72" s="119"/>
      <c r="F72" s="113"/>
      <c r="G72" s="14"/>
      <c r="H72" s="13"/>
      <c r="I72" s="14"/>
      <c r="J72" s="14"/>
      <c r="K72" s="13"/>
      <c r="L72" s="14"/>
      <c r="M72" s="14"/>
      <c r="N72" s="14"/>
      <c r="O72" s="14"/>
      <c r="P72" s="14"/>
      <c r="Q72" s="14"/>
      <c r="R72" s="14"/>
      <c r="S72" s="14"/>
      <c r="T72" s="14"/>
      <c r="U72" s="14"/>
      <c r="V72" s="13"/>
      <c r="W72" s="14"/>
      <c r="AA72" s="14"/>
    </row>
    <row r="73" spans="1:27" s="16" customFormat="1" ht="11.25" x14ac:dyDescent="0.2">
      <c r="A73" s="116"/>
      <c r="B73" s="117"/>
      <c r="C73" s="35"/>
      <c r="D73" s="113"/>
      <c r="E73" s="113"/>
      <c r="F73" s="113"/>
    </row>
    <row r="74" spans="1:27" s="16" customFormat="1" ht="11.25" x14ac:dyDescent="0.2">
      <c r="A74" s="116"/>
      <c r="B74" s="35"/>
      <c r="C74" s="35"/>
      <c r="D74" s="113"/>
      <c r="E74" s="113"/>
      <c r="F74" s="113"/>
    </row>
    <row r="75" spans="1:27" s="16" customFormat="1" ht="11.25" x14ac:dyDescent="0.2">
      <c r="A75" s="116"/>
      <c r="B75" s="35"/>
      <c r="C75" s="118"/>
      <c r="D75" s="113"/>
      <c r="E75" s="113"/>
      <c r="F75" s="113"/>
    </row>
    <row r="76" spans="1:27" s="16" customFormat="1" x14ac:dyDescent="0.2">
      <c r="A76" s="120"/>
      <c r="B76" s="120"/>
      <c r="C76" s="120"/>
      <c r="D76" s="121"/>
      <c r="E76" s="113"/>
      <c r="F76" s="120"/>
    </row>
    <row r="77" spans="1:27" s="16" customFormat="1" ht="11.25" x14ac:dyDescent="0.2">
      <c r="A77" s="122"/>
      <c r="B77" s="35"/>
      <c r="C77" s="118"/>
      <c r="D77" s="113"/>
      <c r="E77" s="113"/>
      <c r="F77" s="123"/>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56"/>
      <c r="I96" s="56"/>
      <c r="J96" s="56"/>
      <c r="L96" s="56"/>
      <c r="M96" s="56"/>
      <c r="N96" s="56"/>
      <c r="O96" s="56"/>
      <c r="P96" s="56"/>
      <c r="Q96" s="56"/>
      <c r="R96" s="56"/>
      <c r="S96" s="56"/>
      <c r="T96" s="56"/>
      <c r="U96" s="56"/>
      <c r="V96" s="56"/>
      <c r="W96" s="56"/>
      <c r="X96" s="56"/>
      <c r="Y96" s="56"/>
      <c r="AA96" s="5"/>
    </row>
    <row r="97" spans="7:27" s="16" customFormat="1" x14ac:dyDescent="0.2">
      <c r="AA97" s="5"/>
    </row>
    <row r="98" spans="7:27" s="16" customFormat="1" ht="13.5" thickBot="1" x14ac:dyDescent="0.25">
      <c r="G98" s="57"/>
      <c r="I98" s="57"/>
      <c r="J98" s="57"/>
      <c r="L98" s="57"/>
      <c r="M98" s="57"/>
      <c r="N98" s="57"/>
      <c r="O98" s="57"/>
      <c r="P98" s="57"/>
      <c r="Q98" s="57"/>
      <c r="R98" s="57"/>
      <c r="S98" s="57"/>
      <c r="T98" s="57"/>
      <c r="U98" s="57"/>
      <c r="V98" s="57"/>
      <c r="W98" s="57"/>
      <c r="X98" s="57"/>
      <c r="Y98" s="57"/>
      <c r="AA98" s="5"/>
    </row>
    <row r="99" spans="7:27" ht="13.5" thickTop="1" x14ac:dyDescent="0.2"/>
    <row r="100" spans="7:27" x14ac:dyDescent="0.2">
      <c r="W100" s="58"/>
      <c r="X100" s="58"/>
      <c r="Y100" s="58"/>
    </row>
    <row r="101" spans="7:27" x14ac:dyDescent="0.2">
      <c r="W101" s="58"/>
      <c r="AA101" s="58"/>
    </row>
  </sheetData>
  <phoneticPr fontId="0" type="noConversion"/>
  <printOptions horizontalCentered="1"/>
  <pageMargins left="0" right="0" top="0.52" bottom="0.44" header="0" footer="0"/>
  <pageSetup scale="57" orientation="portrait" r:id="rId1"/>
  <headerFooter alignWithMargins="0">
    <oddFooter>&amp;R&amp;"Helv,Regular"&amp;6\\SERVER1\PUBLIC\EXCEL&amp;F,&amp;A</oddFoot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118"/>
  <sheetViews>
    <sheetView showGridLines="0" zoomScaleNormal="100" workbookViewId="0">
      <selection activeCell="P20" sqref="P20"/>
    </sheetView>
  </sheetViews>
  <sheetFormatPr defaultRowHeight="12.75" x14ac:dyDescent="0.2"/>
  <cols>
    <col min="1" max="1" width="8.140625" customWidth="1"/>
    <col min="2" max="2" width="2.140625" customWidth="1"/>
    <col min="3" max="13" width="11.7109375" customWidth="1"/>
    <col min="14" max="14" width="3" customWidth="1"/>
    <col min="15" max="15" width="9.85546875" style="72" bestFit="1" customWidth="1"/>
    <col min="16" max="16" width="14.5703125" bestFit="1" customWidth="1"/>
    <col min="17" max="17" width="9.7109375" customWidth="1"/>
  </cols>
  <sheetData>
    <row r="1" spans="1:18" x14ac:dyDescent="0.2">
      <c r="A1" s="59" t="s">
        <v>46</v>
      </c>
      <c r="B1" s="60"/>
    </row>
    <row r="2" spans="1:18" x14ac:dyDescent="0.2">
      <c r="A2" s="61" t="str">
        <f>'WUTC_AW of Bellevue_SF'!A1</f>
        <v>Rabanco Ltd (dba Allied Waste of Bellevue)</v>
      </c>
      <c r="B2" s="61"/>
    </row>
    <row r="3" spans="1:18" x14ac:dyDescent="0.2">
      <c r="A3" s="61"/>
      <c r="B3" s="61"/>
      <c r="O3" s="73"/>
    </row>
    <row r="4" spans="1:18" x14ac:dyDescent="0.2">
      <c r="A4" s="61"/>
      <c r="B4" s="61"/>
      <c r="O4" s="73" t="str">
        <f>+TEXT(P18,"00.0%")&amp;" of"</f>
        <v>49.8% of</v>
      </c>
    </row>
    <row r="5" spans="1:18" x14ac:dyDescent="0.2">
      <c r="B5" s="70"/>
      <c r="C5" s="63" t="s">
        <v>21</v>
      </c>
      <c r="D5" s="63" t="s">
        <v>22</v>
      </c>
      <c r="E5" s="63" t="s">
        <v>33</v>
      </c>
      <c r="F5" s="63" t="s">
        <v>23</v>
      </c>
      <c r="G5" s="63" t="s">
        <v>24</v>
      </c>
      <c r="H5" s="63" t="s">
        <v>25</v>
      </c>
      <c r="I5" s="63" t="s">
        <v>26</v>
      </c>
      <c r="J5" s="63" t="s">
        <v>27</v>
      </c>
      <c r="K5" s="63" t="s">
        <v>28</v>
      </c>
      <c r="L5" s="63" t="s">
        <v>29</v>
      </c>
      <c r="M5" s="63" t="s">
        <v>30</v>
      </c>
      <c r="O5" s="73" t="s">
        <v>30</v>
      </c>
      <c r="P5" s="63" t="s">
        <v>96</v>
      </c>
      <c r="Q5" s="154" t="s">
        <v>97</v>
      </c>
    </row>
    <row r="6" spans="1:18" ht="15.75" customHeight="1" x14ac:dyDescent="0.2">
      <c r="A6" s="65">
        <f>+'SF Pricing'!A6</f>
        <v>41760</v>
      </c>
      <c r="B6" s="66"/>
      <c r="C6" s="71">
        <f>'SF Commodity Tonnages'!C6*'SF Pricing'!C6</f>
        <v>2946.3739640999997</v>
      </c>
      <c r="D6" s="74">
        <f>'SF Commodity Tonnages'!D6*'SF Pricing'!D6</f>
        <v>-978.03914208000003</v>
      </c>
      <c r="E6" s="74">
        <f>'SF Commodity Tonnages'!E6*'SF Pricing'!E6</f>
        <v>0</v>
      </c>
      <c r="F6" s="74">
        <f>'SF Commodity Tonnages'!F6*'SF Pricing'!F6</f>
        <v>482.14679204999999</v>
      </c>
      <c r="G6" s="74">
        <f>'SF Commodity Tonnages'!G6*'SF Pricing'!G6</f>
        <v>5336.4644423999998</v>
      </c>
      <c r="H6" s="74">
        <f>'SF Commodity Tonnages'!H6*'SF Pricing'!H6</f>
        <v>8217.1338449199993</v>
      </c>
      <c r="I6" s="74">
        <f>'SF Commodity Tonnages'!I6*'SF Pricing'!I6</f>
        <v>1546.996772839</v>
      </c>
      <c r="J6" s="74">
        <f>'SF Commodity Tonnages'!J6*'SF Pricing'!J6</f>
        <v>1546.996772839</v>
      </c>
      <c r="K6" s="74">
        <f>'SF Commodity Tonnages'!K6*'SF Pricing'!K6</f>
        <v>6463.9631880008455</v>
      </c>
      <c r="L6" s="74">
        <f>'SF Commodity Tonnages'!L6*'SF Pricing'!L6</f>
        <v>-2596.8864380200057</v>
      </c>
      <c r="M6" s="131">
        <f>SUM(C6:L6)</f>
        <v>22965.150197048839</v>
      </c>
      <c r="O6" s="98">
        <f>+M6-Q6</f>
        <v>11482.591097048837</v>
      </c>
      <c r="P6" s="155">
        <f>IFERROR(O6/M6,0)</f>
        <v>0.5000006966435786</v>
      </c>
      <c r="Q6" s="156">
        <v>11482.559100000002</v>
      </c>
      <c r="R6" s="159">
        <f>M6/'[15]Eastside SF Recycle Credits'!D223</f>
        <v>62.563408061265804</v>
      </c>
    </row>
    <row r="7" spans="1:18" ht="15.75" customHeight="1" x14ac:dyDescent="0.2">
      <c r="A7" s="65">
        <f>+'SF Pricing'!A7</f>
        <v>41820</v>
      </c>
      <c r="B7" s="66"/>
      <c r="C7" s="71">
        <f>'SF Commodity Tonnages'!C7*'SF Pricing'!C7</f>
        <v>2573.0058485250001</v>
      </c>
      <c r="D7" s="74">
        <f>'SF Commodity Tonnages'!D7*'SF Pricing'!D7</f>
        <v>-403.69935632000005</v>
      </c>
      <c r="E7" s="74">
        <f>'SF Commodity Tonnages'!E7*'SF Pricing'!E7</f>
        <v>0</v>
      </c>
      <c r="F7" s="74">
        <f>'SF Commodity Tonnages'!F7*'SF Pricing'!F7</f>
        <v>400.46747548499997</v>
      </c>
      <c r="G7" s="74">
        <f>'SF Commodity Tonnages'!G7*'SF Pricing'!G7</f>
        <v>4710.0242826000003</v>
      </c>
      <c r="H7" s="74">
        <f>'SF Commodity Tonnages'!H7*'SF Pricing'!H7</f>
        <v>7196.4974091079994</v>
      </c>
      <c r="I7" s="74">
        <f>'SF Commodity Tonnages'!I7*'SF Pricing'!I7</f>
        <v>1399.852896785</v>
      </c>
      <c r="J7" s="74">
        <f>'SF Commodity Tonnages'!J7*'SF Pricing'!J7</f>
        <v>1399.852896785</v>
      </c>
      <c r="K7" s="74">
        <f>'SF Commodity Tonnages'!K7*'SF Pricing'!K7</f>
        <v>5575.7586487679982</v>
      </c>
      <c r="L7" s="74">
        <f>'SF Commodity Tonnages'!L7*'SF Pricing'!L7</f>
        <v>-2331.1548775300053</v>
      </c>
      <c r="M7" s="131">
        <f t="shared" ref="M7:M17" si="0">SUM(C7:L7)</f>
        <v>20520.605224205996</v>
      </c>
      <c r="O7" s="98">
        <f t="shared" ref="O7:O16" si="1">+M7-Q7</f>
        <v>10260.486424205996</v>
      </c>
      <c r="P7" s="155">
        <f t="shared" ref="P7:P17" si="2">IFERROR(O7/M7,0)</f>
        <v>0.50000895744063045</v>
      </c>
      <c r="Q7" s="156">
        <v>10260.1188</v>
      </c>
      <c r="R7" s="159">
        <f>M7/'[15]Eastside SF Recycle Credits'!D224</f>
        <v>62.545658886909074</v>
      </c>
    </row>
    <row r="8" spans="1:18" ht="15.75" customHeight="1" x14ac:dyDescent="0.2">
      <c r="A8" s="65">
        <f>+'SF Pricing'!A8</f>
        <v>41851</v>
      </c>
      <c r="B8" s="66"/>
      <c r="C8" s="71">
        <f>'SF Commodity Tonnages'!C8*'SF Pricing'!C8</f>
        <v>2966.5467100499995</v>
      </c>
      <c r="D8" s="74">
        <f>'SF Commodity Tonnages'!D8*'SF Pricing'!D8</f>
        <v>-490.95379840000004</v>
      </c>
      <c r="E8" s="74">
        <f>'SF Commodity Tonnages'!E8*'SF Pricing'!E8</f>
        <v>0</v>
      </c>
      <c r="F8" s="74">
        <f>'SF Commodity Tonnages'!F8*'SF Pricing'!F8</f>
        <v>444.63384504000004</v>
      </c>
      <c r="G8" s="74">
        <f>'SF Commodity Tonnages'!G8*'SF Pricing'!G8</f>
        <v>5304.1392494999991</v>
      </c>
      <c r="H8" s="74">
        <f>'SF Commodity Tonnages'!H8*'SF Pricing'!H8</f>
        <v>8044.5394527119979</v>
      </c>
      <c r="I8" s="74">
        <f>'SF Commodity Tonnages'!I8*'SF Pricing'!I8</f>
        <v>1753.8202000479998</v>
      </c>
      <c r="J8" s="74">
        <f>'SF Commodity Tonnages'!J8*'SF Pricing'!J8</f>
        <v>1753.8202000479998</v>
      </c>
      <c r="K8" s="74">
        <f>'SF Commodity Tonnages'!K8*'SF Pricing'!K8</f>
        <v>6617.8531742399991</v>
      </c>
      <c r="L8" s="74">
        <f>'SF Commodity Tonnages'!L8*'SF Pricing'!L8</f>
        <v>-2603.7274757800055</v>
      </c>
      <c r="M8" s="131">
        <f t="shared" si="0"/>
        <v>23790.671557457994</v>
      </c>
      <c r="O8" s="98">
        <f t="shared" si="1"/>
        <v>11895.400107457994</v>
      </c>
      <c r="P8" s="155">
        <f t="shared" si="2"/>
        <v>0.50000270394758894</v>
      </c>
      <c r="Q8" s="156">
        <v>11895.27145</v>
      </c>
      <c r="R8" s="159">
        <f>M8/'[15]Eastside SF Recycle Credits'!D225</f>
        <v>72.193577585294634</v>
      </c>
    </row>
    <row r="9" spans="1:18" ht="15.75" customHeight="1" x14ac:dyDescent="0.2">
      <c r="A9" s="65">
        <f>+'SF Pricing'!A9</f>
        <v>41882</v>
      </c>
      <c r="B9" s="66"/>
      <c r="C9" s="71">
        <f>'SF Commodity Tonnages'!C9*'SF Pricing'!C9</f>
        <v>2757.8531326499997</v>
      </c>
      <c r="D9" s="74">
        <f>'SF Commodity Tonnages'!D9*'SF Pricing'!D9</f>
        <v>-497.5045389600001</v>
      </c>
      <c r="E9" s="74">
        <f>'SF Commodity Tonnages'!E9*'SF Pricing'!E9</f>
        <v>0</v>
      </c>
      <c r="F9" s="74">
        <f>'SF Commodity Tonnages'!F9*'SF Pricing'!F9</f>
        <v>390.49713202499998</v>
      </c>
      <c r="G9" s="74">
        <f>'SF Commodity Tonnages'!G9*'SF Pricing'!G9</f>
        <v>4642.7485103999998</v>
      </c>
      <c r="H9" s="74">
        <f>'SF Commodity Tonnages'!H9*'SF Pricing'!H9</f>
        <v>7071.5222825939982</v>
      </c>
      <c r="I9" s="74">
        <f>'SF Commodity Tonnages'!I9*'SF Pricing'!I9</f>
        <v>1569.314624955</v>
      </c>
      <c r="J9" s="74">
        <f>'SF Commodity Tonnages'!J9*'SF Pricing'!J9</f>
        <v>1569.314624955</v>
      </c>
      <c r="K9" s="74">
        <f>'SF Commodity Tonnages'!K9*'SF Pricing'!K9</f>
        <v>5699.1908995559988</v>
      </c>
      <c r="L9" s="74">
        <f>'SF Commodity Tonnages'!L9*'SF Pricing'!L9</f>
        <v>-2302.2229886700052</v>
      </c>
      <c r="M9" s="131">
        <f t="shared" si="0"/>
        <v>20900.713679504992</v>
      </c>
      <c r="O9" s="98">
        <f t="shared" si="1"/>
        <v>10451.014529504993</v>
      </c>
      <c r="P9" s="155">
        <f t="shared" si="2"/>
        <v>0.50003146733468451</v>
      </c>
      <c r="Q9" s="156">
        <v>10449.699149999999</v>
      </c>
      <c r="R9" s="159">
        <f>M9/'[15]Eastside SF Recycle Credits'!D226</f>
        <v>59.262543040447405</v>
      </c>
    </row>
    <row r="10" spans="1:18" ht="15.75" customHeight="1" x14ac:dyDescent="0.2">
      <c r="A10" s="65">
        <f>+'SF Pricing'!A10</f>
        <v>41912</v>
      </c>
      <c r="B10" s="66"/>
      <c r="C10" s="71">
        <f>'SF Commodity Tonnages'!C10*'SF Pricing'!C10</f>
        <v>3078.8275139999992</v>
      </c>
      <c r="D10" s="74">
        <f>'SF Commodity Tonnages'!D10*'SF Pricing'!D10</f>
        <v>163.96785600000001</v>
      </c>
      <c r="E10" s="74">
        <f>'SF Commodity Tonnages'!E10*'SF Pricing'!E10</f>
        <v>0</v>
      </c>
      <c r="F10" s="74">
        <f>'SF Commodity Tonnages'!F10*'SF Pricing'!F10</f>
        <v>451.45699829999995</v>
      </c>
      <c r="G10" s="74">
        <f>'SF Commodity Tonnages'!G10*'SF Pricing'!G10</f>
        <v>4660.5637259999994</v>
      </c>
      <c r="H10" s="74">
        <f>'SF Commodity Tonnages'!H10*'SF Pricing'!H10</f>
        <v>7209.8272146599993</v>
      </c>
      <c r="I10" s="74">
        <f>'SF Commodity Tonnages'!I10*'SF Pricing'!I10</f>
        <v>1907.22909972</v>
      </c>
      <c r="J10" s="74">
        <f>'SF Commodity Tonnages'!J10*'SF Pricing'!J10</f>
        <v>1907.22909972</v>
      </c>
      <c r="K10" s="74">
        <f>'SF Commodity Tonnages'!K10*'SF Pricing'!K10</f>
        <v>5814.5749754399994</v>
      </c>
      <c r="L10" s="74">
        <f>'SF Commodity Tonnages'!L10*'SF Pricing'!L10</f>
        <v>-2541.8730927000056</v>
      </c>
      <c r="M10" s="131">
        <f t="shared" si="0"/>
        <v>22651.803391139991</v>
      </c>
      <c r="O10" s="98">
        <f t="shared" si="1"/>
        <v>11326.260891139991</v>
      </c>
      <c r="P10" s="155">
        <f t="shared" si="2"/>
        <v>0.50001585726150777</v>
      </c>
      <c r="Q10" s="156">
        <v>11325.5425</v>
      </c>
      <c r="R10" s="159">
        <f>M10/'[15]Eastside SF Recycle Credits'!D227</f>
        <v>66.552483814608038</v>
      </c>
    </row>
    <row r="11" spans="1:18" ht="15.75" customHeight="1" x14ac:dyDescent="0.2">
      <c r="A11" s="65">
        <f>+'SF Pricing'!A11</f>
        <v>41943</v>
      </c>
      <c r="B11" s="66"/>
      <c r="C11" s="71">
        <f>'SF Commodity Tonnages'!C11*'SF Pricing'!C11</f>
        <v>3290.6425324500001</v>
      </c>
      <c r="D11" s="74">
        <f>'SF Commodity Tonnages'!D11*'SF Pricing'!D11</f>
        <v>68.569921055999998</v>
      </c>
      <c r="E11" s="74">
        <f>'SF Commodity Tonnages'!E11*'SF Pricing'!E11</f>
        <v>0</v>
      </c>
      <c r="F11" s="74">
        <f>'SF Commodity Tonnages'!F11*'SF Pricing'!F11</f>
        <v>398.83224150000001</v>
      </c>
      <c r="G11" s="74">
        <f>'SF Commodity Tonnages'!G11*'SF Pricing'!G11</f>
        <v>5208.2533503000004</v>
      </c>
      <c r="H11" s="74">
        <f>'SF Commodity Tonnages'!H11*'SF Pricing'!H11</f>
        <v>7623.7474654319985</v>
      </c>
      <c r="I11" s="74">
        <f>'SF Commodity Tonnages'!I11*'SF Pricing'!I11</f>
        <v>2015.7893726249999</v>
      </c>
      <c r="J11" s="74">
        <f>'SF Commodity Tonnages'!J11*'SF Pricing'!J11</f>
        <v>2015.7893726249999</v>
      </c>
      <c r="K11" s="74">
        <f>'SF Commodity Tonnages'!K11*'SF Pricing'!K11</f>
        <v>6628.5107353079993</v>
      </c>
      <c r="L11" s="74">
        <f>'SF Commodity Tonnages'!L11*'SF Pricing'!L11</f>
        <v>-2780.4542845800061</v>
      </c>
      <c r="M11" s="131">
        <f t="shared" si="0"/>
        <v>24469.680706715993</v>
      </c>
      <c r="O11" s="98">
        <f t="shared" si="1"/>
        <v>12235.586806715994</v>
      </c>
      <c r="P11" s="155">
        <f t="shared" si="2"/>
        <v>0.50003050523490455</v>
      </c>
      <c r="Q11" s="156">
        <v>12234.0939</v>
      </c>
      <c r="R11" s="159">
        <f>M11/'[15]Eastside SF Recycle Credits'!D228</f>
        <v>64.871900070827138</v>
      </c>
    </row>
    <row r="12" spans="1:18" ht="15.75" customHeight="1" x14ac:dyDescent="0.2">
      <c r="A12" s="65">
        <f>+'SF Pricing'!A12</f>
        <v>41973</v>
      </c>
      <c r="B12" s="66"/>
      <c r="C12" s="71">
        <f>'SF Commodity Tonnages'!C12*'SF Pricing'!C12</f>
        <v>3017.4143999999997</v>
      </c>
      <c r="D12" s="74">
        <f>'SF Commodity Tonnages'!D12*'SF Pricing'!D12</f>
        <v>-170.55157683199999</v>
      </c>
      <c r="E12" s="74">
        <f>'SF Commodity Tonnages'!E12*'SF Pricing'!E12</f>
        <v>0</v>
      </c>
      <c r="F12" s="74">
        <f>'SF Commodity Tonnages'!F12*'SF Pricing'!F12</f>
        <v>284.80620168000002</v>
      </c>
      <c r="G12" s="74">
        <f>'SF Commodity Tonnages'!G12*'SF Pricing'!G12</f>
        <v>4059.9310751999997</v>
      </c>
      <c r="H12" s="74">
        <f>'SF Commodity Tonnages'!H12*'SF Pricing'!H12</f>
        <v>5923.8597279679998</v>
      </c>
      <c r="I12" s="74">
        <f>'SF Commodity Tonnages'!I12*'SF Pricing'!I12</f>
        <v>1534.999737544</v>
      </c>
      <c r="J12" s="74">
        <f>'SF Commodity Tonnages'!J12*'SF Pricing'!J12</f>
        <v>1534.999737544</v>
      </c>
      <c r="K12" s="74">
        <f>'SF Commodity Tonnages'!K12*'SF Pricing'!K12</f>
        <v>5417.7675551999992</v>
      </c>
      <c r="L12" s="74">
        <f>'SF Commodity Tonnages'!L12*'SF Pricing'!L12</f>
        <v>-2327.0930113600052</v>
      </c>
      <c r="M12" s="131">
        <f t="shared" si="0"/>
        <v>19276.133846943994</v>
      </c>
      <c r="O12" s="98">
        <f t="shared" si="1"/>
        <v>9637.7154469439938</v>
      </c>
      <c r="P12" s="155">
        <f t="shared" si="2"/>
        <v>0.49998176623327095</v>
      </c>
      <c r="Q12" s="156">
        <v>9638.4184000000005</v>
      </c>
      <c r="R12" s="159">
        <f>M12/'[15]Eastside SF Recycle Credits'!D229</f>
        <v>59.292937086877863</v>
      </c>
    </row>
    <row r="13" spans="1:18" ht="15.75" customHeight="1" x14ac:dyDescent="0.2">
      <c r="A13" s="65">
        <f>+'SF Pricing'!A13</f>
        <v>42004</v>
      </c>
      <c r="B13" s="66"/>
      <c r="C13" s="71">
        <f>'SF Commodity Tonnages'!C13*'SF Pricing'!C13</f>
        <v>3450.7619999999997</v>
      </c>
      <c r="D13" s="74">
        <f>'SF Commodity Tonnages'!D13*'SF Pricing'!D13</f>
        <v>-325.86235718399996</v>
      </c>
      <c r="E13" s="74">
        <f>'SF Commodity Tonnages'!E13*'SF Pricing'!E13</f>
        <v>0</v>
      </c>
      <c r="F13" s="74">
        <f>'SF Commodity Tonnages'!F13*'SF Pricing'!F13</f>
        <v>340.01778887999996</v>
      </c>
      <c r="G13" s="74">
        <f>'SF Commodity Tonnages'!G13*'SF Pricing'!G13</f>
        <v>4582.5713387999995</v>
      </c>
      <c r="H13" s="74">
        <f>'SF Commodity Tonnages'!H13*'SF Pricing'!H13</f>
        <v>6683.6339559359985</v>
      </c>
      <c r="I13" s="74">
        <f>'SF Commodity Tonnages'!I13*'SF Pricing'!I13</f>
        <v>1489.23926676</v>
      </c>
      <c r="J13" s="74">
        <f>'SF Commodity Tonnages'!J13*'SF Pricing'!J13</f>
        <v>1489.23926676</v>
      </c>
      <c r="K13" s="74">
        <f>'SF Commodity Tonnages'!K13*'SF Pricing'!K13</f>
        <v>6107.780536704</v>
      </c>
      <c r="L13" s="74">
        <f>'SF Commodity Tonnages'!L13*'SF Pricing'!L13</f>
        <v>-2755.2279578400057</v>
      </c>
      <c r="M13" s="131">
        <f t="shared" si="0"/>
        <v>21062.15383881599</v>
      </c>
      <c r="O13" s="98">
        <f t="shared" si="1"/>
        <v>10532.01343881599</v>
      </c>
      <c r="P13" s="155">
        <f t="shared" si="2"/>
        <v>0.50004446456023266</v>
      </c>
      <c r="Q13" s="156">
        <v>10530.1404</v>
      </c>
      <c r="R13" s="159">
        <f>M13/'[15]Eastside SF Recycle Credits'!D230</f>
        <v>57.802716501498409</v>
      </c>
    </row>
    <row r="14" spans="1:18" ht="15.75" customHeight="1" x14ac:dyDescent="0.2">
      <c r="A14" s="65">
        <f>+'SF Pricing'!A14</f>
        <v>42035</v>
      </c>
      <c r="B14" s="66"/>
      <c r="C14" s="71">
        <f>'SF Commodity Tonnages'!C14*'SF Pricing'!C14</f>
        <v>3453.7062000000001</v>
      </c>
      <c r="D14" s="74">
        <f>'SF Commodity Tonnages'!D14*'SF Pricing'!D14</f>
        <v>-289.59137043200002</v>
      </c>
      <c r="E14" s="74">
        <f>'SF Commodity Tonnages'!E14*'SF Pricing'!E14</f>
        <v>0</v>
      </c>
      <c r="F14" s="74">
        <f>'SF Commodity Tonnages'!F14*'SF Pricing'!F14</f>
        <v>364.27856850000001</v>
      </c>
      <c r="G14" s="74">
        <f>'SF Commodity Tonnages'!G14*'SF Pricing'!G14</f>
        <v>4798.4220101999999</v>
      </c>
      <c r="H14" s="74">
        <f>'SF Commodity Tonnages'!H14*'SF Pricing'!H14</f>
        <v>7135.4864138879984</v>
      </c>
      <c r="I14" s="74">
        <f>'SF Commodity Tonnages'!I14*'SF Pricing'!I14</f>
        <v>1219.7642173079998</v>
      </c>
      <c r="J14" s="74">
        <f>'SF Commodity Tonnages'!J14*'SF Pricing'!J14</f>
        <v>1252.3922885267361</v>
      </c>
      <c r="K14" s="74">
        <f>'SF Commodity Tonnages'!K14*'SF Pricing'!K14</f>
        <v>6354.4609220399998</v>
      </c>
      <c r="L14" s="74">
        <f>'SF Commodity Tonnages'!L14*'SF Pricing'!L14</f>
        <v>-2967.0150851600065</v>
      </c>
      <c r="M14" s="131">
        <f t="shared" si="0"/>
        <v>21321.904164870728</v>
      </c>
      <c r="O14" s="98">
        <f t="shared" si="1"/>
        <v>10542.166264870726</v>
      </c>
      <c r="P14" s="155">
        <f t="shared" si="2"/>
        <v>0.49442893014403727</v>
      </c>
      <c r="Q14" s="156">
        <v>10779.737900000002</v>
      </c>
      <c r="R14" s="159">
        <f>M14/'[15]Eastside SF Recycle Credits'!D231</f>
        <v>51.015442432996117</v>
      </c>
    </row>
    <row r="15" spans="1:18" ht="15.75" customHeight="1" x14ac:dyDescent="0.2">
      <c r="A15" s="65">
        <f>+'SF Pricing'!A15</f>
        <v>42063</v>
      </c>
      <c r="B15" s="66"/>
      <c r="C15" s="71">
        <f>'SF Commodity Tonnages'!C15*'SF Pricing'!C15</f>
        <v>2524.1509586999996</v>
      </c>
      <c r="D15" s="74">
        <f>'SF Commodity Tonnages'!D15*'SF Pricing'!D15</f>
        <v>-495.07277164800001</v>
      </c>
      <c r="E15" s="74">
        <f>'SF Commodity Tonnages'!E15*'SF Pricing'!E15</f>
        <v>0</v>
      </c>
      <c r="F15" s="74">
        <f>'SF Commodity Tonnages'!F15*'SF Pricing'!F15</f>
        <v>198.19053870000002</v>
      </c>
      <c r="G15" s="74">
        <f>'SF Commodity Tonnages'!G15*'SF Pricing'!G15</f>
        <v>3506.0385359999996</v>
      </c>
      <c r="H15" s="74">
        <f>'SF Commodity Tonnages'!H15*'SF Pricing'!H15</f>
        <v>5138.0674293759994</v>
      </c>
      <c r="I15" s="74">
        <f>'SF Commodity Tonnages'!I15*'SF Pricing'!I15</f>
        <v>718.97866850600008</v>
      </c>
      <c r="J15" s="74">
        <f>'SF Commodity Tonnages'!J15*'SF Pricing'!J15</f>
        <v>718.97866850600008</v>
      </c>
      <c r="K15" s="74">
        <f>'SF Commodity Tonnages'!K15*'SF Pricing'!K15</f>
        <v>4021.0713385920003</v>
      </c>
      <c r="L15" s="74">
        <f>'SF Commodity Tonnages'!L15*'SF Pricing'!L15</f>
        <v>-2189.4171264400047</v>
      </c>
      <c r="M15" s="131">
        <f t="shared" si="0"/>
        <v>14140.986240291997</v>
      </c>
      <c r="O15" s="98">
        <f t="shared" si="1"/>
        <v>6969.0519402919972</v>
      </c>
      <c r="P15" s="155">
        <f t="shared" si="2"/>
        <v>0.49282644236192208</v>
      </c>
      <c r="Q15" s="156">
        <v>7171.9342999999999</v>
      </c>
      <c r="R15" s="159">
        <f>M15/'[15]Eastside SF Recycle Credits'!D232</f>
        <v>46.061844430918555</v>
      </c>
    </row>
    <row r="16" spans="1:18" ht="15.75" customHeight="1" x14ac:dyDescent="0.2">
      <c r="A16" s="65">
        <f>+'SF Pricing'!A16</f>
        <v>42094</v>
      </c>
      <c r="B16" s="66"/>
      <c r="C16" s="71">
        <f>'SF Commodity Tonnages'!C16*'SF Pricing'!C16</f>
        <v>2746.4875630499996</v>
      </c>
      <c r="D16" s="74">
        <f>'SF Commodity Tonnages'!D16*'SF Pricing'!D16</f>
        <v>-322.97501163199996</v>
      </c>
      <c r="E16" s="74">
        <f>'SF Commodity Tonnages'!E16*'SF Pricing'!E16</f>
        <v>0</v>
      </c>
      <c r="F16" s="74">
        <f>'SF Commodity Tonnages'!F16*'SF Pricing'!F16</f>
        <v>230.69520589499999</v>
      </c>
      <c r="G16" s="74">
        <f>'SF Commodity Tonnages'!G16*'SF Pricing'!G16</f>
        <v>4109.5203239999992</v>
      </c>
      <c r="H16" s="74">
        <f>'SF Commodity Tonnages'!H16*'SF Pricing'!H16</f>
        <v>6346.0181874599984</v>
      </c>
      <c r="I16" s="74">
        <f>'SF Commodity Tonnages'!I16*'SF Pricing'!I16</f>
        <v>941.71115710699996</v>
      </c>
      <c r="J16" s="74">
        <f>'SF Commodity Tonnages'!J16*'SF Pricing'!J16</f>
        <v>941.71115710699996</v>
      </c>
      <c r="K16" s="74">
        <f>'SF Commodity Tonnages'!K16*'SF Pricing'!K16</f>
        <v>4496.4725804459995</v>
      </c>
      <c r="L16" s="74">
        <f>'SF Commodity Tonnages'!L16*'SF Pricing'!L16</f>
        <v>-2506.313948510005</v>
      </c>
      <c r="M16" s="131">
        <f t="shared" si="0"/>
        <v>16983.327214922992</v>
      </c>
      <c r="O16" s="98">
        <f t="shared" si="1"/>
        <v>8392.2947649229918</v>
      </c>
      <c r="P16" s="155">
        <f t="shared" si="2"/>
        <v>0.49414903562293788</v>
      </c>
      <c r="Q16" s="156">
        <v>8591.0324500000006</v>
      </c>
      <c r="R16" s="159">
        <f>M16/'[15]Eastside SF Recycle Credits'!D233</f>
        <v>51.207040990541493</v>
      </c>
    </row>
    <row r="17" spans="1:18" ht="15.75" customHeight="1" x14ac:dyDescent="0.2">
      <c r="A17" s="65">
        <f>+'SF Pricing'!A17</f>
        <v>42124</v>
      </c>
      <c r="B17" s="66"/>
      <c r="C17" s="71">
        <f>'SF Commodity Tonnages'!C17*'SF Pricing'!C17</f>
        <v>2541.4476769500002</v>
      </c>
      <c r="D17" s="74">
        <f>'SF Commodity Tonnages'!D17*'SF Pricing'!D17</f>
        <v>-860.06739728000014</v>
      </c>
      <c r="E17" s="74">
        <f>'SF Commodity Tonnages'!E17*'SF Pricing'!E17</f>
        <v>0</v>
      </c>
      <c r="F17" s="74">
        <f>'SF Commodity Tonnages'!F17*'SF Pricing'!F17</f>
        <v>226.27884510000001</v>
      </c>
      <c r="G17" s="74">
        <f>'SF Commodity Tonnages'!G17*'SF Pricing'!G17</f>
        <v>4173.3798015000002</v>
      </c>
      <c r="H17" s="74">
        <f>'SF Commodity Tonnages'!H17*'SF Pricing'!H17</f>
        <v>6301.0903057199994</v>
      </c>
      <c r="I17" s="74">
        <f>'SF Commodity Tonnages'!I17*'SF Pricing'!I17</f>
        <v>1122.349305273</v>
      </c>
      <c r="J17" s="74">
        <f>'SF Commodity Tonnages'!J17*'SF Pricing'!J17</f>
        <v>1122.349305273</v>
      </c>
      <c r="K17" s="74">
        <f>'SF Commodity Tonnages'!K17*'SF Pricing'!K17</f>
        <v>4981.2807151799998</v>
      </c>
      <c r="L17" s="74">
        <f>'SF Commodity Tonnages'!L17*'SF Pricing'!L17</f>
        <v>-2488.5700068200058</v>
      </c>
      <c r="M17" s="131">
        <f t="shared" si="0"/>
        <v>17119.538550895995</v>
      </c>
      <c r="O17" s="98">
        <f>+M17-Q17</f>
        <v>8295.9385508959949</v>
      </c>
      <c r="P17" s="155">
        <f t="shared" si="2"/>
        <v>0.48458891144947397</v>
      </c>
      <c r="Q17" s="156">
        <v>8823.6</v>
      </c>
      <c r="R17" s="159">
        <f>M17/'[15]Eastside SF Recycle Credits'!D234</f>
        <v>53.498557971549985</v>
      </c>
    </row>
    <row r="18" spans="1:18" ht="15.75" customHeight="1" x14ac:dyDescent="0.2">
      <c r="A18" s="69" t="s">
        <v>32</v>
      </c>
      <c r="B18" s="66"/>
      <c r="C18" s="132">
        <f t="shared" ref="C18:L18" si="3">SUM(C6:C17)</f>
        <v>35347.218500475006</v>
      </c>
      <c r="D18" s="133">
        <f t="shared" si="3"/>
        <v>-4601.7795437120003</v>
      </c>
      <c r="E18" s="133">
        <f t="shared" si="3"/>
        <v>0</v>
      </c>
      <c r="F18" s="132">
        <f t="shared" si="3"/>
        <v>4212.3016331549998</v>
      </c>
      <c r="G18" s="132">
        <f t="shared" si="3"/>
        <v>55092.056646900004</v>
      </c>
      <c r="H18" s="132">
        <f t="shared" si="3"/>
        <v>82891.423689773976</v>
      </c>
      <c r="I18" s="132">
        <f t="shared" si="3"/>
        <v>17220.045319469999</v>
      </c>
      <c r="J18" s="132">
        <f t="shared" si="3"/>
        <v>17252.673390688735</v>
      </c>
      <c r="K18" s="132">
        <f t="shared" si="3"/>
        <v>68178.685269474838</v>
      </c>
      <c r="L18" s="133">
        <f t="shared" si="3"/>
        <v>-30389.956293410065</v>
      </c>
      <c r="M18" s="134">
        <f>SUM(C18:L18)</f>
        <v>245202.66861281547</v>
      </c>
      <c r="O18" s="135">
        <f>SUM(O6:O17)</f>
        <v>122020.52026281551</v>
      </c>
      <c r="P18" s="141">
        <f>+O18/M18</f>
        <v>0.49763128987592975</v>
      </c>
      <c r="Q18" s="135">
        <f>+M18-O18</f>
        <v>123182.14834999996</v>
      </c>
    </row>
    <row r="19" spans="1:18" x14ac:dyDescent="0.2">
      <c r="A19" s="66"/>
      <c r="B19" s="66"/>
      <c r="C19" s="71"/>
      <c r="D19" s="71"/>
      <c r="E19" s="71"/>
      <c r="F19" s="71"/>
      <c r="G19" s="71"/>
      <c r="H19" s="71"/>
      <c r="I19" s="71"/>
      <c r="J19" s="71"/>
      <c r="K19" s="71"/>
      <c r="L19" s="71"/>
      <c r="M19" s="71"/>
      <c r="O19" s="80"/>
    </row>
    <row r="20" spans="1:18" x14ac:dyDescent="0.2">
      <c r="A20" s="66"/>
      <c r="B20" s="66"/>
      <c r="C20" s="66"/>
      <c r="D20" s="66"/>
      <c r="E20" s="66"/>
      <c r="F20" s="66"/>
      <c r="G20" s="66"/>
      <c r="H20" s="66"/>
      <c r="I20" s="66"/>
      <c r="J20" s="66"/>
      <c r="K20" s="66"/>
      <c r="L20" s="66"/>
      <c r="M20" s="67"/>
      <c r="O20" s="81"/>
    </row>
    <row r="21" spans="1:18" x14ac:dyDescent="0.2">
      <c r="A21" s="66"/>
      <c r="B21" s="66"/>
      <c r="C21" s="66"/>
      <c r="D21" s="66"/>
      <c r="E21" s="66"/>
      <c r="F21" s="66"/>
      <c r="G21" s="66"/>
      <c r="H21" s="66"/>
      <c r="I21" s="66"/>
      <c r="J21" s="66"/>
      <c r="K21" s="66"/>
      <c r="L21" s="66"/>
      <c r="M21" s="67"/>
      <c r="O21" s="82"/>
    </row>
    <row r="22" spans="1:18" x14ac:dyDescent="0.2">
      <c r="A22" s="66"/>
      <c r="B22" s="66"/>
      <c r="C22" s="66"/>
      <c r="D22" s="66"/>
      <c r="E22" s="66"/>
      <c r="F22" s="66"/>
      <c r="G22" s="66"/>
      <c r="H22" s="66"/>
      <c r="I22" s="66"/>
      <c r="J22" s="66"/>
      <c r="K22" s="66"/>
      <c r="L22" s="66"/>
      <c r="M22" s="67"/>
    </row>
    <row r="23" spans="1:18" x14ac:dyDescent="0.2">
      <c r="A23" s="66"/>
      <c r="B23" s="66"/>
      <c r="C23" s="66"/>
      <c r="D23" s="66"/>
      <c r="E23" s="66"/>
      <c r="F23" s="66"/>
      <c r="G23" s="66"/>
      <c r="H23" s="66"/>
      <c r="I23" s="66"/>
      <c r="J23" s="66"/>
      <c r="K23" s="66"/>
      <c r="L23" s="66"/>
      <c r="M23" s="67"/>
    </row>
    <row r="24" spans="1:18" x14ac:dyDescent="0.2">
      <c r="A24" s="66"/>
      <c r="B24" s="66"/>
      <c r="C24" s="66"/>
      <c r="D24" s="66"/>
      <c r="E24" s="66"/>
      <c r="F24" s="66"/>
      <c r="G24" s="66"/>
      <c r="H24" s="66"/>
      <c r="I24" s="66"/>
      <c r="J24" s="66"/>
      <c r="K24" s="66"/>
      <c r="L24" s="66"/>
      <c r="M24" s="67"/>
    </row>
    <row r="25" spans="1:18" x14ac:dyDescent="0.2">
      <c r="A25" s="66"/>
      <c r="B25" s="66"/>
      <c r="C25" s="66"/>
      <c r="D25" s="66"/>
      <c r="E25" s="66"/>
      <c r="F25" s="66"/>
      <c r="G25" s="66"/>
      <c r="H25" s="66"/>
      <c r="I25" s="66"/>
      <c r="J25" s="66"/>
      <c r="K25" s="66"/>
      <c r="L25" s="66"/>
      <c r="M25" s="67"/>
    </row>
    <row r="26" spans="1:18" x14ac:dyDescent="0.2">
      <c r="A26" s="66"/>
      <c r="B26" s="66"/>
      <c r="C26" s="66"/>
      <c r="D26" s="66"/>
      <c r="E26" s="66"/>
      <c r="F26" s="66"/>
      <c r="G26" s="66"/>
      <c r="H26" s="66"/>
      <c r="I26" s="66"/>
      <c r="J26" s="66"/>
      <c r="K26" s="66"/>
      <c r="L26" s="66"/>
      <c r="M26" s="67"/>
    </row>
    <row r="27" spans="1:18" x14ac:dyDescent="0.2">
      <c r="A27" s="66"/>
      <c r="B27" s="66"/>
      <c r="C27" s="66"/>
      <c r="D27" s="66"/>
      <c r="E27" s="66"/>
      <c r="F27" s="66"/>
      <c r="G27" s="66"/>
      <c r="H27" s="66"/>
      <c r="I27" s="66"/>
      <c r="J27" s="66"/>
      <c r="K27" s="66"/>
      <c r="L27" s="66"/>
      <c r="M27" s="67"/>
    </row>
    <row r="28" spans="1:18" x14ac:dyDescent="0.2">
      <c r="A28" s="66"/>
      <c r="B28" s="66"/>
      <c r="C28" s="66"/>
      <c r="D28" s="66"/>
      <c r="E28" s="66"/>
      <c r="F28" s="66"/>
      <c r="G28" s="66"/>
      <c r="H28" s="66"/>
      <c r="I28" s="66"/>
      <c r="J28" s="66"/>
      <c r="K28" s="66"/>
      <c r="L28" s="66"/>
      <c r="M28" s="66"/>
    </row>
    <row r="29" spans="1:18" x14ac:dyDescent="0.2">
      <c r="A29" s="66"/>
      <c r="B29" s="66"/>
      <c r="C29" s="66"/>
      <c r="D29" s="66"/>
      <c r="E29" s="66"/>
      <c r="F29" s="66"/>
      <c r="G29" s="66"/>
      <c r="H29" s="66"/>
      <c r="I29" s="66"/>
      <c r="J29" s="66"/>
      <c r="K29" s="66"/>
      <c r="L29" s="66"/>
      <c r="M29" s="66"/>
    </row>
    <row r="30" spans="1:18" x14ac:dyDescent="0.2">
      <c r="A30" s="66"/>
      <c r="B30" s="66"/>
      <c r="C30" s="66"/>
      <c r="D30" s="66"/>
      <c r="E30" s="66"/>
      <c r="F30" s="66"/>
      <c r="G30" s="66"/>
      <c r="H30" s="66"/>
      <c r="I30" s="66"/>
      <c r="J30" s="66"/>
      <c r="K30" s="66"/>
      <c r="L30" s="66"/>
      <c r="M30" s="66"/>
    </row>
    <row r="31" spans="1:18" x14ac:dyDescent="0.2">
      <c r="A31" s="66"/>
      <c r="B31" s="66"/>
      <c r="C31" s="66"/>
      <c r="D31" s="66"/>
      <c r="E31" s="66"/>
      <c r="F31" s="66"/>
      <c r="G31" s="66"/>
      <c r="H31" s="66"/>
      <c r="I31" s="66"/>
      <c r="J31" s="66"/>
      <c r="K31" s="66"/>
      <c r="L31" s="66"/>
      <c r="M31" s="66"/>
    </row>
    <row r="32" spans="1:18"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25" right="0.25" top="0.75" bottom="0.75" header="0.3" footer="0.3"/>
  <pageSetup scale="7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A107"/>
  <sheetViews>
    <sheetView workbookViewId="0">
      <selection activeCell="J65" sqref="J65"/>
    </sheetView>
  </sheetViews>
  <sheetFormatPr defaultRowHeight="12.75" x14ac:dyDescent="0.2"/>
  <cols>
    <col min="1" max="1" width="23.570312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2" width="9.5703125" style="5" customWidth="1"/>
    <col min="13"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3.5703125" style="5" customWidth="1"/>
    <col min="258" max="258" width="10.5703125" style="5" customWidth="1"/>
    <col min="259" max="259" width="4.42578125" style="5" customWidth="1"/>
    <col min="260" max="260" width="11.28515625" style="5" customWidth="1"/>
    <col min="261" max="261" width="5.85546875" style="5" customWidth="1"/>
    <col min="262" max="262" width="11.28515625" style="5" customWidth="1"/>
    <col min="263" max="263" width="8.7109375" style="5" customWidth="1"/>
    <col min="264" max="264" width="4.42578125" style="5" customWidth="1"/>
    <col min="265" max="265" width="9" style="5" bestFit="1" customWidth="1"/>
    <col min="266" max="266" width="10.85546875" style="5" customWidth="1"/>
    <col min="267" max="267" width="7.140625" style="5" customWidth="1"/>
    <col min="268" max="268" width="9.5703125" style="5" customWidth="1"/>
    <col min="269" max="272" width="0" style="5" hidden="1"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3.5703125" style="5" customWidth="1"/>
    <col min="514" max="514" width="10.5703125" style="5" customWidth="1"/>
    <col min="515" max="515" width="4.42578125" style="5" customWidth="1"/>
    <col min="516" max="516" width="11.28515625" style="5" customWidth="1"/>
    <col min="517" max="517" width="5.85546875" style="5" customWidth="1"/>
    <col min="518" max="518" width="11.28515625" style="5" customWidth="1"/>
    <col min="519" max="519" width="8.7109375" style="5" customWidth="1"/>
    <col min="520" max="520" width="4.42578125" style="5" customWidth="1"/>
    <col min="521" max="521" width="9" style="5" bestFit="1" customWidth="1"/>
    <col min="522" max="522" width="10.85546875" style="5" customWidth="1"/>
    <col min="523" max="523" width="7.140625" style="5" customWidth="1"/>
    <col min="524" max="524" width="9.5703125" style="5" customWidth="1"/>
    <col min="525" max="528" width="0" style="5" hidden="1"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3.5703125" style="5" customWidth="1"/>
    <col min="770" max="770" width="10.5703125" style="5" customWidth="1"/>
    <col min="771" max="771" width="4.42578125" style="5" customWidth="1"/>
    <col min="772" max="772" width="11.28515625" style="5" customWidth="1"/>
    <col min="773" max="773" width="5.85546875" style="5" customWidth="1"/>
    <col min="774" max="774" width="11.28515625" style="5" customWidth="1"/>
    <col min="775" max="775" width="8.7109375" style="5" customWidth="1"/>
    <col min="776" max="776" width="4.42578125" style="5" customWidth="1"/>
    <col min="777" max="777" width="9" style="5" bestFit="1" customWidth="1"/>
    <col min="778" max="778" width="10.85546875" style="5" customWidth="1"/>
    <col min="779" max="779" width="7.140625" style="5" customWidth="1"/>
    <col min="780" max="780" width="9.5703125" style="5" customWidth="1"/>
    <col min="781" max="784" width="0" style="5" hidden="1"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3.5703125" style="5" customWidth="1"/>
    <col min="1026" max="1026" width="10.5703125" style="5" customWidth="1"/>
    <col min="1027" max="1027" width="4.42578125" style="5" customWidth="1"/>
    <col min="1028" max="1028" width="11.28515625" style="5" customWidth="1"/>
    <col min="1029" max="1029" width="5.85546875" style="5" customWidth="1"/>
    <col min="1030" max="1030" width="11.28515625" style="5" customWidth="1"/>
    <col min="1031" max="1031" width="8.7109375" style="5" customWidth="1"/>
    <col min="1032" max="1032" width="4.42578125" style="5" customWidth="1"/>
    <col min="1033" max="1033" width="9" style="5" bestFit="1" customWidth="1"/>
    <col min="1034" max="1034" width="10.85546875" style="5" customWidth="1"/>
    <col min="1035" max="1035" width="7.140625" style="5" customWidth="1"/>
    <col min="1036" max="1036" width="9.5703125" style="5" customWidth="1"/>
    <col min="1037" max="1040" width="0" style="5" hidden="1"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3.5703125" style="5" customWidth="1"/>
    <col min="1282" max="1282" width="10.5703125" style="5" customWidth="1"/>
    <col min="1283" max="1283" width="4.42578125" style="5" customWidth="1"/>
    <col min="1284" max="1284" width="11.28515625" style="5" customWidth="1"/>
    <col min="1285" max="1285" width="5.85546875" style="5" customWidth="1"/>
    <col min="1286" max="1286" width="11.28515625" style="5" customWidth="1"/>
    <col min="1287" max="1287" width="8.7109375" style="5" customWidth="1"/>
    <col min="1288" max="1288" width="4.42578125" style="5" customWidth="1"/>
    <col min="1289" max="1289" width="9" style="5" bestFit="1" customWidth="1"/>
    <col min="1290" max="1290" width="10.85546875" style="5" customWidth="1"/>
    <col min="1291" max="1291" width="7.140625" style="5" customWidth="1"/>
    <col min="1292" max="1292" width="9.5703125" style="5" customWidth="1"/>
    <col min="1293" max="1296" width="0" style="5" hidden="1"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3.5703125" style="5" customWidth="1"/>
    <col min="1538" max="1538" width="10.5703125" style="5" customWidth="1"/>
    <col min="1539" max="1539" width="4.42578125" style="5" customWidth="1"/>
    <col min="1540" max="1540" width="11.28515625" style="5" customWidth="1"/>
    <col min="1541" max="1541" width="5.85546875" style="5" customWidth="1"/>
    <col min="1542" max="1542" width="11.28515625" style="5" customWidth="1"/>
    <col min="1543" max="1543" width="8.7109375" style="5" customWidth="1"/>
    <col min="1544" max="1544" width="4.42578125" style="5" customWidth="1"/>
    <col min="1545" max="1545" width="9" style="5" bestFit="1" customWidth="1"/>
    <col min="1546" max="1546" width="10.85546875" style="5" customWidth="1"/>
    <col min="1547" max="1547" width="7.140625" style="5" customWidth="1"/>
    <col min="1548" max="1548" width="9.5703125" style="5" customWidth="1"/>
    <col min="1549" max="1552" width="0" style="5" hidden="1"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3.5703125" style="5" customWidth="1"/>
    <col min="1794" max="1794" width="10.5703125" style="5" customWidth="1"/>
    <col min="1795" max="1795" width="4.42578125" style="5" customWidth="1"/>
    <col min="1796" max="1796" width="11.28515625" style="5" customWidth="1"/>
    <col min="1797" max="1797" width="5.85546875" style="5" customWidth="1"/>
    <col min="1798" max="1798" width="11.28515625" style="5" customWidth="1"/>
    <col min="1799" max="1799" width="8.7109375" style="5" customWidth="1"/>
    <col min="1800" max="1800" width="4.42578125" style="5" customWidth="1"/>
    <col min="1801" max="1801" width="9" style="5" bestFit="1" customWidth="1"/>
    <col min="1802" max="1802" width="10.85546875" style="5" customWidth="1"/>
    <col min="1803" max="1803" width="7.140625" style="5" customWidth="1"/>
    <col min="1804" max="1804" width="9.5703125" style="5" customWidth="1"/>
    <col min="1805" max="1808" width="0" style="5" hidden="1"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3.5703125" style="5" customWidth="1"/>
    <col min="2050" max="2050" width="10.5703125" style="5" customWidth="1"/>
    <col min="2051" max="2051" width="4.42578125" style="5" customWidth="1"/>
    <col min="2052" max="2052" width="11.28515625" style="5" customWidth="1"/>
    <col min="2053" max="2053" width="5.85546875" style="5" customWidth="1"/>
    <col min="2054" max="2054" width="11.28515625" style="5" customWidth="1"/>
    <col min="2055" max="2055" width="8.7109375" style="5" customWidth="1"/>
    <col min="2056" max="2056" width="4.42578125" style="5" customWidth="1"/>
    <col min="2057" max="2057" width="9" style="5" bestFit="1" customWidth="1"/>
    <col min="2058" max="2058" width="10.85546875" style="5" customWidth="1"/>
    <col min="2059" max="2059" width="7.140625" style="5" customWidth="1"/>
    <col min="2060" max="2060" width="9.5703125" style="5" customWidth="1"/>
    <col min="2061" max="2064" width="0" style="5" hidden="1"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3.5703125" style="5" customWidth="1"/>
    <col min="2306" max="2306" width="10.5703125" style="5" customWidth="1"/>
    <col min="2307" max="2307" width="4.42578125" style="5" customWidth="1"/>
    <col min="2308" max="2308" width="11.28515625" style="5" customWidth="1"/>
    <col min="2309" max="2309" width="5.85546875" style="5" customWidth="1"/>
    <col min="2310" max="2310" width="11.28515625" style="5" customWidth="1"/>
    <col min="2311" max="2311" width="8.7109375" style="5" customWidth="1"/>
    <col min="2312" max="2312" width="4.42578125" style="5" customWidth="1"/>
    <col min="2313" max="2313" width="9" style="5" bestFit="1" customWidth="1"/>
    <col min="2314" max="2314" width="10.85546875" style="5" customWidth="1"/>
    <col min="2315" max="2315" width="7.140625" style="5" customWidth="1"/>
    <col min="2316" max="2316" width="9.5703125" style="5" customWidth="1"/>
    <col min="2317" max="2320" width="0" style="5" hidden="1"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3.5703125" style="5" customWidth="1"/>
    <col min="2562" max="2562" width="10.5703125" style="5" customWidth="1"/>
    <col min="2563" max="2563" width="4.42578125" style="5" customWidth="1"/>
    <col min="2564" max="2564" width="11.28515625" style="5" customWidth="1"/>
    <col min="2565" max="2565" width="5.85546875" style="5" customWidth="1"/>
    <col min="2566" max="2566" width="11.28515625" style="5" customWidth="1"/>
    <col min="2567" max="2567" width="8.7109375" style="5" customWidth="1"/>
    <col min="2568" max="2568" width="4.42578125" style="5" customWidth="1"/>
    <col min="2569" max="2569" width="9" style="5" bestFit="1" customWidth="1"/>
    <col min="2570" max="2570" width="10.85546875" style="5" customWidth="1"/>
    <col min="2571" max="2571" width="7.140625" style="5" customWidth="1"/>
    <col min="2572" max="2572" width="9.5703125" style="5" customWidth="1"/>
    <col min="2573" max="2576" width="0" style="5" hidden="1"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3.5703125" style="5" customWidth="1"/>
    <col min="2818" max="2818" width="10.5703125" style="5" customWidth="1"/>
    <col min="2819" max="2819" width="4.42578125" style="5" customWidth="1"/>
    <col min="2820" max="2820" width="11.28515625" style="5" customWidth="1"/>
    <col min="2821" max="2821" width="5.85546875" style="5" customWidth="1"/>
    <col min="2822" max="2822" width="11.28515625" style="5" customWidth="1"/>
    <col min="2823" max="2823" width="8.7109375" style="5" customWidth="1"/>
    <col min="2824" max="2824" width="4.42578125" style="5" customWidth="1"/>
    <col min="2825" max="2825" width="9" style="5" bestFit="1" customWidth="1"/>
    <col min="2826" max="2826" width="10.85546875" style="5" customWidth="1"/>
    <col min="2827" max="2827" width="7.140625" style="5" customWidth="1"/>
    <col min="2828" max="2828" width="9.5703125" style="5" customWidth="1"/>
    <col min="2829" max="2832" width="0" style="5" hidden="1"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3.5703125" style="5" customWidth="1"/>
    <col min="3074" max="3074" width="10.5703125" style="5" customWidth="1"/>
    <col min="3075" max="3075" width="4.42578125" style="5" customWidth="1"/>
    <col min="3076" max="3076" width="11.28515625" style="5" customWidth="1"/>
    <col min="3077" max="3077" width="5.85546875" style="5" customWidth="1"/>
    <col min="3078" max="3078" width="11.28515625" style="5" customWidth="1"/>
    <col min="3079" max="3079" width="8.7109375" style="5" customWidth="1"/>
    <col min="3080" max="3080" width="4.42578125" style="5" customWidth="1"/>
    <col min="3081" max="3081" width="9" style="5" bestFit="1" customWidth="1"/>
    <col min="3082" max="3082" width="10.85546875" style="5" customWidth="1"/>
    <col min="3083" max="3083" width="7.140625" style="5" customWidth="1"/>
    <col min="3084" max="3084" width="9.5703125" style="5" customWidth="1"/>
    <col min="3085" max="3088" width="0" style="5" hidden="1"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3.5703125" style="5" customWidth="1"/>
    <col min="3330" max="3330" width="10.5703125" style="5" customWidth="1"/>
    <col min="3331" max="3331" width="4.42578125" style="5" customWidth="1"/>
    <col min="3332" max="3332" width="11.28515625" style="5" customWidth="1"/>
    <col min="3333" max="3333" width="5.85546875" style="5" customWidth="1"/>
    <col min="3334" max="3334" width="11.28515625" style="5" customWidth="1"/>
    <col min="3335" max="3335" width="8.7109375" style="5" customWidth="1"/>
    <col min="3336" max="3336" width="4.42578125" style="5" customWidth="1"/>
    <col min="3337" max="3337" width="9" style="5" bestFit="1" customWidth="1"/>
    <col min="3338" max="3338" width="10.85546875" style="5" customWidth="1"/>
    <col min="3339" max="3339" width="7.140625" style="5" customWidth="1"/>
    <col min="3340" max="3340" width="9.5703125" style="5" customWidth="1"/>
    <col min="3341" max="3344" width="0" style="5" hidden="1"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3.5703125" style="5" customWidth="1"/>
    <col min="3586" max="3586" width="10.5703125" style="5" customWidth="1"/>
    <col min="3587" max="3587" width="4.42578125" style="5" customWidth="1"/>
    <col min="3588" max="3588" width="11.28515625" style="5" customWidth="1"/>
    <col min="3589" max="3589" width="5.85546875" style="5" customWidth="1"/>
    <col min="3590" max="3590" width="11.28515625" style="5" customWidth="1"/>
    <col min="3591" max="3591" width="8.7109375" style="5" customWidth="1"/>
    <col min="3592" max="3592" width="4.42578125" style="5" customWidth="1"/>
    <col min="3593" max="3593" width="9" style="5" bestFit="1" customWidth="1"/>
    <col min="3594" max="3594" width="10.85546875" style="5" customWidth="1"/>
    <col min="3595" max="3595" width="7.140625" style="5" customWidth="1"/>
    <col min="3596" max="3596" width="9.5703125" style="5" customWidth="1"/>
    <col min="3597" max="3600" width="0" style="5" hidden="1"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3.5703125" style="5" customWidth="1"/>
    <col min="3842" max="3842" width="10.5703125" style="5" customWidth="1"/>
    <col min="3843" max="3843" width="4.42578125" style="5" customWidth="1"/>
    <col min="3844" max="3844" width="11.28515625" style="5" customWidth="1"/>
    <col min="3845" max="3845" width="5.85546875" style="5" customWidth="1"/>
    <col min="3846" max="3846" width="11.28515625" style="5" customWidth="1"/>
    <col min="3847" max="3847" width="8.7109375" style="5" customWidth="1"/>
    <col min="3848" max="3848" width="4.42578125" style="5" customWidth="1"/>
    <col min="3849" max="3849" width="9" style="5" bestFit="1" customWidth="1"/>
    <col min="3850" max="3850" width="10.85546875" style="5" customWidth="1"/>
    <col min="3851" max="3851" width="7.140625" style="5" customWidth="1"/>
    <col min="3852" max="3852" width="9.5703125" style="5" customWidth="1"/>
    <col min="3853" max="3856" width="0" style="5" hidden="1"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3.5703125" style="5" customWidth="1"/>
    <col min="4098" max="4098" width="10.5703125" style="5" customWidth="1"/>
    <col min="4099" max="4099" width="4.42578125" style="5" customWidth="1"/>
    <col min="4100" max="4100" width="11.28515625" style="5" customWidth="1"/>
    <col min="4101" max="4101" width="5.85546875" style="5" customWidth="1"/>
    <col min="4102" max="4102" width="11.28515625" style="5" customWidth="1"/>
    <col min="4103" max="4103" width="8.7109375" style="5" customWidth="1"/>
    <col min="4104" max="4104" width="4.42578125" style="5" customWidth="1"/>
    <col min="4105" max="4105" width="9" style="5" bestFit="1" customWidth="1"/>
    <col min="4106" max="4106" width="10.85546875" style="5" customWidth="1"/>
    <col min="4107" max="4107" width="7.140625" style="5" customWidth="1"/>
    <col min="4108" max="4108" width="9.5703125" style="5" customWidth="1"/>
    <col min="4109" max="4112" width="0" style="5" hidden="1"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3.5703125" style="5" customWidth="1"/>
    <col min="4354" max="4354" width="10.5703125" style="5" customWidth="1"/>
    <col min="4355" max="4355" width="4.42578125" style="5" customWidth="1"/>
    <col min="4356" max="4356" width="11.28515625" style="5" customWidth="1"/>
    <col min="4357" max="4357" width="5.85546875" style="5" customWidth="1"/>
    <col min="4358" max="4358" width="11.28515625" style="5" customWidth="1"/>
    <col min="4359" max="4359" width="8.7109375" style="5" customWidth="1"/>
    <col min="4360" max="4360" width="4.42578125" style="5" customWidth="1"/>
    <col min="4361" max="4361" width="9" style="5" bestFit="1" customWidth="1"/>
    <col min="4362" max="4362" width="10.85546875" style="5" customWidth="1"/>
    <col min="4363" max="4363" width="7.140625" style="5" customWidth="1"/>
    <col min="4364" max="4364" width="9.5703125" style="5" customWidth="1"/>
    <col min="4365" max="4368" width="0" style="5" hidden="1"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3.5703125" style="5" customWidth="1"/>
    <col min="4610" max="4610" width="10.5703125" style="5" customWidth="1"/>
    <col min="4611" max="4611" width="4.42578125" style="5" customWidth="1"/>
    <col min="4612" max="4612" width="11.28515625" style="5" customWidth="1"/>
    <col min="4613" max="4613" width="5.85546875" style="5" customWidth="1"/>
    <col min="4614" max="4614" width="11.28515625" style="5" customWidth="1"/>
    <col min="4615" max="4615" width="8.7109375" style="5" customWidth="1"/>
    <col min="4616" max="4616" width="4.42578125" style="5" customWidth="1"/>
    <col min="4617" max="4617" width="9" style="5" bestFit="1" customWidth="1"/>
    <col min="4618" max="4618" width="10.85546875" style="5" customWidth="1"/>
    <col min="4619" max="4619" width="7.140625" style="5" customWidth="1"/>
    <col min="4620" max="4620" width="9.5703125" style="5" customWidth="1"/>
    <col min="4621" max="4624" width="0" style="5" hidden="1"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3.5703125" style="5" customWidth="1"/>
    <col min="4866" max="4866" width="10.5703125" style="5" customWidth="1"/>
    <col min="4867" max="4867" width="4.42578125" style="5" customWidth="1"/>
    <col min="4868" max="4868" width="11.28515625" style="5" customWidth="1"/>
    <col min="4869" max="4869" width="5.85546875" style="5" customWidth="1"/>
    <col min="4870" max="4870" width="11.28515625" style="5" customWidth="1"/>
    <col min="4871" max="4871" width="8.7109375" style="5" customWidth="1"/>
    <col min="4872" max="4872" width="4.42578125" style="5" customWidth="1"/>
    <col min="4873" max="4873" width="9" style="5" bestFit="1" customWidth="1"/>
    <col min="4874" max="4874" width="10.85546875" style="5" customWidth="1"/>
    <col min="4875" max="4875" width="7.140625" style="5" customWidth="1"/>
    <col min="4876" max="4876" width="9.5703125" style="5" customWidth="1"/>
    <col min="4877" max="4880" width="0" style="5" hidden="1"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3.5703125" style="5" customWidth="1"/>
    <col min="5122" max="5122" width="10.5703125" style="5" customWidth="1"/>
    <col min="5123" max="5123" width="4.42578125" style="5" customWidth="1"/>
    <col min="5124" max="5124" width="11.28515625" style="5" customWidth="1"/>
    <col min="5125" max="5125" width="5.85546875" style="5" customWidth="1"/>
    <col min="5126" max="5126" width="11.28515625" style="5" customWidth="1"/>
    <col min="5127" max="5127" width="8.7109375" style="5" customWidth="1"/>
    <col min="5128" max="5128" width="4.42578125" style="5" customWidth="1"/>
    <col min="5129" max="5129" width="9" style="5" bestFit="1" customWidth="1"/>
    <col min="5130" max="5130" width="10.85546875" style="5" customWidth="1"/>
    <col min="5131" max="5131" width="7.140625" style="5" customWidth="1"/>
    <col min="5132" max="5132" width="9.5703125" style="5" customWidth="1"/>
    <col min="5133" max="5136" width="0" style="5" hidden="1"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3.5703125" style="5" customWidth="1"/>
    <col min="5378" max="5378" width="10.5703125" style="5" customWidth="1"/>
    <col min="5379" max="5379" width="4.42578125" style="5" customWidth="1"/>
    <col min="5380" max="5380" width="11.28515625" style="5" customWidth="1"/>
    <col min="5381" max="5381" width="5.85546875" style="5" customWidth="1"/>
    <col min="5382" max="5382" width="11.28515625" style="5" customWidth="1"/>
    <col min="5383" max="5383" width="8.7109375" style="5" customWidth="1"/>
    <col min="5384" max="5384" width="4.42578125" style="5" customWidth="1"/>
    <col min="5385" max="5385" width="9" style="5" bestFit="1" customWidth="1"/>
    <col min="5386" max="5386" width="10.85546875" style="5" customWidth="1"/>
    <col min="5387" max="5387" width="7.140625" style="5" customWidth="1"/>
    <col min="5388" max="5388" width="9.5703125" style="5" customWidth="1"/>
    <col min="5389" max="5392" width="0" style="5" hidden="1"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3.5703125" style="5" customWidth="1"/>
    <col min="5634" max="5634" width="10.5703125" style="5" customWidth="1"/>
    <col min="5635" max="5635" width="4.42578125" style="5" customWidth="1"/>
    <col min="5636" max="5636" width="11.28515625" style="5" customWidth="1"/>
    <col min="5637" max="5637" width="5.85546875" style="5" customWidth="1"/>
    <col min="5638" max="5638" width="11.28515625" style="5" customWidth="1"/>
    <col min="5639" max="5639" width="8.7109375" style="5" customWidth="1"/>
    <col min="5640" max="5640" width="4.42578125" style="5" customWidth="1"/>
    <col min="5641" max="5641" width="9" style="5" bestFit="1" customWidth="1"/>
    <col min="5642" max="5642" width="10.85546875" style="5" customWidth="1"/>
    <col min="5643" max="5643" width="7.140625" style="5" customWidth="1"/>
    <col min="5644" max="5644" width="9.5703125" style="5" customWidth="1"/>
    <col min="5645" max="5648" width="0" style="5" hidden="1"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3.5703125" style="5" customWidth="1"/>
    <col min="5890" max="5890" width="10.5703125" style="5" customWidth="1"/>
    <col min="5891" max="5891" width="4.42578125" style="5" customWidth="1"/>
    <col min="5892" max="5892" width="11.28515625" style="5" customWidth="1"/>
    <col min="5893" max="5893" width="5.85546875" style="5" customWidth="1"/>
    <col min="5894" max="5894" width="11.28515625" style="5" customWidth="1"/>
    <col min="5895" max="5895" width="8.7109375" style="5" customWidth="1"/>
    <col min="5896" max="5896" width="4.42578125" style="5" customWidth="1"/>
    <col min="5897" max="5897" width="9" style="5" bestFit="1" customWidth="1"/>
    <col min="5898" max="5898" width="10.85546875" style="5" customWidth="1"/>
    <col min="5899" max="5899" width="7.140625" style="5" customWidth="1"/>
    <col min="5900" max="5900" width="9.5703125" style="5" customWidth="1"/>
    <col min="5901" max="5904" width="0" style="5" hidden="1"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3.5703125" style="5" customWidth="1"/>
    <col min="6146" max="6146" width="10.5703125" style="5" customWidth="1"/>
    <col min="6147" max="6147" width="4.42578125" style="5" customWidth="1"/>
    <col min="6148" max="6148" width="11.28515625" style="5" customWidth="1"/>
    <col min="6149" max="6149" width="5.85546875" style="5" customWidth="1"/>
    <col min="6150" max="6150" width="11.28515625" style="5" customWidth="1"/>
    <col min="6151" max="6151" width="8.7109375" style="5" customWidth="1"/>
    <col min="6152" max="6152" width="4.42578125" style="5" customWidth="1"/>
    <col min="6153" max="6153" width="9" style="5" bestFit="1" customWidth="1"/>
    <col min="6154" max="6154" width="10.85546875" style="5" customWidth="1"/>
    <col min="6155" max="6155" width="7.140625" style="5" customWidth="1"/>
    <col min="6156" max="6156" width="9.5703125" style="5" customWidth="1"/>
    <col min="6157" max="6160" width="0" style="5" hidden="1"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3.5703125" style="5" customWidth="1"/>
    <col min="6402" max="6402" width="10.5703125" style="5" customWidth="1"/>
    <col min="6403" max="6403" width="4.42578125" style="5" customWidth="1"/>
    <col min="6404" max="6404" width="11.28515625" style="5" customWidth="1"/>
    <col min="6405" max="6405" width="5.85546875" style="5" customWidth="1"/>
    <col min="6406" max="6406" width="11.28515625" style="5" customWidth="1"/>
    <col min="6407" max="6407" width="8.7109375" style="5" customWidth="1"/>
    <col min="6408" max="6408" width="4.42578125" style="5" customWidth="1"/>
    <col min="6409" max="6409" width="9" style="5" bestFit="1" customWidth="1"/>
    <col min="6410" max="6410" width="10.85546875" style="5" customWidth="1"/>
    <col min="6411" max="6411" width="7.140625" style="5" customWidth="1"/>
    <col min="6412" max="6412" width="9.5703125" style="5" customWidth="1"/>
    <col min="6413" max="6416" width="0" style="5" hidden="1"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3.5703125" style="5" customWidth="1"/>
    <col min="6658" max="6658" width="10.5703125" style="5" customWidth="1"/>
    <col min="6659" max="6659" width="4.42578125" style="5" customWidth="1"/>
    <col min="6660" max="6660" width="11.28515625" style="5" customWidth="1"/>
    <col min="6661" max="6661" width="5.85546875" style="5" customWidth="1"/>
    <col min="6662" max="6662" width="11.28515625" style="5" customWidth="1"/>
    <col min="6663" max="6663" width="8.7109375" style="5" customWidth="1"/>
    <col min="6664" max="6664" width="4.42578125" style="5" customWidth="1"/>
    <col min="6665" max="6665" width="9" style="5" bestFit="1" customWidth="1"/>
    <col min="6666" max="6666" width="10.85546875" style="5" customWidth="1"/>
    <col min="6667" max="6667" width="7.140625" style="5" customWidth="1"/>
    <col min="6668" max="6668" width="9.5703125" style="5" customWidth="1"/>
    <col min="6669" max="6672" width="0" style="5" hidden="1"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3.5703125" style="5" customWidth="1"/>
    <col min="6914" max="6914" width="10.5703125" style="5" customWidth="1"/>
    <col min="6915" max="6915" width="4.42578125" style="5" customWidth="1"/>
    <col min="6916" max="6916" width="11.28515625" style="5" customWidth="1"/>
    <col min="6917" max="6917" width="5.85546875" style="5" customWidth="1"/>
    <col min="6918" max="6918" width="11.28515625" style="5" customWidth="1"/>
    <col min="6919" max="6919" width="8.7109375" style="5" customWidth="1"/>
    <col min="6920" max="6920" width="4.42578125" style="5" customWidth="1"/>
    <col min="6921" max="6921" width="9" style="5" bestFit="1" customWidth="1"/>
    <col min="6922" max="6922" width="10.85546875" style="5" customWidth="1"/>
    <col min="6923" max="6923" width="7.140625" style="5" customWidth="1"/>
    <col min="6924" max="6924" width="9.5703125" style="5" customWidth="1"/>
    <col min="6925" max="6928" width="0" style="5" hidden="1"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3.5703125" style="5" customWidth="1"/>
    <col min="7170" max="7170" width="10.5703125" style="5" customWidth="1"/>
    <col min="7171" max="7171" width="4.42578125" style="5" customWidth="1"/>
    <col min="7172" max="7172" width="11.28515625" style="5" customWidth="1"/>
    <col min="7173" max="7173" width="5.85546875" style="5" customWidth="1"/>
    <col min="7174" max="7174" width="11.28515625" style="5" customWidth="1"/>
    <col min="7175" max="7175" width="8.7109375" style="5" customWidth="1"/>
    <col min="7176" max="7176" width="4.42578125" style="5" customWidth="1"/>
    <col min="7177" max="7177" width="9" style="5" bestFit="1" customWidth="1"/>
    <col min="7178" max="7178" width="10.85546875" style="5" customWidth="1"/>
    <col min="7179" max="7179" width="7.140625" style="5" customWidth="1"/>
    <col min="7180" max="7180" width="9.5703125" style="5" customWidth="1"/>
    <col min="7181" max="7184" width="0" style="5" hidden="1"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3.5703125" style="5" customWidth="1"/>
    <col min="7426" max="7426" width="10.5703125" style="5" customWidth="1"/>
    <col min="7427" max="7427" width="4.42578125" style="5" customWidth="1"/>
    <col min="7428" max="7428" width="11.28515625" style="5" customWidth="1"/>
    <col min="7429" max="7429" width="5.85546875" style="5" customWidth="1"/>
    <col min="7430" max="7430" width="11.28515625" style="5" customWidth="1"/>
    <col min="7431" max="7431" width="8.7109375" style="5" customWidth="1"/>
    <col min="7432" max="7432" width="4.42578125" style="5" customWidth="1"/>
    <col min="7433" max="7433" width="9" style="5" bestFit="1" customWidth="1"/>
    <col min="7434" max="7434" width="10.85546875" style="5" customWidth="1"/>
    <col min="7435" max="7435" width="7.140625" style="5" customWidth="1"/>
    <col min="7436" max="7436" width="9.5703125" style="5" customWidth="1"/>
    <col min="7437" max="7440" width="0" style="5" hidden="1"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3.5703125" style="5" customWidth="1"/>
    <col min="7682" max="7682" width="10.5703125" style="5" customWidth="1"/>
    <col min="7683" max="7683" width="4.42578125" style="5" customWidth="1"/>
    <col min="7684" max="7684" width="11.28515625" style="5" customWidth="1"/>
    <col min="7685" max="7685" width="5.85546875" style="5" customWidth="1"/>
    <col min="7686" max="7686" width="11.28515625" style="5" customWidth="1"/>
    <col min="7687" max="7687" width="8.7109375" style="5" customWidth="1"/>
    <col min="7688" max="7688" width="4.42578125" style="5" customWidth="1"/>
    <col min="7689" max="7689" width="9" style="5" bestFit="1" customWidth="1"/>
    <col min="7690" max="7690" width="10.85546875" style="5" customWidth="1"/>
    <col min="7691" max="7691" width="7.140625" style="5" customWidth="1"/>
    <col min="7692" max="7692" width="9.5703125" style="5" customWidth="1"/>
    <col min="7693" max="7696" width="0" style="5" hidden="1"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3.5703125" style="5" customWidth="1"/>
    <col min="7938" max="7938" width="10.5703125" style="5" customWidth="1"/>
    <col min="7939" max="7939" width="4.42578125" style="5" customWidth="1"/>
    <col min="7940" max="7940" width="11.28515625" style="5" customWidth="1"/>
    <col min="7941" max="7941" width="5.85546875" style="5" customWidth="1"/>
    <col min="7942" max="7942" width="11.28515625" style="5" customWidth="1"/>
    <col min="7943" max="7943" width="8.7109375" style="5" customWidth="1"/>
    <col min="7944" max="7944" width="4.42578125" style="5" customWidth="1"/>
    <col min="7945" max="7945" width="9" style="5" bestFit="1" customWidth="1"/>
    <col min="7946" max="7946" width="10.85546875" style="5" customWidth="1"/>
    <col min="7947" max="7947" width="7.140625" style="5" customWidth="1"/>
    <col min="7948" max="7948" width="9.5703125" style="5" customWidth="1"/>
    <col min="7949" max="7952" width="0" style="5" hidden="1"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3.5703125" style="5" customWidth="1"/>
    <col min="8194" max="8194" width="10.5703125" style="5" customWidth="1"/>
    <col min="8195" max="8195" width="4.42578125" style="5" customWidth="1"/>
    <col min="8196" max="8196" width="11.28515625" style="5" customWidth="1"/>
    <col min="8197" max="8197" width="5.85546875" style="5" customWidth="1"/>
    <col min="8198" max="8198" width="11.28515625" style="5" customWidth="1"/>
    <col min="8199" max="8199" width="8.7109375" style="5" customWidth="1"/>
    <col min="8200" max="8200" width="4.42578125" style="5" customWidth="1"/>
    <col min="8201" max="8201" width="9" style="5" bestFit="1" customWidth="1"/>
    <col min="8202" max="8202" width="10.85546875" style="5" customWidth="1"/>
    <col min="8203" max="8203" width="7.140625" style="5" customWidth="1"/>
    <col min="8204" max="8204" width="9.5703125" style="5" customWidth="1"/>
    <col min="8205" max="8208" width="0" style="5" hidden="1"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3.5703125" style="5" customWidth="1"/>
    <col min="8450" max="8450" width="10.5703125" style="5" customWidth="1"/>
    <col min="8451" max="8451" width="4.42578125" style="5" customWidth="1"/>
    <col min="8452" max="8452" width="11.28515625" style="5" customWidth="1"/>
    <col min="8453" max="8453" width="5.85546875" style="5" customWidth="1"/>
    <col min="8454" max="8454" width="11.28515625" style="5" customWidth="1"/>
    <col min="8455" max="8455" width="8.7109375" style="5" customWidth="1"/>
    <col min="8456" max="8456" width="4.42578125" style="5" customWidth="1"/>
    <col min="8457" max="8457" width="9" style="5" bestFit="1" customWidth="1"/>
    <col min="8458" max="8458" width="10.85546875" style="5" customWidth="1"/>
    <col min="8459" max="8459" width="7.140625" style="5" customWidth="1"/>
    <col min="8460" max="8460" width="9.5703125" style="5" customWidth="1"/>
    <col min="8461" max="8464" width="0" style="5" hidden="1"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3.5703125" style="5" customWidth="1"/>
    <col min="8706" max="8706" width="10.5703125" style="5" customWidth="1"/>
    <col min="8707" max="8707" width="4.42578125" style="5" customWidth="1"/>
    <col min="8708" max="8708" width="11.28515625" style="5" customWidth="1"/>
    <col min="8709" max="8709" width="5.85546875" style="5" customWidth="1"/>
    <col min="8710" max="8710" width="11.28515625" style="5" customWidth="1"/>
    <col min="8711" max="8711" width="8.7109375" style="5" customWidth="1"/>
    <col min="8712" max="8712" width="4.42578125" style="5" customWidth="1"/>
    <col min="8713" max="8713" width="9" style="5" bestFit="1" customWidth="1"/>
    <col min="8714" max="8714" width="10.85546875" style="5" customWidth="1"/>
    <col min="8715" max="8715" width="7.140625" style="5" customWidth="1"/>
    <col min="8716" max="8716" width="9.5703125" style="5" customWidth="1"/>
    <col min="8717" max="8720" width="0" style="5" hidden="1"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3.5703125" style="5" customWidth="1"/>
    <col min="8962" max="8962" width="10.5703125" style="5" customWidth="1"/>
    <col min="8963" max="8963" width="4.42578125" style="5" customWidth="1"/>
    <col min="8964" max="8964" width="11.28515625" style="5" customWidth="1"/>
    <col min="8965" max="8965" width="5.85546875" style="5" customWidth="1"/>
    <col min="8966" max="8966" width="11.28515625" style="5" customWidth="1"/>
    <col min="8967" max="8967" width="8.7109375" style="5" customWidth="1"/>
    <col min="8968" max="8968" width="4.42578125" style="5" customWidth="1"/>
    <col min="8969" max="8969" width="9" style="5" bestFit="1" customWidth="1"/>
    <col min="8970" max="8970" width="10.85546875" style="5" customWidth="1"/>
    <col min="8971" max="8971" width="7.140625" style="5" customWidth="1"/>
    <col min="8972" max="8972" width="9.5703125" style="5" customWidth="1"/>
    <col min="8973" max="8976" width="0" style="5" hidden="1"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3.5703125" style="5" customWidth="1"/>
    <col min="9218" max="9218" width="10.5703125" style="5" customWidth="1"/>
    <col min="9219" max="9219" width="4.42578125" style="5" customWidth="1"/>
    <col min="9220" max="9220" width="11.28515625" style="5" customWidth="1"/>
    <col min="9221" max="9221" width="5.85546875" style="5" customWidth="1"/>
    <col min="9222" max="9222" width="11.28515625" style="5" customWidth="1"/>
    <col min="9223" max="9223" width="8.7109375" style="5" customWidth="1"/>
    <col min="9224" max="9224" width="4.42578125" style="5" customWidth="1"/>
    <col min="9225" max="9225" width="9" style="5" bestFit="1" customWidth="1"/>
    <col min="9226" max="9226" width="10.85546875" style="5" customWidth="1"/>
    <col min="9227" max="9227" width="7.140625" style="5" customWidth="1"/>
    <col min="9228" max="9228" width="9.5703125" style="5" customWidth="1"/>
    <col min="9229" max="9232" width="0" style="5" hidden="1"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3.5703125" style="5" customWidth="1"/>
    <col min="9474" max="9474" width="10.5703125" style="5" customWidth="1"/>
    <col min="9475" max="9475" width="4.42578125" style="5" customWidth="1"/>
    <col min="9476" max="9476" width="11.28515625" style="5" customWidth="1"/>
    <col min="9477" max="9477" width="5.85546875" style="5" customWidth="1"/>
    <col min="9478" max="9478" width="11.28515625" style="5" customWidth="1"/>
    <col min="9479" max="9479" width="8.7109375" style="5" customWidth="1"/>
    <col min="9480" max="9480" width="4.42578125" style="5" customWidth="1"/>
    <col min="9481" max="9481" width="9" style="5" bestFit="1" customWidth="1"/>
    <col min="9482" max="9482" width="10.85546875" style="5" customWidth="1"/>
    <col min="9483" max="9483" width="7.140625" style="5" customWidth="1"/>
    <col min="9484" max="9484" width="9.5703125" style="5" customWidth="1"/>
    <col min="9485" max="9488" width="0" style="5" hidden="1"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3.5703125" style="5" customWidth="1"/>
    <col min="9730" max="9730" width="10.5703125" style="5" customWidth="1"/>
    <col min="9731" max="9731" width="4.42578125" style="5" customWidth="1"/>
    <col min="9732" max="9732" width="11.28515625" style="5" customWidth="1"/>
    <col min="9733" max="9733" width="5.85546875" style="5" customWidth="1"/>
    <col min="9734" max="9734" width="11.28515625" style="5" customWidth="1"/>
    <col min="9735" max="9735" width="8.7109375" style="5" customWidth="1"/>
    <col min="9736" max="9736" width="4.42578125" style="5" customWidth="1"/>
    <col min="9737" max="9737" width="9" style="5" bestFit="1" customWidth="1"/>
    <col min="9738" max="9738" width="10.85546875" style="5" customWidth="1"/>
    <col min="9739" max="9739" width="7.140625" style="5" customWidth="1"/>
    <col min="9740" max="9740" width="9.5703125" style="5" customWidth="1"/>
    <col min="9741" max="9744" width="0" style="5" hidden="1"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3.5703125" style="5" customWidth="1"/>
    <col min="9986" max="9986" width="10.5703125" style="5" customWidth="1"/>
    <col min="9987" max="9987" width="4.42578125" style="5" customWidth="1"/>
    <col min="9988" max="9988" width="11.28515625" style="5" customWidth="1"/>
    <col min="9989" max="9989" width="5.85546875" style="5" customWidth="1"/>
    <col min="9990" max="9990" width="11.28515625" style="5" customWidth="1"/>
    <col min="9991" max="9991" width="8.7109375" style="5" customWidth="1"/>
    <col min="9992" max="9992" width="4.42578125" style="5" customWidth="1"/>
    <col min="9993" max="9993" width="9" style="5" bestFit="1" customWidth="1"/>
    <col min="9994" max="9994" width="10.85546875" style="5" customWidth="1"/>
    <col min="9995" max="9995" width="7.140625" style="5" customWidth="1"/>
    <col min="9996" max="9996" width="9.5703125" style="5" customWidth="1"/>
    <col min="9997" max="10000" width="0" style="5" hidden="1"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3.5703125" style="5" customWidth="1"/>
    <col min="10242" max="10242" width="10.5703125" style="5" customWidth="1"/>
    <col min="10243" max="10243" width="4.42578125" style="5" customWidth="1"/>
    <col min="10244" max="10244" width="11.28515625" style="5" customWidth="1"/>
    <col min="10245" max="10245" width="5.85546875" style="5" customWidth="1"/>
    <col min="10246" max="10246" width="11.28515625" style="5" customWidth="1"/>
    <col min="10247" max="10247" width="8.7109375" style="5" customWidth="1"/>
    <col min="10248" max="10248" width="4.42578125" style="5" customWidth="1"/>
    <col min="10249" max="10249" width="9" style="5" bestFit="1" customWidth="1"/>
    <col min="10250" max="10250" width="10.85546875" style="5" customWidth="1"/>
    <col min="10251" max="10251" width="7.140625" style="5" customWidth="1"/>
    <col min="10252" max="10252" width="9.5703125" style="5" customWidth="1"/>
    <col min="10253" max="10256" width="0" style="5" hidden="1"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3.5703125" style="5" customWidth="1"/>
    <col min="10498" max="10498" width="10.5703125" style="5" customWidth="1"/>
    <col min="10499" max="10499" width="4.42578125" style="5" customWidth="1"/>
    <col min="10500" max="10500" width="11.28515625" style="5" customWidth="1"/>
    <col min="10501" max="10501" width="5.85546875" style="5" customWidth="1"/>
    <col min="10502" max="10502" width="11.28515625" style="5" customWidth="1"/>
    <col min="10503" max="10503" width="8.7109375" style="5" customWidth="1"/>
    <col min="10504" max="10504" width="4.42578125" style="5" customWidth="1"/>
    <col min="10505" max="10505" width="9" style="5" bestFit="1" customWidth="1"/>
    <col min="10506" max="10506" width="10.85546875" style="5" customWidth="1"/>
    <col min="10507" max="10507" width="7.140625" style="5" customWidth="1"/>
    <col min="10508" max="10508" width="9.5703125" style="5" customWidth="1"/>
    <col min="10509" max="10512" width="0" style="5" hidden="1"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3.5703125" style="5" customWidth="1"/>
    <col min="10754" max="10754" width="10.5703125" style="5" customWidth="1"/>
    <col min="10755" max="10755" width="4.42578125" style="5" customWidth="1"/>
    <col min="10756" max="10756" width="11.28515625" style="5" customWidth="1"/>
    <col min="10757" max="10757" width="5.85546875" style="5" customWidth="1"/>
    <col min="10758" max="10758" width="11.28515625" style="5" customWidth="1"/>
    <col min="10759" max="10759" width="8.7109375" style="5" customWidth="1"/>
    <col min="10760" max="10760" width="4.42578125" style="5" customWidth="1"/>
    <col min="10761" max="10761" width="9" style="5" bestFit="1" customWidth="1"/>
    <col min="10762" max="10762" width="10.85546875" style="5" customWidth="1"/>
    <col min="10763" max="10763" width="7.140625" style="5" customWidth="1"/>
    <col min="10764" max="10764" width="9.5703125" style="5" customWidth="1"/>
    <col min="10765" max="10768" width="0" style="5" hidden="1"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3.5703125" style="5" customWidth="1"/>
    <col min="11010" max="11010" width="10.5703125" style="5" customWidth="1"/>
    <col min="11011" max="11011" width="4.42578125" style="5" customWidth="1"/>
    <col min="11012" max="11012" width="11.28515625" style="5" customWidth="1"/>
    <col min="11013" max="11013" width="5.85546875" style="5" customWidth="1"/>
    <col min="11014" max="11014" width="11.28515625" style="5" customWidth="1"/>
    <col min="11015" max="11015" width="8.7109375" style="5" customWidth="1"/>
    <col min="11016" max="11016" width="4.42578125" style="5" customWidth="1"/>
    <col min="11017" max="11017" width="9" style="5" bestFit="1" customWidth="1"/>
    <col min="11018" max="11018" width="10.85546875" style="5" customWidth="1"/>
    <col min="11019" max="11019" width="7.140625" style="5" customWidth="1"/>
    <col min="11020" max="11020" width="9.5703125" style="5" customWidth="1"/>
    <col min="11021" max="11024" width="0" style="5" hidden="1"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3.5703125" style="5" customWidth="1"/>
    <col min="11266" max="11266" width="10.5703125" style="5" customWidth="1"/>
    <col min="11267" max="11267" width="4.42578125" style="5" customWidth="1"/>
    <col min="11268" max="11268" width="11.28515625" style="5" customWidth="1"/>
    <col min="11269" max="11269" width="5.85546875" style="5" customWidth="1"/>
    <col min="11270" max="11270" width="11.28515625" style="5" customWidth="1"/>
    <col min="11271" max="11271" width="8.7109375" style="5" customWidth="1"/>
    <col min="11272" max="11272" width="4.42578125" style="5" customWidth="1"/>
    <col min="11273" max="11273" width="9" style="5" bestFit="1" customWidth="1"/>
    <col min="11274" max="11274" width="10.85546875" style="5" customWidth="1"/>
    <col min="11275" max="11275" width="7.140625" style="5" customWidth="1"/>
    <col min="11276" max="11276" width="9.5703125" style="5" customWidth="1"/>
    <col min="11277" max="11280" width="0" style="5" hidden="1"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3.5703125" style="5" customWidth="1"/>
    <col min="11522" max="11522" width="10.5703125" style="5" customWidth="1"/>
    <col min="11523" max="11523" width="4.42578125" style="5" customWidth="1"/>
    <col min="11524" max="11524" width="11.28515625" style="5" customWidth="1"/>
    <col min="11525" max="11525" width="5.85546875" style="5" customWidth="1"/>
    <col min="11526" max="11526" width="11.28515625" style="5" customWidth="1"/>
    <col min="11527" max="11527" width="8.7109375" style="5" customWidth="1"/>
    <col min="11528" max="11528" width="4.42578125" style="5" customWidth="1"/>
    <col min="11529" max="11529" width="9" style="5" bestFit="1" customWidth="1"/>
    <col min="11530" max="11530" width="10.85546875" style="5" customWidth="1"/>
    <col min="11531" max="11531" width="7.140625" style="5" customWidth="1"/>
    <col min="11532" max="11532" width="9.5703125" style="5" customWidth="1"/>
    <col min="11533" max="11536" width="0" style="5" hidden="1"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3.5703125" style="5" customWidth="1"/>
    <col min="11778" max="11778" width="10.5703125" style="5" customWidth="1"/>
    <col min="11779" max="11779" width="4.42578125" style="5" customWidth="1"/>
    <col min="11780" max="11780" width="11.28515625" style="5" customWidth="1"/>
    <col min="11781" max="11781" width="5.85546875" style="5" customWidth="1"/>
    <col min="11782" max="11782" width="11.28515625" style="5" customWidth="1"/>
    <col min="11783" max="11783" width="8.7109375" style="5" customWidth="1"/>
    <col min="11784" max="11784" width="4.42578125" style="5" customWidth="1"/>
    <col min="11785" max="11785" width="9" style="5" bestFit="1" customWidth="1"/>
    <col min="11786" max="11786" width="10.85546875" style="5" customWidth="1"/>
    <col min="11787" max="11787" width="7.140625" style="5" customWidth="1"/>
    <col min="11788" max="11788" width="9.5703125" style="5" customWidth="1"/>
    <col min="11789" max="11792" width="0" style="5" hidden="1"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3.5703125" style="5" customWidth="1"/>
    <col min="12034" max="12034" width="10.5703125" style="5" customWidth="1"/>
    <col min="12035" max="12035" width="4.42578125" style="5" customWidth="1"/>
    <col min="12036" max="12036" width="11.28515625" style="5" customWidth="1"/>
    <col min="12037" max="12037" width="5.85546875" style="5" customWidth="1"/>
    <col min="12038" max="12038" width="11.28515625" style="5" customWidth="1"/>
    <col min="12039" max="12039" width="8.7109375" style="5" customWidth="1"/>
    <col min="12040" max="12040" width="4.42578125" style="5" customWidth="1"/>
    <col min="12041" max="12041" width="9" style="5" bestFit="1" customWidth="1"/>
    <col min="12042" max="12042" width="10.85546875" style="5" customWidth="1"/>
    <col min="12043" max="12043" width="7.140625" style="5" customWidth="1"/>
    <col min="12044" max="12044" width="9.5703125" style="5" customWidth="1"/>
    <col min="12045" max="12048" width="0" style="5" hidden="1"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3.5703125" style="5" customWidth="1"/>
    <col min="12290" max="12290" width="10.5703125" style="5" customWidth="1"/>
    <col min="12291" max="12291" width="4.42578125" style="5" customWidth="1"/>
    <col min="12292" max="12292" width="11.28515625" style="5" customWidth="1"/>
    <col min="12293" max="12293" width="5.85546875" style="5" customWidth="1"/>
    <col min="12294" max="12294" width="11.28515625" style="5" customWidth="1"/>
    <col min="12295" max="12295" width="8.7109375" style="5" customWidth="1"/>
    <col min="12296" max="12296" width="4.42578125" style="5" customWidth="1"/>
    <col min="12297" max="12297" width="9" style="5" bestFit="1" customWidth="1"/>
    <col min="12298" max="12298" width="10.85546875" style="5" customWidth="1"/>
    <col min="12299" max="12299" width="7.140625" style="5" customWidth="1"/>
    <col min="12300" max="12300" width="9.5703125" style="5" customWidth="1"/>
    <col min="12301" max="12304" width="0" style="5" hidden="1"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3.5703125" style="5" customWidth="1"/>
    <col min="12546" max="12546" width="10.5703125" style="5" customWidth="1"/>
    <col min="12547" max="12547" width="4.42578125" style="5" customWidth="1"/>
    <col min="12548" max="12548" width="11.28515625" style="5" customWidth="1"/>
    <col min="12549" max="12549" width="5.85546875" style="5" customWidth="1"/>
    <col min="12550" max="12550" width="11.28515625" style="5" customWidth="1"/>
    <col min="12551" max="12551" width="8.7109375" style="5" customWidth="1"/>
    <col min="12552" max="12552" width="4.42578125" style="5" customWidth="1"/>
    <col min="12553" max="12553" width="9" style="5" bestFit="1" customWidth="1"/>
    <col min="12554" max="12554" width="10.85546875" style="5" customWidth="1"/>
    <col min="12555" max="12555" width="7.140625" style="5" customWidth="1"/>
    <col min="12556" max="12556" width="9.5703125" style="5" customWidth="1"/>
    <col min="12557" max="12560" width="0" style="5" hidden="1"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3.5703125" style="5" customWidth="1"/>
    <col min="12802" max="12802" width="10.5703125" style="5" customWidth="1"/>
    <col min="12803" max="12803" width="4.42578125" style="5" customWidth="1"/>
    <col min="12804" max="12804" width="11.28515625" style="5" customWidth="1"/>
    <col min="12805" max="12805" width="5.85546875" style="5" customWidth="1"/>
    <col min="12806" max="12806" width="11.28515625" style="5" customWidth="1"/>
    <col min="12807" max="12807" width="8.7109375" style="5" customWidth="1"/>
    <col min="12808" max="12808" width="4.42578125" style="5" customWidth="1"/>
    <col min="12809" max="12809" width="9" style="5" bestFit="1" customWidth="1"/>
    <col min="12810" max="12810" width="10.85546875" style="5" customWidth="1"/>
    <col min="12811" max="12811" width="7.140625" style="5" customWidth="1"/>
    <col min="12812" max="12812" width="9.5703125" style="5" customWidth="1"/>
    <col min="12813" max="12816" width="0" style="5" hidden="1"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3.5703125" style="5" customWidth="1"/>
    <col min="13058" max="13058" width="10.5703125" style="5" customWidth="1"/>
    <col min="13059" max="13059" width="4.42578125" style="5" customWidth="1"/>
    <col min="13060" max="13060" width="11.28515625" style="5" customWidth="1"/>
    <col min="13061" max="13061" width="5.85546875" style="5" customWidth="1"/>
    <col min="13062" max="13062" width="11.28515625" style="5" customWidth="1"/>
    <col min="13063" max="13063" width="8.7109375" style="5" customWidth="1"/>
    <col min="13064" max="13064" width="4.42578125" style="5" customWidth="1"/>
    <col min="13065" max="13065" width="9" style="5" bestFit="1" customWidth="1"/>
    <col min="13066" max="13066" width="10.85546875" style="5" customWidth="1"/>
    <col min="13067" max="13067" width="7.140625" style="5" customWidth="1"/>
    <col min="13068" max="13068" width="9.5703125" style="5" customWidth="1"/>
    <col min="13069" max="13072" width="0" style="5" hidden="1"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3.5703125" style="5" customWidth="1"/>
    <col min="13314" max="13314" width="10.5703125" style="5" customWidth="1"/>
    <col min="13315" max="13315" width="4.42578125" style="5" customWidth="1"/>
    <col min="13316" max="13316" width="11.28515625" style="5" customWidth="1"/>
    <col min="13317" max="13317" width="5.85546875" style="5" customWidth="1"/>
    <col min="13318" max="13318" width="11.28515625" style="5" customWidth="1"/>
    <col min="13319" max="13319" width="8.7109375" style="5" customWidth="1"/>
    <col min="13320" max="13320" width="4.42578125" style="5" customWidth="1"/>
    <col min="13321" max="13321" width="9" style="5" bestFit="1" customWidth="1"/>
    <col min="13322" max="13322" width="10.85546875" style="5" customWidth="1"/>
    <col min="13323" max="13323" width="7.140625" style="5" customWidth="1"/>
    <col min="13324" max="13324" width="9.5703125" style="5" customWidth="1"/>
    <col min="13325" max="13328" width="0" style="5" hidden="1"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3.5703125" style="5" customWidth="1"/>
    <col min="13570" max="13570" width="10.5703125" style="5" customWidth="1"/>
    <col min="13571" max="13571" width="4.42578125" style="5" customWidth="1"/>
    <col min="13572" max="13572" width="11.28515625" style="5" customWidth="1"/>
    <col min="13573" max="13573" width="5.85546875" style="5" customWidth="1"/>
    <col min="13574" max="13574" width="11.28515625" style="5" customWidth="1"/>
    <col min="13575" max="13575" width="8.7109375" style="5" customWidth="1"/>
    <col min="13576" max="13576" width="4.42578125" style="5" customWidth="1"/>
    <col min="13577" max="13577" width="9" style="5" bestFit="1" customWidth="1"/>
    <col min="13578" max="13578" width="10.85546875" style="5" customWidth="1"/>
    <col min="13579" max="13579" width="7.140625" style="5" customWidth="1"/>
    <col min="13580" max="13580" width="9.5703125" style="5" customWidth="1"/>
    <col min="13581" max="13584" width="0" style="5" hidden="1"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3.5703125" style="5" customWidth="1"/>
    <col min="13826" max="13826" width="10.5703125" style="5" customWidth="1"/>
    <col min="13827" max="13827" width="4.42578125" style="5" customWidth="1"/>
    <col min="13828" max="13828" width="11.28515625" style="5" customWidth="1"/>
    <col min="13829" max="13829" width="5.85546875" style="5" customWidth="1"/>
    <col min="13830" max="13830" width="11.28515625" style="5" customWidth="1"/>
    <col min="13831" max="13831" width="8.7109375" style="5" customWidth="1"/>
    <col min="13832" max="13832" width="4.42578125" style="5" customWidth="1"/>
    <col min="13833" max="13833" width="9" style="5" bestFit="1" customWidth="1"/>
    <col min="13834" max="13834" width="10.85546875" style="5" customWidth="1"/>
    <col min="13835" max="13835" width="7.140625" style="5" customWidth="1"/>
    <col min="13836" max="13836" width="9.5703125" style="5" customWidth="1"/>
    <col min="13837" max="13840" width="0" style="5" hidden="1"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3.5703125" style="5" customWidth="1"/>
    <col min="14082" max="14082" width="10.5703125" style="5" customWidth="1"/>
    <col min="14083" max="14083" width="4.42578125" style="5" customWidth="1"/>
    <col min="14084" max="14084" width="11.28515625" style="5" customWidth="1"/>
    <col min="14085" max="14085" width="5.85546875" style="5" customWidth="1"/>
    <col min="14086" max="14086" width="11.28515625" style="5" customWidth="1"/>
    <col min="14087" max="14087" width="8.7109375" style="5" customWidth="1"/>
    <col min="14088" max="14088" width="4.42578125" style="5" customWidth="1"/>
    <col min="14089" max="14089" width="9" style="5" bestFit="1" customWidth="1"/>
    <col min="14090" max="14090" width="10.85546875" style="5" customWidth="1"/>
    <col min="14091" max="14091" width="7.140625" style="5" customWidth="1"/>
    <col min="14092" max="14092" width="9.5703125" style="5" customWidth="1"/>
    <col min="14093" max="14096" width="0" style="5" hidden="1"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3.5703125" style="5" customWidth="1"/>
    <col min="14338" max="14338" width="10.5703125" style="5" customWidth="1"/>
    <col min="14339" max="14339" width="4.42578125" style="5" customWidth="1"/>
    <col min="14340" max="14340" width="11.28515625" style="5" customWidth="1"/>
    <col min="14341" max="14341" width="5.85546875" style="5" customWidth="1"/>
    <col min="14342" max="14342" width="11.28515625" style="5" customWidth="1"/>
    <col min="14343" max="14343" width="8.7109375" style="5" customWidth="1"/>
    <col min="14344" max="14344" width="4.42578125" style="5" customWidth="1"/>
    <col min="14345" max="14345" width="9" style="5" bestFit="1" customWidth="1"/>
    <col min="14346" max="14346" width="10.85546875" style="5" customWidth="1"/>
    <col min="14347" max="14347" width="7.140625" style="5" customWidth="1"/>
    <col min="14348" max="14348" width="9.5703125" style="5" customWidth="1"/>
    <col min="14349" max="14352" width="0" style="5" hidden="1"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3.5703125" style="5" customWidth="1"/>
    <col min="14594" max="14594" width="10.5703125" style="5" customWidth="1"/>
    <col min="14595" max="14595" width="4.42578125" style="5" customWidth="1"/>
    <col min="14596" max="14596" width="11.28515625" style="5" customWidth="1"/>
    <col min="14597" max="14597" width="5.85546875" style="5" customWidth="1"/>
    <col min="14598" max="14598" width="11.28515625" style="5" customWidth="1"/>
    <col min="14599" max="14599" width="8.7109375" style="5" customWidth="1"/>
    <col min="14600" max="14600" width="4.42578125" style="5" customWidth="1"/>
    <col min="14601" max="14601" width="9" style="5" bestFit="1" customWidth="1"/>
    <col min="14602" max="14602" width="10.85546875" style="5" customWidth="1"/>
    <col min="14603" max="14603" width="7.140625" style="5" customWidth="1"/>
    <col min="14604" max="14604" width="9.5703125" style="5" customWidth="1"/>
    <col min="14605" max="14608" width="0" style="5" hidden="1"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3.5703125" style="5" customWidth="1"/>
    <col min="14850" max="14850" width="10.5703125" style="5" customWidth="1"/>
    <col min="14851" max="14851" width="4.42578125" style="5" customWidth="1"/>
    <col min="14852" max="14852" width="11.28515625" style="5" customWidth="1"/>
    <col min="14853" max="14853" width="5.85546875" style="5" customWidth="1"/>
    <col min="14854" max="14854" width="11.28515625" style="5" customWidth="1"/>
    <col min="14855" max="14855" width="8.7109375" style="5" customWidth="1"/>
    <col min="14856" max="14856" width="4.42578125" style="5" customWidth="1"/>
    <col min="14857" max="14857" width="9" style="5" bestFit="1" customWidth="1"/>
    <col min="14858" max="14858" width="10.85546875" style="5" customWidth="1"/>
    <col min="14859" max="14859" width="7.140625" style="5" customWidth="1"/>
    <col min="14860" max="14860" width="9.5703125" style="5" customWidth="1"/>
    <col min="14861" max="14864" width="0" style="5" hidden="1"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3.5703125" style="5" customWidth="1"/>
    <col min="15106" max="15106" width="10.5703125" style="5" customWidth="1"/>
    <col min="15107" max="15107" width="4.42578125" style="5" customWidth="1"/>
    <col min="15108" max="15108" width="11.28515625" style="5" customWidth="1"/>
    <col min="15109" max="15109" width="5.85546875" style="5" customWidth="1"/>
    <col min="15110" max="15110" width="11.28515625" style="5" customWidth="1"/>
    <col min="15111" max="15111" width="8.7109375" style="5" customWidth="1"/>
    <col min="15112" max="15112" width="4.42578125" style="5" customWidth="1"/>
    <col min="15113" max="15113" width="9" style="5" bestFit="1" customWidth="1"/>
    <col min="15114" max="15114" width="10.85546875" style="5" customWidth="1"/>
    <col min="15115" max="15115" width="7.140625" style="5" customWidth="1"/>
    <col min="15116" max="15116" width="9.5703125" style="5" customWidth="1"/>
    <col min="15117" max="15120" width="0" style="5" hidden="1"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3.5703125" style="5" customWidth="1"/>
    <col min="15362" max="15362" width="10.5703125" style="5" customWidth="1"/>
    <col min="15363" max="15363" width="4.42578125" style="5" customWidth="1"/>
    <col min="15364" max="15364" width="11.28515625" style="5" customWidth="1"/>
    <col min="15365" max="15365" width="5.85546875" style="5" customWidth="1"/>
    <col min="15366" max="15366" width="11.28515625" style="5" customWidth="1"/>
    <col min="15367" max="15367" width="8.7109375" style="5" customWidth="1"/>
    <col min="15368" max="15368" width="4.42578125" style="5" customWidth="1"/>
    <col min="15369" max="15369" width="9" style="5" bestFit="1" customWidth="1"/>
    <col min="15370" max="15370" width="10.85546875" style="5" customWidth="1"/>
    <col min="15371" max="15371" width="7.140625" style="5" customWidth="1"/>
    <col min="15372" max="15372" width="9.5703125" style="5" customWidth="1"/>
    <col min="15373" max="15376" width="0" style="5" hidden="1"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3.5703125" style="5" customWidth="1"/>
    <col min="15618" max="15618" width="10.5703125" style="5" customWidth="1"/>
    <col min="15619" max="15619" width="4.42578125" style="5" customWidth="1"/>
    <col min="15620" max="15620" width="11.28515625" style="5" customWidth="1"/>
    <col min="15621" max="15621" width="5.85546875" style="5" customWidth="1"/>
    <col min="15622" max="15622" width="11.28515625" style="5" customWidth="1"/>
    <col min="15623" max="15623" width="8.7109375" style="5" customWidth="1"/>
    <col min="15624" max="15624" width="4.42578125" style="5" customWidth="1"/>
    <col min="15625" max="15625" width="9" style="5" bestFit="1" customWidth="1"/>
    <col min="15626" max="15626" width="10.85546875" style="5" customWidth="1"/>
    <col min="15627" max="15627" width="7.140625" style="5" customWidth="1"/>
    <col min="15628" max="15628" width="9.5703125" style="5" customWidth="1"/>
    <col min="15629" max="15632" width="0" style="5" hidden="1"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3.5703125" style="5" customWidth="1"/>
    <col min="15874" max="15874" width="10.5703125" style="5" customWidth="1"/>
    <col min="15875" max="15875" width="4.42578125" style="5" customWidth="1"/>
    <col min="15876" max="15876" width="11.28515625" style="5" customWidth="1"/>
    <col min="15877" max="15877" width="5.85546875" style="5" customWidth="1"/>
    <col min="15878" max="15878" width="11.28515625" style="5" customWidth="1"/>
    <col min="15879" max="15879" width="8.7109375" style="5" customWidth="1"/>
    <col min="15880" max="15880" width="4.42578125" style="5" customWidth="1"/>
    <col min="15881" max="15881" width="9" style="5" bestFit="1" customWidth="1"/>
    <col min="15882" max="15882" width="10.85546875" style="5" customWidth="1"/>
    <col min="15883" max="15883" width="7.140625" style="5" customWidth="1"/>
    <col min="15884" max="15884" width="9.5703125" style="5" customWidth="1"/>
    <col min="15885" max="15888" width="0" style="5" hidden="1"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3.5703125" style="5" customWidth="1"/>
    <col min="16130" max="16130" width="10.5703125" style="5" customWidth="1"/>
    <col min="16131" max="16131" width="4.42578125" style="5" customWidth="1"/>
    <col min="16132" max="16132" width="11.28515625" style="5" customWidth="1"/>
    <col min="16133" max="16133" width="5.85546875" style="5" customWidth="1"/>
    <col min="16134" max="16134" width="11.28515625" style="5" customWidth="1"/>
    <col min="16135" max="16135" width="8.7109375" style="5" customWidth="1"/>
    <col min="16136" max="16136" width="4.42578125" style="5" customWidth="1"/>
    <col min="16137" max="16137" width="9" style="5" bestFit="1" customWidth="1"/>
    <col min="16138" max="16138" width="10.85546875" style="5" customWidth="1"/>
    <col min="16139" max="16139" width="7.140625" style="5" customWidth="1"/>
    <col min="16140" max="16140" width="9.5703125" style="5" customWidth="1"/>
    <col min="16141" max="16144" width="0" style="5" hidden="1"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226</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99</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144" t="str">
        <f>+F6</f>
        <v>Revenue</v>
      </c>
      <c r="P6" s="113"/>
    </row>
    <row r="7" spans="1:27" s="16" customFormat="1" ht="11.25" x14ac:dyDescent="0.2">
      <c r="A7" s="15" t="s">
        <v>5</v>
      </c>
      <c r="B7" s="12" t="s">
        <v>100</v>
      </c>
      <c r="C7" s="12"/>
      <c r="D7" s="12" t="s">
        <v>3</v>
      </c>
      <c r="E7" s="12"/>
      <c r="F7" s="12" t="s">
        <v>101</v>
      </c>
      <c r="G7" s="12"/>
      <c r="H7" s="12"/>
      <c r="I7" s="12"/>
      <c r="J7" s="12" t="s">
        <v>102</v>
      </c>
      <c r="K7" s="12"/>
      <c r="O7" s="144" t="str">
        <f>+F7</f>
        <v>per Yard</v>
      </c>
      <c r="P7" s="113"/>
    </row>
    <row r="8" spans="1:27" s="16" customFormat="1" ht="11.25" x14ac:dyDescent="0.2">
      <c r="A8" s="129">
        <f>[9]Multi_Family!$C$6</f>
        <v>43221</v>
      </c>
      <c r="B8" s="338">
        <v>1815.83</v>
      </c>
      <c r="C8" s="12"/>
      <c r="D8" s="349">
        <f>VLOOKUP(A8,[9]Value!$A$6:$O$17,15,)</f>
        <v>37.682245634999703</v>
      </c>
      <c r="E8" s="12"/>
      <c r="F8" s="16">
        <f>ROUND(D8/B8,2)</f>
        <v>0.02</v>
      </c>
      <c r="G8" s="12"/>
      <c r="H8" s="12"/>
      <c r="I8" s="12"/>
      <c r="J8" s="14">
        <f>+B8</f>
        <v>1815.83</v>
      </c>
      <c r="K8" s="13">
        <f>YEAR(A8)</f>
        <v>2018</v>
      </c>
      <c r="O8" s="145">
        <f>VLOOKUP(A8,[9]Value!$A$6:$O$17,13,FALSE)</f>
        <v>75.364491269999405</v>
      </c>
      <c r="P8" s="113"/>
    </row>
    <row r="9" spans="1:27" s="16" customFormat="1" ht="11.25" x14ac:dyDescent="0.2">
      <c r="A9" s="17">
        <f>EOMONTH(A8,1)</f>
        <v>43281</v>
      </c>
      <c r="B9" s="337">
        <v>1815.83</v>
      </c>
      <c r="C9" s="20"/>
      <c r="D9" s="349">
        <f>VLOOKUP(A9,[9]Value!$A$6:$O$17,15,)</f>
        <v>138.9767582999998</v>
      </c>
      <c r="E9" s="14"/>
      <c r="F9" s="16">
        <f>ROUND(D9/B9,2)</f>
        <v>0.08</v>
      </c>
      <c r="G9" s="14"/>
      <c r="H9" s="14"/>
      <c r="I9" s="14"/>
      <c r="J9" s="14">
        <f>+B9</f>
        <v>1815.83</v>
      </c>
      <c r="K9" s="13">
        <f>YEAR(A9)</f>
        <v>2018</v>
      </c>
      <c r="O9" s="145">
        <f>VLOOKUP(A9,[9]Value!$A$6:$O$17,13,FALSE)</f>
        <v>277.9535165999996</v>
      </c>
      <c r="P9" s="113"/>
    </row>
    <row r="10" spans="1:27" s="16" customFormat="1" ht="11.25" x14ac:dyDescent="0.2">
      <c r="A10" s="17">
        <f>EOMONTH(A9,1)</f>
        <v>43312</v>
      </c>
      <c r="B10" s="337">
        <v>1833.1499999999999</v>
      </c>
      <c r="C10" s="14"/>
      <c r="D10" s="349">
        <f>VLOOKUP(A10,[9]Value!$A$6:$O$17,15,)</f>
        <v>337.54210080499968</v>
      </c>
      <c r="E10" s="14"/>
      <c r="F10" s="16">
        <f>ROUND(D10/B10,2)</f>
        <v>0.18</v>
      </c>
      <c r="G10" s="14"/>
      <c r="H10" s="14"/>
      <c r="I10" s="14"/>
      <c r="J10" s="14">
        <f>+B10</f>
        <v>1833.1499999999999</v>
      </c>
      <c r="K10" s="13">
        <f>YEAR(A10)</f>
        <v>2018</v>
      </c>
      <c r="O10" s="145">
        <f>VLOOKUP(A10,[9]Value!$A$6:$O$17,13,FALSE)</f>
        <v>675.08420160999935</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103</v>
      </c>
      <c r="B12" s="21">
        <f>SUM(B8:B11)</f>
        <v>5464.8099999999995</v>
      </c>
      <c r="C12" s="20" t="s">
        <v>8</v>
      </c>
      <c r="D12" s="22">
        <f>SUM(D8:D11)</f>
        <v>514.20110473999921</v>
      </c>
      <c r="E12" s="14"/>
      <c r="G12" s="14"/>
      <c r="H12" s="14"/>
      <c r="I12" s="14"/>
      <c r="J12" s="14"/>
      <c r="K12" s="13"/>
      <c r="O12" s="145"/>
      <c r="P12" s="113"/>
    </row>
    <row r="13" spans="1:27" s="16" customFormat="1" ht="12" customHeight="1" x14ac:dyDescent="0.2">
      <c r="A13" s="17"/>
      <c r="B13" s="14"/>
      <c r="C13" s="14"/>
      <c r="E13" s="14"/>
      <c r="G13" s="14"/>
      <c r="H13" s="14"/>
      <c r="I13" s="14"/>
      <c r="J13" s="14"/>
      <c r="K13" s="13"/>
      <c r="O13" s="145"/>
      <c r="P13" s="113"/>
    </row>
    <row r="14" spans="1:27" s="16" customFormat="1" ht="11.25" x14ac:dyDescent="0.2">
      <c r="A14" s="17">
        <f>EOMONTH(A10,1)</f>
        <v>43343</v>
      </c>
      <c r="B14" s="337">
        <v>1861.29</v>
      </c>
      <c r="C14" s="14"/>
      <c r="D14" s="349">
        <f>VLOOKUP(A14,[9]Value!$A$6:$O$17,15,)</f>
        <v>321.68783252999981</v>
      </c>
      <c r="E14" s="14"/>
      <c r="F14" s="16">
        <f t="shared" ref="F14:F22" si="0">ROUND(D14/B14,2)</f>
        <v>0.17</v>
      </c>
      <c r="G14" s="23"/>
      <c r="H14" s="14"/>
      <c r="I14" s="14"/>
      <c r="J14" s="14">
        <f t="shared" ref="J14:J22" si="1">+B14</f>
        <v>1861.29</v>
      </c>
      <c r="K14" s="13">
        <f t="shared" ref="K14:K22" si="2">YEAR(A14)</f>
        <v>2018</v>
      </c>
      <c r="O14" s="145">
        <f>VLOOKUP(A14,[9]Value!$A$6:$O$17,13,FALSE)</f>
        <v>643.37566505999962</v>
      </c>
      <c r="P14" s="113"/>
    </row>
    <row r="15" spans="1:27" s="16" customFormat="1" ht="11.25" x14ac:dyDescent="0.2">
      <c r="A15" s="17">
        <f t="shared" ref="A15:A21" si="3">EOMONTH(A14,1)</f>
        <v>43373</v>
      </c>
      <c r="B15" s="337">
        <v>1861.29</v>
      </c>
      <c r="C15" s="14"/>
      <c r="D15" s="349">
        <f>VLOOKUP(A15,[9]Value!$A$6:$O$17,15,)</f>
        <v>339.02416971499974</v>
      </c>
      <c r="E15" s="14"/>
      <c r="F15" s="16">
        <f t="shared" si="0"/>
        <v>0.18</v>
      </c>
      <c r="G15" s="23"/>
      <c r="H15" s="14"/>
      <c r="I15" s="14"/>
      <c r="J15" s="14">
        <f t="shared" si="1"/>
        <v>1861.29</v>
      </c>
      <c r="K15" s="13">
        <f t="shared" si="2"/>
        <v>2018</v>
      </c>
      <c r="O15" s="145">
        <f>VLOOKUP(A15,[9]Value!$A$6:$O$17,13,FALSE)</f>
        <v>678.04833942999949</v>
      </c>
      <c r="P15" s="113"/>
    </row>
    <row r="16" spans="1:27" s="16" customFormat="1" ht="11.25" x14ac:dyDescent="0.2">
      <c r="A16" s="17">
        <f t="shared" si="3"/>
        <v>43404</v>
      </c>
      <c r="B16" s="337">
        <v>1862.59</v>
      </c>
      <c r="C16" s="14"/>
      <c r="D16" s="349">
        <f>VLOOKUP(A16,[9]Value!$A$6:$O$17,15,)</f>
        <v>354.29046587999972</v>
      </c>
      <c r="E16" s="14"/>
      <c r="F16" s="16">
        <f t="shared" si="0"/>
        <v>0.19</v>
      </c>
      <c r="G16" s="23"/>
      <c r="H16" s="14"/>
      <c r="I16" s="14"/>
      <c r="J16" s="14">
        <f t="shared" si="1"/>
        <v>1862.59</v>
      </c>
      <c r="K16" s="13">
        <f t="shared" si="2"/>
        <v>2018</v>
      </c>
      <c r="O16" s="145">
        <f>VLOOKUP(A16,[9]Value!$A$6:$O$17,13,FALSE)</f>
        <v>708.58093175999943</v>
      </c>
      <c r="P16" s="113"/>
    </row>
    <row r="17" spans="1:27" s="16" customFormat="1" ht="11.25" x14ac:dyDescent="0.2">
      <c r="A17" s="17">
        <f t="shared" si="3"/>
        <v>43434</v>
      </c>
      <c r="B17" s="337"/>
      <c r="C17" s="14"/>
      <c r="D17" s="349">
        <f>VLOOKUP(A17,[9]Value!$A$6:$O$17,15,)</f>
        <v>0</v>
      </c>
      <c r="E17" s="14"/>
      <c r="F17" s="16" t="e">
        <f t="shared" si="0"/>
        <v>#DIV/0!</v>
      </c>
      <c r="G17" s="23"/>
      <c r="H17" s="14"/>
      <c r="I17" s="14"/>
      <c r="J17" s="14">
        <f t="shared" si="1"/>
        <v>0</v>
      </c>
      <c r="K17" s="13">
        <f t="shared" si="2"/>
        <v>2018</v>
      </c>
      <c r="O17" s="145">
        <f>VLOOKUP(A17,[9]Value!$A$6:$O$17,13,FALSE)</f>
        <v>0</v>
      </c>
      <c r="P17" s="113"/>
    </row>
    <row r="18" spans="1:27" s="16" customFormat="1" ht="11.25" x14ac:dyDescent="0.2">
      <c r="A18" s="17">
        <f t="shared" si="3"/>
        <v>43465</v>
      </c>
      <c r="B18" s="337"/>
      <c r="C18" s="14"/>
      <c r="D18" s="349">
        <f>VLOOKUP(A18,[9]Value!$A$6:$O$17,15,)</f>
        <v>0</v>
      </c>
      <c r="E18" s="14"/>
      <c r="F18" s="16" t="e">
        <f t="shared" si="0"/>
        <v>#DIV/0!</v>
      </c>
      <c r="G18" s="23"/>
      <c r="H18" s="14"/>
      <c r="I18" s="14"/>
      <c r="J18" s="14">
        <f t="shared" si="1"/>
        <v>0</v>
      </c>
      <c r="K18" s="13">
        <f t="shared" si="2"/>
        <v>2018</v>
      </c>
      <c r="O18" s="145">
        <f>VLOOKUP(A18,[9]Value!$A$6:$O$17,13,FALSE)</f>
        <v>0</v>
      </c>
      <c r="P18" s="113"/>
      <c r="X18" s="14"/>
      <c r="Y18" s="14"/>
    </row>
    <row r="19" spans="1:27" s="16" customFormat="1" ht="11.25" x14ac:dyDescent="0.2">
      <c r="A19" s="17">
        <f t="shared" si="3"/>
        <v>43496</v>
      </c>
      <c r="B19" s="337"/>
      <c r="C19" s="14"/>
      <c r="D19" s="349">
        <f>VLOOKUP(A19,[9]Value!$A$6:$O$17,15,)</f>
        <v>0</v>
      </c>
      <c r="E19" s="14"/>
      <c r="F19" s="16" t="e">
        <f t="shared" si="0"/>
        <v>#DIV/0!</v>
      </c>
      <c r="G19" s="23"/>
      <c r="H19" s="14"/>
      <c r="I19" s="14"/>
      <c r="J19" s="14">
        <f t="shared" si="1"/>
        <v>0</v>
      </c>
      <c r="K19" s="13">
        <f t="shared" si="2"/>
        <v>2019</v>
      </c>
      <c r="L19" s="14"/>
      <c r="M19" s="14"/>
      <c r="N19" s="14"/>
      <c r="O19" s="145">
        <f>VLOOKUP(A19,[9]Value!$A$6:$O$17,13,FALSE)</f>
        <v>0</v>
      </c>
      <c r="P19" s="113"/>
      <c r="Q19" s="14"/>
      <c r="R19" s="14"/>
      <c r="S19" s="14"/>
      <c r="T19" s="14"/>
      <c r="U19" s="14"/>
      <c r="V19" s="14"/>
      <c r="W19" s="14"/>
      <c r="Y19" s="14"/>
      <c r="AA19" s="14"/>
    </row>
    <row r="20" spans="1:27" s="16" customFormat="1" ht="11.25" x14ac:dyDescent="0.2">
      <c r="A20" s="17">
        <f t="shared" si="3"/>
        <v>43524</v>
      </c>
      <c r="B20" s="337"/>
      <c r="C20" s="14"/>
      <c r="D20" s="349">
        <f>VLOOKUP(A20,[9]Value!$A$6:$O$17,15,)</f>
        <v>0</v>
      </c>
      <c r="E20" s="14"/>
      <c r="F20" s="16" t="e">
        <f t="shared" si="0"/>
        <v>#DIV/0!</v>
      </c>
      <c r="G20" s="23"/>
      <c r="H20" s="14"/>
      <c r="I20" s="14"/>
      <c r="J20" s="14">
        <f t="shared" si="1"/>
        <v>0</v>
      </c>
      <c r="K20" s="13">
        <f t="shared" si="2"/>
        <v>2019</v>
      </c>
      <c r="O20" s="145">
        <f>VLOOKUP(A20,[9]Value!$A$6:$O$17,13,FALSE)</f>
        <v>0</v>
      </c>
      <c r="P20" s="35"/>
    </row>
    <row r="21" spans="1:27" s="16" customFormat="1" ht="11.25" x14ac:dyDescent="0.2">
      <c r="A21" s="17">
        <f t="shared" si="3"/>
        <v>43555</v>
      </c>
      <c r="B21" s="337"/>
      <c r="C21" s="14"/>
      <c r="D21" s="349">
        <f>VLOOKUP(A21,[9]Value!$A$6:$O$17,15,)</f>
        <v>0</v>
      </c>
      <c r="E21" s="14"/>
      <c r="F21" s="16" t="e">
        <f t="shared" si="0"/>
        <v>#DIV/0!</v>
      </c>
      <c r="G21" s="23"/>
      <c r="H21" s="20"/>
      <c r="I21" s="14"/>
      <c r="J21" s="14">
        <f t="shared" si="1"/>
        <v>0</v>
      </c>
      <c r="K21" s="13">
        <f t="shared" si="2"/>
        <v>2019</v>
      </c>
      <c r="O21" s="145">
        <f>VLOOKUP(A21,[9]Value!$A$6:$O$17,13,FALSE)</f>
        <v>0</v>
      </c>
      <c r="P21" s="113"/>
    </row>
    <row r="22" spans="1:27" s="16" customFormat="1" ht="11.25" x14ac:dyDescent="0.2">
      <c r="A22" s="17">
        <f>EOMONTH(A21,1)</f>
        <v>43585</v>
      </c>
      <c r="B22" s="337"/>
      <c r="C22" s="14"/>
      <c r="D22" s="349">
        <f>VLOOKUP(A22,[9]Value!$A$6:$O$17,15,)</f>
        <v>0</v>
      </c>
      <c r="E22" s="14"/>
      <c r="F22" s="16" t="e">
        <f t="shared" si="0"/>
        <v>#DIV/0!</v>
      </c>
      <c r="G22" s="23"/>
      <c r="H22" s="20"/>
      <c r="I22" s="14"/>
      <c r="J22" s="14">
        <f t="shared" si="1"/>
        <v>0</v>
      </c>
      <c r="K22" s="13">
        <f t="shared" si="2"/>
        <v>2019</v>
      </c>
      <c r="O22" s="145">
        <f>VLOOKUP(A22,[9]Value!$A$6:$O$17,13,FALSE)</f>
        <v>0</v>
      </c>
      <c r="P22" s="113"/>
    </row>
    <row r="23" spans="1:27" s="16" customFormat="1" ht="11.25" x14ac:dyDescent="0.2">
      <c r="A23" s="17"/>
      <c r="B23" s="14"/>
      <c r="C23" s="14"/>
      <c r="E23" s="14"/>
      <c r="G23" s="14"/>
      <c r="H23" s="14"/>
      <c r="I23" s="14"/>
      <c r="J23" s="14"/>
      <c r="K23" s="13"/>
      <c r="O23" s="146"/>
    </row>
    <row r="24" spans="1:27" s="16" customFormat="1" ht="11.25" x14ac:dyDescent="0.2">
      <c r="A24" s="17" t="s">
        <v>104</v>
      </c>
      <c r="B24" s="21">
        <f>SUM(B13:B23)</f>
        <v>5585.17</v>
      </c>
      <c r="C24" s="20" t="s">
        <v>9</v>
      </c>
      <c r="D24" s="22">
        <f>SUM(D13:D23)</f>
        <v>1015.0024681249993</v>
      </c>
      <c r="E24" s="14"/>
      <c r="G24" s="14"/>
      <c r="H24" s="14"/>
      <c r="I24" s="14"/>
      <c r="J24" s="14"/>
      <c r="K24" s="13"/>
      <c r="O24" s="146"/>
      <c r="P24" s="147" t="s">
        <v>87</v>
      </c>
    </row>
    <row r="25" spans="1:27" s="16" customFormat="1" x14ac:dyDescent="0.2">
      <c r="A25" s="5"/>
      <c r="B25" s="5"/>
      <c r="C25" s="5"/>
      <c r="D25" s="25"/>
      <c r="E25" s="5"/>
      <c r="F25" s="5"/>
      <c r="G25" s="5"/>
      <c r="H25" s="5"/>
      <c r="I25" s="5"/>
      <c r="J25" s="5"/>
      <c r="K25" s="5"/>
      <c r="O25" s="146">
        <f>SUM(O8:O24)</f>
        <v>3058.407145729997</v>
      </c>
      <c r="P25" s="120"/>
    </row>
    <row r="26" spans="1:27" s="16" customFormat="1" ht="12" thickBot="1" x14ac:dyDescent="0.25">
      <c r="A26" s="26"/>
      <c r="B26" s="27">
        <f>+B12+B24</f>
        <v>11049.98</v>
      </c>
      <c r="C26" s="20"/>
      <c r="D26" s="28">
        <f>+D12+D24</f>
        <v>1529.2035728649985</v>
      </c>
      <c r="E26" s="20" t="s">
        <v>10</v>
      </c>
      <c r="F26" s="16">
        <f>(D26/B26)</f>
        <v>0.13838971408681269</v>
      </c>
      <c r="G26" s="20"/>
      <c r="H26" s="14"/>
      <c r="I26" s="14"/>
      <c r="J26" s="27">
        <f>SUM(J8:J25)</f>
        <v>11049.98</v>
      </c>
      <c r="K26" s="20" t="s">
        <v>12</v>
      </c>
      <c r="O26" s="148">
        <f>ROUND(O25/J26,3)</f>
        <v>0.27700000000000002</v>
      </c>
      <c r="P26" s="113" t="s">
        <v>88</v>
      </c>
    </row>
    <row r="27" spans="1:27" s="16" customFormat="1" ht="12" thickTop="1" x14ac:dyDescent="0.2">
      <c r="B27" s="14"/>
      <c r="C27" s="20"/>
      <c r="D27" s="14"/>
      <c r="E27" s="14"/>
      <c r="F27" s="14"/>
      <c r="G27" s="14"/>
      <c r="H27" s="14"/>
      <c r="I27" s="14"/>
      <c r="J27" s="14"/>
      <c r="K27" s="14"/>
      <c r="O27" s="149">
        <f>+J22</f>
        <v>0</v>
      </c>
      <c r="P27" s="113" t="s">
        <v>89</v>
      </c>
    </row>
    <row r="28" spans="1:27" s="16" customFormat="1" ht="11.25" x14ac:dyDescent="0.2">
      <c r="A28" s="16" t="s">
        <v>224</v>
      </c>
      <c r="B28" s="14">
        <f>B26</f>
        <v>11049.98</v>
      </c>
      <c r="C28" s="20"/>
      <c r="D28" s="14">
        <f>D26</f>
        <v>1529.2035728649985</v>
      </c>
      <c r="E28" s="14"/>
      <c r="F28" s="23">
        <f>D28/B28</f>
        <v>0.13838971408681269</v>
      </c>
      <c r="G28" s="20" t="s">
        <v>11</v>
      </c>
      <c r="H28" s="14"/>
      <c r="I28" s="14"/>
      <c r="J28" s="14"/>
      <c r="K28" s="14"/>
      <c r="O28" s="35"/>
      <c r="P28" s="113"/>
    </row>
    <row r="29" spans="1:27" s="16" customFormat="1" ht="11.25" x14ac:dyDescent="0.2">
      <c r="A29" s="16" t="s">
        <v>234</v>
      </c>
      <c r="B29" s="14"/>
      <c r="C29" s="20"/>
      <c r="D29" s="14"/>
      <c r="E29" s="14"/>
      <c r="F29" s="14"/>
      <c r="G29" s="14"/>
      <c r="H29" s="14"/>
      <c r="I29" s="14"/>
      <c r="J29" s="14"/>
      <c r="K29" s="14"/>
      <c r="O29" s="35"/>
      <c r="P29" s="113"/>
    </row>
    <row r="30" spans="1:27" s="16" customFormat="1" ht="11.25" x14ac:dyDescent="0.2">
      <c r="B30" s="14"/>
      <c r="C30" s="20"/>
      <c r="D30" s="14"/>
      <c r="E30" s="14"/>
      <c r="F30" s="14"/>
      <c r="G30" s="14"/>
      <c r="H30" s="14"/>
      <c r="I30" s="14"/>
      <c r="J30" s="14"/>
      <c r="K30" s="14"/>
      <c r="O30" s="35"/>
      <c r="P30" s="113"/>
    </row>
    <row r="31" spans="1:27" s="16" customFormat="1" ht="11.25" x14ac:dyDescent="0.2">
      <c r="B31" s="14"/>
      <c r="C31" s="14"/>
      <c r="D31" s="14"/>
      <c r="E31" s="14"/>
      <c r="F31" s="14"/>
      <c r="G31" s="14"/>
      <c r="H31" s="14"/>
      <c r="I31" s="14"/>
      <c r="J31" s="14"/>
      <c r="K31" s="14"/>
      <c r="O31" s="113"/>
      <c r="P31" s="113" t="s">
        <v>90</v>
      </c>
    </row>
    <row r="32" spans="1:27" s="16" customFormat="1" ht="12" thickBot="1" x14ac:dyDescent="0.25">
      <c r="B32" s="29" t="s">
        <v>13</v>
      </c>
      <c r="C32" s="30"/>
      <c r="D32" s="30"/>
      <c r="E32" s="30"/>
      <c r="F32" s="14"/>
      <c r="G32" s="14"/>
      <c r="H32" s="14"/>
      <c r="I32" s="14"/>
      <c r="J32" s="14"/>
      <c r="K32" s="14"/>
    </row>
    <row r="33" spans="1:27" s="16" customFormat="1" ht="12" thickTop="1" x14ac:dyDescent="0.2">
      <c r="A33" s="6"/>
      <c r="B33" s="31"/>
      <c r="C33" s="14"/>
      <c r="D33" s="14"/>
      <c r="E33" s="14"/>
      <c r="F33" s="14"/>
      <c r="G33" s="14"/>
      <c r="H33" s="14"/>
      <c r="I33" s="14"/>
      <c r="J33" s="14"/>
      <c r="K33" s="14"/>
      <c r="X33" s="14"/>
      <c r="Y33" s="14"/>
    </row>
    <row r="34" spans="1:27" s="16" customFormat="1" ht="11.25" x14ac:dyDescent="0.2">
      <c r="A34" s="8"/>
      <c r="B34" s="31"/>
      <c r="C34" s="14"/>
      <c r="D34" s="14"/>
      <c r="E34" s="14"/>
      <c r="F34" s="32" t="s">
        <v>14</v>
      </c>
      <c r="G34" s="16">
        <f>+D26</f>
        <v>1529.2035728649985</v>
      </c>
      <c r="H34" s="20" t="s">
        <v>10</v>
      </c>
      <c r="I34" s="14"/>
      <c r="J34" s="14"/>
      <c r="K34" s="14"/>
    </row>
    <row r="35" spans="1:27" s="13" customFormat="1" ht="11.25" x14ac:dyDescent="0.2">
      <c r="A35" s="33"/>
      <c r="B35" s="31"/>
      <c r="C35" s="14"/>
      <c r="D35" s="14"/>
      <c r="E35" s="14"/>
      <c r="F35" s="14"/>
      <c r="G35" s="14"/>
      <c r="H35" s="20"/>
      <c r="I35" s="14"/>
      <c r="J35" s="14"/>
      <c r="K35" s="14"/>
      <c r="O35" s="16">
        <f>12*O27*O26</f>
        <v>0</v>
      </c>
      <c r="P35" s="13" t="s">
        <v>91</v>
      </c>
      <c r="W35" s="14"/>
      <c r="X35" s="16"/>
      <c r="Y35" s="16"/>
      <c r="AA35" s="14"/>
    </row>
    <row r="36" spans="1:27" s="16" customFormat="1" ht="11.25" x14ac:dyDescent="0.2">
      <c r="B36" s="14" t="s">
        <v>105</v>
      </c>
      <c r="C36" s="14"/>
      <c r="D36" s="14"/>
      <c r="E36" s="14"/>
      <c r="F36" s="336">
        <v>0.53</v>
      </c>
      <c r="G36" s="14"/>
      <c r="H36" s="14"/>
      <c r="I36" s="14"/>
      <c r="J36" s="14"/>
      <c r="K36" s="14"/>
      <c r="O36" s="16">
        <f>12*O27*G59</f>
        <v>0</v>
      </c>
      <c r="P36" s="16" t="s">
        <v>92</v>
      </c>
    </row>
    <row r="37" spans="1:27" s="16" customFormat="1" ht="11.25" x14ac:dyDescent="0.2">
      <c r="B37" s="14"/>
      <c r="C37" s="14" t="str">
        <f>"Customers from "&amp;TEXT($A$8,"mm/yy")&amp;" - "&amp;TEXT($A$10,"mm/yy")</f>
        <v>Customers from 05/18 - 07/18</v>
      </c>
      <c r="D37" s="14"/>
      <c r="E37" s="14"/>
      <c r="F37" s="14">
        <f>+B12</f>
        <v>5464.8099999999995</v>
      </c>
      <c r="G37" s="20" t="s">
        <v>8</v>
      </c>
      <c r="H37" s="14"/>
      <c r="I37" s="14"/>
      <c r="J37" s="14"/>
      <c r="K37" s="14"/>
      <c r="O37" s="150" t="e">
        <f>+O36/O35</f>
        <v>#DIV/0!</v>
      </c>
    </row>
    <row r="38" spans="1:27" s="16" customFormat="1" ht="11.25" x14ac:dyDescent="0.2">
      <c r="B38" s="14"/>
      <c r="C38" s="14" t="s">
        <v>16</v>
      </c>
      <c r="D38" s="14"/>
      <c r="E38" s="14"/>
      <c r="F38" s="22">
        <f>F36*B12</f>
        <v>2896.3492999999999</v>
      </c>
      <c r="G38" s="20"/>
      <c r="H38" s="14"/>
      <c r="I38" s="14"/>
      <c r="J38" s="34"/>
      <c r="K38" s="14"/>
    </row>
    <row r="39" spans="1:27" s="16" customFormat="1" ht="11.25" x14ac:dyDescent="0.2">
      <c r="B39" s="14"/>
      <c r="C39" s="14"/>
      <c r="D39" s="14"/>
      <c r="E39" s="14"/>
      <c r="F39" s="35"/>
      <c r="G39" s="20"/>
      <c r="H39" s="14"/>
      <c r="I39" s="14"/>
      <c r="J39" s="14"/>
      <c r="K39" s="14"/>
    </row>
    <row r="40" spans="1:27" s="16" customFormat="1" ht="11.25" x14ac:dyDescent="0.2">
      <c r="B40" s="14" t="s">
        <v>105</v>
      </c>
      <c r="C40" s="14"/>
      <c r="D40" s="14"/>
      <c r="E40" s="14"/>
      <c r="F40" s="336">
        <v>0.21299999999999999</v>
      </c>
      <c r="G40" s="14"/>
      <c r="H40" s="14"/>
      <c r="I40" s="14"/>
      <c r="J40" s="14"/>
      <c r="K40" s="14"/>
    </row>
    <row r="41" spans="1:27" s="16" customFormat="1" ht="11.25" x14ac:dyDescent="0.2">
      <c r="B41" s="14"/>
      <c r="C41" s="14" t="str">
        <f>"Customers from "&amp;TEXT($A$14,"mm/yy")&amp;" - "&amp;TEXT($A$22,"mm/yy")</f>
        <v>Customers from 08/18 - 04/19</v>
      </c>
      <c r="D41" s="14"/>
      <c r="E41" s="14"/>
      <c r="F41" s="14">
        <f>+B26-F37</f>
        <v>5585.17</v>
      </c>
      <c r="G41" s="20" t="s">
        <v>9</v>
      </c>
      <c r="H41" s="14"/>
      <c r="I41" s="14"/>
      <c r="J41" s="14"/>
      <c r="K41" s="14"/>
    </row>
    <row r="42" spans="1:27" s="16" customFormat="1" ht="11.25" x14ac:dyDescent="0.2">
      <c r="B42" s="14"/>
      <c r="C42" s="14" t="s">
        <v>16</v>
      </c>
      <c r="D42" s="14"/>
      <c r="E42" s="14"/>
      <c r="F42" s="22">
        <f>F40*F41</f>
        <v>1189.64121</v>
      </c>
      <c r="G42" s="20"/>
      <c r="H42" s="14"/>
      <c r="I42" s="14"/>
      <c r="J42" s="14"/>
      <c r="K42" s="14"/>
    </row>
    <row r="43" spans="1:27" s="16" customFormat="1" ht="11.25" x14ac:dyDescent="0.2">
      <c r="B43" s="14"/>
      <c r="C43" s="14"/>
      <c r="D43" s="14"/>
      <c r="E43" s="14"/>
      <c r="F43" s="36"/>
      <c r="G43" s="20"/>
      <c r="H43" s="14"/>
      <c r="I43" s="14"/>
      <c r="J43" s="14"/>
      <c r="K43" s="14"/>
    </row>
    <row r="44" spans="1:27" s="16" customFormat="1" ht="12" thickBot="1" x14ac:dyDescent="0.25">
      <c r="B44" s="14"/>
      <c r="C44" s="14" t="s">
        <v>17</v>
      </c>
      <c r="D44" s="14"/>
      <c r="E44" s="14"/>
      <c r="F44" s="28">
        <f>+F38+F42</f>
        <v>4085.9905099999996</v>
      </c>
      <c r="G44" s="331">
        <f>+F44</f>
        <v>4085.9905099999996</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32" t="s">
        <v>106</v>
      </c>
      <c r="G47" s="57">
        <f>+G34-G44</f>
        <v>-2556.7869371350012</v>
      </c>
      <c r="H47" s="14"/>
      <c r="I47" s="14"/>
      <c r="J47" s="14"/>
      <c r="K47" s="14"/>
    </row>
    <row r="48" spans="1:27" s="16" customFormat="1" ht="12" thickTop="1" x14ac:dyDescent="0.2">
      <c r="B48" s="14"/>
      <c r="C48" s="14"/>
      <c r="D48" s="14"/>
      <c r="E48" s="14"/>
      <c r="F48" s="14"/>
      <c r="G48" s="14"/>
      <c r="H48" s="14"/>
      <c r="I48" s="14"/>
      <c r="J48" s="14"/>
      <c r="K48" s="14"/>
      <c r="Y48" s="14"/>
    </row>
    <row r="49" spans="1:27" s="16" customFormat="1" ht="11.25" x14ac:dyDescent="0.2">
      <c r="B49" s="14"/>
      <c r="C49" s="14"/>
      <c r="D49" s="14"/>
      <c r="E49" s="14"/>
      <c r="F49" s="14"/>
      <c r="G49" s="14"/>
      <c r="H49" s="14"/>
      <c r="I49" s="14"/>
      <c r="J49" s="14"/>
      <c r="K49" s="14"/>
    </row>
    <row r="50" spans="1:27" s="16" customFormat="1" ht="12" thickBot="1" x14ac:dyDescent="0.25">
      <c r="B50" s="29" t="str">
        <f>$K$22+1&amp;" Recycle Adjustment Calculation"</f>
        <v>2020 Recycle Adjustment Calculation</v>
      </c>
      <c r="C50" s="30"/>
      <c r="D50" s="30"/>
      <c r="E50" s="30"/>
      <c r="F50" s="30"/>
      <c r="G50" s="14"/>
      <c r="H50" s="14"/>
      <c r="I50" s="14"/>
      <c r="J50" s="14"/>
      <c r="K50" s="14"/>
    </row>
    <row r="51" spans="1:27" s="16" customFormat="1" ht="12" thickTop="1" x14ac:dyDescent="0.2">
      <c r="B51" s="31"/>
      <c r="C51" s="14"/>
      <c r="D51" s="14"/>
      <c r="E51" s="14"/>
      <c r="F51" s="14"/>
      <c r="G51" s="14"/>
      <c r="H51" s="14"/>
      <c r="I51" s="14"/>
      <c r="J51" s="14"/>
      <c r="K51" s="14"/>
      <c r="L51" s="14"/>
      <c r="M51" s="14"/>
      <c r="N51" s="14"/>
      <c r="O51" s="14"/>
      <c r="P51" s="14"/>
      <c r="Q51" s="14"/>
      <c r="R51" s="14"/>
      <c r="S51" s="14"/>
      <c r="T51" s="14"/>
      <c r="U51" s="14"/>
      <c r="V51" s="14"/>
      <c r="W51" s="14"/>
      <c r="AA51" s="14"/>
    </row>
    <row r="52" spans="1:27" s="16" customFormat="1" ht="11.25" x14ac:dyDescent="0.2">
      <c r="B52" s="14" t="s">
        <v>228</v>
      </c>
      <c r="C52" s="14"/>
      <c r="D52" s="14"/>
      <c r="E52" s="14"/>
      <c r="F52" s="14"/>
      <c r="G52" s="14"/>
      <c r="H52" s="14"/>
      <c r="I52" s="14"/>
      <c r="J52" s="14"/>
      <c r="K52" s="14"/>
    </row>
    <row r="53" spans="1:27" s="16" customFormat="1" ht="11.25" x14ac:dyDescent="0.2">
      <c r="B53" s="14"/>
      <c r="C53" s="14"/>
      <c r="D53" s="14"/>
      <c r="E53" s="14"/>
      <c r="F53" s="32" t="s">
        <v>229</v>
      </c>
      <c r="G53" s="14">
        <f>+J26</f>
        <v>11049.98</v>
      </c>
      <c r="H53" s="20" t="s">
        <v>12</v>
      </c>
      <c r="I53" s="14"/>
      <c r="J53" s="14"/>
      <c r="K53" s="14"/>
    </row>
    <row r="54" spans="1:27" s="16" customFormat="1" ht="11.25" x14ac:dyDescent="0.2">
      <c r="B54" s="14"/>
      <c r="C54" s="14"/>
      <c r="D54" s="14"/>
      <c r="E54" s="14"/>
      <c r="F54" s="32" t="s">
        <v>18</v>
      </c>
      <c r="G54" s="16">
        <f>+G47</f>
        <v>-2556.7869371350012</v>
      </c>
      <c r="H54" s="14"/>
      <c r="I54" s="14"/>
      <c r="J54" s="14"/>
      <c r="K54" s="14"/>
    </row>
    <row r="55" spans="1:27" s="16" customFormat="1" ht="11.25" x14ac:dyDescent="0.2">
      <c r="B55" s="14"/>
      <c r="C55" s="14"/>
      <c r="D55" s="14"/>
      <c r="E55" s="14"/>
      <c r="F55" s="32"/>
      <c r="G55" s="14"/>
      <c r="H55" s="14"/>
      <c r="I55" s="14"/>
      <c r="J55" s="14"/>
      <c r="K55" s="14"/>
    </row>
    <row r="56" spans="1:27" s="16" customFormat="1" ht="12" thickBot="1" x14ac:dyDescent="0.25">
      <c r="B56" s="14"/>
      <c r="C56" s="14"/>
      <c r="D56" s="14"/>
      <c r="E56" s="14"/>
      <c r="F56" s="32" t="s">
        <v>235</v>
      </c>
      <c r="G56" s="39">
        <f>ROUND(G54/G53,3)</f>
        <v>-0.23100000000000001</v>
      </c>
      <c r="H56" s="14"/>
      <c r="I56" s="23">
        <f>+G56</f>
        <v>-0.23100000000000001</v>
      </c>
      <c r="J56" s="14"/>
      <c r="K56" s="14"/>
    </row>
    <row r="57" spans="1:27" s="16" customFormat="1" ht="12" thickTop="1" x14ac:dyDescent="0.2">
      <c r="B57" s="14"/>
      <c r="C57" s="14"/>
      <c r="D57" s="14"/>
      <c r="E57" s="14"/>
      <c r="F57" s="32"/>
      <c r="G57" s="14"/>
      <c r="H57" s="14"/>
      <c r="I57" s="23"/>
      <c r="J57" s="14"/>
      <c r="K57" s="14"/>
      <c r="Y57" s="14"/>
    </row>
    <row r="58" spans="1:27" s="16" customFormat="1" ht="11.25" x14ac:dyDescent="0.2">
      <c r="B58" s="14" t="s">
        <v>231</v>
      </c>
      <c r="C58" s="14"/>
      <c r="D58" s="14"/>
      <c r="E58" s="14"/>
      <c r="F58" s="32"/>
      <c r="G58" s="14"/>
      <c r="H58" s="14"/>
      <c r="I58" s="23"/>
      <c r="J58" s="14"/>
      <c r="K58" s="14"/>
      <c r="L58" s="347" t="s">
        <v>93</v>
      </c>
    </row>
    <row r="59" spans="1:27" s="16" customFormat="1" ht="12" thickBot="1" x14ac:dyDescent="0.25">
      <c r="B59" s="31"/>
      <c r="C59" s="14"/>
      <c r="D59" s="14"/>
      <c r="E59" s="14"/>
      <c r="F59" s="32" t="s">
        <v>236</v>
      </c>
      <c r="G59" s="346">
        <f>+F28/[9]Value!P18*L59</f>
        <v>0.13838971408681269</v>
      </c>
      <c r="H59" s="14"/>
      <c r="I59" s="16">
        <f>+G59</f>
        <v>0.13838971408681269</v>
      </c>
      <c r="J59" s="20" t="s">
        <v>11</v>
      </c>
      <c r="K59" s="14"/>
      <c r="L59" s="345">
        <f>+'[10]WUTC_AW of Kent_MF'!$O$56</f>
        <v>0.5</v>
      </c>
    </row>
    <row r="60" spans="1:27" s="14" customFormat="1" ht="12" thickTop="1" x14ac:dyDescent="0.2">
      <c r="B60" s="31"/>
      <c r="I60" s="23"/>
      <c r="X60" s="16"/>
      <c r="Y60" s="16"/>
    </row>
    <row r="61" spans="1:27" s="16" customFormat="1" ht="12" thickBot="1" x14ac:dyDescent="0.25">
      <c r="B61" s="14"/>
      <c r="C61" s="14"/>
      <c r="D61" s="14"/>
      <c r="E61" s="14"/>
      <c r="F61" s="14"/>
      <c r="G61" s="32" t="s">
        <v>233</v>
      </c>
      <c r="H61" s="27"/>
      <c r="I61" s="28">
        <f>ROUND(+I56+I59,2)</f>
        <v>-0.09</v>
      </c>
      <c r="J61" s="14"/>
      <c r="K61" s="14"/>
    </row>
    <row r="62" spans="1:27" s="16" customFormat="1" ht="12" thickTop="1" x14ac:dyDescent="0.2">
      <c r="I62" s="23"/>
    </row>
    <row r="63" spans="1:27" s="16" customFormat="1" ht="11.25" x14ac:dyDescent="0.2">
      <c r="G63" s="139" t="s">
        <v>108</v>
      </c>
      <c r="I63" s="16">
        <f>+I61*3.5</f>
        <v>-0.315</v>
      </c>
    </row>
    <row r="64" spans="1:27" s="16" customFormat="1" ht="11.25" x14ac:dyDescent="0.2">
      <c r="A64" s="113"/>
      <c r="B64" s="113"/>
      <c r="C64" s="113"/>
      <c r="D64" s="113"/>
      <c r="E64" s="113"/>
      <c r="F64" s="113"/>
      <c r="G64" s="139" t="s">
        <v>109</v>
      </c>
      <c r="I64" s="16">
        <f>I61*5</f>
        <v>-0.44999999999999996</v>
      </c>
    </row>
    <row r="65" spans="1:27" s="16" customFormat="1" ht="10.5" customHeight="1" x14ac:dyDescent="0.2">
      <c r="A65" s="165"/>
      <c r="B65" s="166"/>
      <c r="C65" s="167"/>
      <c r="D65" s="167"/>
      <c r="E65" s="167"/>
      <c r="F65" s="168"/>
      <c r="G65" s="139"/>
    </row>
    <row r="66" spans="1:27" s="16" customFormat="1" ht="11.25" hidden="1" x14ac:dyDescent="0.2">
      <c r="A66" s="147"/>
      <c r="B66" s="168"/>
      <c r="C66" s="168"/>
      <c r="D66" s="168"/>
      <c r="E66" s="168"/>
      <c r="F66" s="168"/>
      <c r="G66" s="139" t="s">
        <v>84</v>
      </c>
      <c r="I66" s="140">
        <v>43980.831157862587</v>
      </c>
      <c r="J66" s="44"/>
      <c r="K66" s="44"/>
      <c r="Y66" s="14"/>
    </row>
    <row r="67" spans="1:27" s="16" customFormat="1" ht="11.25" hidden="1" x14ac:dyDescent="0.2">
      <c r="G67" s="139" t="s">
        <v>110</v>
      </c>
      <c r="I67" s="140">
        <v>6170.1583742714593</v>
      </c>
    </row>
    <row r="68" spans="1:27" s="14" customFormat="1" ht="11.25" x14ac:dyDescent="0.2">
      <c r="A68" s="116"/>
      <c r="B68" s="117"/>
      <c r="C68" s="35"/>
      <c r="D68" s="113"/>
      <c r="E68" s="35"/>
      <c r="F68" s="113"/>
      <c r="G68" s="16"/>
      <c r="H68" s="16"/>
      <c r="I68" s="16"/>
      <c r="X68" s="16"/>
      <c r="Y68" s="16"/>
    </row>
    <row r="69" spans="1:27" s="16" customFormat="1" ht="11.25" x14ac:dyDescent="0.2">
      <c r="A69" s="16" t="s">
        <v>221</v>
      </c>
      <c r="C69" s="35"/>
      <c r="D69" s="113"/>
      <c r="E69" s="35"/>
      <c r="F69" s="113"/>
      <c r="G69" s="139" t="s">
        <v>111</v>
      </c>
      <c r="I69" s="286"/>
    </row>
    <row r="70" spans="1:27" s="16" customFormat="1" ht="11.25" x14ac:dyDescent="0.2">
      <c r="A70" s="116"/>
      <c r="B70" s="35"/>
      <c r="C70" s="118"/>
      <c r="D70" s="113"/>
      <c r="E70" s="35"/>
      <c r="F70" s="113"/>
      <c r="G70" s="14"/>
      <c r="H70" s="14"/>
      <c r="I70" s="14"/>
    </row>
    <row r="71" spans="1:27" s="16" customFormat="1" ht="11.25" x14ac:dyDescent="0.2">
      <c r="A71" s="116"/>
      <c r="B71" s="35"/>
      <c r="C71" s="35"/>
      <c r="D71" s="113"/>
      <c r="E71" s="35"/>
      <c r="F71" s="113"/>
      <c r="G71" s="139" t="s">
        <v>112</v>
      </c>
      <c r="I71" s="330">
        <f>I69/(G53)</f>
        <v>0</v>
      </c>
    </row>
    <row r="72" spans="1:27" s="16" customFormat="1" ht="11.25" x14ac:dyDescent="0.2">
      <c r="A72" s="116"/>
      <c r="B72" s="117"/>
      <c r="C72" s="35"/>
      <c r="D72" s="113"/>
      <c r="E72" s="35"/>
      <c r="F72" s="113"/>
    </row>
    <row r="73" spans="1:27" s="16" customFormat="1" ht="12" thickBot="1" x14ac:dyDescent="0.25">
      <c r="A73" s="116"/>
      <c r="B73" s="117"/>
      <c r="C73" s="35"/>
      <c r="D73" s="113"/>
      <c r="E73" s="35"/>
      <c r="F73" s="113"/>
      <c r="G73" s="32" t="str">
        <f>G61</f>
        <v>11/18-4/19 Adjusted Debit</v>
      </c>
      <c r="H73" s="27"/>
      <c r="I73" s="329">
        <f>I61+I71</f>
        <v>-0.09</v>
      </c>
    </row>
    <row r="74" spans="1:27" s="16" customFormat="1" ht="12" thickTop="1" x14ac:dyDescent="0.2">
      <c r="A74" s="116"/>
      <c r="B74" s="117"/>
      <c r="C74" s="35"/>
      <c r="D74" s="113"/>
      <c r="E74" s="35"/>
      <c r="F74" s="113"/>
      <c r="Y74" s="14"/>
    </row>
    <row r="75" spans="1:27" s="16" customFormat="1" ht="11.25" x14ac:dyDescent="0.2">
      <c r="A75" s="116"/>
      <c r="B75" s="117"/>
      <c r="C75" s="35"/>
      <c r="D75" s="113"/>
      <c r="E75" s="35"/>
      <c r="F75" s="113"/>
      <c r="G75" s="139" t="s">
        <v>108</v>
      </c>
      <c r="I75" s="16">
        <f>+I73*3.5</f>
        <v>-0.315</v>
      </c>
    </row>
    <row r="76" spans="1:27" s="16" customFormat="1" ht="11.25" x14ac:dyDescent="0.2">
      <c r="A76" s="116"/>
      <c r="B76" s="117"/>
      <c r="C76" s="35"/>
      <c r="D76" s="113"/>
      <c r="E76" s="35"/>
      <c r="F76" s="113"/>
      <c r="G76" s="139" t="s">
        <v>109</v>
      </c>
      <c r="I76" s="16">
        <f>I73*5</f>
        <v>-0.44999999999999996</v>
      </c>
    </row>
    <row r="77" spans="1:27" s="16" customFormat="1" ht="11.25" x14ac:dyDescent="0.2">
      <c r="A77" s="116"/>
      <c r="B77" s="117"/>
      <c r="C77" s="35"/>
      <c r="D77" s="113"/>
      <c r="E77" s="35"/>
      <c r="F77" s="113"/>
    </row>
    <row r="78" spans="1:27" s="16" customFormat="1" ht="11.25" x14ac:dyDescent="0.2">
      <c r="A78" s="116"/>
      <c r="B78" s="117"/>
      <c r="C78" s="35"/>
      <c r="D78" s="113"/>
      <c r="E78" s="35"/>
      <c r="F78" s="113"/>
      <c r="G78" s="14"/>
      <c r="H78" s="13"/>
      <c r="I78" s="14"/>
      <c r="J78" s="14"/>
      <c r="K78" s="13"/>
      <c r="L78" s="14"/>
      <c r="M78" s="14"/>
      <c r="N78" s="14"/>
      <c r="O78" s="14"/>
      <c r="P78" s="14"/>
      <c r="Q78" s="14"/>
      <c r="R78" s="14"/>
      <c r="S78" s="14"/>
      <c r="T78" s="14"/>
      <c r="U78" s="14"/>
      <c r="V78" s="13"/>
      <c r="W78" s="14"/>
      <c r="AA78" s="14"/>
    </row>
    <row r="79" spans="1:27" s="16" customFormat="1" ht="11.25" x14ac:dyDescent="0.2">
      <c r="A79" s="116"/>
      <c r="B79" s="117"/>
      <c r="C79" s="35"/>
      <c r="D79" s="113"/>
      <c r="E79" s="35"/>
      <c r="F79" s="113"/>
    </row>
    <row r="80" spans="1:27" s="16" customFormat="1" ht="11.25" x14ac:dyDescent="0.2">
      <c r="A80" s="116"/>
      <c r="B80" s="117"/>
      <c r="C80" s="35"/>
      <c r="D80" s="113"/>
      <c r="E80" s="35"/>
      <c r="F80" s="113"/>
    </row>
    <row r="81" spans="1:25" s="16" customFormat="1" ht="11.25" x14ac:dyDescent="0.2">
      <c r="A81" s="116"/>
      <c r="B81" s="35"/>
      <c r="C81" s="35"/>
      <c r="D81" s="113"/>
      <c r="E81" s="35"/>
      <c r="F81" s="113"/>
    </row>
    <row r="82" spans="1:25" s="16" customFormat="1" ht="11.25" x14ac:dyDescent="0.2">
      <c r="A82" s="116"/>
      <c r="B82" s="35"/>
      <c r="C82" s="118"/>
      <c r="D82" s="113"/>
      <c r="E82" s="35"/>
      <c r="F82" s="113"/>
    </row>
    <row r="83" spans="1:25" s="16" customFormat="1" x14ac:dyDescent="0.2">
      <c r="A83" s="120"/>
      <c r="B83" s="120"/>
      <c r="C83" s="120"/>
      <c r="D83" s="121"/>
      <c r="E83" s="120"/>
      <c r="F83" s="120"/>
      <c r="Y83" s="14"/>
    </row>
    <row r="84" spans="1:25" s="16" customFormat="1" ht="11.25" x14ac:dyDescent="0.2">
      <c r="A84" s="122"/>
      <c r="B84" s="35"/>
      <c r="C84" s="118"/>
      <c r="D84" s="113"/>
      <c r="E84" s="118"/>
      <c r="F84" s="123"/>
    </row>
    <row r="85" spans="1:25" s="16" customFormat="1" ht="11.25" x14ac:dyDescent="0.2"/>
    <row r="86" spans="1:25" s="16" customFormat="1" ht="11.25" x14ac:dyDescent="0.2"/>
    <row r="87" spans="1:25" s="16" customFormat="1" ht="11.25" x14ac:dyDescent="0.2">
      <c r="B87" s="8"/>
    </row>
    <row r="88" spans="1:25" s="14" customFormat="1" ht="11.25" x14ac:dyDescent="0.2">
      <c r="B88" s="31"/>
      <c r="X88" s="16"/>
      <c r="Y88" s="16"/>
    </row>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c r="A97" s="6"/>
    </row>
    <row r="98" spans="1:27" s="16" customFormat="1" x14ac:dyDescent="0.2">
      <c r="AA98" s="5"/>
    </row>
    <row r="99" spans="1:27" s="16" customFormat="1" x14ac:dyDescent="0.2">
      <c r="AA99" s="5"/>
    </row>
    <row r="100" spans="1:27" s="16" customFormat="1" x14ac:dyDescent="0.2">
      <c r="AA100" s="5"/>
    </row>
    <row r="101" spans="1:27" s="16" customFormat="1" x14ac:dyDescent="0.2">
      <c r="AA101" s="5"/>
    </row>
    <row r="102" spans="1:27" s="16" customFormat="1" x14ac:dyDescent="0.2">
      <c r="G102" s="56"/>
      <c r="I102" s="56"/>
      <c r="J102" s="56"/>
      <c r="L102" s="56"/>
      <c r="M102" s="56"/>
      <c r="N102" s="56"/>
      <c r="O102" s="56"/>
      <c r="P102" s="56"/>
      <c r="Q102" s="56"/>
      <c r="R102" s="56"/>
      <c r="S102" s="56"/>
      <c r="T102" s="56"/>
      <c r="U102" s="56"/>
      <c r="V102" s="56"/>
      <c r="W102" s="56"/>
      <c r="X102" s="56"/>
      <c r="Y102" s="56"/>
      <c r="AA102" s="5"/>
    </row>
    <row r="103" spans="1:27" s="16" customFormat="1" x14ac:dyDescent="0.2">
      <c r="AA103" s="5"/>
    </row>
    <row r="104" spans="1:27" s="16" customFormat="1" ht="13.5" thickBot="1" x14ac:dyDescent="0.25">
      <c r="G104" s="57"/>
      <c r="I104" s="57"/>
      <c r="J104" s="57"/>
      <c r="L104" s="57"/>
      <c r="M104" s="57"/>
      <c r="N104" s="57"/>
      <c r="O104" s="57"/>
      <c r="P104" s="57"/>
      <c r="Q104" s="57"/>
      <c r="R104" s="57"/>
      <c r="S104" s="57"/>
      <c r="T104" s="57"/>
      <c r="U104" s="57"/>
      <c r="V104" s="57"/>
      <c r="W104" s="57"/>
      <c r="X104" s="57"/>
      <c r="Y104" s="57"/>
      <c r="AA104" s="5"/>
    </row>
    <row r="105" spans="1:27" ht="13.5" thickTop="1" x14ac:dyDescent="0.2"/>
    <row r="106" spans="1:27" x14ac:dyDescent="0.2">
      <c r="W106" s="58"/>
      <c r="X106" s="58"/>
      <c r="Y106" s="58"/>
    </row>
    <row r="107" spans="1:27" x14ac:dyDescent="0.2">
      <c r="W107" s="58"/>
      <c r="AA107" s="58"/>
    </row>
  </sheetData>
  <pageMargins left="0.7" right="0.7" top="0.75" bottom="0.75" header="0.3" footer="0.3"/>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18"/>
  <sheetViews>
    <sheetView showGridLines="0" zoomScaleNormal="100" workbookViewId="0">
      <selection activeCell="N6" sqref="N6:N16"/>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2014 through April 2015)</v>
      </c>
      <c r="B1" s="60"/>
    </row>
    <row r="2" spans="1:16" x14ac:dyDescent="0.2">
      <c r="A2" s="61" t="str">
        <f>'WUTC_AW of Bellevue_SF'!A1</f>
        <v>Rabanco Ltd (dba Allied Waste of Bellevue)</v>
      </c>
      <c r="B2" s="61"/>
    </row>
    <row r="3" spans="1:16" x14ac:dyDescent="0.2">
      <c r="A3" s="61"/>
      <c r="B3" s="61"/>
    </row>
    <row r="4" spans="1:16" x14ac:dyDescent="0.2">
      <c r="A4" s="61"/>
      <c r="B4" s="61"/>
    </row>
    <row r="5" spans="1:16" x14ac:dyDescent="0.2">
      <c r="A5" s="60"/>
      <c r="B5" s="62"/>
      <c r="C5" s="63" t="s">
        <v>21</v>
      </c>
      <c r="D5" s="63" t="s">
        <v>22</v>
      </c>
      <c r="E5" s="63" t="s">
        <v>33</v>
      </c>
      <c r="F5" s="63" t="s">
        <v>23</v>
      </c>
      <c r="G5" s="63" t="s">
        <v>24</v>
      </c>
      <c r="H5" s="63" t="s">
        <v>25</v>
      </c>
      <c r="I5" s="63" t="s">
        <v>26</v>
      </c>
      <c r="J5" s="63" t="s">
        <v>27</v>
      </c>
      <c r="K5" s="63" t="s">
        <v>28</v>
      </c>
      <c r="L5" s="63" t="s">
        <v>29</v>
      </c>
      <c r="M5" s="63"/>
      <c r="N5" s="63" t="s">
        <v>30</v>
      </c>
    </row>
    <row r="6" spans="1:16" ht="15.75" customHeight="1" x14ac:dyDescent="0.2">
      <c r="A6" s="130">
        <f>'Single Family'!$C$6</f>
        <v>41760</v>
      </c>
      <c r="B6" s="66" t="s">
        <v>67</v>
      </c>
      <c r="C6" s="108">
        <f>'Single Family'!C32</f>
        <v>2.7331500000000002</v>
      </c>
      <c r="D6" s="109">
        <f>'Single Family'!C34</f>
        <v>64.429456000000002</v>
      </c>
      <c r="E6" s="108">
        <f>'Single Family'!C35</f>
        <v>0</v>
      </c>
      <c r="F6" s="108">
        <f>'Single Family'!C30</f>
        <v>6.0129300000000008</v>
      </c>
      <c r="G6" s="108">
        <f>'Single Family'!C27</f>
        <v>71.061900000000009</v>
      </c>
      <c r="H6" s="108">
        <f>'Single Family'!C37</f>
        <v>117.27035599999999</v>
      </c>
      <c r="I6" s="108">
        <f>'Single Family'!C31/2</f>
        <v>8.1812290000000001</v>
      </c>
      <c r="J6" s="108">
        <f>'Single Family'!C31/2</f>
        <v>8.1812290000000001</v>
      </c>
      <c r="K6" s="108">
        <f>'Single Family'!C28</f>
        <v>64.939644000000001</v>
      </c>
      <c r="L6" s="108">
        <f>'Single Family'!C36</f>
        <v>21.610106000000048</v>
      </c>
      <c r="M6" s="64"/>
      <c r="N6" s="136">
        <f t="shared" ref="N6:N17" si="0">SUM(C6:L6)</f>
        <v>364.41999999999996</v>
      </c>
      <c r="O6" s="75"/>
      <c r="P6" s="68"/>
    </row>
    <row r="7" spans="1:16" ht="15.75" customHeight="1" x14ac:dyDescent="0.2">
      <c r="A7" s="65">
        <f t="shared" ref="A7:A17" si="1">EOMONTH(A6,1)</f>
        <v>41820</v>
      </c>
      <c r="B7" s="66" t="s">
        <v>68</v>
      </c>
      <c r="C7" s="108">
        <f>'Single Family'!D32</f>
        <v>2.4534750000000001</v>
      </c>
      <c r="D7" s="109">
        <f>'Single Family'!D34</f>
        <v>57.836584000000002</v>
      </c>
      <c r="E7" s="108">
        <f>'Single Family'!D35</f>
        <v>0</v>
      </c>
      <c r="F7" s="108">
        <f>'Single Family'!D30</f>
        <v>5.3976449999999998</v>
      </c>
      <c r="G7" s="108">
        <f>'Single Family'!D27</f>
        <v>63.790350000000004</v>
      </c>
      <c r="H7" s="108">
        <f>'Single Family'!D37</f>
        <v>105.27043399999999</v>
      </c>
      <c r="I7" s="108">
        <f>'Single Family'!D31/2</f>
        <v>7.3440685000000006</v>
      </c>
      <c r="J7" s="108">
        <f>'Single Family'!D31/2</f>
        <v>7.3440685000000006</v>
      </c>
      <c r="K7" s="108">
        <f>'Single Family'!D28</f>
        <v>58.294565999999996</v>
      </c>
      <c r="L7" s="108">
        <f>'Single Family'!D36</f>
        <v>19.398809000000043</v>
      </c>
      <c r="M7" s="64"/>
      <c r="N7" s="136">
        <f t="shared" si="0"/>
        <v>327.13</v>
      </c>
      <c r="P7" s="68"/>
    </row>
    <row r="8" spans="1:16" ht="15.75" customHeight="1" x14ac:dyDescent="0.2">
      <c r="A8" s="65">
        <f t="shared" si="1"/>
        <v>41851</v>
      </c>
      <c r="B8" s="66" t="s">
        <v>69</v>
      </c>
      <c r="C8" s="108">
        <f>'Single Family'!E32</f>
        <v>2.7403499999999998</v>
      </c>
      <c r="D8" s="109">
        <f>'Single Family'!E34</f>
        <v>64.599184000000008</v>
      </c>
      <c r="E8" s="108">
        <f>'Single Family'!E35</f>
        <v>0</v>
      </c>
      <c r="F8" s="108">
        <f>'Single Family'!E30</f>
        <v>6.0287700000000006</v>
      </c>
      <c r="G8" s="108">
        <f>'Single Family'!E27</f>
        <v>71.249099999999999</v>
      </c>
      <c r="H8" s="108">
        <f>'Single Family'!E37</f>
        <v>117.57928399999999</v>
      </c>
      <c r="I8" s="108">
        <f>'Single Family'!E31/2</f>
        <v>8.2027809999999999</v>
      </c>
      <c r="J8" s="108">
        <f>'Single Family'!E31/2</f>
        <v>8.2027809999999999</v>
      </c>
      <c r="K8" s="108">
        <f>'Single Family'!E28</f>
        <v>65.110715999999996</v>
      </c>
      <c r="L8" s="108">
        <f>'Single Family'!E36</f>
        <v>21.667034000000047</v>
      </c>
      <c r="M8" s="64"/>
      <c r="N8" s="136">
        <f t="shared" si="0"/>
        <v>365.38000000000011</v>
      </c>
      <c r="P8" s="68"/>
    </row>
    <row r="9" spans="1:16" ht="15.75" customHeight="1" x14ac:dyDescent="0.2">
      <c r="A9" s="65">
        <f t="shared" si="1"/>
        <v>41882</v>
      </c>
      <c r="B9" s="66" t="s">
        <v>70</v>
      </c>
      <c r="C9" s="108">
        <f>'Single Family'!F32</f>
        <v>2.423025</v>
      </c>
      <c r="D9" s="109">
        <f>'Single Family'!F34</f>
        <v>57.118776000000004</v>
      </c>
      <c r="E9" s="108">
        <f>'Single Family'!F35</f>
        <v>0</v>
      </c>
      <c r="F9" s="108">
        <f>'Single Family'!F30</f>
        <v>5.3306550000000001</v>
      </c>
      <c r="G9" s="108">
        <f>'Single Family'!F27</f>
        <v>62.998649999999998</v>
      </c>
      <c r="H9" s="108">
        <f>'Single Family'!F37</f>
        <v>103.96392599999999</v>
      </c>
      <c r="I9" s="108">
        <f>'Single Family'!F31/2</f>
        <v>7.2529215000000002</v>
      </c>
      <c r="J9" s="108">
        <f>'Single Family'!F31/2</f>
        <v>7.2529215000000002</v>
      </c>
      <c r="K9" s="108">
        <f>'Single Family'!F28</f>
        <v>57.571073999999996</v>
      </c>
      <c r="L9" s="108">
        <f>'Single Family'!F36</f>
        <v>19.158051000000043</v>
      </c>
      <c r="M9" s="64"/>
      <c r="N9" s="136">
        <f t="shared" si="0"/>
        <v>323.07000000000005</v>
      </c>
      <c r="P9" s="68"/>
    </row>
    <row r="10" spans="1:16" ht="15.75" customHeight="1" x14ac:dyDescent="0.2">
      <c r="A10" s="65">
        <f t="shared" si="1"/>
        <v>41912</v>
      </c>
      <c r="B10" s="66" t="s">
        <v>71</v>
      </c>
      <c r="C10" s="108">
        <f>'Single Family'!G32</f>
        <v>2.6752499999999997</v>
      </c>
      <c r="D10" s="109">
        <f>'Single Family'!G34</f>
        <v>63.06456</v>
      </c>
      <c r="E10" s="108">
        <f>'Single Family'!G35</f>
        <v>0</v>
      </c>
      <c r="F10" s="108">
        <f>'Single Family'!G30</f>
        <v>5.8855500000000003</v>
      </c>
      <c r="G10" s="108">
        <f>'Single Family'!G27</f>
        <v>69.5565</v>
      </c>
      <c r="H10" s="108">
        <f>'Single Family'!G37</f>
        <v>114.78605999999999</v>
      </c>
      <c r="I10" s="108">
        <f>'Single Family'!G31/2</f>
        <v>8.0079150000000006</v>
      </c>
      <c r="J10" s="108">
        <f>'Single Family'!G31/2</f>
        <v>8.0079150000000006</v>
      </c>
      <c r="K10" s="108">
        <f>'Single Family'!G28</f>
        <v>63.563939999999995</v>
      </c>
      <c r="L10" s="108">
        <f>'Single Family'!G36</f>
        <v>21.152310000000046</v>
      </c>
      <c r="M10" s="64"/>
      <c r="N10" s="136">
        <f t="shared" si="0"/>
        <v>356.7000000000001</v>
      </c>
      <c r="P10" s="68"/>
    </row>
    <row r="11" spans="1:16" ht="15.75" customHeight="1" x14ac:dyDescent="0.2">
      <c r="A11" s="65">
        <f t="shared" si="1"/>
        <v>41943</v>
      </c>
      <c r="B11" s="66" t="s">
        <v>72</v>
      </c>
      <c r="C11" s="108">
        <f>'Single Family'!H32</f>
        <v>2.9263499999999998</v>
      </c>
      <c r="D11" s="109">
        <f>'Single Family'!H34</f>
        <v>68.983824000000013</v>
      </c>
      <c r="E11" s="108">
        <f>'Single Family'!H35</f>
        <v>0</v>
      </c>
      <c r="F11" s="108">
        <f>'Single Family'!H30</f>
        <v>6.4379700000000009</v>
      </c>
      <c r="G11" s="108">
        <f>'Single Family'!H27</f>
        <v>76.085099999999997</v>
      </c>
      <c r="H11" s="108">
        <f>'Single Family'!H37</f>
        <v>125.559924</v>
      </c>
      <c r="I11" s="108">
        <f>'Single Family'!H31/2</f>
        <v>8.7595410000000005</v>
      </c>
      <c r="J11" s="108">
        <f>'Single Family'!H31/2</f>
        <v>8.7595410000000005</v>
      </c>
      <c r="K11" s="108">
        <f>'Single Family'!H28</f>
        <v>69.530075999999994</v>
      </c>
      <c r="L11" s="108">
        <f>'Single Family'!H36</f>
        <v>23.13767400000005</v>
      </c>
      <c r="M11" s="64"/>
      <c r="N11" s="136">
        <f t="shared" si="0"/>
        <v>390.18000000000006</v>
      </c>
      <c r="P11" s="68"/>
    </row>
    <row r="12" spans="1:16" ht="15.75" customHeight="1" x14ac:dyDescent="0.2">
      <c r="A12" s="65">
        <f t="shared" si="1"/>
        <v>41973</v>
      </c>
      <c r="B12" s="66" t="s">
        <v>73</v>
      </c>
      <c r="C12" s="108">
        <f>'Single Family'!I32</f>
        <v>2.4491999999999998</v>
      </c>
      <c r="D12" s="109">
        <f>'Single Family'!I34</f>
        <v>57.735808000000006</v>
      </c>
      <c r="E12" s="108">
        <f>'Single Family'!I35</f>
        <v>0</v>
      </c>
      <c r="F12" s="108">
        <f>'Single Family'!I30</f>
        <v>5.3882400000000006</v>
      </c>
      <c r="G12" s="108">
        <f>'Single Family'!I27</f>
        <v>63.679200000000002</v>
      </c>
      <c r="H12" s="108">
        <f>'Single Family'!I37</f>
        <v>105.087008</v>
      </c>
      <c r="I12" s="108">
        <f>'Single Family'!I31/2</f>
        <v>7.3312720000000002</v>
      </c>
      <c r="J12" s="108">
        <f>'Single Family'!I31/2</f>
        <v>7.3312720000000002</v>
      </c>
      <c r="K12" s="108">
        <f>'Single Family'!I28</f>
        <v>58.192991999999997</v>
      </c>
      <c r="L12" s="108">
        <f>'Single Family'!I36</f>
        <v>19.365008000000042</v>
      </c>
      <c r="M12" s="64"/>
      <c r="N12" s="136">
        <f t="shared" si="0"/>
        <v>326.56000000000006</v>
      </c>
      <c r="P12" s="68"/>
    </row>
    <row r="13" spans="1:16" ht="15.75" customHeight="1" x14ac:dyDescent="0.2">
      <c r="A13" s="65">
        <f t="shared" si="1"/>
        <v>42004</v>
      </c>
      <c r="B13" s="66" t="s">
        <v>74</v>
      </c>
      <c r="C13" s="108">
        <f>'Single Family'!J32</f>
        <v>2.8997999999999999</v>
      </c>
      <c r="D13" s="109">
        <f>'Single Family'!J34</f>
        <v>68.357951999999997</v>
      </c>
      <c r="E13" s="108">
        <f>'Single Family'!J35</f>
        <v>0</v>
      </c>
      <c r="F13" s="108">
        <f>'Single Family'!J30</f>
        <v>6.3795599999999997</v>
      </c>
      <c r="G13" s="108">
        <f>'Single Family'!J27</f>
        <v>75.394800000000004</v>
      </c>
      <c r="H13" s="108">
        <f>'Single Family'!J37</f>
        <v>124.42075199999998</v>
      </c>
      <c r="I13" s="108">
        <f>'Single Family'!J31/2</f>
        <v>8.6800680000000003</v>
      </c>
      <c r="J13" s="108">
        <f>'Single Family'!J31/2</f>
        <v>8.6800680000000003</v>
      </c>
      <c r="K13" s="108">
        <f>'Single Family'!J28</f>
        <v>68.899248</v>
      </c>
      <c r="L13" s="108">
        <f>'Single Family'!J36</f>
        <v>22.927752000000048</v>
      </c>
      <c r="M13" s="64"/>
      <c r="N13" s="136">
        <f t="shared" si="0"/>
        <v>386.64000000000004</v>
      </c>
      <c r="P13" s="68"/>
    </row>
    <row r="14" spans="1:16" ht="15.75" customHeight="1" x14ac:dyDescent="0.2">
      <c r="A14" s="65">
        <f t="shared" si="1"/>
        <v>42035</v>
      </c>
      <c r="B14" s="66" t="s">
        <v>75</v>
      </c>
      <c r="C14" s="108">
        <f>'Single Family'!K32</f>
        <v>3.1227</v>
      </c>
      <c r="D14" s="109">
        <f>'Single Family'!K34</f>
        <v>73.612448000000015</v>
      </c>
      <c r="E14" s="108">
        <f>'Single Family'!K35</f>
        <v>0</v>
      </c>
      <c r="F14" s="108">
        <f>'Single Family'!K30</f>
        <v>6.8699400000000006</v>
      </c>
      <c r="G14" s="108">
        <f>'Single Family'!K27</f>
        <v>81.190200000000004</v>
      </c>
      <c r="H14" s="108">
        <f>'Single Family'!K37</f>
        <v>133.98464799999999</v>
      </c>
      <c r="I14" s="108">
        <f>'Single Family'!K31/2</f>
        <v>9.3472820000000016</v>
      </c>
      <c r="J14" s="108">
        <f>'Single Family'!K31/2</f>
        <v>9.3472820000000016</v>
      </c>
      <c r="K14" s="108">
        <f>'Single Family'!K28</f>
        <v>74.195352</v>
      </c>
      <c r="L14" s="108">
        <f>'Single Family'!K36</f>
        <v>24.690148000000054</v>
      </c>
      <c r="M14" s="64"/>
      <c r="N14" s="136">
        <f t="shared" si="0"/>
        <v>416.36000000000013</v>
      </c>
      <c r="P14" s="68"/>
    </row>
    <row r="15" spans="1:16" ht="15.75" customHeight="1" x14ac:dyDescent="0.2">
      <c r="A15" s="65">
        <f t="shared" si="1"/>
        <v>42063</v>
      </c>
      <c r="B15" s="66" t="s">
        <v>76</v>
      </c>
      <c r="C15" s="108">
        <f>'Single Family'!L32</f>
        <v>2.3043</v>
      </c>
      <c r="D15" s="109">
        <f>'Single Family'!L34</f>
        <v>54.320032000000005</v>
      </c>
      <c r="E15" s="108">
        <f>'Single Family'!L35</f>
        <v>0</v>
      </c>
      <c r="F15" s="108">
        <f>'Single Family'!L30</f>
        <v>5.0694600000000003</v>
      </c>
      <c r="G15" s="108">
        <f>'Single Family'!L27</f>
        <v>59.911800000000007</v>
      </c>
      <c r="H15" s="108">
        <f>'Single Family'!L37</f>
        <v>98.869831999999988</v>
      </c>
      <c r="I15" s="108">
        <f>'Single Family'!L31/2</f>
        <v>6.8975380000000008</v>
      </c>
      <c r="J15" s="108">
        <f>'Single Family'!L31/2</f>
        <v>6.8975380000000008</v>
      </c>
      <c r="K15" s="108">
        <f>'Single Family'!L28</f>
        <v>54.750168000000002</v>
      </c>
      <c r="L15" s="108">
        <f>'Single Family'!L36</f>
        <v>18.21933200000004</v>
      </c>
      <c r="M15" s="64"/>
      <c r="N15" s="136">
        <f t="shared" si="0"/>
        <v>307.24000000000007</v>
      </c>
      <c r="P15" s="68"/>
    </row>
    <row r="16" spans="1:16" ht="15.75" customHeight="1" x14ac:dyDescent="0.2">
      <c r="A16" s="65">
        <f t="shared" si="1"/>
        <v>42094</v>
      </c>
      <c r="B16" s="66" t="s">
        <v>77</v>
      </c>
      <c r="C16" s="108">
        <f>'Single Family'!M32</f>
        <v>2.6378249999999999</v>
      </c>
      <c r="D16" s="109">
        <f>'Single Family'!M34</f>
        <v>62.182327999999998</v>
      </c>
      <c r="E16" s="108">
        <f>'Single Family'!M35</f>
        <v>0</v>
      </c>
      <c r="F16" s="108">
        <f>'Single Family'!M30</f>
        <v>5.8032149999999998</v>
      </c>
      <c r="G16" s="108">
        <f>'Single Family'!M27</f>
        <v>68.583449999999999</v>
      </c>
      <c r="H16" s="108">
        <f>'Single Family'!M37</f>
        <v>113.18027799999999</v>
      </c>
      <c r="I16" s="108">
        <f>'Single Family'!M31/2</f>
        <v>7.8958895</v>
      </c>
      <c r="J16" s="108">
        <f>'Single Family'!M31/2</f>
        <v>7.8958895</v>
      </c>
      <c r="K16" s="108">
        <f>'Single Family'!M28</f>
        <v>62.674721999999996</v>
      </c>
      <c r="L16" s="108">
        <f>'Single Family'!M36</f>
        <v>20.856403000000043</v>
      </c>
      <c r="M16" s="64"/>
      <c r="N16" s="136">
        <f t="shared" si="0"/>
        <v>351.71000000000004</v>
      </c>
      <c r="P16" s="68"/>
    </row>
    <row r="17" spans="1:16" ht="15.75" customHeight="1" x14ac:dyDescent="0.2">
      <c r="A17" s="65">
        <f t="shared" si="1"/>
        <v>42124</v>
      </c>
      <c r="B17" s="66" t="s">
        <v>78</v>
      </c>
      <c r="C17" s="108">
        <f>'Single Family'!N32</f>
        <v>2.6191500000000003</v>
      </c>
      <c r="D17" s="109">
        <f>'Single Family'!N34</f>
        <v>61.742096000000011</v>
      </c>
      <c r="E17" s="108">
        <f>'Single Family'!N35</f>
        <v>0</v>
      </c>
      <c r="F17" s="108">
        <f>'Single Family'!N30</f>
        <v>5.7621300000000009</v>
      </c>
      <c r="G17" s="108">
        <f>'Single Family'!N27</f>
        <v>68.09790000000001</v>
      </c>
      <c r="H17" s="108">
        <f>'Single Family'!N37</f>
        <v>112.378996</v>
      </c>
      <c r="I17" s="108">
        <f>'Single Family'!N31/2</f>
        <v>7.839989000000001</v>
      </c>
      <c r="J17" s="108">
        <f>'Single Family'!N31/2</f>
        <v>7.839989000000001</v>
      </c>
      <c r="K17" s="108">
        <f>'Single Family'!N28</f>
        <v>62.231004000000006</v>
      </c>
      <c r="L17" s="108">
        <f>'Single Family'!N36</f>
        <v>20.708746000000048</v>
      </c>
      <c r="M17" s="64"/>
      <c r="N17" s="136">
        <f t="shared" si="0"/>
        <v>349.22</v>
      </c>
      <c r="P17" s="68"/>
    </row>
    <row r="18" spans="1:16" ht="15.75" customHeight="1" x14ac:dyDescent="0.2">
      <c r="A18" s="69" t="s">
        <v>32</v>
      </c>
      <c r="B18" s="66"/>
      <c r="C18" s="137">
        <f t="shared" ref="C18:L18" si="2">SUM(C6:C17)</f>
        <v>31.984575</v>
      </c>
      <c r="D18" s="137">
        <f t="shared" si="2"/>
        <v>753.98304800000005</v>
      </c>
      <c r="E18" s="137">
        <f t="shared" si="2"/>
        <v>0</v>
      </c>
      <c r="F18" s="137">
        <f t="shared" si="2"/>
        <v>70.366065000000006</v>
      </c>
      <c r="G18" s="137">
        <f t="shared" si="2"/>
        <v>831.59894999999995</v>
      </c>
      <c r="H18" s="137">
        <f t="shared" si="2"/>
        <v>1372.351498</v>
      </c>
      <c r="I18" s="137">
        <f t="shared" si="2"/>
        <v>95.740494499999997</v>
      </c>
      <c r="J18" s="137">
        <f t="shared" si="2"/>
        <v>95.740494499999997</v>
      </c>
      <c r="K18" s="137">
        <f t="shared" si="2"/>
        <v>759.95350199999996</v>
      </c>
      <c r="L18" s="137">
        <f t="shared" si="2"/>
        <v>252.89137300000053</v>
      </c>
      <c r="M18" s="64"/>
      <c r="N18" s="138">
        <f>SUM(N6:N17)</f>
        <v>4264.6100000000006</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5" right="0.5" top="0.75" bottom="0.75" header="0.5" footer="0.5"/>
  <pageSetup scale="9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120"/>
  <sheetViews>
    <sheetView showGridLines="0" topLeftCell="A17" zoomScaleNormal="100" workbookViewId="0">
      <selection activeCell="N44" sqref="N44"/>
    </sheetView>
  </sheetViews>
  <sheetFormatPr defaultRowHeight="12.75" x14ac:dyDescent="0.2"/>
  <cols>
    <col min="2" max="2" width="2.28515625" bestFit="1" customWidth="1"/>
    <col min="3" max="12" width="11.7109375" customWidth="1"/>
  </cols>
  <sheetData>
    <row r="1" spans="1:13" x14ac:dyDescent="0.2">
      <c r="A1" s="59" t="str">
        <f>"Commodity Pricing ("&amp;TEXT(A6,"mmmm yyyy")&amp;" through "&amp;TEXT(A17,"mmmm yyyy")&amp;")"</f>
        <v>Commodity Pricing (May 2014 through April 2015)</v>
      </c>
      <c r="B1" s="60"/>
    </row>
    <row r="2" spans="1:13" x14ac:dyDescent="0.2">
      <c r="A2" s="61" t="str">
        <f>'SF Value'!A2</f>
        <v>Rabanco Ltd (dba Allied Waste of Bellevue)</v>
      </c>
      <c r="B2" s="61"/>
    </row>
    <row r="3" spans="1:13" x14ac:dyDescent="0.2">
      <c r="A3" s="61"/>
      <c r="B3" s="61"/>
    </row>
    <row r="4" spans="1:13" x14ac:dyDescent="0.2">
      <c r="A4" s="61"/>
      <c r="B4" s="61"/>
    </row>
    <row r="5" spans="1:13" x14ac:dyDescent="0.2">
      <c r="B5" s="70"/>
      <c r="C5" s="63" t="s">
        <v>21</v>
      </c>
      <c r="D5" s="63" t="s">
        <v>22</v>
      </c>
      <c r="E5" s="63" t="s">
        <v>33</v>
      </c>
      <c r="F5" s="63" t="s">
        <v>23</v>
      </c>
      <c r="G5" s="63" t="s">
        <v>24</v>
      </c>
      <c r="H5" s="63" t="s">
        <v>25</v>
      </c>
      <c r="I5" s="63" t="s">
        <v>26</v>
      </c>
      <c r="J5" s="63" t="s">
        <v>27</v>
      </c>
      <c r="K5" s="63" t="s">
        <v>28</v>
      </c>
      <c r="L5" s="63" t="s">
        <v>29</v>
      </c>
      <c r="M5" s="63"/>
    </row>
    <row r="6" spans="1:13" ht="15.75" customHeight="1" x14ac:dyDescent="0.2">
      <c r="A6" s="130">
        <f>'Single Family'!$C$6</f>
        <v>41760</v>
      </c>
      <c r="B6" s="66" t="s">
        <v>67</v>
      </c>
      <c r="C6" s="106">
        <f>'Single Family'!C74</f>
        <v>1078.0139999999999</v>
      </c>
      <c r="D6" s="107">
        <f>'Single Family'!C76</f>
        <v>-15.18</v>
      </c>
      <c r="E6" s="107">
        <f>'Single Family'!C77</f>
        <v>-120.17</v>
      </c>
      <c r="F6" s="108">
        <f>'Single Family'!C72</f>
        <v>80.184999999999988</v>
      </c>
      <c r="G6" s="106">
        <f>'Single Family'!C69</f>
        <v>75.095999999999989</v>
      </c>
      <c r="H6" s="106">
        <f>'Single Family'!C79</f>
        <v>70.069999999999993</v>
      </c>
      <c r="I6" s="106">
        <f>'Single Family'!C73</f>
        <v>189.09099999999998</v>
      </c>
      <c r="J6" s="106">
        <f>'Single Family'!C73</f>
        <v>189.09099999999998</v>
      </c>
      <c r="K6" s="106">
        <f>'Single Family'!C70</f>
        <v>99.538013913363088</v>
      </c>
      <c r="L6" s="107">
        <f>'Single Family'!C78</f>
        <v>-120.17</v>
      </c>
      <c r="M6" s="70"/>
    </row>
    <row r="7" spans="1:13" ht="15.75" customHeight="1" x14ac:dyDescent="0.2">
      <c r="A7" s="65">
        <f>+'SF Commodity Tonnages'!A7</f>
        <v>41820</v>
      </c>
      <c r="B7" s="66" t="s">
        <v>68</v>
      </c>
      <c r="C7" s="106">
        <f>'Single Family'!D74</f>
        <v>1048.7190000000001</v>
      </c>
      <c r="D7" s="107">
        <f>'Single Family'!D76</f>
        <v>-6.98</v>
      </c>
      <c r="E7" s="107">
        <f>'Single Family'!D77</f>
        <v>-120.17</v>
      </c>
      <c r="F7" s="108">
        <f>'Single Family'!D72</f>
        <v>74.192999999999998</v>
      </c>
      <c r="G7" s="106">
        <f>'Single Family'!D69</f>
        <v>73.835999999999999</v>
      </c>
      <c r="H7" s="106">
        <f>'Single Family'!D79</f>
        <v>68.361999999999995</v>
      </c>
      <c r="I7" s="106">
        <f>'Single Family'!D73</f>
        <v>190.60999999999999</v>
      </c>
      <c r="J7" s="106">
        <f>'Single Family'!D73</f>
        <v>190.60999999999999</v>
      </c>
      <c r="K7" s="106">
        <f>'Single Family'!D70</f>
        <v>95.647999999999982</v>
      </c>
      <c r="L7" s="107">
        <f>'Single Family'!D78</f>
        <v>-120.17</v>
      </c>
      <c r="M7" s="70"/>
    </row>
    <row r="8" spans="1:13" ht="15.75" customHeight="1" x14ac:dyDescent="0.2">
      <c r="A8" s="65">
        <f>+'SF Commodity Tonnages'!A8</f>
        <v>41851</v>
      </c>
      <c r="B8" s="66" t="s">
        <v>69</v>
      </c>
      <c r="C8" s="106">
        <f>'Single Family'!E74</f>
        <v>1082.5429999999999</v>
      </c>
      <c r="D8" s="107">
        <f>'Single Family'!E76</f>
        <v>-7.6</v>
      </c>
      <c r="E8" s="107">
        <f>'Single Family'!E77</f>
        <v>-120.17</v>
      </c>
      <c r="F8" s="108">
        <f>'Single Family'!E72</f>
        <v>73.751999999999995</v>
      </c>
      <c r="G8" s="106">
        <f>'Single Family'!E69</f>
        <v>74.444999999999993</v>
      </c>
      <c r="H8" s="106">
        <f>'Single Family'!E79</f>
        <v>68.417999999999992</v>
      </c>
      <c r="I8" s="106">
        <f>'Single Family'!E73</f>
        <v>213.80799999999999</v>
      </c>
      <c r="J8" s="106">
        <f>'Single Family'!E73</f>
        <v>213.80799999999999</v>
      </c>
      <c r="K8" s="106">
        <f>'Single Family'!E70</f>
        <v>101.63999999999999</v>
      </c>
      <c r="L8" s="107">
        <f>'Single Family'!E78</f>
        <v>-120.17</v>
      </c>
      <c r="M8" s="67"/>
    </row>
    <row r="9" spans="1:13" ht="15.75" customHeight="1" x14ac:dyDescent="0.2">
      <c r="A9" s="65">
        <f>+'SF Commodity Tonnages'!A9</f>
        <v>41882</v>
      </c>
      <c r="B9" s="66" t="s">
        <v>70</v>
      </c>
      <c r="C9" s="106">
        <f>'Single Family'!F74</f>
        <v>1138.1859999999999</v>
      </c>
      <c r="D9" s="107">
        <f>'Single Family'!F76</f>
        <v>-8.7100000000000009</v>
      </c>
      <c r="E9" s="107">
        <f>'Single Family'!F77</f>
        <v>-120.17</v>
      </c>
      <c r="F9" s="108">
        <f>'Single Family'!F72</f>
        <v>73.254999999999995</v>
      </c>
      <c r="G9" s="106">
        <f>'Single Family'!F69</f>
        <v>73.695999999999998</v>
      </c>
      <c r="H9" s="106">
        <f>'Single Family'!F79</f>
        <v>68.018999999999991</v>
      </c>
      <c r="I9" s="106">
        <f>'Single Family'!F73</f>
        <v>216.37</v>
      </c>
      <c r="J9" s="106">
        <f>'Single Family'!F73</f>
        <v>216.37</v>
      </c>
      <c r="K9" s="106">
        <f>'Single Family'!F70</f>
        <v>98.993999999999986</v>
      </c>
      <c r="L9" s="107">
        <f>'Single Family'!F78</f>
        <v>-120.17</v>
      </c>
      <c r="M9" s="67"/>
    </row>
    <row r="10" spans="1:13" ht="15.75" customHeight="1" x14ac:dyDescent="0.2">
      <c r="A10" s="65">
        <f>+'SF Commodity Tonnages'!A10</f>
        <v>41912</v>
      </c>
      <c r="B10" s="66" t="s">
        <v>71</v>
      </c>
      <c r="C10" s="106">
        <f>'Single Family'!G74</f>
        <v>1150.8559999999998</v>
      </c>
      <c r="D10" s="107">
        <f>'Single Family'!G76</f>
        <v>2.6</v>
      </c>
      <c r="E10" s="107">
        <f>'Single Family'!G77</f>
        <v>-120.17</v>
      </c>
      <c r="F10" s="108">
        <f>'Single Family'!G72</f>
        <v>76.705999999999989</v>
      </c>
      <c r="G10" s="106">
        <f>'Single Family'!G69</f>
        <v>67.003999999999991</v>
      </c>
      <c r="H10" s="106">
        <f>'Single Family'!G79</f>
        <v>62.811</v>
      </c>
      <c r="I10" s="106">
        <f>'Single Family'!G73</f>
        <v>238.16799999999998</v>
      </c>
      <c r="J10" s="106">
        <f>'Single Family'!G73</f>
        <v>238.16799999999998</v>
      </c>
      <c r="K10" s="106">
        <f>'Single Family'!G70</f>
        <v>91.475999999999999</v>
      </c>
      <c r="L10" s="107">
        <f>'Single Family'!G78</f>
        <v>-120.17</v>
      </c>
      <c r="M10" s="67"/>
    </row>
    <row r="11" spans="1:13" ht="15.75" customHeight="1" x14ac:dyDescent="0.2">
      <c r="A11" s="65">
        <f>+'SF Commodity Tonnages'!A11</f>
        <v>41943</v>
      </c>
      <c r="B11" s="66" t="s">
        <v>72</v>
      </c>
      <c r="C11" s="106">
        <f>'Single Family'!H74</f>
        <v>1124.4870000000001</v>
      </c>
      <c r="D11" s="107">
        <f>'Single Family'!H76</f>
        <v>0.99399999999999988</v>
      </c>
      <c r="E11" s="107">
        <f>'Single Family'!H77</f>
        <v>-120.17</v>
      </c>
      <c r="F11" s="108">
        <f>'Single Family'!H72</f>
        <v>61.949999999999996</v>
      </c>
      <c r="G11" s="106">
        <f>'Single Family'!H69</f>
        <v>68.453000000000003</v>
      </c>
      <c r="H11" s="106">
        <f>'Single Family'!H79</f>
        <v>60.717999999999989</v>
      </c>
      <c r="I11" s="106">
        <f>'Single Family'!H73</f>
        <v>230.12499999999997</v>
      </c>
      <c r="J11" s="106">
        <f>'Single Family'!H73</f>
        <v>230.12499999999997</v>
      </c>
      <c r="K11" s="106">
        <f>'Single Family'!H70</f>
        <v>95.332999999999998</v>
      </c>
      <c r="L11" s="107">
        <f>'Single Family'!H78</f>
        <v>-120.17</v>
      </c>
      <c r="M11" s="67"/>
    </row>
    <row r="12" spans="1:13" ht="15.75" customHeight="1" x14ac:dyDescent="0.2">
      <c r="A12" s="65">
        <f>+'SF Commodity Tonnages'!A12</f>
        <v>41973</v>
      </c>
      <c r="B12" s="66" t="s">
        <v>73</v>
      </c>
      <c r="C12" s="106">
        <f>'Single Family'!I74</f>
        <v>1232</v>
      </c>
      <c r="D12" s="107">
        <f>'Single Family'!I76</f>
        <v>-2.9539999999999997</v>
      </c>
      <c r="E12" s="107">
        <f>'Single Family'!I77</f>
        <v>-120.17</v>
      </c>
      <c r="F12" s="108">
        <f>'Single Family'!I72</f>
        <v>52.856999999999999</v>
      </c>
      <c r="G12" s="106">
        <f>'Single Family'!I69</f>
        <v>63.755999999999993</v>
      </c>
      <c r="H12" s="106">
        <f>'Single Family'!I79</f>
        <v>56.370999999999995</v>
      </c>
      <c r="I12" s="106">
        <f>'Single Family'!I73</f>
        <v>209.37700000000001</v>
      </c>
      <c r="J12" s="106">
        <f>'Single Family'!I73</f>
        <v>209.37700000000001</v>
      </c>
      <c r="K12" s="106">
        <f>'Single Family'!I70</f>
        <v>93.1</v>
      </c>
      <c r="L12" s="107">
        <f>'Single Family'!I78</f>
        <v>-120.17</v>
      </c>
      <c r="M12" s="67"/>
    </row>
    <row r="13" spans="1:13" ht="15.75" customHeight="1" x14ac:dyDescent="0.2">
      <c r="A13" s="65">
        <f>+'SF Commodity Tonnages'!A13</f>
        <v>42004</v>
      </c>
      <c r="B13" s="66" t="s">
        <v>74</v>
      </c>
      <c r="C13" s="106">
        <f>'Single Family'!J74</f>
        <v>1190</v>
      </c>
      <c r="D13" s="107">
        <f>'Single Family'!J76</f>
        <v>-4.7669999999999995</v>
      </c>
      <c r="E13" s="107">
        <f>'Single Family'!J77</f>
        <v>-120.17</v>
      </c>
      <c r="F13" s="108">
        <f>'Single Family'!J72</f>
        <v>53.297999999999995</v>
      </c>
      <c r="G13" s="106">
        <f>'Single Family'!J69</f>
        <v>60.780999999999992</v>
      </c>
      <c r="H13" s="106">
        <f>'Single Family'!J79</f>
        <v>53.717999999999996</v>
      </c>
      <c r="I13" s="106">
        <f>'Single Family'!J73</f>
        <v>171.57</v>
      </c>
      <c r="J13" s="106">
        <f>'Single Family'!J73</f>
        <v>171.57</v>
      </c>
      <c r="K13" s="106">
        <f>'Single Family'!J70</f>
        <v>88.647999999999996</v>
      </c>
      <c r="L13" s="107">
        <f>'Single Family'!J78</f>
        <v>-120.17</v>
      </c>
      <c r="M13" s="67"/>
    </row>
    <row r="14" spans="1:13" ht="15.75" customHeight="1" x14ac:dyDescent="0.2">
      <c r="A14" s="65">
        <f>+'SF Commodity Tonnages'!A14</f>
        <v>42035</v>
      </c>
      <c r="B14" s="66" t="s">
        <v>75</v>
      </c>
      <c r="C14" s="106">
        <f>'Single Family'!K74</f>
        <v>1106</v>
      </c>
      <c r="D14" s="107">
        <f>'Single Family'!K76</f>
        <v>-3.9339999999999997</v>
      </c>
      <c r="E14" s="107">
        <f>'Single Family'!K77</f>
        <v>-120.17</v>
      </c>
      <c r="F14" s="108">
        <f>'Single Family'!K72</f>
        <v>53.024999999999999</v>
      </c>
      <c r="G14" s="106">
        <f>'Single Family'!K69</f>
        <v>59.100999999999999</v>
      </c>
      <c r="H14" s="106">
        <f>'Single Family'!K79</f>
        <v>53.255999999999993</v>
      </c>
      <c r="I14" s="106">
        <f>'Single Family'!K73</f>
        <v>130.49399999999997</v>
      </c>
      <c r="J14" s="106">
        <f>'Single Family'!K37</f>
        <v>133.98464799999999</v>
      </c>
      <c r="K14" s="106">
        <f>'Single Family'!K70</f>
        <v>85.644999999999996</v>
      </c>
      <c r="L14" s="107">
        <f>'Single Family'!K78</f>
        <v>-120.17</v>
      </c>
      <c r="M14" s="67"/>
    </row>
    <row r="15" spans="1:13" ht="15.75" customHeight="1" x14ac:dyDescent="0.2">
      <c r="A15" s="65">
        <f>+'SF Commodity Tonnages'!A15</f>
        <v>42063</v>
      </c>
      <c r="B15" s="66" t="s">
        <v>76</v>
      </c>
      <c r="C15" s="106">
        <f>'Single Family'!L74</f>
        <v>1095.4089999999999</v>
      </c>
      <c r="D15" s="107">
        <f>'Single Family'!L76</f>
        <v>-9.113999999999999</v>
      </c>
      <c r="E15" s="107">
        <f>'Single Family'!L77</f>
        <v>-120.17</v>
      </c>
      <c r="F15" s="108">
        <f>'Single Family'!L72</f>
        <v>39.094999999999999</v>
      </c>
      <c r="G15" s="106">
        <f>'Single Family'!L69</f>
        <v>58.519999999999989</v>
      </c>
      <c r="H15" s="106">
        <f>'Single Family'!L79</f>
        <v>51.967999999999996</v>
      </c>
      <c r="I15" s="106">
        <f>'Single Family'!L73</f>
        <v>104.23699999999999</v>
      </c>
      <c r="J15" s="106">
        <f>'Single Family'!L73</f>
        <v>104.23699999999999</v>
      </c>
      <c r="K15" s="106">
        <f>'Single Family'!L70</f>
        <v>73.444000000000003</v>
      </c>
      <c r="L15" s="107">
        <f>'Single Family'!$L$78</f>
        <v>-120.17</v>
      </c>
      <c r="M15" s="67"/>
    </row>
    <row r="16" spans="1:13" ht="15.75" customHeight="1" x14ac:dyDescent="0.2">
      <c r="A16" s="65">
        <f>+'SF Commodity Tonnages'!A16</f>
        <v>42094</v>
      </c>
      <c r="B16" s="66" t="s">
        <v>77</v>
      </c>
      <c r="C16" s="106">
        <f>'Single Family'!M74</f>
        <v>1041.194</v>
      </c>
      <c r="D16" s="107">
        <f>'Single Family'!M76</f>
        <v>-5.194</v>
      </c>
      <c r="E16" s="107">
        <f>'Single Family'!M77</f>
        <v>-120.17</v>
      </c>
      <c r="F16" s="108">
        <f>'Single Family'!M72</f>
        <v>39.753</v>
      </c>
      <c r="G16" s="106">
        <f>'Single Family'!M69</f>
        <v>59.919999999999995</v>
      </c>
      <c r="H16" s="106">
        <f>'Single Family'!M79</f>
        <v>56.069999999999993</v>
      </c>
      <c r="I16" s="106">
        <f>'Single Family'!M73</f>
        <v>119.26599999999999</v>
      </c>
      <c r="J16" s="106">
        <f>'Single Family'!M73</f>
        <v>119.26599999999999</v>
      </c>
      <c r="K16" s="106">
        <f>'Single Family'!M70</f>
        <v>71.742999999999995</v>
      </c>
      <c r="L16" s="107">
        <f>'Single Family'!$M$78</f>
        <v>-120.17</v>
      </c>
      <c r="M16" s="67"/>
    </row>
    <row r="17" spans="1:14" ht="15.75" customHeight="1" x14ac:dyDescent="0.2">
      <c r="A17" s="65">
        <f>+'SF Commodity Tonnages'!A17</f>
        <v>42124</v>
      </c>
      <c r="B17" s="66" t="s">
        <v>78</v>
      </c>
      <c r="C17" s="106">
        <f>'Single Family'!N74</f>
        <v>970.33299999999997</v>
      </c>
      <c r="D17" s="107">
        <f>'Single Family'!N76</f>
        <v>-13.93</v>
      </c>
      <c r="E17" s="107">
        <f>'Single Family'!$N$77</f>
        <v>-120.17</v>
      </c>
      <c r="F17" s="108">
        <f>'Single Family'!N72</f>
        <v>39.269999999999996</v>
      </c>
      <c r="G17" s="106">
        <f>'Single Family'!N69</f>
        <v>61.284999999999997</v>
      </c>
      <c r="H17" s="106">
        <f>'Single Family'!N79</f>
        <v>56.069999999999993</v>
      </c>
      <c r="I17" s="106">
        <f>'Single Family'!N73</f>
        <v>143.15699999999998</v>
      </c>
      <c r="J17" s="106">
        <f>'Single Family'!N73</f>
        <v>143.15699999999998</v>
      </c>
      <c r="K17" s="106">
        <f>'Single Family'!N70</f>
        <v>80.044999999999987</v>
      </c>
      <c r="L17" s="107">
        <f>'Single Family'!$M$78</f>
        <v>-120.17</v>
      </c>
      <c r="M17" s="67"/>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t="s">
        <v>31</v>
      </c>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2:U105"/>
  <sheetViews>
    <sheetView showGridLines="0" zoomScaleNormal="100" workbookViewId="0">
      <pane xSplit="2" ySplit="6" topLeftCell="C71" activePane="bottomRight" state="frozen"/>
      <selection activeCell="I58" sqref="I58"/>
      <selection pane="topRight" activeCell="I58" sqref="I58"/>
      <selection pane="bottomLeft" activeCell="I58" sqref="I58"/>
      <selection pane="bottomRight" activeCell="O10" sqref="O10"/>
    </sheetView>
  </sheetViews>
  <sheetFormatPr defaultColWidth="9.140625"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5703125" style="66" bestFit="1" customWidth="1"/>
    <col min="17" max="18" width="9.140625" style="66"/>
    <col min="19" max="19" width="9.7109375" style="66" bestFit="1" customWidth="1"/>
    <col min="20" max="16384" width="9.140625" style="66"/>
  </cols>
  <sheetData>
    <row r="2" spans="1:15" x14ac:dyDescent="0.2">
      <c r="B2" s="83" t="s">
        <v>80</v>
      </c>
      <c r="C2" s="84"/>
    </row>
    <row r="3" spans="1:15" x14ac:dyDescent="0.2">
      <c r="C3" s="84"/>
    </row>
    <row r="4" spans="1:15" x14ac:dyDescent="0.2">
      <c r="C4" s="85"/>
      <c r="D4" s="85"/>
      <c r="E4" s="85"/>
      <c r="F4" s="85"/>
      <c r="G4" s="85"/>
      <c r="H4" s="86"/>
      <c r="I4" s="86"/>
      <c r="J4" s="83"/>
    </row>
    <row r="5" spans="1:15" x14ac:dyDescent="0.2">
      <c r="C5" s="85"/>
      <c r="D5" s="85"/>
      <c r="E5" s="85"/>
      <c r="F5" s="85"/>
      <c r="G5" s="85"/>
      <c r="H5" s="86"/>
      <c r="I5" s="86"/>
      <c r="J5" s="85"/>
    </row>
    <row r="6" spans="1:15" ht="9.9499999999999993" customHeight="1" x14ac:dyDescent="0.2">
      <c r="C6" s="126">
        <v>41760</v>
      </c>
      <c r="D6" s="87">
        <f t="shared" ref="D6:N6" si="0">EOMONTH(C6,1)</f>
        <v>41820</v>
      </c>
      <c r="E6" s="87">
        <f t="shared" si="0"/>
        <v>41851</v>
      </c>
      <c r="F6" s="87">
        <f t="shared" si="0"/>
        <v>41882</v>
      </c>
      <c r="G6" s="87">
        <f t="shared" si="0"/>
        <v>41912</v>
      </c>
      <c r="H6" s="87">
        <f t="shared" si="0"/>
        <v>41943</v>
      </c>
      <c r="I6" s="87">
        <f t="shared" si="0"/>
        <v>41973</v>
      </c>
      <c r="J6" s="87">
        <f t="shared" si="0"/>
        <v>42004</v>
      </c>
      <c r="K6" s="87">
        <f t="shared" si="0"/>
        <v>42035</v>
      </c>
      <c r="L6" s="87">
        <f t="shared" si="0"/>
        <v>42063</v>
      </c>
      <c r="M6" s="87">
        <f t="shared" si="0"/>
        <v>42094</v>
      </c>
      <c r="N6" s="87">
        <f t="shared" si="0"/>
        <v>42124</v>
      </c>
    </row>
    <row r="7" spans="1:15" s="67" customFormat="1" x14ac:dyDescent="0.2">
      <c r="A7" s="88" t="s">
        <v>47</v>
      </c>
      <c r="C7" s="127">
        <v>364.42</v>
      </c>
      <c r="D7" s="127">
        <v>327.13</v>
      </c>
      <c r="E7" s="127">
        <v>365.38</v>
      </c>
      <c r="F7" s="127">
        <v>323.07</v>
      </c>
      <c r="G7" s="127">
        <v>356.7</v>
      </c>
      <c r="H7" s="127">
        <v>390.18</v>
      </c>
      <c r="I7" s="127">
        <v>326.56</v>
      </c>
      <c r="J7" s="127">
        <v>386.64</v>
      </c>
      <c r="K7" s="127">
        <v>416.36</v>
      </c>
      <c r="L7" s="127">
        <v>307.24</v>
      </c>
      <c r="M7" s="127">
        <v>351.71</v>
      </c>
      <c r="N7" s="127">
        <v>349.22</v>
      </c>
    </row>
    <row r="8" spans="1:15" x14ac:dyDescent="0.2">
      <c r="A8" s="66" t="s">
        <v>48</v>
      </c>
      <c r="C8" s="89">
        <v>0</v>
      </c>
      <c r="D8" s="89">
        <v>0</v>
      </c>
      <c r="E8" s="89">
        <v>0</v>
      </c>
      <c r="F8" s="89">
        <v>0</v>
      </c>
      <c r="G8" s="89">
        <v>0</v>
      </c>
      <c r="H8" s="89">
        <v>0</v>
      </c>
      <c r="I8" s="89">
        <v>0</v>
      </c>
      <c r="J8" s="89">
        <v>0</v>
      </c>
      <c r="K8" s="89">
        <v>0</v>
      </c>
      <c r="L8" s="89">
        <v>0</v>
      </c>
      <c r="M8" s="89">
        <v>0</v>
      </c>
      <c r="N8" s="89">
        <v>0</v>
      </c>
    </row>
    <row r="9" spans="1:15" x14ac:dyDescent="0.2">
      <c r="A9" s="66" t="s">
        <v>49</v>
      </c>
      <c r="C9" s="90">
        <f t="shared" ref="C9:L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+M7*M8</f>
        <v>0</v>
      </c>
      <c r="N9" s="90">
        <f>+N7*N8</f>
        <v>0</v>
      </c>
    </row>
    <row r="10" spans="1:15" x14ac:dyDescent="0.2">
      <c r="A10" s="83" t="s">
        <v>50</v>
      </c>
      <c r="C10" s="91">
        <f t="shared" ref="C10:L10" si="2">+C7-C9</f>
        <v>364.42</v>
      </c>
      <c r="D10" s="91">
        <f t="shared" si="2"/>
        <v>327.13</v>
      </c>
      <c r="E10" s="91">
        <f t="shared" si="2"/>
        <v>365.38</v>
      </c>
      <c r="F10" s="91">
        <f t="shared" si="2"/>
        <v>323.07</v>
      </c>
      <c r="G10" s="91">
        <f t="shared" si="2"/>
        <v>356.7</v>
      </c>
      <c r="H10" s="91">
        <f t="shared" si="2"/>
        <v>390.18</v>
      </c>
      <c r="I10" s="91">
        <f t="shared" si="2"/>
        <v>326.56</v>
      </c>
      <c r="J10" s="91">
        <f t="shared" si="2"/>
        <v>386.64</v>
      </c>
      <c r="K10" s="91">
        <f t="shared" si="2"/>
        <v>416.36</v>
      </c>
      <c r="L10" s="91">
        <f t="shared" si="2"/>
        <v>307.24</v>
      </c>
      <c r="M10" s="91">
        <f>+M7-M9</f>
        <v>351.71</v>
      </c>
      <c r="N10" s="91">
        <f>+N7-N9</f>
        <v>349.22</v>
      </c>
      <c r="O10" s="91">
        <f>SUM(C10:N10)</f>
        <v>4264.6099999999997</v>
      </c>
    </row>
    <row r="12" spans="1:15" x14ac:dyDescent="0.2">
      <c r="A12" s="83" t="s">
        <v>51</v>
      </c>
    </row>
    <row r="13" spans="1:15" s="92" customFormat="1" x14ac:dyDescent="0.2">
      <c r="B13" s="92" t="s">
        <v>24</v>
      </c>
      <c r="C13" s="124">
        <v>0.19500000000000001</v>
      </c>
      <c r="D13" s="124">
        <f>+C13</f>
        <v>0.19500000000000001</v>
      </c>
      <c r="E13" s="124">
        <f t="shared" ref="E13:N13" si="3">+D13</f>
        <v>0.19500000000000001</v>
      </c>
      <c r="F13" s="124">
        <f t="shared" si="3"/>
        <v>0.19500000000000001</v>
      </c>
      <c r="G13" s="124">
        <f t="shared" si="3"/>
        <v>0.19500000000000001</v>
      </c>
      <c r="H13" s="124">
        <f t="shared" si="3"/>
        <v>0.19500000000000001</v>
      </c>
      <c r="I13" s="124">
        <f t="shared" si="3"/>
        <v>0.19500000000000001</v>
      </c>
      <c r="J13" s="124">
        <f t="shared" si="3"/>
        <v>0.19500000000000001</v>
      </c>
      <c r="K13" s="124">
        <f t="shared" si="3"/>
        <v>0.19500000000000001</v>
      </c>
      <c r="L13" s="124">
        <f t="shared" si="3"/>
        <v>0.19500000000000001</v>
      </c>
      <c r="M13" s="124">
        <f t="shared" si="3"/>
        <v>0.19500000000000001</v>
      </c>
      <c r="N13" s="124">
        <f t="shared" si="3"/>
        <v>0.19500000000000001</v>
      </c>
    </row>
    <row r="14" spans="1:15" s="92" customFormat="1" x14ac:dyDescent="0.2">
      <c r="B14" s="92" t="s">
        <v>28</v>
      </c>
      <c r="C14" s="124">
        <v>0.1782</v>
      </c>
      <c r="D14" s="124">
        <f t="shared" ref="D14:N23" si="4">+C14</f>
        <v>0.1782</v>
      </c>
      <c r="E14" s="124">
        <f t="shared" si="4"/>
        <v>0.1782</v>
      </c>
      <c r="F14" s="124">
        <f t="shared" si="4"/>
        <v>0.1782</v>
      </c>
      <c r="G14" s="124">
        <f t="shared" si="4"/>
        <v>0.1782</v>
      </c>
      <c r="H14" s="124">
        <f t="shared" si="4"/>
        <v>0.1782</v>
      </c>
      <c r="I14" s="124">
        <f t="shared" si="4"/>
        <v>0.1782</v>
      </c>
      <c r="J14" s="124">
        <f t="shared" si="4"/>
        <v>0.1782</v>
      </c>
      <c r="K14" s="124">
        <f t="shared" si="4"/>
        <v>0.1782</v>
      </c>
      <c r="L14" s="124">
        <f t="shared" si="4"/>
        <v>0.1782</v>
      </c>
      <c r="M14" s="124">
        <f t="shared" si="4"/>
        <v>0.1782</v>
      </c>
      <c r="N14" s="124">
        <f t="shared" si="4"/>
        <v>0.1782</v>
      </c>
    </row>
    <row r="15" spans="1:15" s="92" customFormat="1" x14ac:dyDescent="0.2">
      <c r="B15" s="92" t="s">
        <v>52</v>
      </c>
      <c r="C15" s="124">
        <v>0</v>
      </c>
      <c r="D15" s="124">
        <f t="shared" si="4"/>
        <v>0</v>
      </c>
      <c r="E15" s="124">
        <f t="shared" si="4"/>
        <v>0</v>
      </c>
      <c r="F15" s="124">
        <f t="shared" si="4"/>
        <v>0</v>
      </c>
      <c r="G15" s="124">
        <f t="shared" si="4"/>
        <v>0</v>
      </c>
      <c r="H15" s="124">
        <f t="shared" si="4"/>
        <v>0</v>
      </c>
      <c r="I15" s="124">
        <f t="shared" si="4"/>
        <v>0</v>
      </c>
      <c r="J15" s="124">
        <f t="shared" si="4"/>
        <v>0</v>
      </c>
      <c r="K15" s="124">
        <f t="shared" si="4"/>
        <v>0</v>
      </c>
      <c r="L15" s="124">
        <f t="shared" si="4"/>
        <v>0</v>
      </c>
      <c r="M15" s="124">
        <f t="shared" si="4"/>
        <v>0</v>
      </c>
      <c r="N15" s="124">
        <f t="shared" si="4"/>
        <v>0</v>
      </c>
    </row>
    <row r="16" spans="1:15" s="92" customFormat="1" x14ac:dyDescent="0.2">
      <c r="B16" s="92" t="s">
        <v>53</v>
      </c>
      <c r="C16" s="124">
        <v>1.6500000000000001E-2</v>
      </c>
      <c r="D16" s="124">
        <f t="shared" si="4"/>
        <v>1.6500000000000001E-2</v>
      </c>
      <c r="E16" s="124">
        <f t="shared" si="4"/>
        <v>1.6500000000000001E-2</v>
      </c>
      <c r="F16" s="124">
        <f t="shared" si="4"/>
        <v>1.6500000000000001E-2</v>
      </c>
      <c r="G16" s="124">
        <f t="shared" si="4"/>
        <v>1.6500000000000001E-2</v>
      </c>
      <c r="H16" s="124">
        <f t="shared" si="4"/>
        <v>1.6500000000000001E-2</v>
      </c>
      <c r="I16" s="124">
        <f t="shared" si="4"/>
        <v>1.6500000000000001E-2</v>
      </c>
      <c r="J16" s="124">
        <f t="shared" si="4"/>
        <v>1.6500000000000001E-2</v>
      </c>
      <c r="K16" s="124">
        <f t="shared" si="4"/>
        <v>1.6500000000000001E-2</v>
      </c>
      <c r="L16" s="124">
        <f t="shared" si="4"/>
        <v>1.6500000000000001E-2</v>
      </c>
      <c r="M16" s="124">
        <f t="shared" si="4"/>
        <v>1.6500000000000001E-2</v>
      </c>
      <c r="N16" s="124">
        <f t="shared" si="4"/>
        <v>1.6500000000000001E-2</v>
      </c>
    </row>
    <row r="17" spans="1:14" s="92" customFormat="1" x14ac:dyDescent="0.2">
      <c r="B17" s="92" t="s">
        <v>54</v>
      </c>
      <c r="C17" s="124">
        <v>4.4900000000000002E-2</v>
      </c>
      <c r="D17" s="124">
        <f t="shared" si="4"/>
        <v>4.4900000000000002E-2</v>
      </c>
      <c r="E17" s="124">
        <f t="shared" si="4"/>
        <v>4.4900000000000002E-2</v>
      </c>
      <c r="F17" s="124">
        <f t="shared" si="4"/>
        <v>4.4900000000000002E-2</v>
      </c>
      <c r="G17" s="124">
        <f t="shared" si="4"/>
        <v>4.4900000000000002E-2</v>
      </c>
      <c r="H17" s="124">
        <f t="shared" si="4"/>
        <v>4.4900000000000002E-2</v>
      </c>
      <c r="I17" s="124">
        <f t="shared" si="4"/>
        <v>4.4900000000000002E-2</v>
      </c>
      <c r="J17" s="124">
        <f t="shared" si="4"/>
        <v>4.4900000000000002E-2</v>
      </c>
      <c r="K17" s="124">
        <f t="shared" si="4"/>
        <v>4.4900000000000002E-2</v>
      </c>
      <c r="L17" s="124">
        <f t="shared" si="4"/>
        <v>4.4900000000000002E-2</v>
      </c>
      <c r="M17" s="124">
        <f t="shared" si="4"/>
        <v>4.4900000000000002E-2</v>
      </c>
      <c r="N17" s="124">
        <f t="shared" si="4"/>
        <v>4.4900000000000002E-2</v>
      </c>
    </row>
    <row r="18" spans="1:14" s="92" customFormat="1" x14ac:dyDescent="0.2">
      <c r="B18" s="92" t="s">
        <v>55</v>
      </c>
      <c r="C18" s="124">
        <v>7.4999999999999997E-3</v>
      </c>
      <c r="D18" s="124">
        <f t="shared" si="4"/>
        <v>7.4999999999999997E-3</v>
      </c>
      <c r="E18" s="124">
        <f t="shared" si="4"/>
        <v>7.4999999999999997E-3</v>
      </c>
      <c r="F18" s="124">
        <f t="shared" si="4"/>
        <v>7.4999999999999997E-3</v>
      </c>
      <c r="G18" s="124">
        <f t="shared" si="4"/>
        <v>7.4999999999999997E-3</v>
      </c>
      <c r="H18" s="124">
        <f t="shared" si="4"/>
        <v>7.4999999999999997E-3</v>
      </c>
      <c r="I18" s="124">
        <f t="shared" si="4"/>
        <v>7.4999999999999997E-3</v>
      </c>
      <c r="J18" s="124">
        <f t="shared" si="4"/>
        <v>7.4999999999999997E-3</v>
      </c>
      <c r="K18" s="124">
        <f t="shared" si="4"/>
        <v>7.4999999999999997E-3</v>
      </c>
      <c r="L18" s="124">
        <f t="shared" si="4"/>
        <v>7.4999999999999997E-3</v>
      </c>
      <c r="M18" s="124">
        <f t="shared" si="4"/>
        <v>7.4999999999999997E-3</v>
      </c>
      <c r="N18" s="124">
        <f t="shared" si="4"/>
        <v>7.4999999999999997E-3</v>
      </c>
    </row>
    <row r="19" spans="1:14" s="92" customFormat="1" x14ac:dyDescent="0.2">
      <c r="B19" s="66" t="s">
        <v>56</v>
      </c>
      <c r="C19" s="124">
        <v>0</v>
      </c>
      <c r="D19" s="124">
        <f t="shared" si="4"/>
        <v>0</v>
      </c>
      <c r="E19" s="124">
        <f t="shared" si="4"/>
        <v>0</v>
      </c>
      <c r="F19" s="124">
        <f t="shared" si="4"/>
        <v>0</v>
      </c>
      <c r="G19" s="124">
        <f t="shared" si="4"/>
        <v>0</v>
      </c>
      <c r="H19" s="124">
        <f t="shared" si="4"/>
        <v>0</v>
      </c>
      <c r="I19" s="124">
        <f t="shared" si="4"/>
        <v>0</v>
      </c>
      <c r="J19" s="124">
        <f t="shared" si="4"/>
        <v>0</v>
      </c>
      <c r="K19" s="124">
        <f t="shared" si="4"/>
        <v>0</v>
      </c>
      <c r="L19" s="124">
        <f t="shared" si="4"/>
        <v>0</v>
      </c>
      <c r="M19" s="124">
        <f t="shared" si="4"/>
        <v>0</v>
      </c>
      <c r="N19" s="124">
        <f t="shared" si="4"/>
        <v>0</v>
      </c>
    </row>
    <row r="20" spans="1:14" s="92" customFormat="1" x14ac:dyDescent="0.2">
      <c r="B20" s="66" t="s">
        <v>22</v>
      </c>
      <c r="C20" s="124">
        <v>0.17680000000000001</v>
      </c>
      <c r="D20" s="124">
        <f t="shared" si="4"/>
        <v>0.17680000000000001</v>
      </c>
      <c r="E20" s="124">
        <f t="shared" si="4"/>
        <v>0.17680000000000001</v>
      </c>
      <c r="F20" s="124">
        <f t="shared" si="4"/>
        <v>0.17680000000000001</v>
      </c>
      <c r="G20" s="124">
        <f t="shared" si="4"/>
        <v>0.17680000000000001</v>
      </c>
      <c r="H20" s="124">
        <f t="shared" si="4"/>
        <v>0.17680000000000001</v>
      </c>
      <c r="I20" s="124">
        <f t="shared" si="4"/>
        <v>0.17680000000000001</v>
      </c>
      <c r="J20" s="124">
        <f t="shared" si="4"/>
        <v>0.17680000000000001</v>
      </c>
      <c r="K20" s="124">
        <f t="shared" si="4"/>
        <v>0.17680000000000001</v>
      </c>
      <c r="L20" s="124">
        <f t="shared" si="4"/>
        <v>0.17680000000000001</v>
      </c>
      <c r="M20" s="124">
        <f t="shared" si="4"/>
        <v>0.17680000000000001</v>
      </c>
      <c r="N20" s="124">
        <f t="shared" si="4"/>
        <v>0.17680000000000001</v>
      </c>
    </row>
    <row r="21" spans="1:14" s="92" customFormat="1" x14ac:dyDescent="0.2">
      <c r="B21" s="92" t="s">
        <v>57</v>
      </c>
      <c r="C21" s="124">
        <v>0</v>
      </c>
      <c r="D21" s="124">
        <f t="shared" si="4"/>
        <v>0</v>
      </c>
      <c r="E21" s="124">
        <f t="shared" si="4"/>
        <v>0</v>
      </c>
      <c r="F21" s="124">
        <f t="shared" si="4"/>
        <v>0</v>
      </c>
      <c r="G21" s="124">
        <f t="shared" si="4"/>
        <v>0</v>
      </c>
      <c r="H21" s="124">
        <f t="shared" si="4"/>
        <v>0</v>
      </c>
      <c r="I21" s="124">
        <f t="shared" si="4"/>
        <v>0</v>
      </c>
      <c r="J21" s="124">
        <f t="shared" si="4"/>
        <v>0</v>
      </c>
      <c r="K21" s="124">
        <f t="shared" si="4"/>
        <v>0</v>
      </c>
      <c r="L21" s="124">
        <f t="shared" si="4"/>
        <v>0</v>
      </c>
      <c r="M21" s="124">
        <f t="shared" si="4"/>
        <v>0</v>
      </c>
      <c r="N21" s="124">
        <f t="shared" si="4"/>
        <v>0</v>
      </c>
    </row>
    <row r="22" spans="1:14" s="92" customFormat="1" x14ac:dyDescent="0.2">
      <c r="B22" s="92" t="s">
        <v>58</v>
      </c>
      <c r="C22" s="124">
        <v>5.930000000000013E-2</v>
      </c>
      <c r="D22" s="124">
        <f t="shared" si="4"/>
        <v>5.930000000000013E-2</v>
      </c>
      <c r="E22" s="124">
        <f t="shared" si="4"/>
        <v>5.930000000000013E-2</v>
      </c>
      <c r="F22" s="124">
        <f t="shared" si="4"/>
        <v>5.930000000000013E-2</v>
      </c>
      <c r="G22" s="124">
        <f t="shared" si="4"/>
        <v>5.930000000000013E-2</v>
      </c>
      <c r="H22" s="124">
        <f t="shared" si="4"/>
        <v>5.930000000000013E-2</v>
      </c>
      <c r="I22" s="124">
        <f t="shared" si="4"/>
        <v>5.930000000000013E-2</v>
      </c>
      <c r="J22" s="124">
        <f t="shared" si="4"/>
        <v>5.930000000000013E-2</v>
      </c>
      <c r="K22" s="124">
        <f t="shared" si="4"/>
        <v>5.930000000000013E-2</v>
      </c>
      <c r="L22" s="124">
        <f t="shared" si="4"/>
        <v>5.930000000000013E-2</v>
      </c>
      <c r="M22" s="124">
        <f t="shared" si="4"/>
        <v>5.930000000000013E-2</v>
      </c>
      <c r="N22" s="124">
        <f t="shared" si="4"/>
        <v>5.930000000000013E-2</v>
      </c>
    </row>
    <row r="23" spans="1:14" s="92" customFormat="1" x14ac:dyDescent="0.2">
      <c r="B23" s="92" t="s">
        <v>59</v>
      </c>
      <c r="C23" s="125">
        <v>0.32179999999999997</v>
      </c>
      <c r="D23" s="124">
        <f t="shared" si="4"/>
        <v>0.32179999999999997</v>
      </c>
      <c r="E23" s="124">
        <f t="shared" si="4"/>
        <v>0.32179999999999997</v>
      </c>
      <c r="F23" s="124">
        <f t="shared" si="4"/>
        <v>0.32179999999999997</v>
      </c>
      <c r="G23" s="124">
        <f t="shared" si="4"/>
        <v>0.32179999999999997</v>
      </c>
      <c r="H23" s="124">
        <f t="shared" si="4"/>
        <v>0.32179999999999997</v>
      </c>
      <c r="I23" s="124">
        <f t="shared" si="4"/>
        <v>0.32179999999999997</v>
      </c>
      <c r="J23" s="124">
        <f t="shared" si="4"/>
        <v>0.32179999999999997</v>
      </c>
      <c r="K23" s="124">
        <f t="shared" si="4"/>
        <v>0.32179999999999997</v>
      </c>
      <c r="L23" s="124">
        <f t="shared" si="4"/>
        <v>0.32179999999999997</v>
      </c>
      <c r="M23" s="124">
        <f t="shared" si="4"/>
        <v>0.32179999999999997</v>
      </c>
      <c r="N23" s="124">
        <f t="shared" si="4"/>
        <v>0.32179999999999997</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60</v>
      </c>
    </row>
    <row r="27" spans="1:14" x14ac:dyDescent="0.2">
      <c r="B27" s="66" t="s">
        <v>24</v>
      </c>
      <c r="C27" s="75">
        <f t="shared" ref="C27:C37" si="5">+C$10*C13</f>
        <v>71.061900000000009</v>
      </c>
      <c r="D27" s="75">
        <f t="shared" ref="D27:M27" si="6">+D$10*D13</f>
        <v>63.790350000000004</v>
      </c>
      <c r="E27" s="75">
        <f>+E$10*E13</f>
        <v>71.249099999999999</v>
      </c>
      <c r="F27" s="75">
        <f t="shared" si="6"/>
        <v>62.998649999999998</v>
      </c>
      <c r="G27" s="75">
        <f t="shared" si="6"/>
        <v>69.5565</v>
      </c>
      <c r="H27" s="75">
        <f t="shared" si="6"/>
        <v>76.085099999999997</v>
      </c>
      <c r="I27" s="75">
        <f t="shared" si="6"/>
        <v>63.679200000000002</v>
      </c>
      <c r="J27" s="75">
        <f t="shared" si="6"/>
        <v>75.394800000000004</v>
      </c>
      <c r="K27" s="75">
        <f t="shared" si="6"/>
        <v>81.190200000000004</v>
      </c>
      <c r="L27" s="75">
        <f t="shared" si="6"/>
        <v>59.911800000000007</v>
      </c>
      <c r="M27" s="75">
        <f t="shared" si="6"/>
        <v>68.583449999999999</v>
      </c>
      <c r="N27" s="75">
        <f>+N$10*N13</f>
        <v>68.09790000000001</v>
      </c>
    </row>
    <row r="28" spans="1:14" x14ac:dyDescent="0.2">
      <c r="B28" s="66" t="s">
        <v>28</v>
      </c>
      <c r="C28" s="75">
        <f t="shared" si="5"/>
        <v>64.939644000000001</v>
      </c>
      <c r="D28" s="75">
        <f t="shared" ref="D28:M28" si="7">+D$10*D14</f>
        <v>58.294565999999996</v>
      </c>
      <c r="E28" s="75">
        <f>+E$10*E14</f>
        <v>65.110715999999996</v>
      </c>
      <c r="F28" s="75">
        <f t="shared" si="7"/>
        <v>57.571073999999996</v>
      </c>
      <c r="G28" s="75">
        <f t="shared" si="7"/>
        <v>63.563939999999995</v>
      </c>
      <c r="H28" s="75">
        <f t="shared" si="7"/>
        <v>69.530075999999994</v>
      </c>
      <c r="I28" s="75">
        <f t="shared" si="7"/>
        <v>58.192991999999997</v>
      </c>
      <c r="J28" s="75">
        <f t="shared" si="7"/>
        <v>68.899248</v>
      </c>
      <c r="K28" s="75">
        <f t="shared" si="7"/>
        <v>74.195352</v>
      </c>
      <c r="L28" s="75">
        <f t="shared" si="7"/>
        <v>54.750168000000002</v>
      </c>
      <c r="M28" s="75">
        <f t="shared" si="7"/>
        <v>62.674721999999996</v>
      </c>
      <c r="N28" s="75">
        <f>+N$10*N14</f>
        <v>62.231004000000006</v>
      </c>
    </row>
    <row r="29" spans="1:14" x14ac:dyDescent="0.2">
      <c r="B29" s="66" t="s">
        <v>52</v>
      </c>
      <c r="C29" s="75">
        <f t="shared" si="5"/>
        <v>0</v>
      </c>
      <c r="D29" s="75">
        <f t="shared" ref="D29:N29" si="8">+D$10*D15</f>
        <v>0</v>
      </c>
      <c r="E29" s="75">
        <f t="shared" si="8"/>
        <v>0</v>
      </c>
      <c r="F29" s="75">
        <f t="shared" si="8"/>
        <v>0</v>
      </c>
      <c r="G29" s="75">
        <f t="shared" si="8"/>
        <v>0</v>
      </c>
      <c r="H29" s="75">
        <f t="shared" si="8"/>
        <v>0</v>
      </c>
      <c r="I29" s="75">
        <f t="shared" si="8"/>
        <v>0</v>
      </c>
      <c r="J29" s="75">
        <f t="shared" si="8"/>
        <v>0</v>
      </c>
      <c r="K29" s="75">
        <f t="shared" si="8"/>
        <v>0</v>
      </c>
      <c r="L29" s="75">
        <f t="shared" si="8"/>
        <v>0</v>
      </c>
      <c r="M29" s="75">
        <f t="shared" si="8"/>
        <v>0</v>
      </c>
      <c r="N29" s="75">
        <f t="shared" si="8"/>
        <v>0</v>
      </c>
    </row>
    <row r="30" spans="1:14" x14ac:dyDescent="0.2">
      <c r="B30" s="66" t="s">
        <v>53</v>
      </c>
      <c r="C30" s="75">
        <f t="shared" si="5"/>
        <v>6.0129300000000008</v>
      </c>
      <c r="D30" s="75">
        <f t="shared" ref="D30:N30" si="9">+D$10*D16</f>
        <v>5.3976449999999998</v>
      </c>
      <c r="E30" s="75">
        <f t="shared" si="9"/>
        <v>6.0287700000000006</v>
      </c>
      <c r="F30" s="75">
        <f t="shared" si="9"/>
        <v>5.3306550000000001</v>
      </c>
      <c r="G30" s="75">
        <f t="shared" si="9"/>
        <v>5.8855500000000003</v>
      </c>
      <c r="H30" s="75">
        <f t="shared" si="9"/>
        <v>6.4379700000000009</v>
      </c>
      <c r="I30" s="75">
        <f t="shared" si="9"/>
        <v>5.3882400000000006</v>
      </c>
      <c r="J30" s="75">
        <f t="shared" si="9"/>
        <v>6.3795599999999997</v>
      </c>
      <c r="K30" s="75">
        <f t="shared" si="9"/>
        <v>6.8699400000000006</v>
      </c>
      <c r="L30" s="75">
        <f t="shared" si="9"/>
        <v>5.0694600000000003</v>
      </c>
      <c r="M30" s="75">
        <f t="shared" si="9"/>
        <v>5.8032149999999998</v>
      </c>
      <c r="N30" s="75">
        <f t="shared" si="9"/>
        <v>5.7621300000000009</v>
      </c>
    </row>
    <row r="31" spans="1:14" x14ac:dyDescent="0.2">
      <c r="B31" s="66" t="s">
        <v>54</v>
      </c>
      <c r="C31" s="75">
        <f t="shared" si="5"/>
        <v>16.362458</v>
      </c>
      <c r="D31" s="75">
        <f t="shared" ref="D31:N31" si="10">+D$10*D17</f>
        <v>14.688137000000001</v>
      </c>
      <c r="E31" s="75">
        <f t="shared" si="10"/>
        <v>16.405562</v>
      </c>
      <c r="F31" s="75">
        <f t="shared" si="10"/>
        <v>14.505843</v>
      </c>
      <c r="G31" s="75">
        <f t="shared" si="10"/>
        <v>16.015830000000001</v>
      </c>
      <c r="H31" s="75">
        <f t="shared" si="10"/>
        <v>17.519082000000001</v>
      </c>
      <c r="I31" s="75">
        <f t="shared" si="10"/>
        <v>14.662544</v>
      </c>
      <c r="J31" s="75">
        <f t="shared" si="10"/>
        <v>17.360136000000001</v>
      </c>
      <c r="K31" s="75">
        <f t="shared" si="10"/>
        <v>18.694564000000003</v>
      </c>
      <c r="L31" s="75">
        <f t="shared" si="10"/>
        <v>13.795076000000002</v>
      </c>
      <c r="M31" s="75">
        <f t="shared" si="10"/>
        <v>15.791779</v>
      </c>
      <c r="N31" s="75">
        <f t="shared" si="10"/>
        <v>15.679978000000002</v>
      </c>
    </row>
    <row r="32" spans="1:14" x14ac:dyDescent="0.2">
      <c r="B32" s="66" t="s">
        <v>55</v>
      </c>
      <c r="C32" s="75">
        <f t="shared" si="5"/>
        <v>2.7331500000000002</v>
      </c>
      <c r="D32" s="75">
        <f t="shared" ref="D32:N32" si="11">+D$10*D18</f>
        <v>2.4534750000000001</v>
      </c>
      <c r="E32" s="75">
        <f t="shared" si="11"/>
        <v>2.7403499999999998</v>
      </c>
      <c r="F32" s="75">
        <f t="shared" si="11"/>
        <v>2.423025</v>
      </c>
      <c r="G32" s="75">
        <f t="shared" si="11"/>
        <v>2.6752499999999997</v>
      </c>
      <c r="H32" s="75">
        <f t="shared" si="11"/>
        <v>2.9263499999999998</v>
      </c>
      <c r="I32" s="75">
        <f t="shared" si="11"/>
        <v>2.4491999999999998</v>
      </c>
      <c r="J32" s="75">
        <f t="shared" si="11"/>
        <v>2.8997999999999999</v>
      </c>
      <c r="K32" s="75">
        <f t="shared" si="11"/>
        <v>3.1227</v>
      </c>
      <c r="L32" s="75">
        <f t="shared" si="11"/>
        <v>2.3043</v>
      </c>
      <c r="M32" s="75">
        <f t="shared" si="11"/>
        <v>2.6378249999999999</v>
      </c>
      <c r="N32" s="75">
        <f t="shared" si="11"/>
        <v>2.6191500000000003</v>
      </c>
    </row>
    <row r="33" spans="1:14" x14ac:dyDescent="0.2">
      <c r="B33" s="66" t="s">
        <v>56</v>
      </c>
      <c r="C33" s="75">
        <f t="shared" si="5"/>
        <v>0</v>
      </c>
      <c r="D33" s="75">
        <f t="shared" ref="D33:N33" si="12">+D$10*D19</f>
        <v>0</v>
      </c>
      <c r="E33" s="75">
        <f t="shared" si="12"/>
        <v>0</v>
      </c>
      <c r="F33" s="75">
        <f t="shared" si="12"/>
        <v>0</v>
      </c>
      <c r="G33" s="75">
        <f t="shared" si="12"/>
        <v>0</v>
      </c>
      <c r="H33" s="75">
        <f t="shared" si="12"/>
        <v>0</v>
      </c>
      <c r="I33" s="75">
        <f t="shared" si="12"/>
        <v>0</v>
      </c>
      <c r="J33" s="75">
        <f t="shared" si="12"/>
        <v>0</v>
      </c>
      <c r="K33" s="75">
        <f t="shared" si="12"/>
        <v>0</v>
      </c>
      <c r="L33" s="75">
        <f t="shared" si="12"/>
        <v>0</v>
      </c>
      <c r="M33" s="75">
        <f t="shared" si="12"/>
        <v>0</v>
      </c>
      <c r="N33" s="75">
        <f t="shared" si="12"/>
        <v>0</v>
      </c>
    </row>
    <row r="34" spans="1:14" x14ac:dyDescent="0.2">
      <c r="B34" s="66" t="s">
        <v>22</v>
      </c>
      <c r="C34" s="75">
        <f t="shared" si="5"/>
        <v>64.429456000000002</v>
      </c>
      <c r="D34" s="75">
        <f t="shared" ref="D34:N34" si="13">+D$10*D20</f>
        <v>57.836584000000002</v>
      </c>
      <c r="E34" s="75">
        <f t="shared" si="13"/>
        <v>64.599184000000008</v>
      </c>
      <c r="F34" s="75">
        <f t="shared" si="13"/>
        <v>57.118776000000004</v>
      </c>
      <c r="G34" s="75">
        <f t="shared" si="13"/>
        <v>63.06456</v>
      </c>
      <c r="H34" s="75">
        <f t="shared" si="13"/>
        <v>68.983824000000013</v>
      </c>
      <c r="I34" s="75">
        <f t="shared" si="13"/>
        <v>57.735808000000006</v>
      </c>
      <c r="J34" s="75">
        <f t="shared" si="13"/>
        <v>68.357951999999997</v>
      </c>
      <c r="K34" s="75">
        <f t="shared" si="13"/>
        <v>73.612448000000015</v>
      </c>
      <c r="L34" s="75">
        <f t="shared" si="13"/>
        <v>54.320032000000005</v>
      </c>
      <c r="M34" s="75">
        <f t="shared" si="13"/>
        <v>62.182327999999998</v>
      </c>
      <c r="N34" s="75">
        <f t="shared" si="13"/>
        <v>61.742096000000011</v>
      </c>
    </row>
    <row r="35" spans="1:14" x14ac:dyDescent="0.2">
      <c r="B35" s="66" t="s">
        <v>57</v>
      </c>
      <c r="C35" s="75">
        <f t="shared" si="5"/>
        <v>0</v>
      </c>
      <c r="D35" s="75">
        <f t="shared" ref="D35:N35" si="14">+D$10*D21</f>
        <v>0</v>
      </c>
      <c r="E35" s="75">
        <f t="shared" si="14"/>
        <v>0</v>
      </c>
      <c r="F35" s="75">
        <f t="shared" si="14"/>
        <v>0</v>
      </c>
      <c r="G35" s="75">
        <f t="shared" si="14"/>
        <v>0</v>
      </c>
      <c r="H35" s="75">
        <f t="shared" si="14"/>
        <v>0</v>
      </c>
      <c r="I35" s="75">
        <f t="shared" si="14"/>
        <v>0</v>
      </c>
      <c r="J35" s="75">
        <f t="shared" si="14"/>
        <v>0</v>
      </c>
      <c r="K35" s="75">
        <f t="shared" si="14"/>
        <v>0</v>
      </c>
      <c r="L35" s="75">
        <f t="shared" si="14"/>
        <v>0</v>
      </c>
      <c r="M35" s="75">
        <f t="shared" si="14"/>
        <v>0</v>
      </c>
      <c r="N35" s="75">
        <f t="shared" si="14"/>
        <v>0</v>
      </c>
    </row>
    <row r="36" spans="1:14" x14ac:dyDescent="0.2">
      <c r="B36" s="66" t="s">
        <v>58</v>
      </c>
      <c r="C36" s="75">
        <f t="shared" si="5"/>
        <v>21.610106000000048</v>
      </c>
      <c r="D36" s="75">
        <f t="shared" ref="D36:N36" si="15">+D$10*D22</f>
        <v>19.398809000000043</v>
      </c>
      <c r="E36" s="75">
        <f t="shared" si="15"/>
        <v>21.667034000000047</v>
      </c>
      <c r="F36" s="75">
        <f t="shared" si="15"/>
        <v>19.158051000000043</v>
      </c>
      <c r="G36" s="75">
        <f t="shared" si="15"/>
        <v>21.152310000000046</v>
      </c>
      <c r="H36" s="75">
        <f t="shared" si="15"/>
        <v>23.13767400000005</v>
      </c>
      <c r="I36" s="75">
        <f t="shared" si="15"/>
        <v>19.365008000000042</v>
      </c>
      <c r="J36" s="75">
        <f t="shared" si="15"/>
        <v>22.927752000000048</v>
      </c>
      <c r="K36" s="75">
        <f t="shared" si="15"/>
        <v>24.690148000000054</v>
      </c>
      <c r="L36" s="75">
        <f t="shared" si="15"/>
        <v>18.21933200000004</v>
      </c>
      <c r="M36" s="75">
        <f t="shared" si="15"/>
        <v>20.856403000000043</v>
      </c>
      <c r="N36" s="75">
        <f t="shared" si="15"/>
        <v>20.708746000000048</v>
      </c>
    </row>
    <row r="37" spans="1:14" x14ac:dyDescent="0.2">
      <c r="B37" s="66" t="s">
        <v>59</v>
      </c>
      <c r="C37" s="90">
        <f t="shared" si="5"/>
        <v>117.27035599999999</v>
      </c>
      <c r="D37" s="90">
        <f t="shared" ref="D37:N37" si="16">+D$10*D23</f>
        <v>105.27043399999999</v>
      </c>
      <c r="E37" s="90">
        <f t="shared" si="16"/>
        <v>117.57928399999999</v>
      </c>
      <c r="F37" s="90">
        <f t="shared" si="16"/>
        <v>103.96392599999999</v>
      </c>
      <c r="G37" s="90">
        <f t="shared" si="16"/>
        <v>114.78605999999999</v>
      </c>
      <c r="H37" s="90">
        <f t="shared" si="16"/>
        <v>125.559924</v>
      </c>
      <c r="I37" s="90">
        <f t="shared" si="16"/>
        <v>105.087008</v>
      </c>
      <c r="J37" s="90">
        <f t="shared" si="16"/>
        <v>124.42075199999998</v>
      </c>
      <c r="K37" s="90">
        <f t="shared" si="16"/>
        <v>133.98464799999999</v>
      </c>
      <c r="L37" s="90">
        <f t="shared" si="16"/>
        <v>98.869831999999988</v>
      </c>
      <c r="M37" s="90">
        <f t="shared" si="16"/>
        <v>113.18027799999999</v>
      </c>
      <c r="N37" s="90">
        <f t="shared" si="16"/>
        <v>112.378996</v>
      </c>
    </row>
    <row r="38" spans="1:14" x14ac:dyDescent="0.2">
      <c r="C38" s="75">
        <f>SUM(C27:C37)</f>
        <v>364.42000000000007</v>
      </c>
      <c r="D38" s="75">
        <f>SUM(D27:D37)</f>
        <v>327.13</v>
      </c>
      <c r="E38" s="75">
        <f>SUM(E27:E37)</f>
        <v>365.38000000000005</v>
      </c>
      <c r="F38" s="75">
        <f t="shared" ref="F38:N38" si="17">SUM(F27:F37)</f>
        <v>323.07000000000005</v>
      </c>
      <c r="G38" s="75">
        <f t="shared" si="17"/>
        <v>356.70000000000005</v>
      </c>
      <c r="H38" s="75">
        <f t="shared" si="17"/>
        <v>390.18000000000006</v>
      </c>
      <c r="I38" s="75">
        <f t="shared" si="17"/>
        <v>326.56000000000006</v>
      </c>
      <c r="J38" s="75">
        <f t="shared" si="17"/>
        <v>386.64000000000004</v>
      </c>
      <c r="K38" s="75">
        <f t="shared" si="17"/>
        <v>416.36000000000013</v>
      </c>
      <c r="L38" s="75">
        <f t="shared" si="17"/>
        <v>307.24000000000007</v>
      </c>
      <c r="M38" s="75">
        <f t="shared" si="17"/>
        <v>351.71000000000004</v>
      </c>
      <c r="N38" s="75">
        <f t="shared" si="17"/>
        <v>349.22000000000008</v>
      </c>
    </row>
    <row r="40" spans="1:14" x14ac:dyDescent="0.2">
      <c r="A40" s="83" t="s">
        <v>61</v>
      </c>
    </row>
    <row r="41" spans="1:14" x14ac:dyDescent="0.2">
      <c r="B41" s="66" t="s">
        <v>24</v>
      </c>
      <c r="C41" s="94">
        <v>1</v>
      </c>
      <c r="D41" s="95">
        <v>1</v>
      </c>
      <c r="E41" s="95">
        <v>1</v>
      </c>
      <c r="F41" s="95">
        <v>1</v>
      </c>
      <c r="G41" s="95">
        <v>1</v>
      </c>
      <c r="H41" s="95">
        <v>1</v>
      </c>
      <c r="I41" s="95">
        <v>1</v>
      </c>
      <c r="J41" s="95">
        <v>1</v>
      </c>
      <c r="K41" s="95">
        <v>1</v>
      </c>
      <c r="L41" s="95">
        <v>1</v>
      </c>
      <c r="M41" s="95">
        <v>1</v>
      </c>
      <c r="N41" s="95">
        <v>1</v>
      </c>
    </row>
    <row r="42" spans="1:14" x14ac:dyDescent="0.2">
      <c r="B42" s="66" t="s">
        <v>28</v>
      </c>
      <c r="C42" s="94">
        <v>1</v>
      </c>
      <c r="D42" s="95">
        <v>1</v>
      </c>
      <c r="E42" s="95">
        <v>1</v>
      </c>
      <c r="F42" s="95">
        <v>1</v>
      </c>
      <c r="G42" s="95">
        <v>1</v>
      </c>
      <c r="H42" s="95">
        <v>1</v>
      </c>
      <c r="I42" s="95">
        <v>1</v>
      </c>
      <c r="J42" s="95">
        <v>1</v>
      </c>
      <c r="K42" s="95">
        <v>1</v>
      </c>
      <c r="L42" s="95">
        <v>1</v>
      </c>
      <c r="M42" s="95">
        <v>1</v>
      </c>
      <c r="N42" s="95">
        <v>1</v>
      </c>
    </row>
    <row r="43" spans="1:14" x14ac:dyDescent="0.2">
      <c r="B43" s="66" t="s">
        <v>52</v>
      </c>
      <c r="C43" s="94">
        <v>1</v>
      </c>
      <c r="D43" s="95">
        <v>1</v>
      </c>
      <c r="E43" s="95">
        <v>1</v>
      </c>
      <c r="F43" s="95">
        <v>1</v>
      </c>
      <c r="G43" s="95">
        <v>1</v>
      </c>
      <c r="H43" s="95">
        <v>1</v>
      </c>
      <c r="I43" s="95">
        <v>1</v>
      </c>
      <c r="J43" s="95">
        <v>1</v>
      </c>
      <c r="K43" s="95">
        <v>1</v>
      </c>
      <c r="L43" s="95">
        <v>1</v>
      </c>
      <c r="M43" s="95">
        <v>1</v>
      </c>
      <c r="N43" s="95">
        <v>1</v>
      </c>
    </row>
    <row r="44" spans="1:14" x14ac:dyDescent="0.2">
      <c r="B44" s="66" t="s">
        <v>53</v>
      </c>
      <c r="C44" s="94">
        <v>1</v>
      </c>
      <c r="D44" s="95">
        <v>1</v>
      </c>
      <c r="E44" s="95">
        <v>1</v>
      </c>
      <c r="F44" s="95">
        <v>1</v>
      </c>
      <c r="G44" s="95">
        <v>1</v>
      </c>
      <c r="H44" s="95">
        <v>1</v>
      </c>
      <c r="I44" s="95">
        <v>1</v>
      </c>
      <c r="J44" s="95">
        <v>1</v>
      </c>
      <c r="K44" s="95">
        <v>1</v>
      </c>
      <c r="L44" s="95">
        <v>1</v>
      </c>
      <c r="M44" s="95">
        <v>1</v>
      </c>
      <c r="N44" s="95">
        <v>1</v>
      </c>
    </row>
    <row r="45" spans="1:14" x14ac:dyDescent="0.2">
      <c r="B45" s="66" t="s">
        <v>54</v>
      </c>
      <c r="C45" s="94">
        <v>1</v>
      </c>
      <c r="D45" s="95">
        <v>1</v>
      </c>
      <c r="E45" s="95">
        <v>1</v>
      </c>
      <c r="F45" s="95">
        <v>1</v>
      </c>
      <c r="G45" s="95">
        <v>1</v>
      </c>
      <c r="H45" s="95">
        <v>1</v>
      </c>
      <c r="I45" s="95">
        <v>1</v>
      </c>
      <c r="J45" s="95">
        <v>1</v>
      </c>
      <c r="K45" s="95">
        <v>1</v>
      </c>
      <c r="L45" s="95">
        <v>1</v>
      </c>
      <c r="M45" s="95">
        <v>1</v>
      </c>
      <c r="N45" s="95">
        <v>1</v>
      </c>
    </row>
    <row r="46" spans="1:14" x14ac:dyDescent="0.2">
      <c r="B46" s="66" t="s">
        <v>55</v>
      </c>
      <c r="C46" s="94">
        <v>1</v>
      </c>
      <c r="D46" s="95">
        <v>1</v>
      </c>
      <c r="E46" s="95">
        <v>1</v>
      </c>
      <c r="F46" s="95">
        <v>1</v>
      </c>
      <c r="G46" s="95">
        <v>1</v>
      </c>
      <c r="H46" s="95">
        <v>1</v>
      </c>
      <c r="I46" s="95">
        <v>1</v>
      </c>
      <c r="J46" s="95">
        <v>1</v>
      </c>
      <c r="K46" s="95">
        <v>1</v>
      </c>
      <c r="L46" s="95">
        <v>1</v>
      </c>
      <c r="M46" s="95">
        <v>1</v>
      </c>
      <c r="N46" s="95">
        <v>1</v>
      </c>
    </row>
    <row r="47" spans="1:14" x14ac:dyDescent="0.2">
      <c r="B47" s="66" t="s">
        <v>56</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20" x14ac:dyDescent="0.2">
      <c r="B49" s="66" t="s">
        <v>57</v>
      </c>
      <c r="C49" s="94">
        <v>1</v>
      </c>
      <c r="D49" s="95">
        <v>1</v>
      </c>
      <c r="E49" s="95">
        <v>1</v>
      </c>
      <c r="F49" s="95">
        <v>1</v>
      </c>
      <c r="G49" s="95">
        <v>1</v>
      </c>
      <c r="H49" s="95">
        <v>1</v>
      </c>
      <c r="I49" s="95">
        <v>1</v>
      </c>
      <c r="J49" s="95">
        <v>1</v>
      </c>
      <c r="K49" s="95">
        <v>1</v>
      </c>
      <c r="L49" s="95">
        <v>1</v>
      </c>
      <c r="M49" s="95">
        <v>1</v>
      </c>
      <c r="N49" s="95">
        <v>1</v>
      </c>
    </row>
    <row r="50" spans="1:20" x14ac:dyDescent="0.2">
      <c r="B50" s="66" t="s">
        <v>58</v>
      </c>
      <c r="C50" s="94">
        <v>1</v>
      </c>
      <c r="D50" s="95">
        <v>1</v>
      </c>
      <c r="E50" s="95">
        <v>1</v>
      </c>
      <c r="F50" s="95">
        <v>1</v>
      </c>
      <c r="G50" s="95">
        <v>1</v>
      </c>
      <c r="H50" s="95">
        <v>1</v>
      </c>
      <c r="I50" s="95">
        <v>1</v>
      </c>
      <c r="J50" s="95">
        <v>1</v>
      </c>
      <c r="K50" s="95">
        <v>1</v>
      </c>
      <c r="L50" s="95">
        <v>1</v>
      </c>
      <c r="M50" s="95">
        <v>1</v>
      </c>
      <c r="N50" s="95">
        <v>1</v>
      </c>
    </row>
    <row r="51" spans="1:20" ht="14.25" customHeight="1" x14ac:dyDescent="0.2">
      <c r="C51" s="93"/>
      <c r="D51" s="95"/>
      <c r="E51" s="95"/>
      <c r="F51" s="95"/>
      <c r="G51" s="95"/>
      <c r="H51" s="95"/>
      <c r="I51" s="95"/>
      <c r="J51" s="95"/>
      <c r="K51" s="95"/>
      <c r="L51" s="95"/>
      <c r="M51" s="95"/>
      <c r="N51" s="95"/>
    </row>
    <row r="52" spans="1:20" x14ac:dyDescent="0.2">
      <c r="A52" s="66" t="s">
        <v>59</v>
      </c>
      <c r="C52" s="93">
        <f>+C65/C37</f>
        <v>0.99999999999999922</v>
      </c>
      <c r="D52" s="95">
        <v>1</v>
      </c>
      <c r="E52" s="95">
        <v>1</v>
      </c>
      <c r="F52" s="95">
        <v>1</v>
      </c>
      <c r="G52" s="95">
        <v>1</v>
      </c>
      <c r="H52" s="95">
        <v>1</v>
      </c>
      <c r="I52" s="95">
        <v>1</v>
      </c>
      <c r="J52" s="95">
        <v>1</v>
      </c>
      <c r="K52" s="95">
        <v>1</v>
      </c>
      <c r="L52" s="95">
        <v>1</v>
      </c>
      <c r="M52" s="95">
        <v>1</v>
      </c>
      <c r="N52" s="95">
        <v>1</v>
      </c>
    </row>
    <row r="53" spans="1:20" x14ac:dyDescent="0.2">
      <c r="L53" s="93"/>
      <c r="N53" s="95"/>
    </row>
    <row r="54" spans="1:20" x14ac:dyDescent="0.2">
      <c r="A54" s="83" t="s">
        <v>62</v>
      </c>
      <c r="L54" s="93"/>
      <c r="N54" s="95"/>
    </row>
    <row r="55" spans="1:20" x14ac:dyDescent="0.2">
      <c r="B55" s="66" t="s">
        <v>24</v>
      </c>
      <c r="C55" s="75">
        <f t="shared" ref="C55:N55" si="18">+C27*C41</f>
        <v>71.061900000000009</v>
      </c>
      <c r="D55" s="75">
        <f t="shared" si="18"/>
        <v>63.790350000000004</v>
      </c>
      <c r="E55" s="75">
        <f>+E27*E41</f>
        <v>71.249099999999999</v>
      </c>
      <c r="F55" s="75">
        <f>+F27*F41</f>
        <v>62.998649999999998</v>
      </c>
      <c r="G55" s="75">
        <f t="shared" si="18"/>
        <v>69.5565</v>
      </c>
      <c r="H55" s="75">
        <f t="shared" si="18"/>
        <v>76.085099999999997</v>
      </c>
      <c r="I55" s="75">
        <f t="shared" si="18"/>
        <v>63.679200000000002</v>
      </c>
      <c r="J55" s="75">
        <f t="shared" si="18"/>
        <v>75.394800000000004</v>
      </c>
      <c r="K55" s="75">
        <f t="shared" si="18"/>
        <v>81.190200000000004</v>
      </c>
      <c r="L55" s="75">
        <f t="shared" si="18"/>
        <v>59.911800000000007</v>
      </c>
      <c r="M55" s="75">
        <f t="shared" si="18"/>
        <v>68.583449999999999</v>
      </c>
      <c r="N55" s="75">
        <f t="shared" si="18"/>
        <v>68.09790000000001</v>
      </c>
    </row>
    <row r="56" spans="1:20" ht="12.75" x14ac:dyDescent="0.2">
      <c r="B56" s="66" t="s">
        <v>28</v>
      </c>
      <c r="C56" s="75">
        <f t="shared" ref="C56:N56" si="19">+C28*C42</f>
        <v>64.939644000000001</v>
      </c>
      <c r="D56" s="75">
        <f t="shared" si="19"/>
        <v>58.294565999999996</v>
      </c>
      <c r="E56" s="75">
        <f t="shared" si="19"/>
        <v>65.110715999999996</v>
      </c>
      <c r="F56" s="75">
        <f t="shared" si="19"/>
        <v>57.571073999999996</v>
      </c>
      <c r="G56" s="75">
        <f t="shared" si="19"/>
        <v>63.563939999999995</v>
      </c>
      <c r="H56" s="75">
        <f t="shared" si="19"/>
        <v>69.530075999999994</v>
      </c>
      <c r="I56" s="75">
        <f t="shared" si="19"/>
        <v>58.192991999999997</v>
      </c>
      <c r="J56" s="75">
        <f t="shared" si="19"/>
        <v>68.899248</v>
      </c>
      <c r="K56" s="75">
        <f t="shared" si="19"/>
        <v>74.195352</v>
      </c>
      <c r="L56" s="75">
        <f t="shared" si="19"/>
        <v>54.750168000000002</v>
      </c>
      <c r="M56" s="75">
        <f t="shared" si="19"/>
        <v>62.674721999999996</v>
      </c>
      <c r="N56" s="75">
        <f t="shared" si="19"/>
        <v>62.231004000000006</v>
      </c>
      <c r="P56" s="157"/>
    </row>
    <row r="57" spans="1:20" ht="12.75" x14ac:dyDescent="0.2">
      <c r="B57" s="66" t="s">
        <v>52</v>
      </c>
      <c r="C57" s="75">
        <f t="shared" ref="C57:N57" si="20">+C29*C43</f>
        <v>0</v>
      </c>
      <c r="D57" s="75">
        <f t="shared" si="20"/>
        <v>0</v>
      </c>
      <c r="E57" s="75">
        <f t="shared" si="20"/>
        <v>0</v>
      </c>
      <c r="F57" s="75">
        <f t="shared" si="20"/>
        <v>0</v>
      </c>
      <c r="G57" s="75">
        <f t="shared" si="20"/>
        <v>0</v>
      </c>
      <c r="H57" s="75">
        <f t="shared" si="20"/>
        <v>0</v>
      </c>
      <c r="I57" s="75">
        <f t="shared" si="20"/>
        <v>0</v>
      </c>
      <c r="J57" s="75">
        <f t="shared" si="20"/>
        <v>0</v>
      </c>
      <c r="K57" s="75">
        <f t="shared" si="20"/>
        <v>0</v>
      </c>
      <c r="L57" s="75">
        <f t="shared" si="20"/>
        <v>0</v>
      </c>
      <c r="M57" s="75">
        <f t="shared" si="20"/>
        <v>0</v>
      </c>
      <c r="N57" s="75">
        <f t="shared" si="20"/>
        <v>0</v>
      </c>
      <c r="P57" s="157"/>
    </row>
    <row r="58" spans="1:20" ht="12.75" x14ac:dyDescent="0.2">
      <c r="B58" s="66" t="s">
        <v>53</v>
      </c>
      <c r="C58" s="75">
        <f t="shared" ref="C58:N58" si="21">+C30*C44</f>
        <v>6.0129300000000008</v>
      </c>
      <c r="D58" s="75">
        <f t="shared" si="21"/>
        <v>5.3976449999999998</v>
      </c>
      <c r="E58" s="75">
        <f t="shared" si="21"/>
        <v>6.0287700000000006</v>
      </c>
      <c r="F58" s="75">
        <f t="shared" si="21"/>
        <v>5.3306550000000001</v>
      </c>
      <c r="G58" s="75">
        <f t="shared" si="21"/>
        <v>5.8855500000000003</v>
      </c>
      <c r="H58" s="75">
        <f t="shared" si="21"/>
        <v>6.4379700000000009</v>
      </c>
      <c r="I58" s="75">
        <f t="shared" si="21"/>
        <v>5.3882400000000006</v>
      </c>
      <c r="J58" s="75">
        <f t="shared" si="21"/>
        <v>6.3795599999999997</v>
      </c>
      <c r="K58" s="75">
        <f t="shared" si="21"/>
        <v>6.8699400000000006</v>
      </c>
      <c r="L58" s="75">
        <f t="shared" si="21"/>
        <v>5.0694600000000003</v>
      </c>
      <c r="M58" s="75">
        <f t="shared" si="21"/>
        <v>5.8032149999999998</v>
      </c>
      <c r="N58" s="75">
        <f t="shared" si="21"/>
        <v>5.7621300000000009</v>
      </c>
      <c r="P58" s="157"/>
    </row>
    <row r="59" spans="1:20" ht="12.75" x14ac:dyDescent="0.2">
      <c r="B59" s="66" t="s">
        <v>54</v>
      </c>
      <c r="C59" s="75">
        <f t="shared" ref="C59:N59" si="22">+C31*C45</f>
        <v>16.362458</v>
      </c>
      <c r="D59" s="75">
        <f t="shared" si="22"/>
        <v>14.688137000000001</v>
      </c>
      <c r="E59" s="75">
        <f t="shared" si="22"/>
        <v>16.405562</v>
      </c>
      <c r="F59" s="75">
        <f t="shared" si="22"/>
        <v>14.505843</v>
      </c>
      <c r="G59" s="75">
        <f t="shared" si="22"/>
        <v>16.015830000000001</v>
      </c>
      <c r="H59" s="75">
        <f t="shared" si="22"/>
        <v>17.519082000000001</v>
      </c>
      <c r="I59" s="75">
        <f t="shared" si="22"/>
        <v>14.662544</v>
      </c>
      <c r="J59" s="75">
        <f t="shared" si="22"/>
        <v>17.360136000000001</v>
      </c>
      <c r="K59" s="75">
        <f t="shared" si="22"/>
        <v>18.694564000000003</v>
      </c>
      <c r="L59" s="75">
        <f t="shared" si="22"/>
        <v>13.795076000000002</v>
      </c>
      <c r="M59" s="75">
        <f t="shared" si="22"/>
        <v>15.791779</v>
      </c>
      <c r="N59" s="75">
        <f t="shared" si="22"/>
        <v>15.679978000000002</v>
      </c>
      <c r="P59" s="157"/>
    </row>
    <row r="60" spans="1:20" ht="12.75" x14ac:dyDescent="0.2">
      <c r="B60" s="66" t="s">
        <v>55</v>
      </c>
      <c r="C60" s="96">
        <f t="shared" ref="C60:N60" si="23">+C32*C46</f>
        <v>2.7331500000000002</v>
      </c>
      <c r="D60" s="96">
        <f t="shared" si="23"/>
        <v>2.4534750000000001</v>
      </c>
      <c r="E60" s="96">
        <f t="shared" si="23"/>
        <v>2.7403499999999998</v>
      </c>
      <c r="F60" s="96">
        <f t="shared" si="23"/>
        <v>2.423025</v>
      </c>
      <c r="G60" s="96">
        <f t="shared" si="23"/>
        <v>2.6752499999999997</v>
      </c>
      <c r="H60" s="96">
        <f t="shared" si="23"/>
        <v>2.9263499999999998</v>
      </c>
      <c r="I60" s="96">
        <f t="shared" si="23"/>
        <v>2.4491999999999998</v>
      </c>
      <c r="J60" s="96">
        <f t="shared" si="23"/>
        <v>2.8997999999999999</v>
      </c>
      <c r="K60" s="96">
        <f t="shared" si="23"/>
        <v>3.1227</v>
      </c>
      <c r="L60" s="96">
        <f t="shared" si="23"/>
        <v>2.3043</v>
      </c>
      <c r="M60" s="96">
        <f t="shared" si="23"/>
        <v>2.6378249999999999</v>
      </c>
      <c r="N60" s="96">
        <f t="shared" si="23"/>
        <v>2.6191500000000003</v>
      </c>
      <c r="P60" s="157"/>
    </row>
    <row r="61" spans="1:20" ht="12.75" x14ac:dyDescent="0.2">
      <c r="B61" s="66" t="s">
        <v>56</v>
      </c>
      <c r="C61" s="75">
        <f t="shared" ref="C61:N61" si="24">+C33*C47</f>
        <v>0</v>
      </c>
      <c r="D61" s="75">
        <f t="shared" si="24"/>
        <v>0</v>
      </c>
      <c r="E61" s="75">
        <f t="shared" si="24"/>
        <v>0</v>
      </c>
      <c r="F61" s="75">
        <f t="shared" si="24"/>
        <v>0</v>
      </c>
      <c r="G61" s="75">
        <f t="shared" si="24"/>
        <v>0</v>
      </c>
      <c r="H61" s="75">
        <f t="shared" si="24"/>
        <v>0</v>
      </c>
      <c r="I61" s="75">
        <f t="shared" si="24"/>
        <v>0</v>
      </c>
      <c r="J61" s="75">
        <f t="shared" si="24"/>
        <v>0</v>
      </c>
      <c r="K61" s="75">
        <f t="shared" si="24"/>
        <v>0</v>
      </c>
      <c r="L61" s="75">
        <f t="shared" si="24"/>
        <v>0</v>
      </c>
      <c r="M61" s="75">
        <f t="shared" si="24"/>
        <v>0</v>
      </c>
      <c r="N61" s="75">
        <f t="shared" si="24"/>
        <v>0</v>
      </c>
      <c r="P61" s="157"/>
    </row>
    <row r="62" spans="1:20" ht="12.75" x14ac:dyDescent="0.2">
      <c r="B62" s="66" t="s">
        <v>49</v>
      </c>
      <c r="C62" s="75">
        <f t="shared" ref="C62:N62" si="25">+C34*C48</f>
        <v>64.429456000000002</v>
      </c>
      <c r="D62" s="75">
        <f t="shared" si="25"/>
        <v>57.836584000000002</v>
      </c>
      <c r="E62" s="75">
        <f>+E34*E48</f>
        <v>64.599184000000008</v>
      </c>
      <c r="F62" s="75">
        <f t="shared" si="25"/>
        <v>57.118776000000004</v>
      </c>
      <c r="G62" s="75">
        <f t="shared" si="25"/>
        <v>63.06456</v>
      </c>
      <c r="H62" s="75">
        <f t="shared" si="25"/>
        <v>68.983824000000013</v>
      </c>
      <c r="I62" s="75">
        <f t="shared" si="25"/>
        <v>57.735808000000006</v>
      </c>
      <c r="J62" s="75">
        <f t="shared" si="25"/>
        <v>68.357951999999997</v>
      </c>
      <c r="K62" s="75">
        <f t="shared" si="25"/>
        <v>73.612448000000015</v>
      </c>
      <c r="L62" s="75">
        <f t="shared" si="25"/>
        <v>54.320032000000005</v>
      </c>
      <c r="M62" s="75">
        <f t="shared" si="25"/>
        <v>62.182327999999998</v>
      </c>
      <c r="N62" s="75">
        <f t="shared" si="25"/>
        <v>61.742096000000011</v>
      </c>
      <c r="P62" s="157"/>
      <c r="Q62" s="60"/>
      <c r="R62" s="103"/>
      <c r="S62" s="158"/>
      <c r="T62" s="158"/>
    </row>
    <row r="63" spans="1:20" ht="12.75" x14ac:dyDescent="0.2">
      <c r="B63" s="66" t="s">
        <v>57</v>
      </c>
      <c r="C63" s="75">
        <f t="shared" ref="C63:N63" si="26">+C35*C49</f>
        <v>0</v>
      </c>
      <c r="D63" s="75">
        <f t="shared" si="26"/>
        <v>0</v>
      </c>
      <c r="E63" s="75">
        <f t="shared" si="26"/>
        <v>0</v>
      </c>
      <c r="F63" s="75">
        <f t="shared" si="26"/>
        <v>0</v>
      </c>
      <c r="G63" s="75">
        <f t="shared" si="26"/>
        <v>0</v>
      </c>
      <c r="H63" s="75">
        <f t="shared" si="26"/>
        <v>0</v>
      </c>
      <c r="I63" s="75">
        <f t="shared" si="26"/>
        <v>0</v>
      </c>
      <c r="J63" s="75">
        <f t="shared" si="26"/>
        <v>0</v>
      </c>
      <c r="K63" s="75">
        <f t="shared" si="26"/>
        <v>0</v>
      </c>
      <c r="L63" s="75">
        <f t="shared" si="26"/>
        <v>0</v>
      </c>
      <c r="M63" s="75">
        <f t="shared" si="26"/>
        <v>0</v>
      </c>
      <c r="N63" s="75">
        <f t="shared" si="26"/>
        <v>0</v>
      </c>
      <c r="P63" s="157"/>
      <c r="Q63" s="60"/>
      <c r="R63" s="103"/>
      <c r="S63" s="158"/>
      <c r="T63" s="158"/>
    </row>
    <row r="64" spans="1:20" ht="12.75" x14ac:dyDescent="0.2">
      <c r="B64" s="66" t="s">
        <v>58</v>
      </c>
      <c r="C64" s="75">
        <f t="shared" ref="C64:N64" si="27">+C36*C50</f>
        <v>21.610106000000048</v>
      </c>
      <c r="D64" s="75">
        <f t="shared" si="27"/>
        <v>19.398809000000043</v>
      </c>
      <c r="E64" s="75">
        <f>+E36*E50</f>
        <v>21.667034000000047</v>
      </c>
      <c r="F64" s="75">
        <f t="shared" si="27"/>
        <v>19.158051000000043</v>
      </c>
      <c r="G64" s="75">
        <f t="shared" si="27"/>
        <v>21.152310000000046</v>
      </c>
      <c r="H64" s="75">
        <f t="shared" si="27"/>
        <v>23.13767400000005</v>
      </c>
      <c r="I64" s="75">
        <f t="shared" si="27"/>
        <v>19.365008000000042</v>
      </c>
      <c r="J64" s="75">
        <f t="shared" si="27"/>
        <v>22.927752000000048</v>
      </c>
      <c r="K64" s="75">
        <f t="shared" si="27"/>
        <v>24.690148000000054</v>
      </c>
      <c r="L64" s="75">
        <f t="shared" si="27"/>
        <v>18.21933200000004</v>
      </c>
      <c r="M64" s="75">
        <f t="shared" si="27"/>
        <v>20.856403000000043</v>
      </c>
      <c r="N64" s="75">
        <f t="shared" si="27"/>
        <v>20.708746000000048</v>
      </c>
      <c r="P64" s="103"/>
      <c r="Q64" s="60"/>
      <c r="R64" s="103"/>
      <c r="S64" s="158"/>
      <c r="T64" s="158"/>
    </row>
    <row r="65" spans="1:21" ht="12.75" x14ac:dyDescent="0.2">
      <c r="B65" s="66" t="s">
        <v>59</v>
      </c>
      <c r="C65" s="90">
        <f t="shared" ref="C65:L65" si="28">+C7-SUM(C55:C64)</f>
        <v>117.27035599999991</v>
      </c>
      <c r="D65" s="90">
        <f t="shared" si="28"/>
        <v>105.27043399999997</v>
      </c>
      <c r="E65" s="90">
        <f t="shared" si="28"/>
        <v>117.57928399999992</v>
      </c>
      <c r="F65" s="90">
        <f t="shared" si="28"/>
        <v>103.96392599999996</v>
      </c>
      <c r="G65" s="90">
        <f t="shared" si="28"/>
        <v>114.78605999999994</v>
      </c>
      <c r="H65" s="90">
        <f t="shared" si="28"/>
        <v>125.55992399999991</v>
      </c>
      <c r="I65" s="90">
        <f t="shared" si="28"/>
        <v>105.08700799999997</v>
      </c>
      <c r="J65" s="90">
        <f t="shared" si="28"/>
        <v>124.42075199999994</v>
      </c>
      <c r="K65" s="90">
        <f t="shared" si="28"/>
        <v>133.98464799999988</v>
      </c>
      <c r="L65" s="90">
        <f t="shared" si="28"/>
        <v>98.869831999999946</v>
      </c>
      <c r="M65" s="90">
        <f>+M7-SUM(M55:M64)</f>
        <v>113.18027799999993</v>
      </c>
      <c r="N65" s="90">
        <f>+N7-SUM(N55:N64)</f>
        <v>112.37899599999994</v>
      </c>
      <c r="P65" s="103"/>
      <c r="Q65" s="60"/>
      <c r="R65" s="103"/>
      <c r="S65" s="158"/>
      <c r="T65" s="158"/>
    </row>
    <row r="66" spans="1:21" ht="12.75" x14ac:dyDescent="0.2">
      <c r="C66" s="75">
        <f t="shared" ref="C66:N66" si="29">SUM(C55:C65)</f>
        <v>364.42</v>
      </c>
      <c r="D66" s="75">
        <f t="shared" si="29"/>
        <v>327.13</v>
      </c>
      <c r="E66" s="75">
        <f t="shared" si="29"/>
        <v>365.38</v>
      </c>
      <c r="F66" s="75">
        <f t="shared" si="29"/>
        <v>323.07</v>
      </c>
      <c r="G66" s="75">
        <f t="shared" si="29"/>
        <v>356.7</v>
      </c>
      <c r="H66" s="75">
        <f t="shared" si="29"/>
        <v>390.18</v>
      </c>
      <c r="I66" s="75">
        <f t="shared" si="29"/>
        <v>326.56</v>
      </c>
      <c r="J66" s="75">
        <f t="shared" si="29"/>
        <v>386.64</v>
      </c>
      <c r="K66" s="75">
        <f t="shared" si="29"/>
        <v>416.36</v>
      </c>
      <c r="L66" s="75">
        <f t="shared" si="29"/>
        <v>307.24</v>
      </c>
      <c r="M66" s="75">
        <f t="shared" si="29"/>
        <v>351.71</v>
      </c>
      <c r="N66" s="75">
        <f t="shared" si="29"/>
        <v>349.22</v>
      </c>
      <c r="P66" s="103"/>
      <c r="Q66" s="60"/>
      <c r="R66" s="103"/>
      <c r="S66" s="158"/>
      <c r="T66" s="158"/>
    </row>
    <row r="67" spans="1:21" ht="8.1" customHeight="1" x14ac:dyDescent="0.2">
      <c r="P67" s="103"/>
      <c r="Q67" s="60"/>
      <c r="R67" s="103"/>
      <c r="S67" s="158"/>
      <c r="T67" s="158"/>
    </row>
    <row r="68" spans="1:21" ht="12.75" x14ac:dyDescent="0.2">
      <c r="A68" s="97" t="s">
        <v>63</v>
      </c>
      <c r="P68" s="103"/>
      <c r="Q68" s="60"/>
      <c r="R68" s="103"/>
      <c r="S68" s="158"/>
      <c r="T68" s="158"/>
    </row>
    <row r="69" spans="1:21" ht="12.75" x14ac:dyDescent="0.2">
      <c r="B69" s="66" t="s">
        <v>24</v>
      </c>
      <c r="C69" s="128">
        <v>75.095999999999989</v>
      </c>
      <c r="D69" s="128">
        <v>73.835999999999999</v>
      </c>
      <c r="E69" s="128">
        <v>74.444999999999993</v>
      </c>
      <c r="F69" s="128">
        <v>73.695999999999998</v>
      </c>
      <c r="G69" s="128">
        <v>67.003999999999991</v>
      </c>
      <c r="H69" s="128">
        <v>68.453000000000003</v>
      </c>
      <c r="I69" s="128">
        <v>63.755999999999993</v>
      </c>
      <c r="J69" s="128">
        <v>60.780999999999992</v>
      </c>
      <c r="K69" s="128">
        <v>59.100999999999999</v>
      </c>
      <c r="L69" s="128">
        <v>58.519999999999989</v>
      </c>
      <c r="M69" s="128">
        <v>59.919999999999995</v>
      </c>
      <c r="N69" s="128">
        <v>61.284999999999997</v>
      </c>
      <c r="P69" s="103"/>
      <c r="Q69" s="60"/>
      <c r="R69" s="158"/>
      <c r="S69" s="158"/>
      <c r="T69" s="158"/>
      <c r="U69" s="60"/>
    </row>
    <row r="70" spans="1:21" ht="12.75" x14ac:dyDescent="0.2">
      <c r="B70" s="66" t="s">
        <v>28</v>
      </c>
      <c r="C70" s="128">
        <v>99.538013913363088</v>
      </c>
      <c r="D70" s="128">
        <v>95.647999999999982</v>
      </c>
      <c r="E70" s="128">
        <v>101.63999999999999</v>
      </c>
      <c r="F70" s="128">
        <v>98.993999999999986</v>
      </c>
      <c r="G70" s="128">
        <v>91.475999999999999</v>
      </c>
      <c r="H70" s="128">
        <v>95.332999999999998</v>
      </c>
      <c r="I70" s="128">
        <v>93.1</v>
      </c>
      <c r="J70" s="128">
        <v>88.647999999999996</v>
      </c>
      <c r="K70" s="128">
        <v>85.644999999999996</v>
      </c>
      <c r="L70" s="128">
        <v>73.444000000000003</v>
      </c>
      <c r="M70" s="128">
        <v>71.742999999999995</v>
      </c>
      <c r="N70" s="128">
        <v>80.044999999999987</v>
      </c>
      <c r="P70" s="103"/>
      <c r="Q70" s="60"/>
      <c r="R70" s="160"/>
      <c r="S70" s="103"/>
      <c r="T70" s="158"/>
      <c r="U70" s="158"/>
    </row>
    <row r="71" spans="1:21" ht="12.75" x14ac:dyDescent="0.2">
      <c r="B71" s="66" t="s">
        <v>52</v>
      </c>
      <c r="C71" s="128"/>
      <c r="D71" s="128"/>
      <c r="E71" s="128"/>
      <c r="F71" s="128"/>
      <c r="G71" s="128"/>
      <c r="H71" s="128"/>
      <c r="I71" s="128" t="s">
        <v>98</v>
      </c>
      <c r="J71" s="128">
        <v>0</v>
      </c>
      <c r="K71" s="128"/>
      <c r="L71" s="128"/>
      <c r="M71" s="128"/>
      <c r="N71" s="128"/>
      <c r="P71" s="103"/>
      <c r="Q71" s="60"/>
      <c r="R71" s="160"/>
      <c r="S71" s="103"/>
      <c r="T71" s="158"/>
      <c r="U71" s="158"/>
    </row>
    <row r="72" spans="1:21" ht="12.75" x14ac:dyDescent="0.2">
      <c r="B72" s="66" t="s">
        <v>53</v>
      </c>
      <c r="C72" s="128">
        <v>80.184999999999988</v>
      </c>
      <c r="D72" s="128">
        <v>74.192999999999998</v>
      </c>
      <c r="E72" s="128">
        <v>73.751999999999995</v>
      </c>
      <c r="F72" s="128">
        <v>73.254999999999995</v>
      </c>
      <c r="G72" s="128">
        <v>76.705999999999989</v>
      </c>
      <c r="H72" s="128">
        <v>61.949999999999996</v>
      </c>
      <c r="I72" s="128">
        <v>52.856999999999999</v>
      </c>
      <c r="J72" s="128">
        <v>53.297999999999995</v>
      </c>
      <c r="K72" s="128">
        <v>53.024999999999999</v>
      </c>
      <c r="L72" s="128">
        <v>39.094999999999999</v>
      </c>
      <c r="M72" s="128">
        <v>39.753</v>
      </c>
      <c r="N72" s="128">
        <v>39.269999999999996</v>
      </c>
      <c r="Q72" s="60"/>
      <c r="R72" s="160"/>
      <c r="T72" s="158"/>
      <c r="U72" s="158"/>
    </row>
    <row r="73" spans="1:21" ht="12.75" x14ac:dyDescent="0.2">
      <c r="B73" s="66" t="s">
        <v>54</v>
      </c>
      <c r="C73" s="128">
        <v>189.09099999999998</v>
      </c>
      <c r="D73" s="128">
        <v>190.60999999999999</v>
      </c>
      <c r="E73" s="128">
        <v>213.80799999999999</v>
      </c>
      <c r="F73" s="128">
        <v>216.37</v>
      </c>
      <c r="G73" s="128">
        <v>238.16799999999998</v>
      </c>
      <c r="H73" s="128">
        <v>230.12499999999997</v>
      </c>
      <c r="I73" s="128">
        <v>209.37700000000001</v>
      </c>
      <c r="J73" s="128">
        <v>171.57</v>
      </c>
      <c r="K73" s="128">
        <v>130.49399999999997</v>
      </c>
      <c r="L73" s="128">
        <v>104.23699999999999</v>
      </c>
      <c r="M73" s="128">
        <v>119.26599999999999</v>
      </c>
      <c r="N73" s="128">
        <v>143.15699999999998</v>
      </c>
      <c r="Q73" s="60"/>
      <c r="R73" s="160"/>
      <c r="T73" s="158"/>
      <c r="U73" s="158"/>
    </row>
    <row r="74" spans="1:21" ht="12.75" x14ac:dyDescent="0.2">
      <c r="B74" s="66" t="s">
        <v>55</v>
      </c>
      <c r="C74" s="128">
        <v>1078.0139999999999</v>
      </c>
      <c r="D74" s="128">
        <v>1048.7190000000001</v>
      </c>
      <c r="E74" s="128">
        <v>1082.5429999999999</v>
      </c>
      <c r="F74" s="128">
        <v>1138.1859999999999</v>
      </c>
      <c r="G74" s="128">
        <v>1150.8559999999998</v>
      </c>
      <c r="H74" s="128">
        <v>1124.4870000000001</v>
      </c>
      <c r="I74" s="128">
        <v>1232</v>
      </c>
      <c r="J74" s="128">
        <v>1190</v>
      </c>
      <c r="K74" s="128">
        <v>1106</v>
      </c>
      <c r="L74" s="128">
        <v>1095.4089999999999</v>
      </c>
      <c r="M74" s="128">
        <v>1041.194</v>
      </c>
      <c r="N74" s="128">
        <v>970.33299999999997</v>
      </c>
      <c r="Q74" s="60"/>
      <c r="R74" s="60"/>
      <c r="S74" s="103"/>
      <c r="T74" s="158"/>
      <c r="U74" s="158"/>
    </row>
    <row r="75" spans="1:21" ht="12.75" x14ac:dyDescent="0.2">
      <c r="B75" s="66" t="s">
        <v>56</v>
      </c>
      <c r="C75" s="128"/>
      <c r="D75" s="128"/>
      <c r="E75" s="128"/>
      <c r="F75" s="128"/>
      <c r="G75" s="128"/>
      <c r="H75" s="128"/>
      <c r="I75" s="128" t="s">
        <v>98</v>
      </c>
      <c r="J75" s="128">
        <v>0</v>
      </c>
      <c r="K75" s="128"/>
      <c r="L75" s="128"/>
      <c r="M75" s="128"/>
      <c r="N75" s="128"/>
      <c r="Q75" s="60"/>
      <c r="R75" s="60"/>
      <c r="S75" s="103"/>
      <c r="T75" s="158"/>
      <c r="U75" s="158"/>
    </row>
    <row r="76" spans="1:21" ht="12.75" x14ac:dyDescent="0.2">
      <c r="B76" s="66" t="s">
        <v>49</v>
      </c>
      <c r="C76" s="128">
        <v>-15.18</v>
      </c>
      <c r="D76" s="128">
        <v>-6.98</v>
      </c>
      <c r="E76" s="128">
        <v>-7.6</v>
      </c>
      <c r="F76" s="128">
        <v>-8.7100000000000009</v>
      </c>
      <c r="G76" s="128">
        <v>2.6</v>
      </c>
      <c r="H76" s="128">
        <v>0.99399999999999988</v>
      </c>
      <c r="I76" s="128">
        <v>-2.9539999999999997</v>
      </c>
      <c r="J76" s="128">
        <v>-4.7669999999999995</v>
      </c>
      <c r="K76" s="128">
        <v>-3.9339999999999997</v>
      </c>
      <c r="L76" s="128">
        <v>-9.113999999999999</v>
      </c>
      <c r="M76" s="128">
        <v>-5.194</v>
      </c>
      <c r="N76" s="128">
        <v>-13.93</v>
      </c>
      <c r="Q76" s="60"/>
      <c r="R76" s="60"/>
      <c r="S76" s="103"/>
      <c r="T76" s="158"/>
      <c r="U76" s="158"/>
    </row>
    <row r="77" spans="1:21" ht="12.75" x14ac:dyDescent="0.2">
      <c r="B77" s="66" t="s">
        <v>57</v>
      </c>
      <c r="C77" s="128">
        <v>-120.17</v>
      </c>
      <c r="D77" s="128">
        <v>-120.17</v>
      </c>
      <c r="E77" s="128">
        <v>-120.17</v>
      </c>
      <c r="F77" s="128">
        <v>-120.17</v>
      </c>
      <c r="G77" s="128">
        <v>-120.17</v>
      </c>
      <c r="H77" s="128">
        <v>-120.17</v>
      </c>
      <c r="I77" s="128">
        <v>-120.17</v>
      </c>
      <c r="J77" s="128">
        <v>-120.17</v>
      </c>
      <c r="K77" s="128">
        <v>-120.17</v>
      </c>
      <c r="L77" s="128">
        <v>-120.17</v>
      </c>
      <c r="M77" s="128">
        <v>-120.17</v>
      </c>
      <c r="N77" s="128">
        <v>-120.17</v>
      </c>
      <c r="Q77" s="60"/>
      <c r="R77" s="60"/>
      <c r="S77" s="158"/>
      <c r="T77" s="158"/>
      <c r="U77" s="158"/>
    </row>
    <row r="78" spans="1:21" x14ac:dyDescent="0.2">
      <c r="B78" s="66" t="s">
        <v>58</v>
      </c>
      <c r="C78" s="128">
        <v>-120.17</v>
      </c>
      <c r="D78" s="128">
        <v>-120.17</v>
      </c>
      <c r="E78" s="128">
        <v>-120.17</v>
      </c>
      <c r="F78" s="128">
        <v>-120.17</v>
      </c>
      <c r="G78" s="128">
        <v>-120.17</v>
      </c>
      <c r="H78" s="128">
        <v>-120.17</v>
      </c>
      <c r="I78" s="128">
        <v>-120.17</v>
      </c>
      <c r="J78" s="128">
        <v>-120.17</v>
      </c>
      <c r="K78" s="128">
        <v>-120.17</v>
      </c>
      <c r="L78" s="128">
        <v>-120.17</v>
      </c>
      <c r="M78" s="128">
        <v>-120.17</v>
      </c>
      <c r="N78" s="128">
        <v>-120.17</v>
      </c>
      <c r="R78" s="103"/>
      <c r="S78" s="103"/>
    </row>
    <row r="79" spans="1:21" x14ac:dyDescent="0.2">
      <c r="B79" s="66" t="s">
        <v>59</v>
      </c>
      <c r="C79" s="128">
        <v>70.069999999999993</v>
      </c>
      <c r="D79" s="128">
        <v>68.361999999999995</v>
      </c>
      <c r="E79" s="128">
        <v>68.417999999999992</v>
      </c>
      <c r="F79" s="128">
        <v>68.018999999999991</v>
      </c>
      <c r="G79" s="128">
        <v>62.811</v>
      </c>
      <c r="H79" s="128">
        <v>60.717999999999989</v>
      </c>
      <c r="I79" s="128">
        <v>56.370999999999995</v>
      </c>
      <c r="J79" s="128">
        <v>53.717999999999996</v>
      </c>
      <c r="K79" s="128">
        <v>53.255999999999993</v>
      </c>
      <c r="L79" s="128">
        <v>51.967999999999996</v>
      </c>
      <c r="M79" s="128">
        <v>56.069999999999993</v>
      </c>
      <c r="N79" s="128">
        <v>56.069999999999993</v>
      </c>
      <c r="O79" s="111">
        <f>SUM(C69:N79)</f>
        <v>15769.502013913374</v>
      </c>
    </row>
    <row r="80" spans="1:21" ht="8.1" customHeight="1" x14ac:dyDescent="0.2"/>
    <row r="81" spans="1:16" x14ac:dyDescent="0.2">
      <c r="A81" s="83" t="s">
        <v>64</v>
      </c>
    </row>
    <row r="82" spans="1:16" x14ac:dyDescent="0.2">
      <c r="B82" s="66" t="s">
        <v>24</v>
      </c>
      <c r="C82" s="98">
        <f>+C69*C55</f>
        <v>5336.4644423999998</v>
      </c>
      <c r="D82" s="75">
        <f t="shared" ref="D82:J82" si="30">+D69*D55</f>
        <v>4710.0242826000003</v>
      </c>
      <c r="E82" s="75">
        <f>+E69*E55</f>
        <v>5304.1392494999991</v>
      </c>
      <c r="F82" s="75">
        <f t="shared" si="30"/>
        <v>4642.7485103999998</v>
      </c>
      <c r="G82" s="75">
        <f t="shared" si="30"/>
        <v>4660.5637259999994</v>
      </c>
      <c r="H82" s="75">
        <f t="shared" si="30"/>
        <v>5208.2533503000004</v>
      </c>
      <c r="I82" s="75">
        <f t="shared" si="30"/>
        <v>4059.9310751999997</v>
      </c>
      <c r="J82" s="75">
        <f t="shared" si="30"/>
        <v>4582.5713387999995</v>
      </c>
      <c r="K82" s="75">
        <f t="shared" ref="K82:M92" si="31">+K69*K55</f>
        <v>4798.4220101999999</v>
      </c>
      <c r="L82" s="75">
        <f>+L69*L55</f>
        <v>3506.0385359999996</v>
      </c>
      <c r="M82" s="75">
        <f>+M69*M55</f>
        <v>4109.5203239999992</v>
      </c>
      <c r="N82" s="75">
        <f>+N69*N55</f>
        <v>4173.3798015000002</v>
      </c>
    </row>
    <row r="83" spans="1:16" x14ac:dyDescent="0.2">
      <c r="B83" s="66" t="s">
        <v>28</v>
      </c>
      <c r="C83" s="98">
        <f t="shared" ref="C83:J83" si="32">+C70*C56</f>
        <v>6463.9631880008455</v>
      </c>
      <c r="D83" s="75">
        <f t="shared" si="32"/>
        <v>5575.7586487679982</v>
      </c>
      <c r="E83" s="75">
        <f t="shared" si="32"/>
        <v>6617.8531742399991</v>
      </c>
      <c r="F83" s="75">
        <f t="shared" si="32"/>
        <v>5699.1908995559988</v>
      </c>
      <c r="G83" s="75">
        <f t="shared" si="32"/>
        <v>5814.5749754399994</v>
      </c>
      <c r="H83" s="75">
        <f t="shared" si="32"/>
        <v>6628.5107353079993</v>
      </c>
      <c r="I83" s="75">
        <f t="shared" si="32"/>
        <v>5417.7675551999992</v>
      </c>
      <c r="J83" s="75">
        <f t="shared" si="32"/>
        <v>6107.780536704</v>
      </c>
      <c r="K83" s="75">
        <f t="shared" si="31"/>
        <v>6354.4609220399998</v>
      </c>
      <c r="L83" s="75">
        <f t="shared" si="31"/>
        <v>4021.0713385920003</v>
      </c>
      <c r="M83" s="75">
        <f t="shared" si="31"/>
        <v>4496.4725804459995</v>
      </c>
      <c r="N83" s="75">
        <f>+N70*N56</f>
        <v>4981.2807151799998</v>
      </c>
    </row>
    <row r="84" spans="1:16" x14ac:dyDescent="0.2">
      <c r="B84" s="66" t="s">
        <v>52</v>
      </c>
      <c r="C84" s="98">
        <f t="shared" ref="C84:J84" si="33">+C71*C57</f>
        <v>0</v>
      </c>
      <c r="D84" s="75">
        <f t="shared" si="33"/>
        <v>0</v>
      </c>
      <c r="E84" s="75">
        <f t="shared" si="33"/>
        <v>0</v>
      </c>
      <c r="F84" s="75">
        <f t="shared" si="33"/>
        <v>0</v>
      </c>
      <c r="G84" s="75">
        <f t="shared" si="33"/>
        <v>0</v>
      </c>
      <c r="H84" s="75">
        <f t="shared" si="33"/>
        <v>0</v>
      </c>
      <c r="I84" s="75"/>
      <c r="J84" s="75">
        <f t="shared" si="33"/>
        <v>0</v>
      </c>
      <c r="K84" s="75">
        <f t="shared" si="31"/>
        <v>0</v>
      </c>
      <c r="L84" s="75">
        <f t="shared" si="31"/>
        <v>0</v>
      </c>
      <c r="M84" s="75">
        <f>+M71*M57</f>
        <v>0</v>
      </c>
      <c r="N84" s="75">
        <f t="shared" ref="N84:N92" si="34">+N71*N57</f>
        <v>0</v>
      </c>
    </row>
    <row r="85" spans="1:16" x14ac:dyDescent="0.2">
      <c r="B85" s="66" t="s">
        <v>53</v>
      </c>
      <c r="C85" s="98">
        <f t="shared" ref="C85:J85" si="35">+C72*C58</f>
        <v>482.14679204999999</v>
      </c>
      <c r="D85" s="75">
        <f t="shared" si="35"/>
        <v>400.46747548499997</v>
      </c>
      <c r="E85" s="75">
        <f t="shared" si="35"/>
        <v>444.63384504000004</v>
      </c>
      <c r="F85" s="75">
        <f t="shared" si="35"/>
        <v>390.49713202499998</v>
      </c>
      <c r="G85" s="75">
        <f t="shared" si="35"/>
        <v>451.45699829999995</v>
      </c>
      <c r="H85" s="75">
        <f t="shared" si="35"/>
        <v>398.83224150000001</v>
      </c>
      <c r="I85" s="75">
        <f t="shared" si="35"/>
        <v>284.80620168000002</v>
      </c>
      <c r="J85" s="75">
        <f t="shared" si="35"/>
        <v>340.01778887999996</v>
      </c>
      <c r="K85" s="75">
        <f t="shared" si="31"/>
        <v>364.27856850000001</v>
      </c>
      <c r="L85" s="75">
        <f t="shared" si="31"/>
        <v>198.19053870000002</v>
      </c>
      <c r="M85" s="75">
        <f t="shared" si="31"/>
        <v>230.69520589499999</v>
      </c>
      <c r="N85" s="75">
        <f t="shared" si="34"/>
        <v>226.27884510000001</v>
      </c>
    </row>
    <row r="86" spans="1:16" x14ac:dyDescent="0.2">
      <c r="B86" s="66" t="s">
        <v>54</v>
      </c>
      <c r="C86" s="98">
        <f t="shared" ref="C86:J86" si="36">+C73*C59</f>
        <v>3093.9935456779999</v>
      </c>
      <c r="D86" s="75">
        <f t="shared" si="36"/>
        <v>2799.70579357</v>
      </c>
      <c r="E86" s="75">
        <f t="shared" si="36"/>
        <v>3507.6404000959997</v>
      </c>
      <c r="F86" s="75">
        <f t="shared" si="36"/>
        <v>3138.62924991</v>
      </c>
      <c r="G86" s="75">
        <f t="shared" si="36"/>
        <v>3814.45819944</v>
      </c>
      <c r="H86" s="75">
        <f t="shared" si="36"/>
        <v>4031.5787452499999</v>
      </c>
      <c r="I86" s="75">
        <f t="shared" si="36"/>
        <v>3069.9994750880001</v>
      </c>
      <c r="J86" s="75">
        <f t="shared" si="36"/>
        <v>2978.4785335199999</v>
      </c>
      <c r="K86" s="75">
        <f t="shared" si="31"/>
        <v>2439.5284346159997</v>
      </c>
      <c r="L86" s="75">
        <f t="shared" si="31"/>
        <v>1437.9573370120002</v>
      </c>
      <c r="M86" s="75">
        <f t="shared" si="31"/>
        <v>1883.4223142139999</v>
      </c>
      <c r="N86" s="75">
        <f t="shared" si="34"/>
        <v>2244.6986105460001</v>
      </c>
    </row>
    <row r="87" spans="1:16" x14ac:dyDescent="0.2">
      <c r="B87" s="66" t="s">
        <v>55</v>
      </c>
      <c r="C87" s="98">
        <f t="shared" ref="C87:J87" si="37">+C74*C60</f>
        <v>2946.3739640999997</v>
      </c>
      <c r="D87" s="75">
        <f t="shared" si="37"/>
        <v>2573.0058485250001</v>
      </c>
      <c r="E87" s="75">
        <f t="shared" si="37"/>
        <v>2966.5467100499995</v>
      </c>
      <c r="F87" s="75">
        <f t="shared" si="37"/>
        <v>2757.8531326499997</v>
      </c>
      <c r="G87" s="75">
        <f t="shared" si="37"/>
        <v>3078.8275139999992</v>
      </c>
      <c r="H87" s="75">
        <f t="shared" si="37"/>
        <v>3290.6425324500001</v>
      </c>
      <c r="I87" s="75">
        <f t="shared" si="37"/>
        <v>3017.4143999999997</v>
      </c>
      <c r="J87" s="75">
        <f t="shared" si="37"/>
        <v>3450.7619999999997</v>
      </c>
      <c r="K87" s="75">
        <f t="shared" si="31"/>
        <v>3453.7062000000001</v>
      </c>
      <c r="L87" s="75">
        <f t="shared" si="31"/>
        <v>2524.1509586999996</v>
      </c>
      <c r="M87" s="75">
        <f t="shared" si="31"/>
        <v>2746.4875630499996</v>
      </c>
      <c r="N87" s="75">
        <f>+N74*N60</f>
        <v>2541.4476769500002</v>
      </c>
    </row>
    <row r="88" spans="1:16" x14ac:dyDescent="0.2">
      <c r="B88" s="66" t="s">
        <v>56</v>
      </c>
      <c r="C88" s="98">
        <f t="shared" ref="C88:J88" si="38">+C75*C61</f>
        <v>0</v>
      </c>
      <c r="D88" s="75">
        <f t="shared" si="38"/>
        <v>0</v>
      </c>
      <c r="E88" s="75">
        <f t="shared" si="38"/>
        <v>0</v>
      </c>
      <c r="F88" s="75">
        <f t="shared" si="38"/>
        <v>0</v>
      </c>
      <c r="G88" s="75">
        <f t="shared" si="38"/>
        <v>0</v>
      </c>
      <c r="H88" s="75">
        <f t="shared" si="38"/>
        <v>0</v>
      </c>
      <c r="I88" s="75"/>
      <c r="J88" s="75">
        <f t="shared" si="38"/>
        <v>0</v>
      </c>
      <c r="K88" s="75">
        <f t="shared" si="31"/>
        <v>0</v>
      </c>
      <c r="L88" s="75">
        <f t="shared" si="31"/>
        <v>0</v>
      </c>
      <c r="M88" s="75">
        <f>+M75*M61</f>
        <v>0</v>
      </c>
      <c r="N88" s="75">
        <f t="shared" si="34"/>
        <v>0</v>
      </c>
    </row>
    <row r="89" spans="1:16" x14ac:dyDescent="0.2">
      <c r="B89" s="66" t="s">
        <v>49</v>
      </c>
      <c r="C89" s="98">
        <f t="shared" ref="C89:J89" si="39">+C76*C62</f>
        <v>-978.03914208000003</v>
      </c>
      <c r="D89" s="75">
        <f t="shared" si="39"/>
        <v>-403.69935632000005</v>
      </c>
      <c r="E89" s="75">
        <f t="shared" si="39"/>
        <v>-490.95379840000004</v>
      </c>
      <c r="F89" s="75">
        <f t="shared" si="39"/>
        <v>-497.5045389600001</v>
      </c>
      <c r="G89" s="75">
        <f t="shared" si="39"/>
        <v>163.96785600000001</v>
      </c>
      <c r="H89" s="75">
        <f t="shared" si="39"/>
        <v>68.569921055999998</v>
      </c>
      <c r="I89" s="75">
        <f t="shared" si="39"/>
        <v>-170.55157683199999</v>
      </c>
      <c r="J89" s="75">
        <f t="shared" si="39"/>
        <v>-325.86235718399996</v>
      </c>
      <c r="K89" s="75">
        <f t="shared" si="31"/>
        <v>-289.59137043200002</v>
      </c>
      <c r="L89" s="75">
        <f t="shared" si="31"/>
        <v>-495.07277164800001</v>
      </c>
      <c r="M89" s="75">
        <f t="shared" si="31"/>
        <v>-322.97501163199996</v>
      </c>
      <c r="N89" s="75">
        <f t="shared" si="34"/>
        <v>-860.06739728000014</v>
      </c>
    </row>
    <row r="90" spans="1:16" x14ac:dyDescent="0.2">
      <c r="B90" s="66" t="s">
        <v>57</v>
      </c>
      <c r="C90" s="98">
        <f t="shared" ref="C90:J90" si="40">+C77*C63</f>
        <v>0</v>
      </c>
      <c r="D90" s="75">
        <f t="shared" si="40"/>
        <v>0</v>
      </c>
      <c r="E90" s="75">
        <f t="shared" si="40"/>
        <v>0</v>
      </c>
      <c r="F90" s="75">
        <f t="shared" si="40"/>
        <v>0</v>
      </c>
      <c r="G90" s="75">
        <f t="shared" si="40"/>
        <v>0</v>
      </c>
      <c r="H90" s="75">
        <f t="shared" si="40"/>
        <v>0</v>
      </c>
      <c r="I90" s="75">
        <f t="shared" si="40"/>
        <v>0</v>
      </c>
      <c r="J90" s="75">
        <f t="shared" si="40"/>
        <v>0</v>
      </c>
      <c r="K90" s="75">
        <f t="shared" si="31"/>
        <v>0</v>
      </c>
      <c r="L90" s="75">
        <f t="shared" si="31"/>
        <v>0</v>
      </c>
      <c r="M90" s="75">
        <f t="shared" si="31"/>
        <v>0</v>
      </c>
      <c r="N90" s="75">
        <f t="shared" si="34"/>
        <v>0</v>
      </c>
    </row>
    <row r="91" spans="1:16" x14ac:dyDescent="0.2">
      <c r="B91" s="66" t="s">
        <v>58</v>
      </c>
      <c r="C91" s="98">
        <f t="shared" ref="C91:J91" si="41">+C78*C64</f>
        <v>-2596.8864380200057</v>
      </c>
      <c r="D91" s="75">
        <f t="shared" si="41"/>
        <v>-2331.1548775300053</v>
      </c>
      <c r="E91" s="75">
        <f t="shared" si="41"/>
        <v>-2603.7274757800055</v>
      </c>
      <c r="F91" s="75">
        <f t="shared" si="41"/>
        <v>-2302.2229886700052</v>
      </c>
      <c r="G91" s="75">
        <f t="shared" si="41"/>
        <v>-2541.8730927000056</v>
      </c>
      <c r="H91" s="75">
        <f t="shared" si="41"/>
        <v>-2780.4542845800061</v>
      </c>
      <c r="I91" s="75">
        <f t="shared" si="41"/>
        <v>-2327.0930113600052</v>
      </c>
      <c r="J91" s="75">
        <f t="shared" si="41"/>
        <v>-2755.2279578400057</v>
      </c>
      <c r="K91" s="75">
        <f t="shared" si="31"/>
        <v>-2967.0150851600065</v>
      </c>
      <c r="L91" s="75">
        <f t="shared" si="31"/>
        <v>-2189.4171264400047</v>
      </c>
      <c r="M91" s="75">
        <f t="shared" si="31"/>
        <v>-2506.313948510005</v>
      </c>
      <c r="N91" s="75">
        <f t="shared" si="34"/>
        <v>-2488.5700068200058</v>
      </c>
    </row>
    <row r="92" spans="1:16" x14ac:dyDescent="0.2">
      <c r="B92" s="66" t="s">
        <v>59</v>
      </c>
      <c r="C92" s="99">
        <f t="shared" ref="C92:J92" si="42">+C79*C65</f>
        <v>8217.133844919992</v>
      </c>
      <c r="D92" s="90">
        <f t="shared" si="42"/>
        <v>7196.4974091079976</v>
      </c>
      <c r="E92" s="90">
        <f t="shared" si="42"/>
        <v>8044.5394527119934</v>
      </c>
      <c r="F92" s="90">
        <f t="shared" si="42"/>
        <v>7071.5222825939964</v>
      </c>
      <c r="G92" s="90">
        <f t="shared" si="42"/>
        <v>7209.8272146599957</v>
      </c>
      <c r="H92" s="90">
        <f t="shared" si="42"/>
        <v>7623.7474654319931</v>
      </c>
      <c r="I92" s="90">
        <f t="shared" si="42"/>
        <v>5923.859727967998</v>
      </c>
      <c r="J92" s="90">
        <f t="shared" si="42"/>
        <v>6683.6339559359958</v>
      </c>
      <c r="K92" s="90">
        <f t="shared" si="31"/>
        <v>7135.486413887993</v>
      </c>
      <c r="L92" s="90">
        <f t="shared" si="31"/>
        <v>5138.0674293759967</v>
      </c>
      <c r="M92" s="90">
        <f t="shared" si="31"/>
        <v>6346.0181874599957</v>
      </c>
      <c r="N92" s="75">
        <f t="shared" si="34"/>
        <v>6301.0903057199957</v>
      </c>
    </row>
    <row r="93" spans="1:16" x14ac:dyDescent="0.2">
      <c r="A93" s="83" t="s">
        <v>65</v>
      </c>
      <c r="B93" s="83"/>
      <c r="C93" s="100">
        <f t="shared" ref="C93:J93" si="43">SUM(C82:C92)</f>
        <v>22965.150197048832</v>
      </c>
      <c r="D93" s="101">
        <f t="shared" si="43"/>
        <v>20520.605224205989</v>
      </c>
      <c r="E93" s="101">
        <f t="shared" si="43"/>
        <v>23790.671557457979</v>
      </c>
      <c r="F93" s="101">
        <f t="shared" si="43"/>
        <v>20900.713679504988</v>
      </c>
      <c r="G93" s="101">
        <f t="shared" si="43"/>
        <v>22651.803391139991</v>
      </c>
      <c r="H93" s="101">
        <f t="shared" si="43"/>
        <v>24469.68070671599</v>
      </c>
      <c r="I93" s="101">
        <f t="shared" si="43"/>
        <v>19276.133846943987</v>
      </c>
      <c r="J93" s="101">
        <f t="shared" si="43"/>
        <v>21062.15383881599</v>
      </c>
      <c r="K93" s="101">
        <f>SUM(K82:K92)</f>
        <v>21289.276093651984</v>
      </c>
      <c r="L93" s="101">
        <f>SUM(L82:L92)</f>
        <v>14140.986240291992</v>
      </c>
      <c r="M93" s="101">
        <f>SUM(M82:M92)</f>
        <v>16983.327214922989</v>
      </c>
      <c r="N93" s="110">
        <f>SUM(N82:N92)</f>
        <v>17119.538550895988</v>
      </c>
      <c r="O93" s="246">
        <f>SUM(C93:N93)</f>
        <v>245170.04054159671</v>
      </c>
      <c r="P93" s="246">
        <f>O93*50%</f>
        <v>122585.02027079836</v>
      </c>
    </row>
    <row r="94" spans="1:16" x14ac:dyDescent="0.2">
      <c r="A94" s="83" t="s">
        <v>66</v>
      </c>
      <c r="B94" s="83"/>
      <c r="C94" s="100">
        <f>+C93/C66</f>
        <v>63.018358479361261</v>
      </c>
      <c r="D94" s="101">
        <f t="shared" ref="D94:J94" si="44">+D93/D66</f>
        <v>62.729206199999965</v>
      </c>
      <c r="E94" s="101">
        <f>+E93/E66</f>
        <v>65.112134099999949</v>
      </c>
      <c r="F94" s="101">
        <f t="shared" si="44"/>
        <v>64.694071499999964</v>
      </c>
      <c r="G94" s="101">
        <f t="shared" si="44"/>
        <v>63.503794199999973</v>
      </c>
      <c r="H94" s="101">
        <f t="shared" si="44"/>
        <v>62.713826199999971</v>
      </c>
      <c r="I94" s="101">
        <f t="shared" si="44"/>
        <v>59.027847399999963</v>
      </c>
      <c r="J94" s="101">
        <f t="shared" si="44"/>
        <v>54.474844399999974</v>
      </c>
      <c r="K94" s="101">
        <f>+K93/K66</f>
        <v>51.131895699999959</v>
      </c>
      <c r="L94" s="101">
        <f>+L93/L66</f>
        <v>46.025863299999969</v>
      </c>
      <c r="M94" s="75">
        <f>+M93/M66</f>
        <v>48.287871299999971</v>
      </c>
      <c r="N94" s="75">
        <f>+N93/N66</f>
        <v>49.02221679999996</v>
      </c>
    </row>
    <row r="95" spans="1:16" ht="8.1" customHeight="1" x14ac:dyDescent="0.2"/>
    <row r="96" spans="1:16" x14ac:dyDescent="0.2">
      <c r="A96" s="83" t="s">
        <v>82</v>
      </c>
      <c r="C96" s="111">
        <f>C94*0.7</f>
        <v>44.112850935552878</v>
      </c>
      <c r="D96" s="111">
        <f t="shared" ref="D96:L96" si="45">D94*0.7</f>
        <v>43.91044433999997</v>
      </c>
      <c r="E96" s="111">
        <f>E94*0.7</f>
        <v>45.57849386999996</v>
      </c>
      <c r="F96" s="111">
        <f t="shared" si="45"/>
        <v>45.285850049999972</v>
      </c>
      <c r="G96" s="111">
        <f t="shared" si="45"/>
        <v>44.452655939999978</v>
      </c>
      <c r="H96" s="111">
        <f t="shared" si="45"/>
        <v>43.89967833999998</v>
      </c>
      <c r="I96" s="111">
        <f t="shared" si="45"/>
        <v>41.319493179999974</v>
      </c>
      <c r="J96" s="111">
        <f t="shared" si="45"/>
        <v>38.132391079999977</v>
      </c>
      <c r="K96" s="111">
        <f t="shared" si="45"/>
        <v>35.792326989999971</v>
      </c>
      <c r="L96" s="111">
        <f t="shared" si="45"/>
        <v>32.21810430999998</v>
      </c>
      <c r="M96" s="111">
        <f>M94*0.7</f>
        <v>33.801509909999979</v>
      </c>
      <c r="N96" s="111">
        <f>N94*0.7</f>
        <v>34.31555175999997</v>
      </c>
    </row>
    <row r="97" spans="1:10" x14ac:dyDescent="0.2">
      <c r="C97" s="102"/>
      <c r="D97" s="102"/>
      <c r="E97" s="102"/>
      <c r="F97" s="102"/>
      <c r="G97" s="102"/>
      <c r="H97" s="102"/>
      <c r="I97" s="102"/>
      <c r="J97" s="103"/>
    </row>
    <row r="98" spans="1:10" x14ac:dyDescent="0.2">
      <c r="A98" s="83"/>
      <c r="B98" s="83"/>
      <c r="C98" s="100"/>
      <c r="D98" s="100"/>
      <c r="E98" s="100"/>
      <c r="F98" s="100"/>
      <c r="G98" s="100"/>
      <c r="H98" s="100"/>
      <c r="I98" s="100"/>
      <c r="J98" s="104"/>
    </row>
    <row r="99" spans="1:10" ht="8.1" customHeight="1" x14ac:dyDescent="0.2">
      <c r="C99" s="103"/>
      <c r="D99" s="103"/>
      <c r="E99" s="103"/>
      <c r="F99" s="103"/>
      <c r="G99" s="103"/>
      <c r="H99" s="103"/>
      <c r="I99" s="103"/>
      <c r="J99" s="103"/>
    </row>
    <row r="100" spans="1:10" x14ac:dyDescent="0.2">
      <c r="A100" s="83"/>
      <c r="B100" s="83"/>
      <c r="C100" s="104"/>
      <c r="D100" s="104"/>
      <c r="E100" s="104"/>
      <c r="F100" s="104"/>
      <c r="G100" s="104"/>
      <c r="H100" s="104"/>
      <c r="I100" s="104"/>
      <c r="J100" s="104"/>
    </row>
    <row r="101" spans="1:10" ht="8.1" customHeight="1" x14ac:dyDescent="0.2">
      <c r="C101" s="103"/>
      <c r="D101" s="103"/>
      <c r="E101" s="103"/>
      <c r="F101" s="103"/>
      <c r="G101" s="103"/>
      <c r="H101" s="103"/>
      <c r="I101" s="103"/>
      <c r="J101" s="103"/>
    </row>
    <row r="102" spans="1:10" x14ac:dyDescent="0.2">
      <c r="A102" s="83"/>
      <c r="C102" s="102"/>
      <c r="D102" s="102"/>
      <c r="E102" s="102"/>
      <c r="F102" s="102"/>
      <c r="G102" s="102"/>
      <c r="H102" s="102"/>
      <c r="I102" s="102"/>
      <c r="J102" s="105"/>
    </row>
    <row r="105" spans="1:10" x14ac:dyDescent="0.2">
      <c r="B105" s="66" t="str">
        <f ca="1">CELL("filename")</f>
        <v>S:\District\~WUTC Files~\1. RSA\2017-2019 Plan Year\UTC Filing 12-2018\Revised Filing\Bellevue\[Revised TG-181020 fixed Staff comm CR RS adjust.xlsx]Staff Analysis</v>
      </c>
    </row>
  </sheetData>
  <phoneticPr fontId="0" type="noConversion"/>
  <pageMargins left="0.5" right="0.5" top="0.75" bottom="0.75" header="0.5" footer="0.5"/>
  <pageSetup scale="66" fitToWidth="0" orientation="portrait" r:id="rId1"/>
  <headerFooter alignWithMargins="0"/>
  <rowBreaks count="1" manualBreakCount="1">
    <brk id="53" max="13" man="1"/>
  </rowBreaks>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A104"/>
  <sheetViews>
    <sheetView showGridLines="0" topLeftCell="A35" zoomScaleNormal="100" workbookViewId="0">
      <selection activeCell="M65" sqref="M65"/>
    </sheetView>
  </sheetViews>
  <sheetFormatPr defaultColWidth="9.140625" defaultRowHeight="12.75" x14ac:dyDescent="0.2"/>
  <cols>
    <col min="1" max="1" width="14.855468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8.7109375" style="5" bestFit="1" customWidth="1"/>
    <col min="10" max="10" width="10.85546875" style="5" customWidth="1"/>
    <col min="11" max="11" width="7.140625" style="5"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2015</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99</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144" t="str">
        <f>+F6</f>
        <v>Revenue</v>
      </c>
      <c r="P6" s="113"/>
    </row>
    <row r="7" spans="1:27" s="16" customFormat="1" ht="11.25" x14ac:dyDescent="0.2">
      <c r="A7" s="15" t="s">
        <v>5</v>
      </c>
      <c r="B7" s="12" t="s">
        <v>100</v>
      </c>
      <c r="C7" s="12"/>
      <c r="D7" s="12" t="s">
        <v>3</v>
      </c>
      <c r="E7" s="12"/>
      <c r="F7" s="12" t="s">
        <v>101</v>
      </c>
      <c r="G7" s="12"/>
      <c r="H7" s="12"/>
      <c r="I7" s="12"/>
      <c r="J7" s="12" t="s">
        <v>102</v>
      </c>
      <c r="K7" s="12"/>
      <c r="O7" s="144" t="str">
        <f>+F7</f>
        <v>per Yard</v>
      </c>
      <c r="P7" s="113"/>
    </row>
    <row r="8" spans="1:27" s="16" customFormat="1" ht="11.25" x14ac:dyDescent="0.2">
      <c r="A8" s="129">
        <f>[16]Multi_Family!$C$6</f>
        <v>41760</v>
      </c>
      <c r="B8" s="112">
        <v>2103</v>
      </c>
      <c r="C8" s="12"/>
      <c r="D8" s="161">
        <f>VLOOKUP(A8,[16]Value!$A$6:$O$17,15,)</f>
        <v>1110.9847199822786</v>
      </c>
      <c r="E8" s="12"/>
      <c r="F8" s="16">
        <f>ROUND(D8/B8,2)</f>
        <v>0.53</v>
      </c>
      <c r="G8" s="12"/>
      <c r="H8" s="12"/>
      <c r="I8" s="12"/>
      <c r="J8" s="14">
        <f>+B8</f>
        <v>2103</v>
      </c>
      <c r="K8" s="13">
        <f>YEAR(A8)</f>
        <v>2014</v>
      </c>
      <c r="O8" s="145">
        <f>VLOOKUP(A8,[16]Value!$A$6:$O$17,13,FALSE)</f>
        <v>2222.0273199822786</v>
      </c>
      <c r="P8" s="113"/>
    </row>
    <row r="9" spans="1:27" s="16" customFormat="1" ht="11.25" x14ac:dyDescent="0.2">
      <c r="A9" s="17">
        <f>EOMONTH(A8,1)</f>
        <v>41820</v>
      </c>
      <c r="B9" s="19">
        <v>2189</v>
      </c>
      <c r="C9" s="20"/>
      <c r="D9" s="161">
        <f>VLOOKUP(A9,[16]Value!$A$6:$O$17,15,)</f>
        <v>1098.0610019459994</v>
      </c>
      <c r="E9" s="14"/>
      <c r="F9" s="16">
        <f>ROUND(D9/B9,2)</f>
        <v>0.5</v>
      </c>
      <c r="G9" s="14"/>
      <c r="H9" s="14"/>
      <c r="I9" s="14"/>
      <c r="J9" s="14">
        <f>+B9</f>
        <v>2189</v>
      </c>
      <c r="K9" s="13">
        <f>YEAR(A9)</f>
        <v>2014</v>
      </c>
      <c r="O9" s="145">
        <f>VLOOKUP(A9,[16]Value!$A$6:$O$17,13,FALSE)</f>
        <v>2184.8582519459992</v>
      </c>
      <c r="P9" s="113"/>
    </row>
    <row r="10" spans="1:27" s="16" customFormat="1" ht="11.25" x14ac:dyDescent="0.2">
      <c r="A10" s="17">
        <f>EOMONTH(A9,1)</f>
        <v>41851</v>
      </c>
      <c r="B10" s="19">
        <v>2190</v>
      </c>
      <c r="C10" s="14"/>
      <c r="D10" s="161">
        <f>VLOOKUP(A10,[16]Value!$A$6:$O$17,15,)</f>
        <v>1070.1527844569994</v>
      </c>
      <c r="E10" s="14"/>
      <c r="F10" s="16">
        <f>ROUND(D10/B10,2)</f>
        <v>0.49</v>
      </c>
      <c r="G10" s="14"/>
      <c r="H10" s="14"/>
      <c r="I10" s="14"/>
      <c r="J10" s="14">
        <f>+B10</f>
        <v>2190</v>
      </c>
      <c r="K10" s="13">
        <f>YEAR(A10)</f>
        <v>2014</v>
      </c>
      <c r="O10" s="145">
        <f>VLOOKUP(A10,[16]Value!$A$6:$O$17,13,FALSE)</f>
        <v>2133.7246344569994</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103</v>
      </c>
      <c r="B12" s="21">
        <f>SUM(B8:B11)</f>
        <v>6482</v>
      </c>
      <c r="C12" s="20" t="s">
        <v>8</v>
      </c>
      <c r="D12" s="22">
        <f>SUM(D8:D11)</f>
        <v>3279.1985063852771</v>
      </c>
      <c r="E12" s="14"/>
      <c r="G12" s="14"/>
      <c r="H12" s="14"/>
      <c r="I12" s="14"/>
      <c r="J12" s="14"/>
      <c r="K12" s="13"/>
      <c r="O12" s="145"/>
      <c r="P12" s="113"/>
    </row>
    <row r="13" spans="1:27" s="16" customFormat="1" ht="12" customHeight="1" x14ac:dyDescent="0.2">
      <c r="A13" s="17"/>
      <c r="B13" s="14"/>
      <c r="C13" s="14"/>
      <c r="E13" s="14"/>
      <c r="G13" s="14"/>
      <c r="H13" s="14"/>
      <c r="I13" s="14"/>
      <c r="J13" s="14"/>
      <c r="K13" s="13"/>
      <c r="O13" s="145"/>
      <c r="P13" s="113"/>
    </row>
    <row r="14" spans="1:27" s="16" customFormat="1" ht="11.25" x14ac:dyDescent="0.2">
      <c r="A14" s="17">
        <f>EOMONTH(A10,1)</f>
        <v>41882</v>
      </c>
      <c r="B14" s="19">
        <v>2181</v>
      </c>
      <c r="C14" s="14"/>
      <c r="D14" s="161">
        <f>VLOOKUP(A14,[16]Value!$A$6:$O$17,15,)</f>
        <v>1091.7811631249995</v>
      </c>
      <c r="E14" s="14"/>
      <c r="F14" s="16">
        <f t="shared" ref="F14:F22" si="0">ROUND(D14/B14,2)</f>
        <v>0.5</v>
      </c>
      <c r="G14" s="23"/>
      <c r="H14" s="14"/>
      <c r="I14" s="14"/>
      <c r="J14" s="14">
        <f t="shared" ref="J14:J22" si="1">+B14</f>
        <v>2181</v>
      </c>
      <c r="K14" s="13">
        <f t="shared" ref="K14:K22" si="2">YEAR(A14)</f>
        <v>2014</v>
      </c>
      <c r="O14" s="145">
        <f>VLOOKUP(A14,[16]Value!$A$6:$O$17,13,FALSE)</f>
        <v>2183.4249131249994</v>
      </c>
      <c r="P14" s="113"/>
    </row>
    <row r="15" spans="1:27" s="16" customFormat="1" ht="11.25" x14ac:dyDescent="0.2">
      <c r="A15" s="17">
        <f t="shared" ref="A15:A21" si="3">EOMONTH(A14,1)</f>
        <v>41912</v>
      </c>
      <c r="B15" s="19">
        <v>2183</v>
      </c>
      <c r="C15" s="14"/>
      <c r="D15" s="161">
        <f>VLOOKUP(A15,[16]Value!$A$6:$O$17,15,)</f>
        <v>1226.6490699459991</v>
      </c>
      <c r="E15" s="14"/>
      <c r="F15" s="16">
        <f t="shared" si="0"/>
        <v>0.56000000000000005</v>
      </c>
      <c r="G15" s="23"/>
      <c r="H15" s="14"/>
      <c r="I15" s="14"/>
      <c r="J15" s="14">
        <f t="shared" si="1"/>
        <v>2183</v>
      </c>
      <c r="K15" s="13">
        <f t="shared" si="2"/>
        <v>2014</v>
      </c>
      <c r="O15" s="145">
        <f>VLOOKUP(A15,[16]Value!$A$6:$O$17,13,FALSE)</f>
        <v>2453.1515699459992</v>
      </c>
      <c r="P15" s="113"/>
    </row>
    <row r="16" spans="1:27" s="16" customFormat="1" ht="11.25" x14ac:dyDescent="0.2">
      <c r="A16" s="17">
        <f t="shared" si="3"/>
        <v>41943</v>
      </c>
      <c r="B16" s="19">
        <v>2183</v>
      </c>
      <c r="C16" s="14"/>
      <c r="D16" s="161">
        <f>VLOOKUP(A16,[16]Value!$A$6:$O$17,15,)</f>
        <v>1218.2903978699994</v>
      </c>
      <c r="E16" s="14"/>
      <c r="F16" s="16">
        <f t="shared" si="0"/>
        <v>0.56000000000000005</v>
      </c>
      <c r="G16" s="23"/>
      <c r="H16" s="14"/>
      <c r="I16" s="14"/>
      <c r="J16" s="14">
        <f t="shared" si="1"/>
        <v>2183</v>
      </c>
      <c r="K16" s="13">
        <f t="shared" si="2"/>
        <v>2014</v>
      </c>
      <c r="O16" s="145">
        <f>VLOOKUP(A16,[16]Value!$A$6:$O$17,13,FALSE)</f>
        <v>2436.4321478699994</v>
      </c>
      <c r="P16" s="113"/>
    </row>
    <row r="17" spans="1:27" s="16" customFormat="1" ht="11.25" x14ac:dyDescent="0.2">
      <c r="A17" s="17">
        <f t="shared" si="3"/>
        <v>41973</v>
      </c>
      <c r="B17" s="19">
        <v>2165.5</v>
      </c>
      <c r="C17" s="14"/>
      <c r="D17" s="161">
        <f>VLOOKUP(A17,[16]Value!$A$6:$O$17,15,)</f>
        <v>1080.1702148399993</v>
      </c>
      <c r="E17" s="14"/>
      <c r="F17" s="16">
        <f t="shared" si="0"/>
        <v>0.5</v>
      </c>
      <c r="G17" s="23"/>
      <c r="H17" s="14"/>
      <c r="I17" s="14"/>
      <c r="J17" s="14">
        <f t="shared" si="1"/>
        <v>2165.5</v>
      </c>
      <c r="K17" s="13">
        <f t="shared" si="2"/>
        <v>2014</v>
      </c>
      <c r="O17" s="145">
        <f>VLOOKUP(A17,[16]Value!$A$6:$O$17,13,FALSE)</f>
        <v>2160.4192148399993</v>
      </c>
      <c r="P17" s="113"/>
    </row>
    <row r="18" spans="1:27" s="16" customFormat="1" ht="11.25" x14ac:dyDescent="0.2">
      <c r="A18" s="17">
        <f t="shared" si="3"/>
        <v>42004</v>
      </c>
      <c r="B18" s="19">
        <v>2165.6</v>
      </c>
      <c r="C18" s="14"/>
      <c r="D18" s="161">
        <f>VLOOKUP(A18,[16]Value!$A$6:$O$17,15,)</f>
        <v>1099.6725668719989</v>
      </c>
      <c r="E18" s="14"/>
      <c r="F18" s="16">
        <f t="shared" si="0"/>
        <v>0.51</v>
      </c>
      <c r="G18" s="23"/>
      <c r="H18" s="14"/>
      <c r="I18" s="14"/>
      <c r="J18" s="14">
        <f t="shared" si="1"/>
        <v>2165.6</v>
      </c>
      <c r="K18" s="13">
        <f t="shared" si="2"/>
        <v>2014</v>
      </c>
      <c r="O18" s="145">
        <f>VLOOKUP(A18,[16]Value!$A$6:$O$17,13,FALSE)</f>
        <v>2199.6942168719988</v>
      </c>
      <c r="P18" s="113"/>
      <c r="X18" s="14"/>
      <c r="Y18" s="14"/>
    </row>
    <row r="19" spans="1:27" s="16" customFormat="1" ht="11.25" x14ac:dyDescent="0.2">
      <c r="A19" s="17">
        <f t="shared" si="3"/>
        <v>42035</v>
      </c>
      <c r="B19" s="19">
        <v>1695.49</v>
      </c>
      <c r="C19" s="14"/>
      <c r="D19" s="161">
        <f>VLOOKUP(A19,[16]Value!$A$6:$O$17,15,)</f>
        <v>1032.3912673229993</v>
      </c>
      <c r="E19" s="14"/>
      <c r="F19" s="16">
        <f t="shared" si="0"/>
        <v>0.61</v>
      </c>
      <c r="G19" s="23"/>
      <c r="H19" s="14"/>
      <c r="I19" s="14"/>
      <c r="J19" s="14">
        <f t="shared" si="1"/>
        <v>1695.49</v>
      </c>
      <c r="K19" s="13">
        <f t="shared" si="2"/>
        <v>2015</v>
      </c>
      <c r="L19" s="14"/>
      <c r="M19" s="14"/>
      <c r="N19" s="14"/>
      <c r="O19" s="145">
        <f>VLOOKUP(A19,[16]Value!$A$6:$O$17,13,FALSE)</f>
        <v>2065.2172673229993</v>
      </c>
      <c r="P19" s="113"/>
      <c r="Q19" s="14"/>
      <c r="R19" s="14"/>
      <c r="S19" s="14"/>
      <c r="T19" s="14"/>
      <c r="U19" s="14"/>
      <c r="V19" s="14"/>
      <c r="W19" s="14"/>
      <c r="Y19" s="14"/>
      <c r="AA19" s="14"/>
    </row>
    <row r="20" spans="1:27" s="16" customFormat="1" ht="11.25" x14ac:dyDescent="0.2">
      <c r="A20" s="17">
        <f t="shared" si="3"/>
        <v>42063</v>
      </c>
      <c r="B20" s="19">
        <v>1697</v>
      </c>
      <c r="C20" s="14"/>
      <c r="D20" s="161">
        <f>VLOOKUP(A20,[16]Value!$A$6:$O$17,15,)</f>
        <v>846.10944354099922</v>
      </c>
      <c r="E20" s="14"/>
      <c r="F20" s="16">
        <f t="shared" si="0"/>
        <v>0.5</v>
      </c>
      <c r="G20" s="23"/>
      <c r="H20" s="14"/>
      <c r="I20" s="14"/>
      <c r="J20" s="14">
        <f t="shared" si="1"/>
        <v>1697</v>
      </c>
      <c r="K20" s="13">
        <f t="shared" si="2"/>
        <v>2015</v>
      </c>
      <c r="O20" s="145">
        <f>VLOOKUP(A20,[16]Value!$A$6:$O$17,13,FALSE)</f>
        <v>1692.3709935409993</v>
      </c>
      <c r="P20" s="35"/>
    </row>
    <row r="21" spans="1:27" s="16" customFormat="1" ht="11.25" x14ac:dyDescent="0.2">
      <c r="A21" s="17">
        <f t="shared" si="3"/>
        <v>42094</v>
      </c>
      <c r="B21" s="19">
        <v>1697.44</v>
      </c>
      <c r="C21" s="14"/>
      <c r="D21" s="161">
        <f>VLOOKUP(A21,[16]Value!$A$6:$O$17,15,)</f>
        <v>996.85915597699886</v>
      </c>
      <c r="E21" s="14"/>
      <c r="F21" s="16">
        <f t="shared" si="0"/>
        <v>0.59</v>
      </c>
      <c r="G21" s="23"/>
      <c r="H21" s="20"/>
      <c r="I21" s="14"/>
      <c r="J21" s="14">
        <f t="shared" si="1"/>
        <v>1697.44</v>
      </c>
      <c r="K21" s="13">
        <f t="shared" si="2"/>
        <v>2015</v>
      </c>
      <c r="O21" s="145">
        <f>VLOOKUP(A21,[16]Value!$A$6:$O$17,13,FALSE)</f>
        <v>1993.8062059769989</v>
      </c>
      <c r="P21" s="113"/>
    </row>
    <row r="22" spans="1:27" s="16" customFormat="1" ht="11.25" x14ac:dyDescent="0.2">
      <c r="A22" s="17">
        <f>EOMONTH(A21,1)</f>
        <v>42124</v>
      </c>
      <c r="B22" s="19">
        <v>1771.05</v>
      </c>
      <c r="C22" s="14"/>
      <c r="D22" s="161">
        <f>VLOOKUP(A22,[16]Value!$A$6:$O$17,15,)</f>
        <v>894.70090099999925</v>
      </c>
      <c r="E22" s="14"/>
      <c r="F22" s="16">
        <f t="shared" si="0"/>
        <v>0.51</v>
      </c>
      <c r="G22" s="23"/>
      <c r="H22" s="20"/>
      <c r="I22" s="14"/>
      <c r="J22" s="14">
        <f t="shared" si="1"/>
        <v>1771.05</v>
      </c>
      <c r="K22" s="13">
        <f t="shared" si="2"/>
        <v>2015</v>
      </c>
      <c r="O22" s="145">
        <f>VLOOKUP(A22,[16]Value!$A$6:$O$17,13,FALSE)</f>
        <v>1899.6109009999993</v>
      </c>
      <c r="P22" s="113"/>
    </row>
    <row r="23" spans="1:27" s="16" customFormat="1" ht="11.25" x14ac:dyDescent="0.2">
      <c r="A23" s="17"/>
      <c r="B23" s="14"/>
      <c r="C23" s="14"/>
      <c r="E23" s="14"/>
      <c r="G23" s="14"/>
      <c r="H23" s="14"/>
      <c r="I23" s="14"/>
      <c r="J23" s="14"/>
      <c r="K23" s="13"/>
      <c r="O23" s="146"/>
    </row>
    <row r="24" spans="1:27" s="16" customFormat="1" ht="11.25" x14ac:dyDescent="0.2">
      <c r="A24" s="17" t="s">
        <v>104</v>
      </c>
      <c r="B24" s="21">
        <f>SUM(B13:B23)</f>
        <v>17739.080000000002</v>
      </c>
      <c r="C24" s="20" t="s">
        <v>9</v>
      </c>
      <c r="D24" s="22">
        <f>SUM(D13:D23)</f>
        <v>9486.6241804939928</v>
      </c>
      <c r="E24" s="14"/>
      <c r="G24" s="14"/>
      <c r="H24" s="14"/>
      <c r="I24" s="14"/>
      <c r="J24" s="14"/>
      <c r="K24" s="13"/>
      <c r="O24" s="146"/>
      <c r="P24" s="147" t="s">
        <v>87</v>
      </c>
    </row>
    <row r="25" spans="1:27" s="16" customFormat="1" x14ac:dyDescent="0.2">
      <c r="A25" s="5"/>
      <c r="B25" s="5"/>
      <c r="C25" s="5"/>
      <c r="D25" s="25"/>
      <c r="E25" s="5"/>
      <c r="F25" s="5"/>
      <c r="G25" s="5"/>
      <c r="H25" s="5"/>
      <c r="I25" s="5"/>
      <c r="J25" s="5"/>
      <c r="K25" s="5"/>
      <c r="O25" s="146">
        <f>SUM(O8:O24)</f>
        <v>25624.737636879272</v>
      </c>
      <c r="P25" s="120"/>
    </row>
    <row r="26" spans="1:27" s="16" customFormat="1" ht="12" thickBot="1" x14ac:dyDescent="0.25">
      <c r="A26" s="26"/>
      <c r="B26" s="27">
        <f>+B12+B24</f>
        <v>24221.08</v>
      </c>
      <c r="C26" s="20"/>
      <c r="D26" s="28">
        <f>+D12+D24</f>
        <v>12765.82268687927</v>
      </c>
      <c r="E26" s="20" t="s">
        <v>10</v>
      </c>
      <c r="F26" s="23">
        <f>ROUND(D26/B26,3)</f>
        <v>0.52700000000000002</v>
      </c>
      <c r="G26" s="20" t="s">
        <v>11</v>
      </c>
      <c r="H26" s="14"/>
      <c r="I26" s="14"/>
      <c r="J26" s="27">
        <f>SUM(J8:J25)</f>
        <v>24221.079999999998</v>
      </c>
      <c r="K26" s="20" t="s">
        <v>12</v>
      </c>
      <c r="O26" s="148">
        <f>ROUND(O25/J26,3)</f>
        <v>1.0580000000000001</v>
      </c>
      <c r="P26" s="113" t="s">
        <v>88</v>
      </c>
    </row>
    <row r="27" spans="1:27" s="16" customFormat="1" ht="12" thickTop="1" x14ac:dyDescent="0.2">
      <c r="B27" s="14"/>
      <c r="C27" s="20"/>
      <c r="D27" s="14"/>
      <c r="E27" s="14"/>
      <c r="F27" s="14"/>
      <c r="G27" s="14"/>
      <c r="H27" s="14"/>
      <c r="I27" s="14"/>
      <c r="J27" s="14"/>
      <c r="K27" s="14"/>
      <c r="O27" s="149">
        <f>+J22</f>
        <v>1771.05</v>
      </c>
      <c r="P27" s="113" t="s">
        <v>89</v>
      </c>
    </row>
    <row r="28" spans="1:27" s="16" customFormat="1" ht="11.25" x14ac:dyDescent="0.2">
      <c r="B28" s="14"/>
      <c r="C28" s="14"/>
      <c r="D28" s="14"/>
      <c r="E28" s="14"/>
      <c r="F28" s="14"/>
      <c r="G28" s="14"/>
      <c r="H28" s="14"/>
      <c r="I28" s="14"/>
      <c r="J28" s="14"/>
      <c r="K28" s="14"/>
      <c r="O28" s="113"/>
      <c r="P28" s="113" t="s">
        <v>90</v>
      </c>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+D26</f>
        <v>12765.82268687927</v>
      </c>
      <c r="H31" s="20" t="s">
        <v>10</v>
      </c>
      <c r="I31" s="14"/>
      <c r="J31" s="14"/>
      <c r="K31" s="14"/>
    </row>
    <row r="32" spans="1:27" s="13" customFormat="1" ht="11.25" x14ac:dyDescent="0.2">
      <c r="A32" s="33"/>
      <c r="B32" s="31"/>
      <c r="C32" s="14"/>
      <c r="D32" s="14"/>
      <c r="E32" s="14"/>
      <c r="F32" s="14"/>
      <c r="G32" s="14"/>
      <c r="H32" s="20"/>
      <c r="I32" s="14"/>
      <c r="J32" s="14"/>
      <c r="K32" s="14"/>
      <c r="O32" s="16">
        <f>12*O27*O26</f>
        <v>22485.250799999998</v>
      </c>
      <c r="P32" s="13" t="s">
        <v>91</v>
      </c>
      <c r="W32" s="14"/>
      <c r="X32" s="16"/>
      <c r="Y32" s="16"/>
      <c r="AA32" s="14"/>
    </row>
    <row r="33" spans="2:27" s="16" customFormat="1" ht="11.25" x14ac:dyDescent="0.2">
      <c r="B33" s="14" t="s">
        <v>105</v>
      </c>
      <c r="C33" s="14"/>
      <c r="D33" s="14"/>
      <c r="E33" s="14"/>
      <c r="F33" s="34">
        <v>0.5</v>
      </c>
      <c r="G33" s="14"/>
      <c r="H33" s="14"/>
      <c r="I33" s="14"/>
      <c r="J33" s="14"/>
      <c r="K33" s="14"/>
      <c r="O33" s="16">
        <f>12*O27*G56</f>
        <v>11240.957542105409</v>
      </c>
      <c r="P33" s="16" t="s">
        <v>92</v>
      </c>
    </row>
    <row r="34" spans="2:27" s="16" customFormat="1" ht="11.25" x14ac:dyDescent="0.2">
      <c r="B34" s="14"/>
      <c r="C34" s="14" t="str">
        <f>"Customers from "&amp;TEXT($A$8,"mm/yy")&amp;" - "&amp;TEXT($A$10,"mm/yy")</f>
        <v>Customers from 05/14 - 07/14</v>
      </c>
      <c r="D34" s="14"/>
      <c r="E34" s="14"/>
      <c r="F34" s="14">
        <f>+B12</f>
        <v>6482</v>
      </c>
      <c r="G34" s="20" t="s">
        <v>8</v>
      </c>
      <c r="H34" s="14"/>
      <c r="I34" s="14"/>
      <c r="J34" s="14"/>
      <c r="K34" s="14"/>
      <c r="O34" s="150">
        <f>+O33/O32</f>
        <v>0.49992582435884636</v>
      </c>
    </row>
    <row r="35" spans="2:27" s="16" customFormat="1" ht="11.25" x14ac:dyDescent="0.2">
      <c r="B35" s="14"/>
      <c r="C35" s="14" t="s">
        <v>16</v>
      </c>
      <c r="D35" s="14"/>
      <c r="E35" s="14"/>
      <c r="F35" s="21">
        <f>ROUND(F33*F34,0)</f>
        <v>3241</v>
      </c>
      <c r="G35" s="20"/>
      <c r="H35" s="14"/>
      <c r="I35" s="14"/>
      <c r="J35" s="34"/>
      <c r="K35" s="14"/>
    </row>
    <row r="36" spans="2:27" s="16" customFormat="1" ht="11.25" x14ac:dyDescent="0.2">
      <c r="B36" s="14"/>
      <c r="C36" s="14"/>
      <c r="D36" s="14"/>
      <c r="E36" s="14"/>
      <c r="F36" s="35"/>
      <c r="G36" s="20"/>
      <c r="H36" s="14"/>
      <c r="I36" s="14"/>
      <c r="J36" s="14"/>
      <c r="K36" s="14"/>
    </row>
    <row r="37" spans="2:27" s="16" customFormat="1" ht="11.25" x14ac:dyDescent="0.2">
      <c r="B37" s="14" t="s">
        <v>105</v>
      </c>
      <c r="C37" s="14"/>
      <c r="D37" s="14"/>
      <c r="E37" s="14"/>
      <c r="F37" s="162">
        <v>0.52</v>
      </c>
      <c r="G37" s="14"/>
      <c r="H37" s="14"/>
      <c r="I37" s="14"/>
      <c r="J37" s="14"/>
      <c r="K37" s="14"/>
    </row>
    <row r="38" spans="2:27" s="16" customFormat="1" ht="11.25" x14ac:dyDescent="0.2">
      <c r="B38" s="14"/>
      <c r="C38" s="14" t="str">
        <f>"Customers from "&amp;TEXT($A$14,"mm/yy")&amp;" - "&amp;TEXT($A$22,"mm/yy")</f>
        <v>Customers from 08/14 - 04/15</v>
      </c>
      <c r="D38" s="14"/>
      <c r="E38" s="14"/>
      <c r="F38" s="14">
        <f>+B26-F34</f>
        <v>17739.080000000002</v>
      </c>
      <c r="G38" s="20" t="s">
        <v>9</v>
      </c>
      <c r="H38" s="14"/>
      <c r="I38" s="14"/>
      <c r="J38" s="14"/>
      <c r="K38" s="14"/>
    </row>
    <row r="39" spans="2:27" s="16" customFormat="1" ht="11.25" x14ac:dyDescent="0.2">
      <c r="B39" s="14"/>
      <c r="C39" s="14" t="s">
        <v>16</v>
      </c>
      <c r="D39" s="14"/>
      <c r="E39" s="14"/>
      <c r="F39" s="251">
        <f>ROUND(J35*F38,0)</f>
        <v>0</v>
      </c>
      <c r="G39" s="20"/>
      <c r="I39" s="252">
        <f>F37*F38</f>
        <v>9224.3216000000011</v>
      </c>
      <c r="J39" s="14"/>
      <c r="K39" s="14"/>
    </row>
    <row r="40" spans="2:27" s="16" customFormat="1" ht="11.25" x14ac:dyDescent="0.2">
      <c r="B40" s="14"/>
      <c r="C40" s="14"/>
      <c r="D40" s="14"/>
      <c r="E40" s="14"/>
      <c r="F40" s="36"/>
      <c r="G40" s="20"/>
      <c r="H40" s="14"/>
      <c r="I40" s="249"/>
      <c r="J40" s="14"/>
      <c r="K40" s="14"/>
    </row>
    <row r="41" spans="2:27" s="16" customFormat="1" ht="12" thickBot="1" x14ac:dyDescent="0.25">
      <c r="B41" s="14"/>
      <c r="C41" s="14" t="s">
        <v>17</v>
      </c>
      <c r="D41" s="14"/>
      <c r="E41" s="14"/>
      <c r="F41" s="27">
        <f>+F35+F39</f>
        <v>3241</v>
      </c>
      <c r="G41" s="37">
        <f>+F41</f>
        <v>3241</v>
      </c>
      <c r="H41" s="14"/>
      <c r="I41" s="249">
        <f>F35+I39</f>
        <v>12465.321600000001</v>
      </c>
      <c r="J41" s="14"/>
      <c r="K41" s="14"/>
    </row>
    <row r="42" spans="2:27" s="16" customFormat="1" ht="12" thickTop="1" x14ac:dyDescent="0.2">
      <c r="B42" s="14"/>
      <c r="C42" s="14"/>
      <c r="D42" s="14"/>
      <c r="E42" s="14"/>
      <c r="F42" s="14"/>
      <c r="G42" s="14"/>
      <c r="H42" s="14"/>
      <c r="I42" s="249"/>
      <c r="J42" s="14"/>
      <c r="K42" s="14"/>
    </row>
    <row r="43" spans="2:27" s="16" customFormat="1" ht="11.25" x14ac:dyDescent="0.2">
      <c r="B43" s="14"/>
      <c r="C43" s="14"/>
      <c r="D43" s="14"/>
      <c r="E43" s="14"/>
      <c r="F43" s="14"/>
      <c r="G43" s="14"/>
      <c r="H43" s="14"/>
      <c r="I43" s="249"/>
      <c r="J43" s="14"/>
      <c r="K43" s="14"/>
    </row>
    <row r="44" spans="2:27" s="16" customFormat="1" ht="12" thickBot="1" x14ac:dyDescent="0.25">
      <c r="B44" s="14"/>
      <c r="C44" s="14"/>
      <c r="D44" s="14"/>
      <c r="E44" s="14"/>
      <c r="F44" s="32" t="s">
        <v>106</v>
      </c>
      <c r="G44" s="38">
        <f>+G31-G41</f>
        <v>9524.8226868792699</v>
      </c>
      <c r="H44" s="14"/>
      <c r="I44" s="249">
        <f>G31-I41</f>
        <v>300.50108687926877</v>
      </c>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tr">
        <f>$K$22+1&amp;" Recycle Adjustment Calculation"</f>
        <v>2016 Recycle Adjustment Calculation</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tr">
        <f>$K$10&amp;"/"&amp;$K$22&amp;" True-up Computation"</f>
        <v>2014/2015 True-up Computation</v>
      </c>
      <c r="C49" s="14"/>
      <c r="D49" s="14"/>
      <c r="E49" s="14"/>
      <c r="F49" s="14"/>
      <c r="G49" s="14"/>
      <c r="H49" s="14"/>
      <c r="I49" s="14"/>
      <c r="J49" s="14"/>
      <c r="K49" s="14"/>
    </row>
    <row r="50" spans="1:25" s="16" customFormat="1" ht="11.25" x14ac:dyDescent="0.2">
      <c r="B50" s="14"/>
      <c r="C50" s="14"/>
      <c r="D50" s="14"/>
      <c r="E50" s="14"/>
      <c r="F50" s="32" t="s">
        <v>20</v>
      </c>
      <c r="G50" s="14">
        <f>+J26</f>
        <v>24221.079999999998</v>
      </c>
      <c r="H50" s="20" t="s">
        <v>12</v>
      </c>
      <c r="I50" s="14"/>
      <c r="J50" s="14"/>
      <c r="K50" s="14"/>
    </row>
    <row r="51" spans="1:25" s="16" customFormat="1" ht="11.25" x14ac:dyDescent="0.2">
      <c r="B51" s="14"/>
      <c r="C51" s="14"/>
      <c r="D51" s="14"/>
      <c r="E51" s="14"/>
      <c r="F51" s="32" t="s">
        <v>18</v>
      </c>
      <c r="G51" s="14">
        <f>+G44</f>
        <v>9524.8226868792699</v>
      </c>
      <c r="H51" s="14"/>
      <c r="I51" s="249">
        <f>I44</f>
        <v>300.50108687926877</v>
      </c>
      <c r="J51" s="14"/>
      <c r="K51" s="14"/>
    </row>
    <row r="52" spans="1:25" s="16" customFormat="1" ht="11.25" x14ac:dyDescent="0.2">
      <c r="B52" s="14"/>
      <c r="C52" s="14"/>
      <c r="D52" s="14"/>
      <c r="E52" s="14"/>
      <c r="F52" s="32"/>
      <c r="G52" s="14"/>
      <c r="H52" s="14"/>
      <c r="I52" s="253">
        <f>I51/G50</f>
        <v>1.2406593218769304E-2</v>
      </c>
      <c r="J52" s="14"/>
      <c r="K52" s="14"/>
    </row>
    <row r="53" spans="1:25" s="16" customFormat="1" ht="12" thickBot="1" x14ac:dyDescent="0.25">
      <c r="B53" s="14"/>
      <c r="C53" s="14"/>
      <c r="D53" s="14"/>
      <c r="E53" s="14"/>
      <c r="F53" s="32" t="s">
        <v>81</v>
      </c>
      <c r="G53" s="39">
        <f>ROUND(G51/G50,3)</f>
        <v>0.39300000000000002</v>
      </c>
      <c r="H53" s="14"/>
      <c r="I53" s="23">
        <f>+G53</f>
        <v>0.39300000000000002</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tr">
        <f>$K$22+1&amp;" Projected Credit"</f>
        <v>2016 Projected Credit</v>
      </c>
      <c r="C55" s="14"/>
      <c r="D55" s="14"/>
      <c r="E55" s="14"/>
      <c r="F55" s="32"/>
      <c r="G55" s="14"/>
      <c r="H55" s="14"/>
      <c r="I55" s="23"/>
      <c r="J55" s="14"/>
      <c r="K55" s="14"/>
      <c r="L55" s="151" t="s">
        <v>93</v>
      </c>
    </row>
    <row r="56" spans="1:25" s="16" customFormat="1" ht="12" thickBot="1" x14ac:dyDescent="0.25">
      <c r="B56" s="31"/>
      <c r="C56" s="14"/>
      <c r="D56" s="14"/>
      <c r="E56" s="14"/>
      <c r="F56" s="32" t="s">
        <v>107</v>
      </c>
      <c r="G56" s="163">
        <f>+F26/[16]Value!P18*L56</f>
        <v>0.52892152217165944</v>
      </c>
      <c r="H56" s="14"/>
      <c r="I56" s="23">
        <f>+G56</f>
        <v>0.52892152217165944</v>
      </c>
      <c r="J56" s="255">
        <f>G31/B26</f>
        <v>0.52705423073121715</v>
      </c>
      <c r="K56" s="14"/>
      <c r="L56" s="164">
        <f>+'[13]WUTC_AW of Kent_MF'!$O$56</f>
        <v>0.5</v>
      </c>
    </row>
    <row r="57" spans="1:25" s="14" customFormat="1" ht="12" thickTop="1" x14ac:dyDescent="0.2">
      <c r="B57" s="31"/>
      <c r="I57" s="23"/>
      <c r="X57" s="16"/>
      <c r="Y57" s="16"/>
    </row>
    <row r="58" spans="1:25" s="16" customFormat="1" ht="12" thickBot="1" x14ac:dyDescent="0.25">
      <c r="B58" s="14"/>
      <c r="C58" s="14"/>
      <c r="D58" s="14"/>
      <c r="E58" s="14"/>
      <c r="F58" s="14"/>
      <c r="G58" s="32" t="str">
        <f>$K$22+1&amp;" Adjusted Credit"</f>
        <v>2016 Adjusted Credit</v>
      </c>
      <c r="H58" s="27"/>
      <c r="I58" s="28">
        <f>+I53+I56</f>
        <v>0.92192152217165946</v>
      </c>
      <c r="J58" s="253">
        <f>I52+J56</f>
        <v>0.53946082394998651</v>
      </c>
      <c r="K58" s="14"/>
    </row>
    <row r="59" spans="1:25" s="16" customFormat="1" ht="12" thickTop="1" x14ac:dyDescent="0.2">
      <c r="I59" s="23"/>
      <c r="J59" s="253"/>
    </row>
    <row r="60" spans="1:25" s="16" customFormat="1" ht="11.25" x14ac:dyDescent="0.2">
      <c r="G60" s="139" t="s">
        <v>108</v>
      </c>
      <c r="I60" s="16">
        <f>+I58*3.5</f>
        <v>3.2267253276008079</v>
      </c>
      <c r="J60" s="253"/>
    </row>
    <row r="61" spans="1:25" s="16" customFormat="1" ht="11.25" x14ac:dyDescent="0.2">
      <c r="A61" s="113"/>
      <c r="B61" s="113"/>
      <c r="C61" s="113"/>
      <c r="D61" s="113"/>
      <c r="E61" s="113"/>
      <c r="F61" s="113"/>
      <c r="G61" s="139" t="s">
        <v>109</v>
      </c>
      <c r="I61" s="16">
        <f>I58*5</f>
        <v>4.6096076108582977</v>
      </c>
      <c r="J61" s="253"/>
    </row>
    <row r="62" spans="1:25" s="16" customFormat="1" ht="10.5" customHeight="1" x14ac:dyDescent="0.2">
      <c r="A62" s="165"/>
      <c r="B62" s="166"/>
      <c r="C62" s="167"/>
      <c r="D62" s="167"/>
      <c r="E62" s="167"/>
      <c r="F62" s="168"/>
      <c r="G62" s="139"/>
      <c r="J62" s="253"/>
    </row>
    <row r="63" spans="1:25" s="16" customFormat="1" ht="11.25" hidden="1" x14ac:dyDescent="0.2">
      <c r="A63" s="147"/>
      <c r="B63" s="168"/>
      <c r="C63" s="168"/>
      <c r="D63" s="168"/>
      <c r="E63" s="168"/>
      <c r="F63" s="168"/>
      <c r="G63" s="139" t="s">
        <v>84</v>
      </c>
      <c r="I63" s="140">
        <v>43980.831157862587</v>
      </c>
      <c r="J63" s="254"/>
      <c r="K63" s="44"/>
      <c r="Y63" s="14"/>
    </row>
    <row r="64" spans="1:25" s="16" customFormat="1" ht="11.25" hidden="1" x14ac:dyDescent="0.2">
      <c r="G64" s="139" t="s">
        <v>110</v>
      </c>
      <c r="I64" s="140">
        <v>6170.1583742714593</v>
      </c>
      <c r="J64" s="253"/>
    </row>
    <row r="65" spans="1:27" s="14" customFormat="1" ht="11.25" x14ac:dyDescent="0.2">
      <c r="A65" s="116"/>
      <c r="B65" s="117"/>
      <c r="C65" s="35"/>
      <c r="D65" s="113"/>
      <c r="E65" s="35"/>
      <c r="F65" s="113"/>
      <c r="G65" s="16"/>
      <c r="H65" s="16"/>
      <c r="I65" s="16"/>
      <c r="J65" s="249"/>
      <c r="X65" s="16"/>
      <c r="Y65" s="16"/>
    </row>
    <row r="66" spans="1:27" s="16" customFormat="1" ht="11.25" x14ac:dyDescent="0.2">
      <c r="A66" s="116"/>
      <c r="B66" s="35"/>
      <c r="C66" s="35"/>
      <c r="D66" s="113"/>
      <c r="E66" s="35"/>
      <c r="F66" s="113"/>
      <c r="G66" s="139" t="s">
        <v>111</v>
      </c>
      <c r="I66" s="140">
        <f>'[14]2014-2015'!$E$6</f>
        <v>298.37989644219329</v>
      </c>
      <c r="J66" s="253"/>
    </row>
    <row r="67" spans="1:27" s="16" customFormat="1" ht="11.25" x14ac:dyDescent="0.2">
      <c r="A67" s="116"/>
      <c r="B67" s="35"/>
      <c r="C67" s="118"/>
      <c r="D67" s="113"/>
      <c r="E67" s="35"/>
      <c r="F67" s="113"/>
      <c r="G67" s="14"/>
      <c r="H67" s="14"/>
      <c r="I67" s="14"/>
      <c r="J67" s="253"/>
    </row>
    <row r="68" spans="1:27" s="16" customFormat="1" ht="11.25" x14ac:dyDescent="0.2">
      <c r="A68" s="116"/>
      <c r="B68" s="35"/>
      <c r="C68" s="35"/>
      <c r="D68" s="113"/>
      <c r="E68" s="35"/>
      <c r="F68" s="113"/>
      <c r="G68" s="139" t="s">
        <v>112</v>
      </c>
      <c r="I68" s="22">
        <f>I66/(G50)</f>
        <v>1.2319017006764079E-2</v>
      </c>
      <c r="J68" s="253">
        <f>I68</f>
        <v>1.2319017006764079E-2</v>
      </c>
    </row>
    <row r="69" spans="1:27" s="16" customFormat="1" ht="11.25" x14ac:dyDescent="0.2">
      <c r="A69" s="116"/>
      <c r="B69" s="117"/>
      <c r="C69" s="35"/>
      <c r="D69" s="113"/>
      <c r="E69" s="35"/>
      <c r="F69" s="113"/>
      <c r="J69" s="253"/>
    </row>
    <row r="70" spans="1:27" s="16" customFormat="1" ht="12" thickBot="1" x14ac:dyDescent="0.25">
      <c r="A70" s="116"/>
      <c r="B70" s="117"/>
      <c r="C70" s="35"/>
      <c r="D70" s="113"/>
      <c r="E70" s="35"/>
      <c r="F70" s="113"/>
      <c r="G70" s="32" t="str">
        <f>$K$22+1&amp;" Net Credit"</f>
        <v>2016 Net Credit</v>
      </c>
      <c r="H70" s="27"/>
      <c r="I70" s="153">
        <f>+I58+I68</f>
        <v>0.93424053917842353</v>
      </c>
      <c r="J70" s="253">
        <f>J68+J58</f>
        <v>0.55177984095675059</v>
      </c>
    </row>
    <row r="71" spans="1:27" s="16" customFormat="1" ht="12" thickTop="1" x14ac:dyDescent="0.2">
      <c r="A71" s="116"/>
      <c r="B71" s="117"/>
      <c r="C71" s="35"/>
      <c r="D71" s="113"/>
      <c r="E71" s="35"/>
      <c r="F71" s="113"/>
      <c r="Y71" s="14"/>
    </row>
    <row r="72" spans="1:27" s="16" customFormat="1" ht="11.25" x14ac:dyDescent="0.2">
      <c r="A72" s="116"/>
      <c r="B72" s="117"/>
      <c r="C72" s="35"/>
      <c r="D72" s="113"/>
      <c r="E72" s="35"/>
      <c r="F72" s="113"/>
      <c r="G72" s="139" t="s">
        <v>108</v>
      </c>
      <c r="I72" s="16">
        <f>+I70*3.5</f>
        <v>3.2698418871244823</v>
      </c>
      <c r="J72" s="253">
        <f>+J70*3.5</f>
        <v>1.931229443348627</v>
      </c>
    </row>
    <row r="73" spans="1:27" s="16" customFormat="1" ht="11.25" x14ac:dyDescent="0.2">
      <c r="A73" s="116"/>
      <c r="B73" s="117"/>
      <c r="C73" s="35"/>
      <c r="D73" s="113"/>
      <c r="E73" s="35"/>
      <c r="F73" s="113"/>
      <c r="G73" s="139" t="s">
        <v>109</v>
      </c>
      <c r="I73" s="16">
        <f>I70*5</f>
        <v>4.6712026958921173</v>
      </c>
      <c r="J73" s="253">
        <f>J70*5</f>
        <v>2.7588992047837531</v>
      </c>
    </row>
    <row r="74" spans="1:27" s="16" customFormat="1" ht="11.25" x14ac:dyDescent="0.2">
      <c r="A74" s="116"/>
      <c r="B74" s="117"/>
      <c r="C74" s="35"/>
      <c r="D74" s="113"/>
      <c r="E74" s="35"/>
      <c r="F74" s="113"/>
    </row>
    <row r="75" spans="1:27" s="16" customFormat="1" ht="11.25" x14ac:dyDescent="0.2">
      <c r="A75" s="116"/>
      <c r="B75" s="117"/>
      <c r="C75" s="35"/>
      <c r="D75" s="113"/>
      <c r="E75" s="35"/>
      <c r="F75" s="113"/>
      <c r="G75" s="14"/>
      <c r="H75" s="13"/>
      <c r="I75" s="14"/>
      <c r="J75" s="14"/>
      <c r="K75" s="13"/>
      <c r="L75" s="14"/>
      <c r="M75" s="14"/>
      <c r="N75" s="14"/>
      <c r="O75" s="14"/>
      <c r="P75" s="14"/>
      <c r="Q75" s="14"/>
      <c r="R75" s="14"/>
      <c r="S75" s="14"/>
      <c r="T75" s="14"/>
      <c r="U75" s="14"/>
      <c r="V75" s="13"/>
      <c r="W75" s="14"/>
      <c r="AA75" s="14"/>
    </row>
    <row r="76" spans="1:27" s="16" customFormat="1" ht="11.25" x14ac:dyDescent="0.2">
      <c r="A76" s="116"/>
      <c r="B76" s="117"/>
      <c r="C76" s="35"/>
      <c r="D76" s="113"/>
      <c r="E76" s="35"/>
      <c r="F76" s="113"/>
    </row>
    <row r="77" spans="1:27" s="16" customFormat="1" ht="11.25" x14ac:dyDescent="0.2">
      <c r="A77" s="116"/>
      <c r="B77" s="117"/>
      <c r="C77" s="35"/>
      <c r="D77" s="113"/>
      <c r="E77" s="35"/>
      <c r="F77" s="113"/>
    </row>
    <row r="78" spans="1:27" s="16" customFormat="1" ht="11.25" x14ac:dyDescent="0.2">
      <c r="A78" s="116"/>
      <c r="B78" s="35"/>
      <c r="C78" s="35"/>
      <c r="D78" s="113"/>
      <c r="E78" s="35"/>
      <c r="F78" s="113"/>
    </row>
    <row r="79" spans="1:27" s="16" customFormat="1" ht="11.25" x14ac:dyDescent="0.2">
      <c r="A79" s="116"/>
      <c r="B79" s="35"/>
      <c r="C79" s="118"/>
      <c r="D79" s="113"/>
      <c r="E79" s="35"/>
      <c r="F79" s="113"/>
    </row>
    <row r="80" spans="1:27" s="16" customFormat="1" x14ac:dyDescent="0.2">
      <c r="A80" s="120"/>
      <c r="B80" s="120"/>
      <c r="C80" s="120"/>
      <c r="D80" s="121"/>
      <c r="E80" s="120"/>
      <c r="F80" s="120"/>
      <c r="Y80" s="14"/>
    </row>
    <row r="81" spans="1:27" s="16" customFormat="1" ht="11.25" x14ac:dyDescent="0.2">
      <c r="A81" s="122"/>
      <c r="B81" s="35"/>
      <c r="C81" s="118"/>
      <c r="D81" s="113"/>
      <c r="E81" s="118"/>
      <c r="F81" s="123"/>
    </row>
    <row r="82" spans="1:27" s="16" customFormat="1" ht="11.25" x14ac:dyDescent="0.2"/>
    <row r="83" spans="1:27" s="16" customFormat="1" ht="11.25" x14ac:dyDescent="0.2"/>
    <row r="84" spans="1:27" s="16" customFormat="1" ht="11.25" x14ac:dyDescent="0.2">
      <c r="B84" s="8"/>
    </row>
    <row r="85" spans="1:27" s="14" customFormat="1" ht="11.25" x14ac:dyDescent="0.2">
      <c r="B85" s="31"/>
      <c r="X85" s="16"/>
      <c r="Y85" s="16"/>
    </row>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row r="94" spans="1:27" s="16" customFormat="1" ht="11.25" x14ac:dyDescent="0.2">
      <c r="A94" s="6"/>
    </row>
    <row r="95" spans="1:27" s="16" customFormat="1" x14ac:dyDescent="0.2">
      <c r="AA95" s="5"/>
    </row>
    <row r="96" spans="1:27" s="16" customFormat="1" x14ac:dyDescent="0.2">
      <c r="AA96" s="5"/>
    </row>
    <row r="97" spans="7:27" s="16" customFormat="1" x14ac:dyDescent="0.2">
      <c r="AA97" s="5"/>
    </row>
    <row r="98" spans="7:27" s="16" customFormat="1" x14ac:dyDescent="0.2">
      <c r="AA98" s="5"/>
    </row>
    <row r="99" spans="7:27" s="16" customFormat="1" x14ac:dyDescent="0.2">
      <c r="G99" s="56"/>
      <c r="I99" s="56"/>
      <c r="J99" s="56"/>
      <c r="L99" s="56"/>
      <c r="M99" s="56"/>
      <c r="N99" s="56"/>
      <c r="O99" s="56"/>
      <c r="P99" s="56"/>
      <c r="Q99" s="56"/>
      <c r="R99" s="56"/>
      <c r="S99" s="56"/>
      <c r="T99" s="56"/>
      <c r="U99" s="56"/>
      <c r="V99" s="56"/>
      <c r="W99" s="56"/>
      <c r="X99" s="56"/>
      <c r="Y99" s="56"/>
      <c r="AA99" s="5"/>
    </row>
    <row r="100" spans="7:27" s="16" customFormat="1" x14ac:dyDescent="0.2">
      <c r="AA100" s="5"/>
    </row>
    <row r="101" spans="7:27" s="16" customFormat="1" ht="13.5" thickBot="1" x14ac:dyDescent="0.25">
      <c r="G101" s="57"/>
      <c r="I101" s="57"/>
      <c r="J101" s="57"/>
      <c r="L101" s="57"/>
      <c r="M101" s="57"/>
      <c r="N101" s="57"/>
      <c r="O101" s="57"/>
      <c r="P101" s="57"/>
      <c r="Q101" s="57"/>
      <c r="R101" s="57"/>
      <c r="S101" s="57"/>
      <c r="T101" s="57"/>
      <c r="U101" s="57"/>
      <c r="V101" s="57"/>
      <c r="W101" s="57"/>
      <c r="X101" s="57"/>
      <c r="Y101" s="57"/>
      <c r="AA101" s="5"/>
    </row>
    <row r="102" spans="7:27" ht="13.5" thickTop="1" x14ac:dyDescent="0.2"/>
    <row r="103" spans="7:27" x14ac:dyDescent="0.2">
      <c r="W103" s="58"/>
      <c r="X103" s="58"/>
      <c r="Y103" s="58"/>
    </row>
    <row r="104" spans="7:27" x14ac:dyDescent="0.2">
      <c r="W104" s="58"/>
      <c r="AA104" s="58"/>
    </row>
  </sheetData>
  <printOptions horizontalCentered="1"/>
  <pageMargins left="0" right="0" top="0.26" bottom="0.33" header="0" footer="0"/>
  <pageSetup scale="58" orientation="portrait" horizontalDpi="4294967292" verticalDpi="4294967292" r:id="rId1"/>
  <headerFooter alignWithMargins="0">
    <oddFooter>&amp;R&amp;"Helv,Regular"&amp;6\\SERVER1\DPUBLIC\EXCEL\WUTC\&amp;F, &amp;A, &amp;D, &amp;T, Page &amp;P of &amp;N</oddFooter>
  </headerFooter>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R118"/>
  <sheetViews>
    <sheetView showGridLines="0" topLeftCell="D1" zoomScaleNormal="100" workbookViewId="0">
      <selection activeCell="O6" sqref="O6"/>
    </sheetView>
  </sheetViews>
  <sheetFormatPr defaultRowHeight="12.75" x14ac:dyDescent="0.2"/>
  <cols>
    <col min="1" max="1" width="8.140625" customWidth="1"/>
    <col min="2" max="2" width="2.140625" customWidth="1"/>
    <col min="3" max="13" width="11.7109375" customWidth="1"/>
    <col min="14" max="14" width="2.85546875" customWidth="1"/>
    <col min="15" max="15" width="9" style="72" bestFit="1" customWidth="1"/>
    <col min="16" max="16" width="15.85546875" customWidth="1"/>
    <col min="17" max="17" width="9.140625" bestFit="1" customWidth="1"/>
  </cols>
  <sheetData>
    <row r="1" spans="1:18" x14ac:dyDescent="0.2">
      <c r="A1" s="59" t="s">
        <v>46</v>
      </c>
      <c r="B1" s="60"/>
    </row>
    <row r="2" spans="1:18" x14ac:dyDescent="0.2">
      <c r="A2" s="61" t="e">
        <f>#REF!</f>
        <v>#REF!</v>
      </c>
      <c r="B2" s="61"/>
    </row>
    <row r="3" spans="1:18" x14ac:dyDescent="0.2">
      <c r="B3" s="70"/>
    </row>
    <row r="4" spans="1:18" x14ac:dyDescent="0.2">
      <c r="B4" s="70"/>
      <c r="C4" s="70"/>
      <c r="D4" s="70"/>
      <c r="E4" s="70"/>
      <c r="F4" s="70"/>
      <c r="G4" s="70"/>
      <c r="H4" s="70"/>
      <c r="I4" s="70"/>
      <c r="J4" s="70"/>
      <c r="K4" s="70"/>
      <c r="L4" s="70"/>
      <c r="M4" s="70"/>
      <c r="O4" s="73" t="str">
        <f>+TEXT(P18,"00.0%")&amp;" of"</f>
        <v>49.8% of</v>
      </c>
    </row>
    <row r="5" spans="1:18" x14ac:dyDescent="0.2">
      <c r="B5" s="70"/>
      <c r="C5" s="63" t="s">
        <v>21</v>
      </c>
      <c r="D5" s="63" t="s">
        <v>22</v>
      </c>
      <c r="E5" s="63" t="s">
        <v>33</v>
      </c>
      <c r="F5" s="63" t="s">
        <v>23</v>
      </c>
      <c r="G5" s="63" t="s">
        <v>24</v>
      </c>
      <c r="H5" s="63" t="s">
        <v>25</v>
      </c>
      <c r="I5" s="63" t="s">
        <v>26</v>
      </c>
      <c r="J5" s="63" t="s">
        <v>27</v>
      </c>
      <c r="K5" s="63" t="s">
        <v>28</v>
      </c>
      <c r="L5" s="63" t="s">
        <v>29</v>
      </c>
      <c r="M5" s="63" t="s">
        <v>30</v>
      </c>
      <c r="O5" s="73" t="s">
        <v>30</v>
      </c>
      <c r="P5" s="63" t="s">
        <v>96</v>
      </c>
      <c r="Q5" s="154" t="s">
        <v>97</v>
      </c>
    </row>
    <row r="6" spans="1:18" ht="15.75" customHeight="1" x14ac:dyDescent="0.2">
      <c r="A6" s="65">
        <f>+Pricing!A4</f>
        <v>41760</v>
      </c>
      <c r="B6" s="70"/>
      <c r="C6" s="71">
        <f>'Commodity Tonnages'!C6*Pricing!C4</f>
        <v>285.08080229999996</v>
      </c>
      <c r="D6" s="74">
        <f>'Commodity Tonnages'!D6*Pricing!D4</f>
        <v>-94.631634239999997</v>
      </c>
      <c r="E6" s="74">
        <f>'Commodity Tonnages'!E6*Pricing!E4</f>
        <v>0</v>
      </c>
      <c r="F6" s="74">
        <f>'Commodity Tonnages'!F6*Pricing!F4</f>
        <v>46.650831149999995</v>
      </c>
      <c r="G6" s="74">
        <f>'Commodity Tonnages'!G6*Pricing!G4</f>
        <v>516.33756719999997</v>
      </c>
      <c r="H6" s="74">
        <f>'Commodity Tonnages'!H6*Pricing!H4</f>
        <v>795.06102675999989</v>
      </c>
      <c r="I6" s="74">
        <f>'Commodity Tonnages'!I6*Pricing!I4</f>
        <v>149.68197741699998</v>
      </c>
      <c r="J6" s="74">
        <f>'Commodity Tonnages'!J6*Pricing!J4</f>
        <v>149.68197741699998</v>
      </c>
      <c r="K6" s="74">
        <f>'Commodity Tonnages'!K6*Pricing!K4</f>
        <v>625.43038803827949</v>
      </c>
      <c r="L6" s="74">
        <f>'Commodity Tonnages'!L6*Pricing!L4</f>
        <v>-251.26561606000053</v>
      </c>
      <c r="M6" s="169">
        <f>SUM(C6:L6)</f>
        <v>2222.0273199822786</v>
      </c>
      <c r="O6" s="98">
        <f>+M6-Q6</f>
        <v>1110.9847199822786</v>
      </c>
      <c r="P6" s="155">
        <f>IFERROR(O6/M6,0)</f>
        <v>0.49998697585371682</v>
      </c>
      <c r="Q6" s="156">
        <v>1111.0426</v>
      </c>
      <c r="R6" s="170"/>
    </row>
    <row r="7" spans="1:18" ht="15.75" customHeight="1" x14ac:dyDescent="0.2">
      <c r="A7" s="65">
        <f>+Pricing!A5</f>
        <v>41820</v>
      </c>
      <c r="B7" s="70"/>
      <c r="C7" s="71">
        <f>'Commodity Tonnages'!C7*Pricing!C5</f>
        <v>273.95162077499998</v>
      </c>
      <c r="D7" s="74">
        <f>'Commodity Tonnages'!D7*Pricing!D5</f>
        <v>-42.982449120000005</v>
      </c>
      <c r="E7" s="74">
        <f>'Commodity Tonnages'!E7*Pricing!E5</f>
        <v>0</v>
      </c>
      <c r="F7" s="74">
        <f>'Commodity Tonnages'!F7*Pricing!F5</f>
        <v>42.638346134999992</v>
      </c>
      <c r="G7" s="74">
        <f>'Commodity Tonnages'!G7*Pricing!G5</f>
        <v>501.48303659999999</v>
      </c>
      <c r="H7" s="74">
        <f>'Commodity Tonnages'!H7*Pricing!H5</f>
        <v>766.22139442799983</v>
      </c>
      <c r="I7" s="74">
        <f>'Commodity Tonnages'!I7*Pricing!I5</f>
        <v>149.044344435</v>
      </c>
      <c r="J7" s="74">
        <f>'Commodity Tonnages'!J7*Pricing!J5</f>
        <v>149.044344435</v>
      </c>
      <c r="K7" s="74">
        <f>'Commodity Tonnages'!K7*Pricing!K5</f>
        <v>593.6590154879998</v>
      </c>
      <c r="L7" s="74">
        <f>'Commodity Tonnages'!L7*Pricing!L5</f>
        <v>-248.20140123000053</v>
      </c>
      <c r="M7" s="169">
        <f t="shared" ref="M7:M17" si="0">SUM(C7:L7)</f>
        <v>2184.8582519459992</v>
      </c>
      <c r="O7" s="98">
        <f t="shared" ref="O7:O17" si="1">+M7-Q7</f>
        <v>1098.0610019459994</v>
      </c>
      <c r="P7" s="155">
        <f t="shared" ref="P7:P17" si="2">IFERROR(O7/M7,0)</f>
        <v>0.50257768483057585</v>
      </c>
      <c r="Q7" s="156">
        <v>1086.7972499999998</v>
      </c>
      <c r="R7" s="170"/>
    </row>
    <row r="8" spans="1:18" ht="15.75" customHeight="1" x14ac:dyDescent="0.2">
      <c r="A8" s="65">
        <f>+Pricing!A6</f>
        <v>41851</v>
      </c>
      <c r="B8" s="66"/>
      <c r="C8" s="71">
        <f>'Commodity Tonnages'!C8*Pricing!C6</f>
        <v>266.06200582499997</v>
      </c>
      <c r="D8" s="74">
        <f>'Commodity Tonnages'!D8*Pricing!D6</f>
        <v>-44.032393600000006</v>
      </c>
      <c r="E8" s="74">
        <f>'Commodity Tonnages'!E8*Pricing!E6</f>
        <v>0</v>
      </c>
      <c r="F8" s="74">
        <f>'Commodity Tonnages'!F8*Pricing!F6</f>
        <v>39.878075160000002</v>
      </c>
      <c r="G8" s="74">
        <f>'Commodity Tonnages'!G8*Pricing!G6</f>
        <v>475.71471675000004</v>
      </c>
      <c r="H8" s="74">
        <f>'Commodity Tonnages'!H8*Pricing!H6</f>
        <v>721.494219348</v>
      </c>
      <c r="I8" s="74">
        <f>'Commodity Tonnages'!I8*Pricing!I6</f>
        <v>157.29565919200002</v>
      </c>
      <c r="J8" s="74">
        <f>'Commodity Tonnages'!J8*Pricing!J6</f>
        <v>157.29565919200002</v>
      </c>
      <c r="K8" s="74">
        <f>'Commodity Tonnages'!K8*Pricing!K6</f>
        <v>593.53836695999996</v>
      </c>
      <c r="L8" s="74">
        <f>'Commodity Tonnages'!L8*Pricing!L6</f>
        <v>-233.52167437000054</v>
      </c>
      <c r="M8" s="169">
        <f t="shared" si="0"/>
        <v>2133.7246344569994</v>
      </c>
      <c r="O8" s="98">
        <f t="shared" si="1"/>
        <v>1070.1527844569994</v>
      </c>
      <c r="P8" s="155">
        <f t="shared" si="2"/>
        <v>0.50154212365333495</v>
      </c>
      <c r="Q8" s="156">
        <v>1063.57185</v>
      </c>
      <c r="R8" s="170"/>
    </row>
    <row r="9" spans="1:18" ht="15.75" customHeight="1" x14ac:dyDescent="0.2">
      <c r="A9" s="65">
        <f>+Pricing!A7</f>
        <v>41882</v>
      </c>
      <c r="B9" s="66"/>
      <c r="C9" s="71">
        <f>'Commodity Tonnages'!C9*Pricing!C7</f>
        <v>288.10333124999994</v>
      </c>
      <c r="D9" s="74">
        <f>'Commodity Tonnages'!D9*Pricing!D7</f>
        <v>-51.972570000000012</v>
      </c>
      <c r="E9" s="74">
        <f>'Commodity Tonnages'!E9*Pricing!E7</f>
        <v>0</v>
      </c>
      <c r="F9" s="74">
        <f>'Commodity Tonnages'!F9*Pricing!F7</f>
        <v>40.793878124999999</v>
      </c>
      <c r="G9" s="74">
        <f>'Commodity Tonnages'!G9*Pricing!G7</f>
        <v>485.01179999999999</v>
      </c>
      <c r="H9" s="74">
        <f>'Commodity Tonnages'!H9*Pricing!H7</f>
        <v>738.73735424999984</v>
      </c>
      <c r="I9" s="74">
        <f>'Commodity Tonnages'!I9*Pricing!I7</f>
        <v>163.94084437500001</v>
      </c>
      <c r="J9" s="74">
        <f>'Commodity Tonnages'!J9*Pricing!J7</f>
        <v>163.94084437500001</v>
      </c>
      <c r="K9" s="74">
        <f>'Commodity Tonnages'!K9*Pricing!K7</f>
        <v>595.37466449999988</v>
      </c>
      <c r="L9" s="74">
        <f>'Commodity Tonnages'!L9*Pricing!L7</f>
        <v>-240.50523375000051</v>
      </c>
      <c r="M9" s="169">
        <f t="shared" si="0"/>
        <v>2183.4249131249994</v>
      </c>
      <c r="O9" s="98">
        <f t="shared" si="1"/>
        <v>1091.7811631249995</v>
      </c>
      <c r="P9" s="155">
        <f t="shared" si="2"/>
        <v>0.50003146733468451</v>
      </c>
      <c r="Q9" s="156">
        <v>1091.64375</v>
      </c>
      <c r="R9" s="170"/>
    </row>
    <row r="10" spans="1:18" ht="15.75" customHeight="1" x14ac:dyDescent="0.2">
      <c r="A10" s="65">
        <f>+Pricing!A8</f>
        <v>41912</v>
      </c>
      <c r="B10" s="66"/>
      <c r="C10" s="71">
        <f>'Commodity Tonnages'!C10*Pricing!C8</f>
        <v>333.43175459999992</v>
      </c>
      <c r="D10" s="74">
        <f>'Commodity Tonnages'!D10*Pricing!D8</f>
        <v>17.757438400000002</v>
      </c>
      <c r="E10" s="74">
        <f>'Commodity Tonnages'!E10*Pricing!E8</f>
        <v>0</v>
      </c>
      <c r="F10" s="74">
        <f>'Commodity Tonnages'!F10*Pricing!F8</f>
        <v>48.892020869999996</v>
      </c>
      <c r="G10" s="74">
        <f>'Commodity Tonnages'!G10*Pricing!G8</f>
        <v>504.73108139999999</v>
      </c>
      <c r="H10" s="74">
        <f>'Commodity Tonnages'!H10*Pricing!H8</f>
        <v>780.81195767400004</v>
      </c>
      <c r="I10" s="74">
        <f>'Commodity Tonnages'!I10*Pricing!I8</f>
        <v>206.54964990799999</v>
      </c>
      <c r="J10" s="74">
        <f>'Commodity Tonnages'!J10*Pricing!J8</f>
        <v>206.54964990799999</v>
      </c>
      <c r="K10" s="74">
        <f>'Commodity Tonnages'!K10*Pricing!K8</f>
        <v>629.708526216</v>
      </c>
      <c r="L10" s="74">
        <f>'Commodity Tonnages'!L10*Pricing!L8</f>
        <v>-275.28050903000064</v>
      </c>
      <c r="M10" s="169">
        <f t="shared" si="0"/>
        <v>2453.1515699459992</v>
      </c>
      <c r="O10" s="98">
        <f t="shared" si="1"/>
        <v>1226.6490699459991</v>
      </c>
      <c r="P10" s="155">
        <f t="shared" si="2"/>
        <v>0.50002987380555586</v>
      </c>
      <c r="Q10" s="156">
        <v>1226.5025000000001</v>
      </c>
      <c r="R10" s="170"/>
    </row>
    <row r="11" spans="1:18" ht="15.75" customHeight="1" x14ac:dyDescent="0.2">
      <c r="A11" s="65">
        <f>+Pricing!A9</f>
        <v>41943</v>
      </c>
      <c r="B11" s="66"/>
      <c r="C11" s="71">
        <f>'Commodity Tonnages'!C11*Pricing!C9</f>
        <v>327.64739962499999</v>
      </c>
      <c r="D11" s="74">
        <f>'Commodity Tonnages'!D11*Pricing!D9</f>
        <v>6.8274679199999992</v>
      </c>
      <c r="E11" s="74">
        <f>'Commodity Tonnages'!E11*Pricing!E9</f>
        <v>0</v>
      </c>
      <c r="F11" s="74">
        <f>'Commodity Tonnages'!F11*Pricing!F9</f>
        <v>39.711498750000004</v>
      </c>
      <c r="G11" s="74">
        <f>'Commodity Tonnages'!G11*Pricing!G9</f>
        <v>518.58281475000001</v>
      </c>
      <c r="H11" s="74">
        <f>'Commodity Tonnages'!H11*Pricing!H9</f>
        <v>759.09218573999988</v>
      </c>
      <c r="I11" s="74">
        <f>'Commodity Tonnages'!I11*Pricing!I9</f>
        <v>200.71099781249998</v>
      </c>
      <c r="J11" s="74">
        <f>'Commodity Tonnages'!J11*Pricing!J9</f>
        <v>200.71099781249998</v>
      </c>
      <c r="K11" s="74">
        <f>'Commodity Tonnages'!K11*Pricing!K9</f>
        <v>659.99703231000001</v>
      </c>
      <c r="L11" s="74">
        <f>'Commodity Tonnages'!L11*Pricing!L9</f>
        <v>-276.84824685000058</v>
      </c>
      <c r="M11" s="169">
        <f t="shared" si="0"/>
        <v>2436.4321478699994</v>
      </c>
      <c r="O11" s="98">
        <f t="shared" si="1"/>
        <v>1218.2903978699994</v>
      </c>
      <c r="P11" s="155">
        <f t="shared" si="2"/>
        <v>0.50003050523490455</v>
      </c>
      <c r="Q11" s="156">
        <v>1218.14175</v>
      </c>
      <c r="R11" s="170"/>
    </row>
    <row r="12" spans="1:18" ht="15.75" customHeight="1" x14ac:dyDescent="0.2">
      <c r="A12" s="65">
        <f>+Pricing!A10</f>
        <v>41973</v>
      </c>
      <c r="B12" s="66"/>
      <c r="C12" s="71">
        <f>'Commodity Tonnages'!C12*Pricing!C10</f>
        <v>338.18400000000003</v>
      </c>
      <c r="D12" s="74">
        <f>'Commodity Tonnages'!D12*Pricing!D10</f>
        <v>-19.114979520000002</v>
      </c>
      <c r="E12" s="74">
        <f>'Commodity Tonnages'!E12*Pricing!E10</f>
        <v>0</v>
      </c>
      <c r="F12" s="74">
        <f>'Commodity Tonnages'!F12*Pricing!F10</f>
        <v>31.920342300000005</v>
      </c>
      <c r="G12" s="74">
        <f>'Commodity Tonnages'!G12*Pricing!G10</f>
        <v>455.02657199999999</v>
      </c>
      <c r="H12" s="74">
        <f>'Commodity Tonnages'!H12*Pricing!H10</f>
        <v>663.93087347999995</v>
      </c>
      <c r="I12" s="74">
        <f>'Commodity Tonnages'!I12*Pricing!I10</f>
        <v>172.03879959000002</v>
      </c>
      <c r="J12" s="74">
        <f>'Commodity Tonnages'!J12*Pricing!J10</f>
        <v>172.03879959000002</v>
      </c>
      <c r="K12" s="74">
        <f>'Commodity Tonnages'!K12*Pricing!K10</f>
        <v>607.20937200000003</v>
      </c>
      <c r="L12" s="74">
        <f>'Commodity Tonnages'!L12*Pricing!L10</f>
        <v>-260.81456460000055</v>
      </c>
      <c r="M12" s="169">
        <f t="shared" si="0"/>
        <v>2160.4192148399993</v>
      </c>
      <c r="O12" s="98">
        <f t="shared" si="1"/>
        <v>1080.1702148399993</v>
      </c>
      <c r="P12" s="155">
        <f t="shared" si="2"/>
        <v>0.49998176623327095</v>
      </c>
      <c r="Q12" s="156">
        <v>1080.249</v>
      </c>
      <c r="R12" s="170"/>
    </row>
    <row r="13" spans="1:18" ht="15.75" customHeight="1" x14ac:dyDescent="0.2">
      <c r="A13" s="65">
        <f>+Pricing!A11</f>
        <v>42004</v>
      </c>
      <c r="B13" s="66"/>
      <c r="C13" s="71">
        <f>'Commodity Tonnages'!C13*Pricing!C11</f>
        <v>360.39150000000001</v>
      </c>
      <c r="D13" s="74">
        <f>'Commodity Tonnages'!D13*Pricing!D11</f>
        <v>-34.032490127999999</v>
      </c>
      <c r="E13" s="74">
        <f>'Commodity Tonnages'!E13*Pricing!E11</f>
        <v>0</v>
      </c>
      <c r="F13" s="74">
        <f>'Commodity Tonnages'!F13*Pricing!F11</f>
        <v>35.510858460000001</v>
      </c>
      <c r="G13" s="74">
        <f>'Commodity Tonnages'!G13*Pricing!G11</f>
        <v>478.5956721</v>
      </c>
      <c r="H13" s="74">
        <f>'Commodity Tonnages'!H13*Pricing!H11</f>
        <v>698.02694791199997</v>
      </c>
      <c r="I13" s="74">
        <f>'Commodity Tonnages'!I13*Pricing!I11</f>
        <v>155.53352367000002</v>
      </c>
      <c r="J13" s="74">
        <f>'Commodity Tonnages'!J13*Pricing!J11</f>
        <v>155.53352367000002</v>
      </c>
      <c r="K13" s="74">
        <f>'Commodity Tonnages'!K13*Pricing!K11</f>
        <v>637.88583196799993</v>
      </c>
      <c r="L13" s="74">
        <f>'Commodity Tonnages'!L13*Pricing!L11</f>
        <v>-287.75115078000067</v>
      </c>
      <c r="M13" s="169">
        <f t="shared" si="0"/>
        <v>2199.6942168719988</v>
      </c>
      <c r="O13" s="98">
        <f t="shared" si="1"/>
        <v>1099.6725668719989</v>
      </c>
      <c r="P13" s="155">
        <f t="shared" si="2"/>
        <v>0.4999206518966765</v>
      </c>
      <c r="Q13" s="156">
        <v>1100.0216499999999</v>
      </c>
      <c r="R13" s="170"/>
    </row>
    <row r="14" spans="1:18" ht="15.75" customHeight="1" x14ac:dyDescent="0.2">
      <c r="A14" s="65">
        <f>+Pricing!A12</f>
        <v>42035</v>
      </c>
      <c r="B14" s="66"/>
      <c r="C14" s="71">
        <f>'Commodity Tonnages'!C14*Pricing!C12</f>
        <v>335.03505000000001</v>
      </c>
      <c r="D14" s="74">
        <f>'Commodity Tonnages'!D14*Pricing!D12</f>
        <v>-28.092505167999999</v>
      </c>
      <c r="E14" s="74">
        <f>'Commodity Tonnages'!E14*Pricing!E12</f>
        <v>0</v>
      </c>
      <c r="F14" s="74">
        <f>'Commodity Tonnages'!F14*Pricing!F12</f>
        <v>35.337715875000001</v>
      </c>
      <c r="G14" s="74">
        <f>'Commodity Tonnages'!G14*Pricing!G12</f>
        <v>465.48243105</v>
      </c>
      <c r="H14" s="74">
        <f>'Commodity Tonnages'!H14*Pricing!H12</f>
        <v>692.19496651199984</v>
      </c>
      <c r="I14" s="74">
        <f>'Commodity Tonnages'!I14*Pricing!I12</f>
        <v>118.32615221699999</v>
      </c>
      <c r="J14" s="74">
        <f>'Commodity Tonnages'!J14*Pricing!J12</f>
        <v>118.32615221699999</v>
      </c>
      <c r="K14" s="74">
        <f>'Commodity Tonnages'!K14*Pricing!K12</f>
        <v>616.42971621000004</v>
      </c>
      <c r="L14" s="74">
        <f>'Commodity Tonnages'!L14*Pricing!L12</f>
        <v>-287.82241159000063</v>
      </c>
      <c r="M14" s="169">
        <f t="shared" si="0"/>
        <v>2065.2172673229993</v>
      </c>
      <c r="O14" s="98">
        <f t="shared" si="1"/>
        <v>1032.3912673229993</v>
      </c>
      <c r="P14" s="155">
        <f t="shared" si="2"/>
        <v>0.49989474892451286</v>
      </c>
      <c r="Q14" s="156">
        <v>1032.826</v>
      </c>
      <c r="R14" s="170"/>
    </row>
    <row r="15" spans="1:18" ht="15.75" customHeight="1" x14ac:dyDescent="0.2">
      <c r="A15" s="65">
        <f>+Pricing!A13</f>
        <v>42063</v>
      </c>
      <c r="B15" s="66"/>
      <c r="C15" s="71">
        <f>'Commodity Tonnages'!C15*Pricing!C13</f>
        <v>302.08641697499996</v>
      </c>
      <c r="D15" s="74">
        <f>'Commodity Tonnages'!D15*Pricing!D13</f>
        <v>-59.249530704000001</v>
      </c>
      <c r="E15" s="74">
        <f>'Commodity Tonnages'!E15*Pricing!E13</f>
        <v>0</v>
      </c>
      <c r="F15" s="74">
        <f>'Commodity Tonnages'!F15*Pricing!F13</f>
        <v>23.719131975</v>
      </c>
      <c r="G15" s="74">
        <f>'Commodity Tonnages'!G15*Pricing!G13</f>
        <v>419.59717799999993</v>
      </c>
      <c r="H15" s="74">
        <f>'Commodity Tonnages'!H15*Pricing!H13</f>
        <v>614.91582924800002</v>
      </c>
      <c r="I15" s="74">
        <f>'Commodity Tonnages'!I15*Pricing!I13</f>
        <v>86.046236300500013</v>
      </c>
      <c r="J15" s="74">
        <f>'Commodity Tonnages'!J15*Pricing!J13</f>
        <v>86.046236300500013</v>
      </c>
      <c r="K15" s="74">
        <f>'Commodity Tonnages'!K15*Pricing!K13</f>
        <v>481.23549381600009</v>
      </c>
      <c r="L15" s="74">
        <f>'Commodity Tonnages'!L15*Pricing!L13</f>
        <v>-262.02599837000059</v>
      </c>
      <c r="M15" s="169">
        <f t="shared" si="0"/>
        <v>1692.3709935409993</v>
      </c>
      <c r="O15" s="98">
        <f t="shared" si="1"/>
        <v>846.10944354099922</v>
      </c>
      <c r="P15" s="155">
        <f t="shared" si="2"/>
        <v>0.49995506113624572</v>
      </c>
      <c r="Q15" s="156">
        <v>846.26155000000006</v>
      </c>
      <c r="R15" s="170"/>
    </row>
    <row r="16" spans="1:18" ht="15.75" customHeight="1" x14ac:dyDescent="0.2">
      <c r="A16" s="65">
        <f>+Pricing!A14</f>
        <v>42094</v>
      </c>
      <c r="B16" s="66"/>
      <c r="C16" s="71">
        <f>'Commodity Tonnages'!C16*Pricing!C14</f>
        <v>322.43175194999998</v>
      </c>
      <c r="D16" s="74">
        <f>'Commodity Tonnages'!D16*Pricing!D14</f>
        <v>-37.916573968000002</v>
      </c>
      <c r="E16" s="74">
        <f>'Commodity Tonnages'!E16*Pricing!E14</f>
        <v>0</v>
      </c>
      <c r="F16" s="74">
        <f>'Commodity Tonnages'!F16*Pricing!F14</f>
        <v>27.083122605</v>
      </c>
      <c r="G16" s="74">
        <f>'Commodity Tonnages'!G16*Pricing!G14</f>
        <v>482.44887599999998</v>
      </c>
      <c r="H16" s="74">
        <f>'Commodity Tonnages'!H16*Pricing!H14</f>
        <v>745.00893053999982</v>
      </c>
      <c r="I16" s="74">
        <f>'Commodity Tonnages'!I16*Pricing!I14</f>
        <v>110.55487099299999</v>
      </c>
      <c r="J16" s="74">
        <f>'Commodity Tonnages'!J16*Pricing!J14</f>
        <v>110.55487099299999</v>
      </c>
      <c r="K16" s="74">
        <f>'Commodity Tonnages'!K16*Pricing!K14</f>
        <v>527.87624135399994</v>
      </c>
      <c r="L16" s="74">
        <f>'Commodity Tonnages'!L16*Pricing!L14</f>
        <v>-294.23588449000067</v>
      </c>
      <c r="M16" s="169">
        <f t="shared" si="0"/>
        <v>1993.8062059769989</v>
      </c>
      <c r="O16" s="98">
        <f t="shared" si="1"/>
        <v>996.85915597699886</v>
      </c>
      <c r="P16" s="155">
        <f t="shared" si="2"/>
        <v>0.49997795823316787</v>
      </c>
      <c r="Q16" s="156">
        <v>996.94704999999999</v>
      </c>
      <c r="R16" s="170"/>
    </row>
    <row r="17" spans="1:18" ht="15.75" customHeight="1" x14ac:dyDescent="0.2">
      <c r="A17" s="65">
        <f>+Pricing!A15</f>
        <v>42124</v>
      </c>
      <c r="B17" s="66"/>
      <c r="C17" s="71">
        <f>'Commodity Tonnages'!C17*Pricing!C15</f>
        <v>282.00302812499996</v>
      </c>
      <c r="D17" s="74">
        <f>'Commodity Tonnages'!D17*Pricing!D15</f>
        <v>-95.434430000000006</v>
      </c>
      <c r="E17" s="74">
        <f>'Commodity Tonnages'!E17*Pricing!E15</f>
        <v>0</v>
      </c>
      <c r="F17" s="74">
        <f>'Commodity Tonnages'!F17*Pricing!F15</f>
        <v>25.10825625</v>
      </c>
      <c r="G17" s="74">
        <f>'Commodity Tonnages'!G17*Pricing!G15</f>
        <v>463.08478124999999</v>
      </c>
      <c r="H17" s="74">
        <f>'Commodity Tonnages'!H17*Pricing!H15</f>
        <v>699.17888249999987</v>
      </c>
      <c r="I17" s="74">
        <f>'Commodity Tonnages'!I17*Pricing!I15</f>
        <v>124.53764268749998</v>
      </c>
      <c r="J17" s="74">
        <f>'Commodity Tonnages'!J17*Pricing!J15</f>
        <v>124.53764268749998</v>
      </c>
      <c r="K17" s="74">
        <f>'Commodity Tonnages'!K17*Pricing!K15</f>
        <v>552.73073624999984</v>
      </c>
      <c r="L17" s="74">
        <f>'Commodity Tonnages'!L17*Pricing!L15</f>
        <v>-276.13563875000062</v>
      </c>
      <c r="M17" s="169">
        <f t="shared" si="0"/>
        <v>1899.6109009999993</v>
      </c>
      <c r="O17" s="98">
        <f t="shared" si="1"/>
        <v>894.70090099999925</v>
      </c>
      <c r="P17" s="250">
        <f t="shared" si="2"/>
        <v>0.47099166493991368</v>
      </c>
      <c r="Q17" s="156">
        <v>1004.9100000000001</v>
      </c>
      <c r="R17" s="170"/>
    </row>
    <row r="18" spans="1:18" ht="15.75" customHeight="1" x14ac:dyDescent="0.2">
      <c r="A18" s="69" t="s">
        <v>32</v>
      </c>
      <c r="B18" s="66"/>
      <c r="C18" s="132">
        <f t="shared" ref="C18:L18" si="3">SUM(C6:C17)</f>
        <v>3714.408661425</v>
      </c>
      <c r="D18" s="133">
        <f t="shared" si="3"/>
        <v>-482.87465012800004</v>
      </c>
      <c r="E18" s="133">
        <f t="shared" si="3"/>
        <v>0</v>
      </c>
      <c r="F18" s="132">
        <f t="shared" si="3"/>
        <v>437.24407765500001</v>
      </c>
      <c r="G18" s="132">
        <f t="shared" si="3"/>
        <v>5766.0965271000005</v>
      </c>
      <c r="H18" s="132">
        <f t="shared" si="3"/>
        <v>8674.674568391998</v>
      </c>
      <c r="I18" s="132">
        <f t="shared" si="3"/>
        <v>1794.2606985974999</v>
      </c>
      <c r="J18" s="132">
        <f t="shared" si="3"/>
        <v>1794.2606985974999</v>
      </c>
      <c r="K18" s="132">
        <f t="shared" si="3"/>
        <v>7121.0753851102781</v>
      </c>
      <c r="L18" s="133">
        <f t="shared" si="3"/>
        <v>-3194.4083298700075</v>
      </c>
      <c r="M18" s="171">
        <f>SUM(C18:L18)</f>
        <v>25624.737636879268</v>
      </c>
      <c r="O18" s="135">
        <f>SUM(O6:O17)</f>
        <v>12765.82268687927</v>
      </c>
      <c r="P18" s="172">
        <f>+O18/M18</f>
        <v>0.49818354699977985</v>
      </c>
      <c r="Q18" s="247">
        <f>SUM(Q6:Q17)</f>
        <v>12858.91495</v>
      </c>
    </row>
    <row r="19" spans="1:18" x14ac:dyDescent="0.2">
      <c r="A19" s="66"/>
      <c r="B19" s="66"/>
      <c r="C19" s="71"/>
      <c r="D19" s="71"/>
      <c r="E19" s="71"/>
      <c r="F19" s="71"/>
      <c r="G19" s="71"/>
      <c r="H19" s="71"/>
      <c r="I19" s="71"/>
      <c r="J19" s="71"/>
      <c r="K19" s="71"/>
      <c r="L19" s="71"/>
      <c r="M19" s="71"/>
      <c r="O19" s="80"/>
    </row>
    <row r="20" spans="1:18" x14ac:dyDescent="0.2">
      <c r="A20" s="66"/>
      <c r="B20" s="66"/>
      <c r="C20" s="66"/>
      <c r="D20" s="66"/>
      <c r="E20" s="66"/>
      <c r="F20" s="66"/>
      <c r="G20" s="66"/>
      <c r="H20" s="66"/>
      <c r="I20" s="66"/>
      <c r="J20" s="66"/>
      <c r="K20" s="66"/>
      <c r="L20" s="66"/>
      <c r="M20" s="67"/>
      <c r="O20" s="81"/>
    </row>
    <row r="21" spans="1:18" x14ac:dyDescent="0.2">
      <c r="A21" s="66"/>
      <c r="B21" s="66"/>
      <c r="C21" s="66"/>
      <c r="D21" s="66"/>
      <c r="E21" s="66"/>
      <c r="F21" s="66"/>
      <c r="G21" s="66"/>
      <c r="H21" s="66"/>
      <c r="I21" s="66"/>
      <c r="J21" s="66"/>
      <c r="K21" s="66"/>
      <c r="L21" s="66"/>
      <c r="M21" s="67"/>
      <c r="O21" s="82"/>
    </row>
    <row r="22" spans="1:18" x14ac:dyDescent="0.2">
      <c r="A22" s="66"/>
      <c r="B22" s="66"/>
      <c r="C22" s="66"/>
      <c r="D22" s="66"/>
      <c r="E22" s="66"/>
      <c r="F22" s="66"/>
      <c r="G22" s="66"/>
      <c r="H22" s="66"/>
      <c r="I22" s="66"/>
      <c r="J22" s="66"/>
      <c r="K22" s="66"/>
      <c r="L22" s="66"/>
      <c r="M22" s="67"/>
    </row>
    <row r="23" spans="1:18" x14ac:dyDescent="0.2">
      <c r="A23" s="66"/>
      <c r="B23" s="66"/>
      <c r="C23" s="66"/>
      <c r="D23" s="66"/>
      <c r="E23" s="66"/>
      <c r="F23" s="66"/>
      <c r="G23" s="66"/>
      <c r="H23" s="66"/>
      <c r="I23" s="66"/>
      <c r="J23" s="66"/>
      <c r="K23" s="66"/>
      <c r="L23" s="66"/>
      <c r="M23" s="67"/>
    </row>
    <row r="24" spans="1:18" x14ac:dyDescent="0.2">
      <c r="A24" s="66"/>
      <c r="B24" s="66"/>
      <c r="C24" s="66"/>
      <c r="D24" s="66"/>
      <c r="E24" s="66"/>
      <c r="F24" s="66"/>
      <c r="G24" s="66"/>
      <c r="H24" s="66"/>
      <c r="I24" s="66"/>
      <c r="J24" s="66"/>
      <c r="K24" s="66"/>
      <c r="L24" s="66"/>
      <c r="M24" s="67"/>
    </row>
    <row r="25" spans="1:18" x14ac:dyDescent="0.2">
      <c r="A25" s="66"/>
      <c r="B25" s="66"/>
      <c r="C25" s="66"/>
      <c r="D25" s="66"/>
      <c r="E25" s="66"/>
      <c r="F25" s="66"/>
      <c r="G25" s="66"/>
      <c r="H25" s="66"/>
      <c r="I25" s="66"/>
      <c r="J25" s="66"/>
      <c r="K25" s="66"/>
      <c r="L25" s="66"/>
      <c r="M25" s="67"/>
    </row>
    <row r="26" spans="1:18" x14ac:dyDescent="0.2">
      <c r="A26" s="66"/>
      <c r="B26" s="66"/>
      <c r="C26" s="66"/>
      <c r="D26" s="66"/>
      <c r="E26" s="66"/>
      <c r="F26" s="66"/>
      <c r="G26" s="66"/>
      <c r="H26" s="66"/>
      <c r="I26" s="66"/>
      <c r="J26" s="66"/>
      <c r="K26" s="66"/>
      <c r="L26" s="66"/>
      <c r="M26" s="67"/>
    </row>
    <row r="27" spans="1:18" x14ac:dyDescent="0.2">
      <c r="A27" s="66"/>
      <c r="B27" s="66"/>
      <c r="C27" s="66"/>
      <c r="D27" s="66"/>
      <c r="E27" s="66"/>
      <c r="F27" s="66"/>
      <c r="G27" s="66"/>
      <c r="H27" s="66"/>
      <c r="I27" s="66"/>
      <c r="J27" s="66"/>
      <c r="K27" s="66"/>
      <c r="L27" s="66"/>
      <c r="M27" s="67"/>
    </row>
    <row r="28" spans="1:18" x14ac:dyDescent="0.2">
      <c r="A28" s="66"/>
      <c r="B28" s="66"/>
      <c r="C28" s="66"/>
      <c r="D28" s="66"/>
      <c r="E28" s="66"/>
      <c r="F28" s="66"/>
      <c r="G28" s="66"/>
      <c r="H28" s="66"/>
      <c r="I28" s="66"/>
      <c r="J28" s="66"/>
      <c r="K28" s="66"/>
      <c r="L28" s="66"/>
      <c r="M28" s="66"/>
    </row>
    <row r="29" spans="1:18" x14ac:dyDescent="0.2">
      <c r="A29" s="66"/>
      <c r="B29" s="66"/>
      <c r="C29" s="66"/>
      <c r="D29" s="66"/>
      <c r="E29" s="66"/>
      <c r="F29" s="66"/>
      <c r="G29" s="66"/>
      <c r="H29" s="66"/>
      <c r="I29" s="66"/>
      <c r="J29" s="66"/>
      <c r="K29" s="66"/>
      <c r="L29" s="66"/>
      <c r="M29" s="66"/>
    </row>
    <row r="30" spans="1:18" x14ac:dyDescent="0.2">
      <c r="A30" s="66"/>
      <c r="B30" s="66"/>
      <c r="C30" s="66"/>
      <c r="D30" s="66"/>
      <c r="E30" s="66"/>
      <c r="F30" s="66"/>
      <c r="G30" s="66"/>
      <c r="H30" s="66"/>
      <c r="I30" s="66"/>
      <c r="J30" s="66"/>
      <c r="K30" s="66"/>
      <c r="L30" s="66"/>
      <c r="M30" s="66"/>
    </row>
    <row r="31" spans="1:18" x14ac:dyDescent="0.2">
      <c r="A31" s="66"/>
      <c r="B31" s="66"/>
      <c r="C31" s="66"/>
      <c r="D31" s="66"/>
      <c r="E31" s="66"/>
      <c r="F31" s="66"/>
      <c r="G31" s="66"/>
      <c r="H31" s="66"/>
      <c r="I31" s="66"/>
      <c r="J31" s="66"/>
      <c r="K31" s="66"/>
      <c r="L31" s="66"/>
      <c r="M31" s="66"/>
    </row>
    <row r="32" spans="1:18"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ageMargins left="0.25" right="0.25" top="0.75" bottom="0.75" header="0.3" footer="0.3"/>
  <pageSetup scale="77" fitToHeight="0" orientation="landscape"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18"/>
  <sheetViews>
    <sheetView showGridLines="0" zoomScaleNormal="100" workbookViewId="0">
      <selection activeCell="I69" sqref="I69"/>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"Multi-Family Tonnages by Commodity ("&amp;TEXT(A6,"mmmm yyyy")&amp;" through "&amp;TEXT(A17,"mmmm yyyy")&amp;")"</f>
        <v>Multi-Family Tonnages by Commodity (May 2014 through April 2015)</v>
      </c>
      <c r="B1" s="60"/>
    </row>
    <row r="2" spans="1:16" x14ac:dyDescent="0.2">
      <c r="A2" s="61" t="s">
        <v>113</v>
      </c>
      <c r="B2" s="61"/>
    </row>
    <row r="3" spans="1:16" x14ac:dyDescent="0.2">
      <c r="A3" s="60"/>
      <c r="B3" s="62"/>
      <c r="C3" s="63" t="s">
        <v>21</v>
      </c>
      <c r="D3" s="63" t="s">
        <v>22</v>
      </c>
      <c r="E3" s="63" t="s">
        <v>33</v>
      </c>
      <c r="F3" s="63" t="s">
        <v>23</v>
      </c>
      <c r="G3" s="63" t="s">
        <v>24</v>
      </c>
      <c r="H3" s="63" t="s">
        <v>25</v>
      </c>
      <c r="I3" s="63" t="s">
        <v>26</v>
      </c>
      <c r="J3" s="63" t="s">
        <v>27</v>
      </c>
      <c r="K3" s="63" t="s">
        <v>28</v>
      </c>
      <c r="L3" s="63" t="s">
        <v>29</v>
      </c>
      <c r="M3" s="63"/>
      <c r="N3" s="63" t="s">
        <v>30</v>
      </c>
    </row>
    <row r="4" spans="1:16" s="64" customFormat="1" x14ac:dyDescent="0.2">
      <c r="A4" s="173"/>
      <c r="B4" s="173"/>
      <c r="D4" s="174"/>
      <c r="E4" s="174"/>
    </row>
    <row r="5" spans="1:16" x14ac:dyDescent="0.2">
      <c r="A5" s="65"/>
      <c r="B5" s="66"/>
      <c r="C5" s="67"/>
      <c r="D5" s="67"/>
      <c r="E5" s="67"/>
      <c r="F5" s="67"/>
      <c r="G5" s="67"/>
      <c r="H5" s="67"/>
      <c r="I5" s="67"/>
      <c r="J5" s="67"/>
      <c r="L5" s="66"/>
      <c r="M5" s="64"/>
      <c r="N5" s="67" t="s">
        <v>31</v>
      </c>
    </row>
    <row r="6" spans="1:16" x14ac:dyDescent="0.2">
      <c r="A6" s="130">
        <f>Multi_Family!$C$6</f>
        <v>41760</v>
      </c>
      <c r="B6" s="66" t="s">
        <v>67</v>
      </c>
      <c r="C6" s="108">
        <f>Multi_Family!C32</f>
        <v>0.26444999999999996</v>
      </c>
      <c r="D6" s="109">
        <f>Multi_Family!C34</f>
        <v>6.233968</v>
      </c>
      <c r="E6" s="108">
        <f>Multi_Family!C35</f>
        <v>0</v>
      </c>
      <c r="F6" s="108">
        <f>Multi_Family!C30</f>
        <v>0.58179000000000003</v>
      </c>
      <c r="G6" s="108">
        <f>Multi_Family!C27</f>
        <v>6.8757000000000001</v>
      </c>
      <c r="H6" s="108">
        <f>Multi_Family!C37</f>
        <v>11.346667999999999</v>
      </c>
      <c r="I6" s="108">
        <f>Multi_Family!C31/2</f>
        <v>0.79158700000000004</v>
      </c>
      <c r="J6" s="108">
        <f>Multi_Family!C31/2</f>
        <v>0.79158700000000004</v>
      </c>
      <c r="K6" s="108">
        <f>Multi_Family!C28</f>
        <v>6.2833319999999997</v>
      </c>
      <c r="L6" s="108">
        <f>Multi_Family!C36</f>
        <v>2.0909180000000043</v>
      </c>
      <c r="M6" s="64"/>
      <c r="N6" s="175">
        <f t="shared" ref="N6:N17" si="0">SUM(C6:L6)</f>
        <v>35.260000000000005</v>
      </c>
      <c r="O6" s="75"/>
      <c r="P6" s="68"/>
    </row>
    <row r="7" spans="1:16" x14ac:dyDescent="0.2">
      <c r="A7" s="65">
        <f t="shared" ref="A7:A17" si="1">EOMONTH(A6,1)</f>
        <v>41820</v>
      </c>
      <c r="B7" s="66" t="s">
        <v>68</v>
      </c>
      <c r="C7" s="108">
        <f>Multi_Family!D32</f>
        <v>0.26122499999999998</v>
      </c>
      <c r="D7" s="109">
        <f>Multi_Family!D34</f>
        <v>6.1579440000000005</v>
      </c>
      <c r="E7" s="108">
        <f>Multi_Family!D35</f>
        <v>0</v>
      </c>
      <c r="F7" s="108">
        <f>Multi_Family!D30</f>
        <v>0.57469499999999996</v>
      </c>
      <c r="G7" s="108">
        <f>Multi_Family!D27</f>
        <v>6.7918500000000002</v>
      </c>
      <c r="H7" s="108">
        <f>Multi_Family!D37</f>
        <v>11.208293999999999</v>
      </c>
      <c r="I7" s="108">
        <f>Multi_Family!D31/2</f>
        <v>0.78193350000000006</v>
      </c>
      <c r="J7" s="108">
        <f>Multi_Family!D31/2</f>
        <v>0.78193350000000006</v>
      </c>
      <c r="K7" s="108">
        <f>Multi_Family!D28</f>
        <v>6.2067059999999996</v>
      </c>
      <c r="L7" s="108">
        <f>Multi_Family!D36</f>
        <v>2.0654190000000043</v>
      </c>
      <c r="M7" s="64"/>
      <c r="N7" s="175">
        <f t="shared" si="0"/>
        <v>34.830000000000005</v>
      </c>
      <c r="P7" s="68"/>
    </row>
    <row r="8" spans="1:16" x14ac:dyDescent="0.2">
      <c r="A8" s="65">
        <f t="shared" si="1"/>
        <v>41851</v>
      </c>
      <c r="B8" s="66" t="s">
        <v>69</v>
      </c>
      <c r="C8" s="108">
        <f>Multi_Family!E32</f>
        <v>0.24577500000000002</v>
      </c>
      <c r="D8" s="109">
        <f>Multi_Family!E34</f>
        <v>5.7937360000000009</v>
      </c>
      <c r="E8" s="108">
        <f>Multi_Family!E35</f>
        <v>0</v>
      </c>
      <c r="F8" s="108">
        <f>Multi_Family!E30</f>
        <v>0.5407050000000001</v>
      </c>
      <c r="G8" s="108">
        <f>Multi_Family!E27</f>
        <v>6.3901500000000011</v>
      </c>
      <c r="H8" s="108">
        <f>Multi_Family!E37</f>
        <v>10.545386000000001</v>
      </c>
      <c r="I8" s="108">
        <f>Multi_Family!E31/2</f>
        <v>0.73568650000000013</v>
      </c>
      <c r="J8" s="108">
        <f>Multi_Family!E31/2</f>
        <v>0.73568650000000013</v>
      </c>
      <c r="K8" s="108">
        <f>Multi_Family!E28</f>
        <v>5.8396140000000001</v>
      </c>
      <c r="L8" s="108">
        <f>Multi_Family!E36</f>
        <v>1.9432610000000046</v>
      </c>
      <c r="M8" s="64"/>
      <c r="N8" s="175">
        <f t="shared" si="0"/>
        <v>32.77000000000001</v>
      </c>
      <c r="P8" s="68"/>
    </row>
    <row r="9" spans="1:16" x14ac:dyDescent="0.2">
      <c r="A9" s="65">
        <f t="shared" si="1"/>
        <v>41882</v>
      </c>
      <c r="B9" s="66" t="s">
        <v>70</v>
      </c>
      <c r="C9" s="108">
        <f>Multi_Family!F32</f>
        <v>0.25312499999999999</v>
      </c>
      <c r="D9" s="109">
        <f>Multi_Family!F34</f>
        <v>5.9670000000000005</v>
      </c>
      <c r="E9" s="108">
        <f>Multi_Family!F35</f>
        <v>0</v>
      </c>
      <c r="F9" s="108">
        <f>Multi_Family!F30</f>
        <v>0.55687500000000001</v>
      </c>
      <c r="G9" s="108">
        <f>Multi_Family!F27</f>
        <v>6.5812499999999998</v>
      </c>
      <c r="H9" s="108">
        <f>Multi_Family!F37</f>
        <v>10.860749999999999</v>
      </c>
      <c r="I9" s="108">
        <f>Multi_Family!F31/2</f>
        <v>0.75768750000000007</v>
      </c>
      <c r="J9" s="108">
        <f>Multi_Family!F31/2</f>
        <v>0.75768750000000007</v>
      </c>
      <c r="K9" s="108">
        <f>Multi_Family!F28</f>
        <v>6.0142499999999997</v>
      </c>
      <c r="L9" s="108">
        <f>Multi_Family!F36</f>
        <v>2.0013750000000043</v>
      </c>
      <c r="M9" s="64"/>
      <c r="N9" s="175">
        <f t="shared" si="0"/>
        <v>33.750000000000007</v>
      </c>
      <c r="P9" s="68"/>
    </row>
    <row r="10" spans="1:16" x14ac:dyDescent="0.2">
      <c r="A10" s="65">
        <f t="shared" si="1"/>
        <v>41912</v>
      </c>
      <c r="B10" s="66" t="s">
        <v>71</v>
      </c>
      <c r="C10" s="108">
        <f>Multi_Family!G32</f>
        <v>0.28972500000000001</v>
      </c>
      <c r="D10" s="109">
        <f>Multi_Family!G34</f>
        <v>6.829784000000001</v>
      </c>
      <c r="E10" s="108">
        <f>Multi_Family!G35</f>
        <v>0</v>
      </c>
      <c r="F10" s="108">
        <f>Multi_Family!G30</f>
        <v>0.63739500000000004</v>
      </c>
      <c r="G10" s="108">
        <f>Multi_Family!G27</f>
        <v>7.5328500000000007</v>
      </c>
      <c r="H10" s="108">
        <f>Multi_Family!G37</f>
        <v>12.431134</v>
      </c>
      <c r="I10" s="108">
        <f>Multi_Family!G31/2</f>
        <v>0.86724350000000006</v>
      </c>
      <c r="J10" s="108">
        <f>Multi_Family!G31/2</f>
        <v>0.86724350000000006</v>
      </c>
      <c r="K10" s="108">
        <f>Multi_Family!G28</f>
        <v>6.8838660000000003</v>
      </c>
      <c r="L10" s="108">
        <f>Multi_Family!G36</f>
        <v>2.2907590000000053</v>
      </c>
      <c r="M10" s="64"/>
      <c r="N10" s="175">
        <f t="shared" si="0"/>
        <v>38.63000000000001</v>
      </c>
      <c r="P10" s="68"/>
    </row>
    <row r="11" spans="1:16" x14ac:dyDescent="0.2">
      <c r="A11" s="65">
        <f t="shared" si="1"/>
        <v>41943</v>
      </c>
      <c r="B11" s="66" t="s">
        <v>72</v>
      </c>
      <c r="C11" s="108">
        <f>Multi_Family!H32</f>
        <v>0.291375</v>
      </c>
      <c r="D11" s="109">
        <f>Multi_Family!H34</f>
        <v>6.8686800000000003</v>
      </c>
      <c r="E11" s="108">
        <f>Multi_Family!H35</f>
        <v>0</v>
      </c>
      <c r="F11" s="108">
        <f>Multi_Family!H30</f>
        <v>0.64102500000000007</v>
      </c>
      <c r="G11" s="108">
        <f>Multi_Family!H27</f>
        <v>7.5757500000000002</v>
      </c>
      <c r="H11" s="108">
        <f>Multi_Family!H37</f>
        <v>12.50193</v>
      </c>
      <c r="I11" s="108">
        <f>Multi_Family!H31/2</f>
        <v>0.87218250000000008</v>
      </c>
      <c r="J11" s="108">
        <f>Multi_Family!H31/2</f>
        <v>0.87218250000000008</v>
      </c>
      <c r="K11" s="108">
        <f>Multi_Family!H28</f>
        <v>6.9230700000000001</v>
      </c>
      <c r="L11" s="108">
        <f>Multi_Family!H36</f>
        <v>2.303805000000005</v>
      </c>
      <c r="M11" s="64"/>
      <c r="N11" s="175">
        <f t="shared" si="0"/>
        <v>38.850000000000009</v>
      </c>
      <c r="P11" s="68"/>
    </row>
    <row r="12" spans="1:16" x14ac:dyDescent="0.2">
      <c r="A12" s="65">
        <f t="shared" si="1"/>
        <v>41973</v>
      </c>
      <c r="B12" s="66" t="s">
        <v>73</v>
      </c>
      <c r="C12" s="108">
        <f>Multi_Family!I32</f>
        <v>0.27450000000000002</v>
      </c>
      <c r="D12" s="109">
        <f>Multi_Family!I34</f>
        <v>6.4708800000000011</v>
      </c>
      <c r="E12" s="108">
        <f>Multi_Family!I35</f>
        <v>0</v>
      </c>
      <c r="F12" s="108">
        <f>Multi_Family!I30</f>
        <v>0.6039000000000001</v>
      </c>
      <c r="G12" s="108">
        <f>Multi_Family!I27</f>
        <v>7.1370000000000005</v>
      </c>
      <c r="H12" s="108">
        <f>Multi_Family!I37</f>
        <v>11.77788</v>
      </c>
      <c r="I12" s="108">
        <f>Multi_Family!I31/2</f>
        <v>0.82167000000000012</v>
      </c>
      <c r="J12" s="108">
        <f>Multi_Family!I31/2</f>
        <v>0.82167000000000012</v>
      </c>
      <c r="K12" s="108">
        <f>Multi_Family!I28</f>
        <v>6.5221200000000001</v>
      </c>
      <c r="L12" s="108">
        <f>Multi_Family!I36</f>
        <v>2.1703800000000046</v>
      </c>
      <c r="M12" s="64"/>
      <c r="N12" s="175">
        <f t="shared" si="0"/>
        <v>36.6</v>
      </c>
      <c r="P12" s="68"/>
    </row>
    <row r="13" spans="1:16" x14ac:dyDescent="0.2">
      <c r="A13" s="65">
        <f t="shared" si="1"/>
        <v>42004</v>
      </c>
      <c r="B13" s="66" t="s">
        <v>74</v>
      </c>
      <c r="C13" s="108">
        <f>Multi_Family!J32</f>
        <v>0.30285000000000001</v>
      </c>
      <c r="D13" s="109">
        <f>Multi_Family!J34</f>
        <v>7.1391840000000011</v>
      </c>
      <c r="E13" s="108">
        <f>Multi_Family!J35</f>
        <v>0</v>
      </c>
      <c r="F13" s="108">
        <f>Multi_Family!J30</f>
        <v>0.66627000000000003</v>
      </c>
      <c r="G13" s="108">
        <f>Multi_Family!J27</f>
        <v>7.8741000000000012</v>
      </c>
      <c r="H13" s="108">
        <f>Multi_Family!J37</f>
        <v>12.994284</v>
      </c>
      <c r="I13" s="108">
        <f>Multi_Family!J31/2</f>
        <v>0.90653100000000009</v>
      </c>
      <c r="J13" s="108">
        <f>Multi_Family!J31/2</f>
        <v>0.90653100000000009</v>
      </c>
      <c r="K13" s="108">
        <f>Multi_Family!J28</f>
        <v>7.195716</v>
      </c>
      <c r="L13" s="108">
        <f>Multi_Family!J36</f>
        <v>2.3945340000000055</v>
      </c>
      <c r="M13" s="64"/>
      <c r="N13" s="175">
        <f t="shared" si="0"/>
        <v>40.38000000000001</v>
      </c>
      <c r="P13" s="68"/>
    </row>
    <row r="14" spans="1:16" x14ac:dyDescent="0.2">
      <c r="A14" s="65">
        <f t="shared" si="1"/>
        <v>42035</v>
      </c>
      <c r="B14" s="66" t="s">
        <v>75</v>
      </c>
      <c r="C14" s="108">
        <f>Multi_Family!K32</f>
        <v>0.302925</v>
      </c>
      <c r="D14" s="109">
        <f>Multi_Family!K34</f>
        <v>7.1409520000000004</v>
      </c>
      <c r="E14" s="108">
        <f>Multi_Family!K35</f>
        <v>0</v>
      </c>
      <c r="F14" s="108">
        <f>Multi_Family!K30</f>
        <v>0.666435</v>
      </c>
      <c r="G14" s="108">
        <f>Multi_Family!K27</f>
        <v>7.8760500000000002</v>
      </c>
      <c r="H14" s="108">
        <f>Multi_Family!K37</f>
        <v>12.997501999999999</v>
      </c>
      <c r="I14" s="108">
        <f>Multi_Family!K31/2</f>
        <v>0.90675550000000005</v>
      </c>
      <c r="J14" s="108">
        <f>Multi_Family!K31/2</f>
        <v>0.90675550000000005</v>
      </c>
      <c r="K14" s="108">
        <f>Multi_Family!K28</f>
        <v>7.1974980000000004</v>
      </c>
      <c r="L14" s="108">
        <f>Multi_Family!K36</f>
        <v>2.3951270000000053</v>
      </c>
      <c r="M14" s="64"/>
      <c r="N14" s="175">
        <f t="shared" si="0"/>
        <v>40.39</v>
      </c>
      <c r="P14" s="68"/>
    </row>
    <row r="15" spans="1:16" x14ac:dyDescent="0.2">
      <c r="A15" s="65">
        <f t="shared" si="1"/>
        <v>42063</v>
      </c>
      <c r="B15" s="66" t="s">
        <v>76</v>
      </c>
      <c r="C15" s="108">
        <f>Multi_Family!L32</f>
        <v>0.27577499999999999</v>
      </c>
      <c r="D15" s="109">
        <f>Multi_Family!L34</f>
        <v>6.5009360000000012</v>
      </c>
      <c r="E15" s="108">
        <f>Multi_Family!L35</f>
        <v>0</v>
      </c>
      <c r="F15" s="108">
        <f>Multi_Family!L30</f>
        <v>0.60670500000000005</v>
      </c>
      <c r="G15" s="108">
        <f>Multi_Family!L27</f>
        <v>7.1701500000000005</v>
      </c>
      <c r="H15" s="108">
        <f>Multi_Family!L37</f>
        <v>11.832586000000001</v>
      </c>
      <c r="I15" s="108">
        <f>Multi_Family!L31/2</f>
        <v>0.82548650000000012</v>
      </c>
      <c r="J15" s="108">
        <f>Multi_Family!L31/2</f>
        <v>0.82548650000000012</v>
      </c>
      <c r="K15" s="108">
        <f>Multi_Family!L28</f>
        <v>6.5524140000000006</v>
      </c>
      <c r="L15" s="108">
        <f>Multi_Family!L36</f>
        <v>2.1804610000000051</v>
      </c>
      <c r="M15" s="64"/>
      <c r="N15" s="175">
        <f t="shared" si="0"/>
        <v>36.77000000000001</v>
      </c>
      <c r="P15" s="68"/>
    </row>
    <row r="16" spans="1:16" x14ac:dyDescent="0.2">
      <c r="A16" s="65">
        <f t="shared" si="1"/>
        <v>42094</v>
      </c>
      <c r="B16" s="66" t="s">
        <v>77</v>
      </c>
      <c r="C16" s="108">
        <f>Multi_Family!M32</f>
        <v>0.30967499999999998</v>
      </c>
      <c r="D16" s="109">
        <f>Multi_Family!M34</f>
        <v>7.3000720000000001</v>
      </c>
      <c r="E16" s="108">
        <f>Multi_Family!M35</f>
        <v>0</v>
      </c>
      <c r="F16" s="108">
        <f>Multi_Family!M30</f>
        <v>0.68128500000000003</v>
      </c>
      <c r="G16" s="108">
        <f>Multi_Family!M27</f>
        <v>8.0515500000000007</v>
      </c>
      <c r="H16" s="108">
        <f>Multi_Family!M37</f>
        <v>13.287121999999998</v>
      </c>
      <c r="I16" s="108">
        <f>Multi_Family!M31/2</f>
        <v>0.92696050000000008</v>
      </c>
      <c r="J16" s="108">
        <f>Multi_Family!M31/2</f>
        <v>0.92696050000000008</v>
      </c>
      <c r="K16" s="108">
        <f>Multi_Family!M28</f>
        <v>7.3578779999999995</v>
      </c>
      <c r="L16" s="108">
        <f>Multi_Family!M36</f>
        <v>2.4484970000000055</v>
      </c>
      <c r="M16" s="64"/>
      <c r="N16" s="175">
        <f t="shared" si="0"/>
        <v>41.29</v>
      </c>
      <c r="P16" s="68"/>
    </row>
    <row r="17" spans="1:16" x14ac:dyDescent="0.2">
      <c r="A17" s="65">
        <f t="shared" si="1"/>
        <v>42124</v>
      </c>
      <c r="B17" s="66" t="s">
        <v>78</v>
      </c>
      <c r="C17" s="108">
        <f>Multi_Family!N32</f>
        <v>0.29062499999999997</v>
      </c>
      <c r="D17" s="109">
        <f>Multi_Family!N34</f>
        <v>6.8510000000000009</v>
      </c>
      <c r="E17" s="108">
        <f>Multi_Family!N35</f>
        <v>0</v>
      </c>
      <c r="F17" s="108">
        <f>Multi_Family!N30</f>
        <v>0.63937500000000003</v>
      </c>
      <c r="G17" s="108">
        <f>Multi_Family!N27</f>
        <v>7.5562500000000004</v>
      </c>
      <c r="H17" s="108">
        <f>Multi_Family!N37</f>
        <v>12.469749999999999</v>
      </c>
      <c r="I17" s="108">
        <f>Multi_Family!N31/2</f>
        <v>0.86993750000000003</v>
      </c>
      <c r="J17" s="108">
        <f>Multi_Family!N31/2</f>
        <v>0.86993750000000003</v>
      </c>
      <c r="K17" s="108">
        <f>Multi_Family!N28</f>
        <v>6.9052499999999997</v>
      </c>
      <c r="L17" s="108">
        <f>Multi_Family!N36</f>
        <v>2.2978750000000052</v>
      </c>
      <c r="M17" s="64"/>
      <c r="N17" s="175">
        <f t="shared" si="0"/>
        <v>38.750000000000007</v>
      </c>
      <c r="P17" s="68"/>
    </row>
    <row r="18" spans="1:16" x14ac:dyDescent="0.2">
      <c r="A18" s="69" t="s">
        <v>32</v>
      </c>
      <c r="B18" s="66"/>
      <c r="C18" s="137">
        <f t="shared" ref="C18:L18" si="2">SUM(C6:C17)</f>
        <v>3.3620249999999996</v>
      </c>
      <c r="D18" s="137">
        <f t="shared" si="2"/>
        <v>79.254136000000003</v>
      </c>
      <c r="E18" s="137">
        <f t="shared" si="2"/>
        <v>0</v>
      </c>
      <c r="F18" s="137">
        <f t="shared" si="2"/>
        <v>7.3964549999999996</v>
      </c>
      <c r="G18" s="137">
        <f t="shared" si="2"/>
        <v>87.412650000000028</v>
      </c>
      <c r="H18" s="137">
        <f t="shared" si="2"/>
        <v>144.253286</v>
      </c>
      <c r="I18" s="137">
        <f t="shared" si="2"/>
        <v>10.0636615</v>
      </c>
      <c r="J18" s="137">
        <f t="shared" si="2"/>
        <v>10.0636615</v>
      </c>
      <c r="K18" s="137">
        <f t="shared" si="2"/>
        <v>79.881714000000002</v>
      </c>
      <c r="L18" s="137">
        <f t="shared" si="2"/>
        <v>26.582411000000061</v>
      </c>
      <c r="M18" s="64"/>
      <c r="N18" s="176">
        <f>SUM(N6:N17)</f>
        <v>448.27000000000004</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ageMargins left="0.5" right="0.5" top="0.75" bottom="0.75" header="0.5" footer="0.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118"/>
  <sheetViews>
    <sheetView showGridLines="0" zoomScaleNormal="100" workbookViewId="0">
      <selection activeCell="I69" sqref="I69"/>
    </sheetView>
  </sheetViews>
  <sheetFormatPr defaultRowHeight="12.75" x14ac:dyDescent="0.2"/>
  <cols>
    <col min="2" max="2" width="2.28515625" style="66" bestFit="1" customWidth="1"/>
    <col min="3" max="12" width="11.7109375" customWidth="1"/>
  </cols>
  <sheetData>
    <row r="1" spans="1:13" x14ac:dyDescent="0.2">
      <c r="A1" s="59" t="str">
        <f>"Commodity Pricing ("&amp;TEXT(A4,"mmmm yyyy")&amp;" through "&amp;TEXT(A15,"mmmm yyyy")&amp;")"</f>
        <v>Commodity Pricing (May 2014 through April 2015)</v>
      </c>
      <c r="B1" s="103"/>
    </row>
    <row r="2" spans="1:13" x14ac:dyDescent="0.2">
      <c r="A2" s="61" t="s">
        <v>114</v>
      </c>
      <c r="B2" s="177"/>
    </row>
    <row r="3" spans="1:13" x14ac:dyDescent="0.2">
      <c r="B3" s="65"/>
      <c r="C3" s="63" t="s">
        <v>21</v>
      </c>
      <c r="D3" s="63" t="s">
        <v>22</v>
      </c>
      <c r="E3" s="63" t="s">
        <v>33</v>
      </c>
      <c r="F3" s="63" t="s">
        <v>23</v>
      </c>
      <c r="G3" s="63" t="s">
        <v>24</v>
      </c>
      <c r="H3" s="63" t="s">
        <v>25</v>
      </c>
      <c r="I3" s="63" t="s">
        <v>26</v>
      </c>
      <c r="J3" s="63" t="s">
        <v>27</v>
      </c>
      <c r="K3" s="63" t="s">
        <v>28</v>
      </c>
      <c r="L3" s="63" t="s">
        <v>29</v>
      </c>
      <c r="M3" s="63"/>
    </row>
    <row r="4" spans="1:13" ht="15.75" customHeight="1" x14ac:dyDescent="0.2">
      <c r="A4" s="130">
        <f>Multi_Family!$C$6</f>
        <v>41760</v>
      </c>
      <c r="B4" s="65" t="s">
        <v>67</v>
      </c>
      <c r="C4" s="178">
        <f>Multi_Family!C74</f>
        <v>1078.0139999999999</v>
      </c>
      <c r="D4" s="178">
        <f>Multi_Family!C76</f>
        <v>-15.18</v>
      </c>
      <c r="E4" s="178">
        <f>Multi_Family!C77</f>
        <v>-120.17</v>
      </c>
      <c r="F4" s="178">
        <f>Multi_Family!C72</f>
        <v>80.184999999999988</v>
      </c>
      <c r="G4" s="178">
        <f>Multi_Family!C69</f>
        <v>75.095999999999989</v>
      </c>
      <c r="H4" s="178">
        <f>Multi_Family!C79</f>
        <v>70.069999999999993</v>
      </c>
      <c r="I4" s="178">
        <f>Multi_Family!C73</f>
        <v>189.09099999999998</v>
      </c>
      <c r="J4" s="178">
        <f>Multi_Family!C73</f>
        <v>189.09099999999998</v>
      </c>
      <c r="K4" s="178">
        <f>Multi_Family!C70</f>
        <v>99.538013913363088</v>
      </c>
      <c r="L4" s="178">
        <f>Multi_Family!C78</f>
        <v>-120.17</v>
      </c>
      <c r="M4" s="70"/>
    </row>
    <row r="5" spans="1:13" ht="15.75" customHeight="1" x14ac:dyDescent="0.2">
      <c r="A5" s="65">
        <f t="shared" ref="A5:A15" si="0">EOMONTH(A4,1)</f>
        <v>41820</v>
      </c>
      <c r="B5" s="65" t="s">
        <v>68</v>
      </c>
      <c r="C5" s="178">
        <f>Multi_Family!D74</f>
        <v>1048.7190000000001</v>
      </c>
      <c r="D5" s="178">
        <f>Multi_Family!D76</f>
        <v>-6.98</v>
      </c>
      <c r="E5" s="178">
        <f>Multi_Family!D77</f>
        <v>-120.17</v>
      </c>
      <c r="F5" s="178">
        <f>Multi_Family!D72</f>
        <v>74.192999999999998</v>
      </c>
      <c r="G5" s="178">
        <f>Multi_Family!D69</f>
        <v>73.835999999999999</v>
      </c>
      <c r="H5" s="178">
        <f>Multi_Family!D79</f>
        <v>68.361999999999995</v>
      </c>
      <c r="I5" s="178">
        <f>Multi_Family!D73</f>
        <v>190.60999999999999</v>
      </c>
      <c r="J5" s="178">
        <f>Multi_Family!D73</f>
        <v>190.60999999999999</v>
      </c>
      <c r="K5" s="178">
        <f>Multi_Family!D70</f>
        <v>95.647999999999982</v>
      </c>
      <c r="L5" s="178">
        <f>Multi_Family!D78</f>
        <v>-120.17</v>
      </c>
      <c r="M5" s="70"/>
    </row>
    <row r="6" spans="1:13" ht="15.75" customHeight="1" x14ac:dyDescent="0.2">
      <c r="A6" s="65">
        <f t="shared" si="0"/>
        <v>41851</v>
      </c>
      <c r="B6" s="66" t="s">
        <v>69</v>
      </c>
      <c r="C6" s="178">
        <f>Multi_Family!E74</f>
        <v>1082.5429999999999</v>
      </c>
      <c r="D6" s="178">
        <f>Multi_Family!E76</f>
        <v>-7.6</v>
      </c>
      <c r="E6" s="178">
        <f>Multi_Family!E77</f>
        <v>-120.17</v>
      </c>
      <c r="F6" s="178">
        <f>Multi_Family!E72</f>
        <v>73.751999999999995</v>
      </c>
      <c r="G6" s="178">
        <f>Multi_Family!E69</f>
        <v>74.444999999999993</v>
      </c>
      <c r="H6" s="178">
        <f>Multi_Family!E79</f>
        <v>68.417999999999992</v>
      </c>
      <c r="I6" s="178">
        <f>Multi_Family!E73</f>
        <v>213.80799999999999</v>
      </c>
      <c r="J6" s="178">
        <f>Multi_Family!E73</f>
        <v>213.80799999999999</v>
      </c>
      <c r="K6" s="178">
        <f>Multi_Family!E70</f>
        <v>101.63999999999999</v>
      </c>
      <c r="L6" s="178">
        <f>Multi_Family!E78</f>
        <v>-120.17</v>
      </c>
      <c r="M6" s="67"/>
    </row>
    <row r="7" spans="1:13" ht="15.75" customHeight="1" x14ac:dyDescent="0.2">
      <c r="A7" s="65">
        <f t="shared" si="0"/>
        <v>41882</v>
      </c>
      <c r="B7" s="66" t="s">
        <v>70</v>
      </c>
      <c r="C7" s="178">
        <f>Multi_Family!F74</f>
        <v>1138.1859999999999</v>
      </c>
      <c r="D7" s="178">
        <f>Multi_Family!F76</f>
        <v>-8.7100000000000009</v>
      </c>
      <c r="E7" s="178">
        <f>Multi_Family!F77</f>
        <v>-120.17</v>
      </c>
      <c r="F7" s="178">
        <f>Multi_Family!F72</f>
        <v>73.254999999999995</v>
      </c>
      <c r="G7" s="178">
        <f>Multi_Family!F69</f>
        <v>73.695999999999998</v>
      </c>
      <c r="H7" s="178">
        <f>Multi_Family!F79</f>
        <v>68.018999999999991</v>
      </c>
      <c r="I7" s="178">
        <f>Multi_Family!F73</f>
        <v>216.37</v>
      </c>
      <c r="J7" s="178">
        <f>Multi_Family!F73</f>
        <v>216.37</v>
      </c>
      <c r="K7" s="178">
        <f>Multi_Family!F70</f>
        <v>98.993999999999986</v>
      </c>
      <c r="L7" s="178">
        <f>Multi_Family!F78</f>
        <v>-120.17</v>
      </c>
      <c r="M7" s="67"/>
    </row>
    <row r="8" spans="1:13" ht="15.75" customHeight="1" x14ac:dyDescent="0.2">
      <c r="A8" s="65">
        <f t="shared" si="0"/>
        <v>41912</v>
      </c>
      <c r="B8" s="66" t="s">
        <v>71</v>
      </c>
      <c r="C8" s="179">
        <f>Multi_Family!G74</f>
        <v>1150.8559999999998</v>
      </c>
      <c r="D8" s="179">
        <f>Multi_Family!G76</f>
        <v>2.6</v>
      </c>
      <c r="E8" s="179">
        <f>Multi_Family!G77</f>
        <v>-120.17</v>
      </c>
      <c r="F8" s="179">
        <f>Multi_Family!G72</f>
        <v>76.705999999999989</v>
      </c>
      <c r="G8" s="179">
        <f>Multi_Family!G69</f>
        <v>67.003999999999991</v>
      </c>
      <c r="H8" s="179">
        <f>Multi_Family!G79</f>
        <v>62.811</v>
      </c>
      <c r="I8" s="179">
        <f>Multi_Family!G73</f>
        <v>238.16799999999998</v>
      </c>
      <c r="J8" s="179">
        <f>Multi_Family!G73</f>
        <v>238.16799999999998</v>
      </c>
      <c r="K8" s="179">
        <f>Multi_Family!G70</f>
        <v>91.475999999999999</v>
      </c>
      <c r="L8" s="178">
        <f>Multi_Family!G78</f>
        <v>-120.17</v>
      </c>
      <c r="M8" s="67"/>
    </row>
    <row r="9" spans="1:13" ht="15.75" customHeight="1" x14ac:dyDescent="0.2">
      <c r="A9" s="65">
        <f t="shared" si="0"/>
        <v>41943</v>
      </c>
      <c r="B9" s="66" t="s">
        <v>72</v>
      </c>
      <c r="C9" s="179">
        <f>Multi_Family!H74</f>
        <v>1124.4870000000001</v>
      </c>
      <c r="D9" s="179">
        <f>Multi_Family!H76</f>
        <v>0.99399999999999988</v>
      </c>
      <c r="E9" s="179">
        <f>Multi_Family!H77</f>
        <v>-120.17</v>
      </c>
      <c r="F9" s="179">
        <f>Multi_Family!H72</f>
        <v>61.949999999999996</v>
      </c>
      <c r="G9" s="179">
        <f>Multi_Family!H69</f>
        <v>68.453000000000003</v>
      </c>
      <c r="H9" s="179">
        <f>Multi_Family!H79</f>
        <v>60.717999999999989</v>
      </c>
      <c r="I9" s="179">
        <f>Multi_Family!H73</f>
        <v>230.12499999999997</v>
      </c>
      <c r="J9" s="179">
        <f>Multi_Family!H73</f>
        <v>230.12499999999997</v>
      </c>
      <c r="K9" s="179">
        <f>Multi_Family!H70</f>
        <v>95.332999999999998</v>
      </c>
      <c r="L9" s="178">
        <f>Multi_Family!H78</f>
        <v>-120.17</v>
      </c>
      <c r="M9" s="67"/>
    </row>
    <row r="10" spans="1:13" ht="15.75" customHeight="1" x14ac:dyDescent="0.2">
      <c r="A10" s="65">
        <f t="shared" si="0"/>
        <v>41973</v>
      </c>
      <c r="B10" s="66" t="s">
        <v>73</v>
      </c>
      <c r="C10" s="178">
        <f>Multi_Family!I74</f>
        <v>1232</v>
      </c>
      <c r="D10" s="178">
        <f>Multi_Family!I76</f>
        <v>-2.9539999999999997</v>
      </c>
      <c r="E10" s="178">
        <f>Multi_Family!I77</f>
        <v>-120.17</v>
      </c>
      <c r="F10" s="178">
        <f>Multi_Family!I72</f>
        <v>52.856999999999999</v>
      </c>
      <c r="G10" s="178">
        <f>Multi_Family!I69</f>
        <v>63.755999999999993</v>
      </c>
      <c r="H10" s="178">
        <f>Multi_Family!I79</f>
        <v>56.370999999999995</v>
      </c>
      <c r="I10" s="178">
        <f>Multi_Family!I73</f>
        <v>209.37700000000001</v>
      </c>
      <c r="J10" s="178">
        <f>Multi_Family!I73</f>
        <v>209.37700000000001</v>
      </c>
      <c r="K10" s="178">
        <f>Multi_Family!I70</f>
        <v>93.1</v>
      </c>
      <c r="L10" s="178">
        <f>Multi_Family!I78</f>
        <v>-120.17</v>
      </c>
      <c r="M10" s="67"/>
    </row>
    <row r="11" spans="1:13" ht="15.75" customHeight="1" x14ac:dyDescent="0.2">
      <c r="A11" s="65">
        <f t="shared" si="0"/>
        <v>42004</v>
      </c>
      <c r="B11" s="66" t="s">
        <v>74</v>
      </c>
      <c r="C11" s="178">
        <f>Multi_Family!J74</f>
        <v>1190</v>
      </c>
      <c r="D11" s="178">
        <f>Multi_Family!J76</f>
        <v>-4.7669999999999995</v>
      </c>
      <c r="E11" s="178">
        <f>Multi_Family!J77</f>
        <v>-120.17</v>
      </c>
      <c r="F11" s="178">
        <f>Multi_Family!J72</f>
        <v>53.297999999999995</v>
      </c>
      <c r="G11" s="178">
        <f>Multi_Family!J69</f>
        <v>60.780999999999992</v>
      </c>
      <c r="H11" s="178">
        <f>Multi_Family!J79</f>
        <v>53.717999999999996</v>
      </c>
      <c r="I11" s="178">
        <f>Multi_Family!J73</f>
        <v>171.57</v>
      </c>
      <c r="J11" s="178">
        <f>Multi_Family!J73</f>
        <v>171.57</v>
      </c>
      <c r="K11" s="178">
        <f>Multi_Family!J70</f>
        <v>88.647999999999996</v>
      </c>
      <c r="L11" s="178">
        <f>Multi_Family!J78</f>
        <v>-120.17</v>
      </c>
      <c r="M11" s="67"/>
    </row>
    <row r="12" spans="1:13" ht="15.75" customHeight="1" x14ac:dyDescent="0.2">
      <c r="A12" s="65">
        <f t="shared" si="0"/>
        <v>42035</v>
      </c>
      <c r="B12" s="66" t="s">
        <v>75</v>
      </c>
      <c r="C12" s="178">
        <f>Multi_Family!K74</f>
        <v>1106</v>
      </c>
      <c r="D12" s="178">
        <f>Multi_Family!K76</f>
        <v>-3.9339999999999997</v>
      </c>
      <c r="E12" s="178">
        <f>Multi_Family!K77</f>
        <v>-120.17</v>
      </c>
      <c r="F12" s="178">
        <f>Multi_Family!K72</f>
        <v>53.024999999999999</v>
      </c>
      <c r="G12" s="178">
        <f>Multi_Family!K69</f>
        <v>59.100999999999999</v>
      </c>
      <c r="H12" s="178">
        <f>Multi_Family!K79</f>
        <v>53.255999999999993</v>
      </c>
      <c r="I12" s="178">
        <f>Multi_Family!K73</f>
        <v>130.49399999999997</v>
      </c>
      <c r="J12" s="178">
        <f>Multi_Family!K73</f>
        <v>130.49399999999997</v>
      </c>
      <c r="K12" s="178">
        <f>Multi_Family!K70</f>
        <v>85.644999999999996</v>
      </c>
      <c r="L12" s="178">
        <f>Multi_Family!K78</f>
        <v>-120.17</v>
      </c>
      <c r="M12" s="67"/>
    </row>
    <row r="13" spans="1:13" ht="15.75" customHeight="1" x14ac:dyDescent="0.2">
      <c r="A13" s="65">
        <f t="shared" si="0"/>
        <v>42063</v>
      </c>
      <c r="B13" s="66" t="s">
        <v>76</v>
      </c>
      <c r="C13" s="178">
        <f>Multi_Family!L74</f>
        <v>1095.4089999999999</v>
      </c>
      <c r="D13" s="178">
        <f>Multi_Family!L76</f>
        <v>-9.113999999999999</v>
      </c>
      <c r="E13" s="178">
        <f>Multi_Family!L77</f>
        <v>-120.17</v>
      </c>
      <c r="F13" s="178">
        <f>Multi_Family!L72</f>
        <v>39.094999999999999</v>
      </c>
      <c r="G13" s="178">
        <f>Multi_Family!L69</f>
        <v>58.519999999999989</v>
      </c>
      <c r="H13" s="178">
        <f>Multi_Family!L79</f>
        <v>51.967999999999996</v>
      </c>
      <c r="I13" s="178">
        <f>Multi_Family!L73</f>
        <v>104.23699999999999</v>
      </c>
      <c r="J13" s="178">
        <f>Multi_Family!L73</f>
        <v>104.23699999999999</v>
      </c>
      <c r="K13" s="178">
        <f>Multi_Family!L70</f>
        <v>73.444000000000003</v>
      </c>
      <c r="L13" s="178">
        <f>Multi_Family!L78</f>
        <v>-120.17</v>
      </c>
      <c r="M13" s="67"/>
    </row>
    <row r="14" spans="1:13" ht="15.75" customHeight="1" x14ac:dyDescent="0.2">
      <c r="A14" s="65">
        <f t="shared" si="0"/>
        <v>42094</v>
      </c>
      <c r="B14" s="66" t="s">
        <v>77</v>
      </c>
      <c r="C14" s="178">
        <f>Multi_Family!M74</f>
        <v>1041.194</v>
      </c>
      <c r="D14" s="178">
        <f>Multi_Family!M76</f>
        <v>-5.194</v>
      </c>
      <c r="E14" s="178">
        <f>Multi_Family!M77</f>
        <v>-120.17</v>
      </c>
      <c r="F14" s="178">
        <f>Multi_Family!M72</f>
        <v>39.753</v>
      </c>
      <c r="G14" s="178">
        <f>Multi_Family!M69</f>
        <v>59.919999999999995</v>
      </c>
      <c r="H14" s="178">
        <f>Multi_Family!M79</f>
        <v>56.069999999999993</v>
      </c>
      <c r="I14" s="178">
        <f>Multi_Family!M73</f>
        <v>119.26599999999999</v>
      </c>
      <c r="J14" s="178">
        <f>Multi_Family!M73</f>
        <v>119.26599999999999</v>
      </c>
      <c r="K14" s="178">
        <f>Multi_Family!M70</f>
        <v>71.742999999999995</v>
      </c>
      <c r="L14" s="178">
        <f>Multi_Family!M78</f>
        <v>-120.17</v>
      </c>
      <c r="M14" s="67"/>
    </row>
    <row r="15" spans="1:13" ht="15.75" customHeight="1" x14ac:dyDescent="0.2">
      <c r="A15" s="65">
        <f t="shared" si="0"/>
        <v>42124</v>
      </c>
      <c r="B15" s="66" t="s">
        <v>78</v>
      </c>
      <c r="C15" s="178">
        <f>Multi_Family!N74</f>
        <v>970.33299999999997</v>
      </c>
      <c r="D15" s="178">
        <f>Multi_Family!N76</f>
        <v>-13.93</v>
      </c>
      <c r="E15" s="178">
        <f>Multi_Family!N77</f>
        <v>-120.17</v>
      </c>
      <c r="F15" s="178">
        <f>Multi_Family!N72</f>
        <v>39.269999999999996</v>
      </c>
      <c r="G15" s="178">
        <f>Multi_Family!N69</f>
        <v>61.284999999999997</v>
      </c>
      <c r="H15" s="178">
        <f>Multi_Family!N79</f>
        <v>56.069999999999993</v>
      </c>
      <c r="I15" s="178">
        <f>Multi_Family!N73</f>
        <v>143.15699999999998</v>
      </c>
      <c r="J15" s="178">
        <f>Multi_Family!N73</f>
        <v>143.15699999999998</v>
      </c>
      <c r="K15" s="178">
        <f>Multi_Family!N70</f>
        <v>80.044999999999987</v>
      </c>
      <c r="L15" s="178">
        <f>Multi_Family!N78</f>
        <v>-120.17</v>
      </c>
      <c r="M15" s="67"/>
    </row>
    <row r="16" spans="1:13" x14ac:dyDescent="0.2">
      <c r="A16" s="66"/>
      <c r="C16" s="67"/>
      <c r="D16" s="67"/>
      <c r="E16" s="67"/>
      <c r="F16" s="67"/>
      <c r="G16" s="67"/>
      <c r="H16" s="67"/>
      <c r="I16" s="67"/>
      <c r="J16" s="67"/>
      <c r="K16" s="67"/>
      <c r="L16" s="66"/>
      <c r="M16" s="67"/>
    </row>
    <row r="17" spans="1:14" x14ac:dyDescent="0.2">
      <c r="A17" s="69"/>
      <c r="C17" s="67"/>
      <c r="D17" s="67"/>
      <c r="E17" s="67"/>
      <c r="F17" s="67"/>
      <c r="G17" s="67"/>
      <c r="H17" s="67"/>
      <c r="I17" s="67"/>
      <c r="J17" s="67"/>
      <c r="K17" s="67"/>
      <c r="L17" s="67"/>
      <c r="M17" s="67"/>
      <c r="N17" s="67" t="s">
        <v>31</v>
      </c>
    </row>
    <row r="18" spans="1:14" x14ac:dyDescent="0.2">
      <c r="A18" s="66"/>
      <c r="C18" s="66"/>
      <c r="D18" s="66"/>
      <c r="E18" s="66"/>
      <c r="F18" s="66"/>
      <c r="G18" s="66"/>
      <c r="H18" s="66"/>
      <c r="I18" s="66"/>
      <c r="J18" s="66"/>
      <c r="K18" s="66"/>
      <c r="L18" s="66"/>
      <c r="M18" s="67"/>
    </row>
    <row r="19" spans="1:14" x14ac:dyDescent="0.2">
      <c r="A19" s="66"/>
      <c r="C19" s="66"/>
      <c r="D19" s="66"/>
      <c r="E19" s="66"/>
      <c r="F19" s="66"/>
      <c r="G19" s="66"/>
      <c r="H19" s="66"/>
      <c r="I19" s="66"/>
      <c r="J19" s="66"/>
      <c r="K19" s="66"/>
      <c r="L19" s="66"/>
      <c r="M19" s="67"/>
    </row>
    <row r="20" spans="1:14" x14ac:dyDescent="0.2">
      <c r="A20" s="66"/>
      <c r="C20" s="66"/>
      <c r="D20" s="66"/>
      <c r="F20" s="66"/>
      <c r="G20" s="66"/>
      <c r="H20" s="66"/>
      <c r="I20" s="66"/>
      <c r="J20" s="66"/>
      <c r="K20" s="66"/>
      <c r="L20" s="66"/>
      <c r="M20" s="67"/>
    </row>
    <row r="21" spans="1:14" x14ac:dyDescent="0.2">
      <c r="A21" s="66"/>
      <c r="C21" s="66"/>
      <c r="D21" s="66"/>
      <c r="F21" s="66"/>
      <c r="G21" s="66"/>
      <c r="H21" s="66"/>
      <c r="I21" s="66"/>
      <c r="J21" s="66"/>
      <c r="K21" s="66"/>
      <c r="L21" s="66"/>
      <c r="M21" s="67"/>
    </row>
    <row r="22" spans="1:14" x14ac:dyDescent="0.2">
      <c r="A22" s="66"/>
      <c r="C22" s="66"/>
      <c r="D22" s="66"/>
      <c r="G22" s="66"/>
      <c r="H22" s="66"/>
      <c r="I22" s="66"/>
      <c r="J22" s="66"/>
      <c r="K22" s="66"/>
      <c r="L22" s="66"/>
      <c r="M22" s="67"/>
    </row>
    <row r="23" spans="1:14" x14ac:dyDescent="0.2">
      <c r="A23" s="66"/>
      <c r="C23" s="66"/>
      <c r="D23" s="66"/>
      <c r="F23" s="66"/>
      <c r="G23" s="66"/>
      <c r="H23" s="66"/>
      <c r="I23" s="66"/>
      <c r="J23" s="66"/>
      <c r="K23" s="66"/>
      <c r="L23" s="66"/>
      <c r="M23" s="67"/>
    </row>
    <row r="24" spans="1:14" x14ac:dyDescent="0.2">
      <c r="A24" s="66"/>
      <c r="C24" s="66"/>
      <c r="D24" s="66"/>
      <c r="F24" s="66"/>
      <c r="G24" s="66"/>
      <c r="H24" s="66"/>
      <c r="I24" s="66"/>
      <c r="J24" s="66"/>
      <c r="K24" s="66"/>
      <c r="L24" s="66"/>
      <c r="M24" s="67"/>
    </row>
    <row r="25" spans="1:14" x14ac:dyDescent="0.2">
      <c r="A25" s="66"/>
      <c r="C25" s="66"/>
      <c r="D25" s="66"/>
      <c r="F25" s="66"/>
      <c r="G25" s="66"/>
      <c r="H25" s="66"/>
      <c r="I25" s="66"/>
      <c r="J25" s="66"/>
      <c r="K25" s="66"/>
      <c r="L25" s="66"/>
      <c r="M25" s="67"/>
    </row>
    <row r="26" spans="1:14" x14ac:dyDescent="0.2">
      <c r="A26" s="66"/>
      <c r="C26" s="66"/>
      <c r="D26" s="66"/>
      <c r="F26" s="66"/>
      <c r="G26" s="66"/>
      <c r="H26" s="66"/>
      <c r="I26" s="66"/>
      <c r="J26" s="66"/>
      <c r="K26" s="66"/>
      <c r="L26" s="66"/>
      <c r="M26" s="67"/>
    </row>
    <row r="27" spans="1:14" x14ac:dyDescent="0.2">
      <c r="A27" s="66"/>
      <c r="C27" s="66"/>
      <c r="D27" s="66"/>
      <c r="F27" s="66"/>
      <c r="G27" s="66"/>
      <c r="H27" s="66"/>
      <c r="I27" s="66"/>
      <c r="J27" s="66"/>
      <c r="K27" s="66"/>
      <c r="L27" s="66"/>
      <c r="M27" s="67"/>
    </row>
    <row r="28" spans="1:14" x14ac:dyDescent="0.2">
      <c r="A28" s="66"/>
      <c r="C28" s="66"/>
      <c r="D28" s="66"/>
      <c r="F28" s="66"/>
      <c r="G28" s="66"/>
      <c r="H28" s="66"/>
      <c r="I28" s="66"/>
      <c r="J28" s="66"/>
      <c r="K28" s="66"/>
      <c r="L28" s="66"/>
      <c r="M28" s="66"/>
    </row>
    <row r="29" spans="1:14" x14ac:dyDescent="0.2">
      <c r="A29" s="66"/>
      <c r="C29" s="66"/>
      <c r="D29" s="66"/>
      <c r="F29" s="66"/>
      <c r="G29" s="66"/>
      <c r="H29" s="66"/>
      <c r="I29" s="66"/>
      <c r="J29" s="66"/>
      <c r="K29" s="66"/>
      <c r="L29" s="66"/>
      <c r="M29" s="66"/>
    </row>
    <row r="30" spans="1:14" x14ac:dyDescent="0.2">
      <c r="A30" s="66"/>
      <c r="C30" s="66"/>
      <c r="D30" s="66"/>
      <c r="F30" s="66"/>
      <c r="G30" s="66"/>
      <c r="H30" s="66"/>
      <c r="I30" s="66"/>
      <c r="J30" s="66"/>
      <c r="K30" s="66"/>
      <c r="L30" s="66"/>
      <c r="M30" s="66"/>
    </row>
    <row r="31" spans="1:14" x14ac:dyDescent="0.2">
      <c r="A31" s="66"/>
      <c r="C31" s="66"/>
      <c r="D31" s="66"/>
      <c r="F31" s="66"/>
      <c r="G31" s="66"/>
      <c r="H31" s="66"/>
      <c r="I31" s="66"/>
      <c r="J31" s="66"/>
      <c r="K31" s="66"/>
      <c r="L31" s="66"/>
      <c r="M31" s="66"/>
    </row>
    <row r="32" spans="1:14" x14ac:dyDescent="0.2">
      <c r="A32" s="66"/>
      <c r="C32" s="66"/>
      <c r="D32" s="66"/>
      <c r="E32" s="66"/>
      <c r="F32" s="66"/>
      <c r="G32" s="66"/>
      <c r="H32" s="66"/>
      <c r="I32" s="66"/>
      <c r="J32" s="66"/>
      <c r="K32" s="66"/>
      <c r="L32" s="66"/>
      <c r="M32" s="66"/>
    </row>
    <row r="33" spans="1:13" x14ac:dyDescent="0.2">
      <c r="A33" s="66"/>
      <c r="C33" s="66"/>
      <c r="D33" s="66"/>
      <c r="E33" s="66"/>
      <c r="F33" s="66"/>
      <c r="G33" s="66"/>
      <c r="H33" s="66"/>
      <c r="I33" s="66"/>
      <c r="J33" s="66"/>
      <c r="K33" s="66"/>
      <c r="L33" s="66"/>
      <c r="M33" s="66"/>
    </row>
    <row r="34" spans="1:13" x14ac:dyDescent="0.2">
      <c r="A34" s="66"/>
      <c r="C34" s="66"/>
      <c r="D34" s="66"/>
      <c r="E34" s="66"/>
      <c r="F34" s="66"/>
      <c r="G34" s="66"/>
      <c r="H34" s="66"/>
      <c r="I34" s="66"/>
      <c r="J34" s="66"/>
      <c r="K34" s="66"/>
      <c r="L34" s="66"/>
      <c r="M34" s="66"/>
    </row>
    <row r="35" spans="1:13" x14ac:dyDescent="0.2">
      <c r="A35" s="66"/>
      <c r="C35" s="66"/>
      <c r="D35" s="66"/>
      <c r="E35" s="66"/>
      <c r="F35" s="66"/>
      <c r="G35" s="66"/>
      <c r="H35" s="66"/>
      <c r="I35" s="66"/>
      <c r="J35" s="66"/>
      <c r="K35" s="66"/>
      <c r="L35" s="66"/>
      <c r="M35" s="66"/>
    </row>
    <row r="36" spans="1:13" x14ac:dyDescent="0.2">
      <c r="A36" s="66"/>
      <c r="C36" s="66"/>
      <c r="D36" s="66"/>
      <c r="E36" s="66"/>
      <c r="F36" s="66"/>
      <c r="G36" s="66"/>
      <c r="H36" s="66"/>
      <c r="I36" s="66"/>
      <c r="J36" s="66"/>
      <c r="K36" s="66"/>
      <c r="L36" s="66"/>
      <c r="M36" s="66"/>
    </row>
    <row r="37" spans="1:13" x14ac:dyDescent="0.2">
      <c r="A37" s="66"/>
      <c r="C37" s="66"/>
      <c r="D37" s="66"/>
      <c r="E37" s="66"/>
      <c r="F37" s="66"/>
      <c r="G37" s="66"/>
      <c r="H37" s="66"/>
      <c r="I37" s="66"/>
      <c r="J37" s="66"/>
      <c r="K37" s="66"/>
      <c r="L37" s="66"/>
      <c r="M37" s="66"/>
    </row>
    <row r="38" spans="1:13" x14ac:dyDescent="0.2">
      <c r="A38" s="66"/>
      <c r="C38" s="66"/>
      <c r="D38" s="66"/>
      <c r="E38" s="66"/>
      <c r="F38" s="66"/>
      <c r="G38" s="66"/>
      <c r="H38" s="66"/>
      <c r="I38" s="66"/>
      <c r="J38" s="66"/>
      <c r="K38" s="66"/>
      <c r="L38" s="66"/>
      <c r="M38" s="66"/>
    </row>
    <row r="39" spans="1:13" x14ac:dyDescent="0.2">
      <c r="A39" s="66"/>
      <c r="C39" s="66"/>
      <c r="D39" s="66"/>
      <c r="E39" s="66"/>
      <c r="F39" s="66"/>
      <c r="G39" s="66"/>
      <c r="H39" s="66"/>
      <c r="I39" s="66"/>
      <c r="J39" s="66"/>
      <c r="K39" s="66"/>
      <c r="L39" s="66"/>
      <c r="M39" s="66"/>
    </row>
    <row r="40" spans="1:13" x14ac:dyDescent="0.2">
      <c r="A40" s="66"/>
      <c r="C40" s="66"/>
      <c r="D40" s="66"/>
      <c r="E40" s="66"/>
      <c r="F40" s="66"/>
      <c r="G40" s="66"/>
      <c r="H40" s="66"/>
      <c r="I40" s="66"/>
      <c r="J40" s="66"/>
      <c r="K40" s="66"/>
      <c r="L40" s="66"/>
      <c r="M40" s="66"/>
    </row>
    <row r="41" spans="1:13" x14ac:dyDescent="0.2">
      <c r="A41" s="66"/>
      <c r="C41" s="66"/>
      <c r="D41" s="66"/>
      <c r="E41" s="66"/>
      <c r="F41" s="66"/>
      <c r="G41" s="66"/>
      <c r="H41" s="66"/>
      <c r="I41" s="66"/>
      <c r="J41" s="66"/>
      <c r="K41" s="66"/>
      <c r="L41" s="66"/>
      <c r="M41" s="66"/>
    </row>
    <row r="42" spans="1:13" x14ac:dyDescent="0.2">
      <c r="A42" s="66"/>
      <c r="C42" s="66"/>
      <c r="D42" s="66"/>
      <c r="E42" s="66"/>
      <c r="F42" s="66"/>
      <c r="G42" s="66"/>
      <c r="H42" s="66"/>
      <c r="I42" s="66"/>
      <c r="J42" s="66"/>
      <c r="K42" s="66"/>
      <c r="L42" s="66"/>
      <c r="M42" s="66"/>
    </row>
    <row r="43" spans="1:13" x14ac:dyDescent="0.2">
      <c r="A43" s="66"/>
      <c r="C43" s="66"/>
      <c r="D43" s="66"/>
      <c r="E43" s="66"/>
      <c r="F43" s="66"/>
      <c r="G43" s="66"/>
      <c r="H43" s="66"/>
      <c r="I43" s="66"/>
      <c r="J43" s="66"/>
      <c r="K43" s="66"/>
      <c r="L43" s="66"/>
      <c r="M43" s="66"/>
    </row>
    <row r="44" spans="1:13" x14ac:dyDescent="0.2">
      <c r="A44" s="66"/>
      <c r="C44" s="66"/>
      <c r="D44" s="66"/>
      <c r="E44" s="66"/>
      <c r="F44" s="66"/>
      <c r="G44" s="66"/>
      <c r="H44" s="66"/>
      <c r="I44" s="66"/>
      <c r="J44" s="66"/>
      <c r="K44" s="66"/>
      <c r="L44" s="66"/>
      <c r="M44" s="66"/>
    </row>
    <row r="45" spans="1:13" x14ac:dyDescent="0.2">
      <c r="A45" s="66"/>
      <c r="C45" s="66"/>
      <c r="D45" s="66"/>
      <c r="E45" s="66"/>
      <c r="F45" s="66"/>
      <c r="G45" s="66"/>
      <c r="H45" s="66"/>
      <c r="I45" s="66"/>
      <c r="J45" s="66"/>
      <c r="K45" s="66"/>
      <c r="L45" s="66"/>
      <c r="M45" s="66"/>
    </row>
    <row r="46" spans="1:13" x14ac:dyDescent="0.2">
      <c r="A46" s="66"/>
      <c r="C46" s="66"/>
      <c r="D46" s="66"/>
      <c r="E46" s="66"/>
      <c r="F46" s="66"/>
      <c r="G46" s="66"/>
      <c r="H46" s="66"/>
      <c r="I46" s="66"/>
      <c r="J46" s="66"/>
      <c r="K46" s="66"/>
      <c r="L46" s="66"/>
      <c r="M46" s="66"/>
    </row>
    <row r="47" spans="1:13" x14ac:dyDescent="0.2">
      <c r="A47" s="66"/>
      <c r="C47" s="66"/>
      <c r="D47" s="66"/>
      <c r="E47" s="66"/>
      <c r="F47" s="66"/>
      <c r="G47" s="66"/>
      <c r="H47" s="66"/>
      <c r="I47" s="66"/>
      <c r="J47" s="66"/>
      <c r="K47" s="66"/>
      <c r="L47" s="66"/>
      <c r="M47" s="66"/>
    </row>
    <row r="48" spans="1:13" x14ac:dyDescent="0.2">
      <c r="A48" s="66"/>
      <c r="C48" s="66"/>
      <c r="D48" s="66"/>
      <c r="E48" s="66"/>
      <c r="F48" s="66"/>
      <c r="G48" s="66"/>
      <c r="H48" s="66"/>
      <c r="I48" s="66"/>
      <c r="J48" s="66"/>
      <c r="K48" s="66"/>
      <c r="L48" s="66"/>
      <c r="M48" s="66"/>
    </row>
    <row r="49" spans="1:13" x14ac:dyDescent="0.2">
      <c r="A49" s="66"/>
      <c r="C49" s="66"/>
      <c r="D49" s="66"/>
      <c r="E49" s="66"/>
      <c r="F49" s="66"/>
      <c r="G49" s="66"/>
      <c r="H49" s="66"/>
      <c r="I49" s="66"/>
      <c r="J49" s="66"/>
      <c r="K49" s="66"/>
      <c r="L49" s="66"/>
      <c r="M49" s="66"/>
    </row>
    <row r="50" spans="1:13" x14ac:dyDescent="0.2">
      <c r="A50" s="66"/>
      <c r="C50" s="66"/>
      <c r="D50" s="66"/>
      <c r="E50" s="66"/>
      <c r="F50" s="66"/>
      <c r="G50" s="66"/>
      <c r="H50" s="66"/>
      <c r="I50" s="66"/>
      <c r="J50" s="66"/>
      <c r="K50" s="66"/>
      <c r="L50" s="66"/>
      <c r="M50" s="66"/>
    </row>
    <row r="51" spans="1:13" x14ac:dyDescent="0.2">
      <c r="A51" s="66"/>
      <c r="C51" s="66"/>
      <c r="D51" s="66"/>
      <c r="E51" s="66"/>
      <c r="F51" s="66"/>
      <c r="G51" s="66"/>
      <c r="H51" s="66"/>
      <c r="I51" s="66"/>
      <c r="J51" s="66"/>
      <c r="K51" s="66"/>
      <c r="L51" s="66"/>
      <c r="M51" s="66"/>
    </row>
    <row r="52" spans="1:13" x14ac:dyDescent="0.2">
      <c r="A52" s="66"/>
      <c r="C52" s="66"/>
      <c r="D52" s="66"/>
      <c r="E52" s="66"/>
      <c r="F52" s="66"/>
      <c r="G52" s="66"/>
      <c r="H52" s="66"/>
      <c r="I52" s="66"/>
      <c r="J52" s="66"/>
      <c r="K52" s="66"/>
      <c r="L52" s="66"/>
      <c r="M52" s="66"/>
    </row>
    <row r="53" spans="1:13" x14ac:dyDescent="0.2">
      <c r="A53" s="66"/>
      <c r="C53" s="66"/>
      <c r="D53" s="66"/>
      <c r="E53" s="66"/>
      <c r="F53" s="66"/>
      <c r="G53" s="66"/>
      <c r="H53" s="66"/>
      <c r="I53" s="66"/>
      <c r="J53" s="66"/>
      <c r="K53" s="66"/>
      <c r="L53" s="66"/>
      <c r="M53" s="66"/>
    </row>
    <row r="54" spans="1:13" x14ac:dyDescent="0.2">
      <c r="A54" s="66"/>
      <c r="C54" s="66"/>
      <c r="D54" s="66"/>
      <c r="E54" s="66"/>
      <c r="F54" s="66"/>
      <c r="G54" s="66"/>
      <c r="H54" s="66"/>
      <c r="I54" s="66"/>
      <c r="J54" s="66"/>
      <c r="K54" s="66"/>
      <c r="L54" s="66"/>
      <c r="M54" s="66"/>
    </row>
    <row r="55" spans="1:13" x14ac:dyDescent="0.2">
      <c r="A55" s="66"/>
      <c r="C55" s="66"/>
      <c r="D55" s="66"/>
      <c r="E55" s="66"/>
      <c r="F55" s="66"/>
      <c r="G55" s="66"/>
      <c r="H55" s="66"/>
      <c r="I55" s="66"/>
      <c r="J55" s="66"/>
      <c r="K55" s="66"/>
      <c r="L55" s="66"/>
      <c r="M55" s="66"/>
    </row>
    <row r="56" spans="1:13" x14ac:dyDescent="0.2">
      <c r="A56" s="66"/>
      <c r="C56" s="66"/>
      <c r="D56" s="66"/>
      <c r="E56" s="66"/>
      <c r="F56" s="66"/>
      <c r="G56" s="66"/>
      <c r="H56" s="66"/>
      <c r="I56" s="66"/>
      <c r="J56" s="66"/>
      <c r="K56" s="66"/>
      <c r="L56" s="66"/>
      <c r="M56" s="66"/>
    </row>
    <row r="57" spans="1:13" x14ac:dyDescent="0.2">
      <c r="A57" s="66"/>
      <c r="C57" s="66"/>
      <c r="D57" s="66"/>
      <c r="E57" s="66"/>
      <c r="F57" s="66"/>
      <c r="G57" s="66"/>
      <c r="H57" s="66"/>
      <c r="I57" s="66"/>
      <c r="J57" s="66"/>
      <c r="K57" s="66"/>
      <c r="L57" s="66"/>
      <c r="M57" s="66"/>
    </row>
    <row r="58" spans="1:13" x14ac:dyDescent="0.2">
      <c r="A58" s="66"/>
      <c r="C58" s="66"/>
      <c r="D58" s="66"/>
      <c r="E58" s="66"/>
      <c r="F58" s="66"/>
      <c r="G58" s="66"/>
      <c r="H58" s="66"/>
      <c r="I58" s="66"/>
      <c r="J58" s="66"/>
      <c r="K58" s="66"/>
      <c r="L58" s="66"/>
      <c r="M58" s="66"/>
    </row>
    <row r="59" spans="1:13" x14ac:dyDescent="0.2">
      <c r="A59" s="66"/>
      <c r="C59" s="66"/>
      <c r="D59" s="66"/>
      <c r="E59" s="66"/>
      <c r="F59" s="66"/>
      <c r="G59" s="66"/>
      <c r="H59" s="66"/>
      <c r="I59" s="66"/>
      <c r="J59" s="66"/>
      <c r="K59" s="66"/>
      <c r="L59" s="66"/>
      <c r="M59" s="66"/>
    </row>
    <row r="60" spans="1:13" x14ac:dyDescent="0.2">
      <c r="A60" s="66"/>
      <c r="C60" s="66"/>
      <c r="D60" s="66"/>
      <c r="E60" s="66"/>
      <c r="F60" s="66"/>
      <c r="G60" s="66"/>
      <c r="H60" s="66"/>
      <c r="I60" s="66"/>
      <c r="J60" s="66"/>
      <c r="K60" s="66"/>
      <c r="L60" s="66"/>
      <c r="M60" s="66"/>
    </row>
    <row r="61" spans="1:13" x14ac:dyDescent="0.2">
      <c r="A61" s="66"/>
      <c r="C61" s="66"/>
      <c r="D61" s="66"/>
      <c r="E61" s="66"/>
      <c r="F61" s="66"/>
      <c r="G61" s="66"/>
      <c r="H61" s="66"/>
      <c r="I61" s="66"/>
      <c r="J61" s="66"/>
      <c r="K61" s="66"/>
      <c r="L61" s="66"/>
      <c r="M61" s="66"/>
    </row>
    <row r="62" spans="1:13" x14ac:dyDescent="0.2">
      <c r="A62" s="66"/>
      <c r="C62" s="66"/>
      <c r="D62" s="66"/>
      <c r="E62" s="66"/>
      <c r="F62" s="66"/>
      <c r="G62" s="66"/>
      <c r="H62" s="66"/>
      <c r="I62" s="66"/>
      <c r="J62" s="66"/>
      <c r="K62" s="66"/>
      <c r="L62" s="66"/>
      <c r="M62" s="66"/>
    </row>
    <row r="63" spans="1:13" x14ac:dyDescent="0.2">
      <c r="A63" s="66"/>
      <c r="C63" s="66"/>
      <c r="D63" s="66"/>
      <c r="E63" s="66"/>
      <c r="F63" s="66"/>
      <c r="G63" s="66"/>
      <c r="H63" s="66"/>
      <c r="I63" s="66"/>
      <c r="J63" s="66"/>
      <c r="K63" s="66"/>
      <c r="L63" s="66"/>
      <c r="M63" s="66"/>
    </row>
    <row r="64" spans="1:13" x14ac:dyDescent="0.2">
      <c r="A64" s="66"/>
      <c r="C64" s="66"/>
      <c r="D64" s="66"/>
      <c r="E64" s="66"/>
      <c r="F64" s="66"/>
      <c r="G64" s="66"/>
      <c r="H64" s="66"/>
      <c r="I64" s="66"/>
      <c r="J64" s="66"/>
      <c r="K64" s="66"/>
      <c r="L64" s="66"/>
      <c r="M64" s="66"/>
    </row>
    <row r="65" spans="1:13" x14ac:dyDescent="0.2">
      <c r="A65" s="66"/>
      <c r="C65" s="66"/>
      <c r="D65" s="66"/>
      <c r="E65" s="66"/>
      <c r="F65" s="66"/>
      <c r="G65" s="66"/>
      <c r="H65" s="66"/>
      <c r="I65" s="66"/>
      <c r="J65" s="66"/>
      <c r="K65" s="66"/>
      <c r="L65" s="66"/>
      <c r="M65" s="66"/>
    </row>
    <row r="66" spans="1:13" x14ac:dyDescent="0.2">
      <c r="A66" s="66"/>
      <c r="C66" s="66"/>
      <c r="D66" s="66"/>
      <c r="E66" s="66"/>
      <c r="F66" s="66"/>
      <c r="G66" s="66"/>
      <c r="H66" s="66"/>
      <c r="I66" s="66"/>
      <c r="J66" s="66"/>
      <c r="K66" s="66"/>
      <c r="L66" s="66"/>
      <c r="M66" s="66"/>
    </row>
    <row r="67" spans="1:13" x14ac:dyDescent="0.2">
      <c r="A67" s="66"/>
      <c r="C67" s="66"/>
      <c r="D67" s="66"/>
      <c r="E67" s="66"/>
      <c r="F67" s="66"/>
      <c r="G67" s="66"/>
      <c r="H67" s="66"/>
      <c r="I67" s="66"/>
      <c r="J67" s="66"/>
      <c r="K67" s="66"/>
      <c r="L67" s="66"/>
      <c r="M67" s="66"/>
    </row>
    <row r="68" spans="1:13" x14ac:dyDescent="0.2">
      <c r="A68" s="66"/>
      <c r="C68" s="66"/>
      <c r="D68" s="66"/>
      <c r="E68" s="66"/>
      <c r="F68" s="66"/>
      <c r="G68" s="66"/>
      <c r="H68" s="66"/>
      <c r="I68" s="66"/>
      <c r="J68" s="66"/>
      <c r="K68" s="66"/>
      <c r="L68" s="66"/>
      <c r="M68" s="66"/>
    </row>
    <row r="69" spans="1:13" x14ac:dyDescent="0.2">
      <c r="A69" s="66"/>
      <c r="C69" s="66"/>
      <c r="D69" s="66"/>
      <c r="E69" s="66"/>
      <c r="F69" s="66"/>
      <c r="G69" s="66"/>
      <c r="H69" s="66"/>
      <c r="I69" s="66"/>
      <c r="J69" s="66"/>
      <c r="K69" s="66"/>
      <c r="L69" s="66"/>
      <c r="M69" s="66"/>
    </row>
    <row r="70" spans="1:13" x14ac:dyDescent="0.2">
      <c r="A70" s="66"/>
      <c r="C70" s="66"/>
      <c r="D70" s="66"/>
      <c r="E70" s="66"/>
      <c r="F70" s="66"/>
      <c r="G70" s="66"/>
      <c r="H70" s="66"/>
      <c r="I70" s="66"/>
      <c r="J70" s="66"/>
      <c r="K70" s="66"/>
      <c r="L70" s="66"/>
      <c r="M70" s="66"/>
    </row>
    <row r="71" spans="1:13" x14ac:dyDescent="0.2">
      <c r="A71" s="66"/>
      <c r="C71" s="66"/>
      <c r="D71" s="66"/>
      <c r="E71" s="66"/>
      <c r="F71" s="66"/>
      <c r="G71" s="66"/>
      <c r="H71" s="66"/>
      <c r="I71" s="66"/>
      <c r="J71" s="66"/>
      <c r="K71" s="66"/>
      <c r="L71" s="66"/>
      <c r="M71" s="66"/>
    </row>
    <row r="72" spans="1:13" x14ac:dyDescent="0.2">
      <c r="A72" s="66"/>
      <c r="C72" s="66"/>
      <c r="D72" s="66"/>
      <c r="E72" s="66"/>
      <c r="F72" s="66"/>
      <c r="G72" s="66"/>
      <c r="H72" s="66"/>
      <c r="I72" s="66"/>
      <c r="J72" s="66"/>
      <c r="K72" s="66"/>
      <c r="L72" s="66"/>
      <c r="M72" s="66"/>
    </row>
    <row r="73" spans="1:13" x14ac:dyDescent="0.2">
      <c r="A73" s="66"/>
      <c r="C73" s="66"/>
      <c r="D73" s="66"/>
      <c r="E73" s="66"/>
      <c r="F73" s="66"/>
      <c r="G73" s="66"/>
      <c r="H73" s="66"/>
      <c r="I73" s="66"/>
      <c r="J73" s="66"/>
      <c r="K73" s="66"/>
      <c r="L73" s="66"/>
      <c r="M73" s="66"/>
    </row>
    <row r="74" spans="1:13" x14ac:dyDescent="0.2">
      <c r="A74" s="66"/>
      <c r="C74" s="66"/>
      <c r="D74" s="66"/>
      <c r="E74" s="66"/>
      <c r="F74" s="66"/>
      <c r="G74" s="66"/>
      <c r="H74" s="66"/>
      <c r="I74" s="66"/>
      <c r="J74" s="66"/>
      <c r="K74" s="66"/>
      <c r="L74" s="66"/>
      <c r="M74" s="66"/>
    </row>
    <row r="75" spans="1:13" x14ac:dyDescent="0.2">
      <c r="A75" s="66"/>
      <c r="C75" s="66"/>
      <c r="D75" s="66"/>
      <c r="E75" s="66"/>
      <c r="F75" s="66"/>
      <c r="G75" s="66"/>
      <c r="H75" s="66"/>
      <c r="I75" s="66"/>
      <c r="J75" s="66"/>
      <c r="K75" s="66"/>
      <c r="L75" s="66"/>
      <c r="M75" s="66"/>
    </row>
    <row r="76" spans="1:13" x14ac:dyDescent="0.2">
      <c r="A76" s="66"/>
      <c r="C76" s="66"/>
      <c r="D76" s="66"/>
      <c r="E76" s="66"/>
      <c r="F76" s="66"/>
      <c r="G76" s="66"/>
      <c r="H76" s="66"/>
      <c r="I76" s="66"/>
      <c r="J76" s="66"/>
      <c r="K76" s="66"/>
      <c r="L76" s="66"/>
      <c r="M76" s="66"/>
    </row>
    <row r="77" spans="1:13" x14ac:dyDescent="0.2">
      <c r="A77" s="66"/>
      <c r="C77" s="66"/>
      <c r="D77" s="66"/>
      <c r="E77" s="66"/>
      <c r="F77" s="66"/>
      <c r="G77" s="66"/>
      <c r="H77" s="66"/>
      <c r="I77" s="66"/>
      <c r="J77" s="66"/>
      <c r="K77" s="66"/>
      <c r="L77" s="66"/>
      <c r="M77" s="66"/>
    </row>
    <row r="78" spans="1:13" x14ac:dyDescent="0.2">
      <c r="A78" s="66"/>
      <c r="C78" s="66"/>
      <c r="D78" s="66"/>
      <c r="E78" s="66"/>
      <c r="F78" s="66"/>
      <c r="G78" s="66"/>
      <c r="H78" s="66"/>
      <c r="I78" s="66"/>
      <c r="J78" s="66"/>
      <c r="K78" s="66"/>
      <c r="L78" s="66"/>
      <c r="M78" s="66"/>
    </row>
    <row r="79" spans="1:13" x14ac:dyDescent="0.2">
      <c r="A79" s="66"/>
      <c r="C79" s="66"/>
      <c r="D79" s="66"/>
      <c r="E79" s="66"/>
      <c r="F79" s="66"/>
      <c r="G79" s="66"/>
      <c r="H79" s="66"/>
      <c r="I79" s="66"/>
      <c r="J79" s="66"/>
      <c r="K79" s="66"/>
      <c r="L79" s="66"/>
      <c r="M79" s="66"/>
    </row>
    <row r="80" spans="1:13" x14ac:dyDescent="0.2">
      <c r="A80" s="66"/>
      <c r="C80" s="66"/>
      <c r="D80" s="66"/>
      <c r="E80" s="66"/>
      <c r="F80" s="66"/>
      <c r="G80" s="66"/>
      <c r="H80" s="66"/>
      <c r="I80" s="66"/>
      <c r="J80" s="66"/>
      <c r="K80" s="66"/>
      <c r="L80" s="66"/>
      <c r="M80" s="66"/>
    </row>
    <row r="81" spans="1:13" x14ac:dyDescent="0.2">
      <c r="A81" s="66"/>
      <c r="C81" s="66"/>
      <c r="D81" s="66"/>
      <c r="E81" s="66"/>
      <c r="F81" s="66"/>
      <c r="G81" s="66"/>
      <c r="H81" s="66"/>
      <c r="I81" s="66"/>
      <c r="J81" s="66"/>
      <c r="K81" s="66"/>
      <c r="L81" s="66"/>
      <c r="M81" s="66"/>
    </row>
    <row r="82" spans="1:13" x14ac:dyDescent="0.2">
      <c r="A82" s="66"/>
      <c r="C82" s="66"/>
      <c r="D82" s="66"/>
      <c r="E82" s="66"/>
      <c r="F82" s="66"/>
      <c r="G82" s="66"/>
      <c r="H82" s="66"/>
      <c r="I82" s="66"/>
      <c r="J82" s="66"/>
      <c r="K82" s="66"/>
      <c r="L82" s="66"/>
      <c r="M82" s="66"/>
    </row>
    <row r="83" spans="1:13" x14ac:dyDescent="0.2">
      <c r="A83" s="66"/>
      <c r="C83" s="66"/>
      <c r="D83" s="66"/>
      <c r="E83" s="66"/>
      <c r="F83" s="66"/>
      <c r="G83" s="66"/>
      <c r="H83" s="66"/>
      <c r="I83" s="66"/>
      <c r="J83" s="66"/>
      <c r="K83" s="66"/>
      <c r="L83" s="66"/>
      <c r="M83" s="66"/>
    </row>
    <row r="84" spans="1:13" x14ac:dyDescent="0.2">
      <c r="A84" s="66"/>
      <c r="C84" s="66"/>
      <c r="D84" s="66"/>
      <c r="E84" s="66"/>
      <c r="F84" s="66"/>
      <c r="G84" s="66"/>
      <c r="H84" s="66"/>
      <c r="I84" s="66"/>
      <c r="J84" s="66"/>
      <c r="K84" s="66"/>
      <c r="L84" s="66"/>
      <c r="M84" s="66"/>
    </row>
    <row r="85" spans="1:13" x14ac:dyDescent="0.2">
      <c r="A85" s="66"/>
      <c r="C85" s="66"/>
      <c r="D85" s="66"/>
      <c r="E85" s="66"/>
      <c r="F85" s="66"/>
      <c r="G85" s="66"/>
      <c r="H85" s="66"/>
      <c r="I85" s="66"/>
      <c r="J85" s="66"/>
      <c r="K85" s="66"/>
      <c r="L85" s="66"/>
      <c r="M85" s="66"/>
    </row>
    <row r="86" spans="1:13" x14ac:dyDescent="0.2">
      <c r="A86" s="66"/>
      <c r="C86" s="66"/>
      <c r="D86" s="66"/>
      <c r="E86" s="66"/>
      <c r="F86" s="66"/>
      <c r="G86" s="66"/>
      <c r="H86" s="66"/>
      <c r="I86" s="66"/>
      <c r="J86" s="66"/>
      <c r="K86" s="66"/>
      <c r="L86" s="66"/>
      <c r="M86" s="66"/>
    </row>
    <row r="87" spans="1:13" x14ac:dyDescent="0.2">
      <c r="A87" s="66"/>
      <c r="C87" s="66"/>
      <c r="D87" s="66"/>
      <c r="E87" s="66"/>
      <c r="F87" s="66"/>
      <c r="G87" s="66"/>
      <c r="H87" s="66"/>
      <c r="I87" s="66"/>
      <c r="J87" s="66"/>
      <c r="K87" s="66"/>
      <c r="L87" s="66"/>
      <c r="M87" s="66"/>
    </row>
    <row r="88" spans="1:13" x14ac:dyDescent="0.2">
      <c r="A88" s="66"/>
      <c r="C88" s="66"/>
      <c r="D88" s="66"/>
      <c r="E88" s="66"/>
      <c r="F88" s="66"/>
      <c r="G88" s="66"/>
      <c r="H88" s="66"/>
      <c r="I88" s="66"/>
      <c r="J88" s="66"/>
      <c r="K88" s="66"/>
      <c r="L88" s="66"/>
      <c r="M88" s="66"/>
    </row>
    <row r="89" spans="1:13" x14ac:dyDescent="0.2">
      <c r="A89" s="66"/>
      <c r="C89" s="66"/>
      <c r="D89" s="66"/>
      <c r="E89" s="66"/>
      <c r="F89" s="66"/>
      <c r="G89" s="66"/>
      <c r="H89" s="66"/>
      <c r="I89" s="66"/>
      <c r="J89" s="66"/>
      <c r="K89" s="66"/>
      <c r="L89" s="66"/>
      <c r="M89" s="66"/>
    </row>
    <row r="90" spans="1:13" x14ac:dyDescent="0.2">
      <c r="A90" s="66"/>
      <c r="C90" s="66"/>
      <c r="D90" s="66"/>
      <c r="E90" s="66"/>
      <c r="F90" s="66"/>
      <c r="G90" s="66"/>
      <c r="H90" s="66"/>
      <c r="I90" s="66"/>
      <c r="J90" s="66"/>
      <c r="K90" s="66"/>
      <c r="L90" s="66"/>
      <c r="M90" s="66"/>
    </row>
    <row r="91" spans="1:13" x14ac:dyDescent="0.2">
      <c r="A91" s="66"/>
      <c r="C91" s="66"/>
      <c r="D91" s="66"/>
      <c r="E91" s="66"/>
      <c r="F91" s="66"/>
      <c r="G91" s="66"/>
      <c r="H91" s="66"/>
      <c r="I91" s="66"/>
      <c r="J91" s="66"/>
      <c r="K91" s="66"/>
      <c r="L91" s="66"/>
      <c r="M91" s="66"/>
    </row>
    <row r="92" spans="1:13" x14ac:dyDescent="0.2">
      <c r="A92" s="66"/>
      <c r="C92" s="66"/>
      <c r="D92" s="66"/>
      <c r="E92" s="66"/>
      <c r="F92" s="66"/>
      <c r="G92" s="66"/>
      <c r="H92" s="66"/>
      <c r="I92" s="66"/>
      <c r="J92" s="66"/>
      <c r="K92" s="66"/>
      <c r="L92" s="66"/>
      <c r="M92" s="66"/>
    </row>
    <row r="93" spans="1:13" x14ac:dyDescent="0.2">
      <c r="A93" s="66"/>
      <c r="C93" s="66"/>
      <c r="D93" s="66"/>
      <c r="E93" s="66"/>
      <c r="F93" s="66"/>
      <c r="G93" s="66"/>
      <c r="H93" s="66"/>
      <c r="I93" s="66"/>
      <c r="J93" s="66"/>
      <c r="K93" s="66"/>
      <c r="L93" s="66"/>
      <c r="M93" s="66"/>
    </row>
    <row r="94" spans="1:13" x14ac:dyDescent="0.2">
      <c r="A94" s="66"/>
      <c r="C94" s="66"/>
      <c r="D94" s="66"/>
      <c r="E94" s="66"/>
      <c r="F94" s="66"/>
      <c r="G94" s="66"/>
      <c r="H94" s="66"/>
      <c r="I94" s="66"/>
      <c r="J94" s="66"/>
      <c r="K94" s="66"/>
      <c r="L94" s="66"/>
      <c r="M94" s="66"/>
    </row>
    <row r="95" spans="1:13" x14ac:dyDescent="0.2">
      <c r="A95" s="66"/>
      <c r="C95" s="66"/>
      <c r="D95" s="66"/>
      <c r="E95" s="66"/>
      <c r="F95" s="66"/>
      <c r="G95" s="66"/>
      <c r="H95" s="66"/>
      <c r="I95" s="66"/>
      <c r="J95" s="66"/>
      <c r="K95" s="66"/>
      <c r="L95" s="66"/>
      <c r="M95" s="66"/>
    </row>
    <row r="96" spans="1:13" x14ac:dyDescent="0.2">
      <c r="A96" s="66"/>
      <c r="C96" s="66"/>
      <c r="D96" s="66"/>
      <c r="E96" s="66"/>
      <c r="F96" s="66"/>
      <c r="G96" s="66"/>
      <c r="H96" s="66"/>
      <c r="I96" s="66"/>
      <c r="J96" s="66"/>
      <c r="K96" s="66"/>
      <c r="L96" s="66"/>
      <c r="M96" s="66"/>
    </row>
    <row r="97" spans="1:13" x14ac:dyDescent="0.2">
      <c r="A97" s="66"/>
      <c r="C97" s="66"/>
      <c r="D97" s="66"/>
      <c r="E97" s="66"/>
      <c r="F97" s="66"/>
      <c r="G97" s="66"/>
      <c r="H97" s="66"/>
      <c r="I97" s="66"/>
      <c r="J97" s="66"/>
      <c r="K97" s="66"/>
      <c r="L97" s="66"/>
      <c r="M97" s="66"/>
    </row>
    <row r="98" spans="1:13" x14ac:dyDescent="0.2">
      <c r="A98" s="66"/>
      <c r="C98" s="66"/>
      <c r="D98" s="66"/>
      <c r="E98" s="66"/>
      <c r="F98" s="66"/>
      <c r="G98" s="66"/>
      <c r="H98" s="66"/>
      <c r="I98" s="66"/>
      <c r="J98" s="66"/>
      <c r="K98" s="66"/>
      <c r="L98" s="66"/>
      <c r="M98" s="66"/>
    </row>
    <row r="99" spans="1:13" x14ac:dyDescent="0.2">
      <c r="A99" s="66"/>
      <c r="C99" s="66"/>
      <c r="D99" s="66"/>
      <c r="E99" s="66"/>
      <c r="F99" s="66"/>
      <c r="G99" s="66"/>
      <c r="H99" s="66"/>
      <c r="I99" s="66"/>
      <c r="J99" s="66"/>
      <c r="K99" s="66"/>
      <c r="L99" s="66"/>
      <c r="M99" s="66"/>
    </row>
    <row r="100" spans="1:13" x14ac:dyDescent="0.2">
      <c r="A100" s="66"/>
      <c r="C100" s="66"/>
      <c r="D100" s="66"/>
      <c r="E100" s="66"/>
      <c r="F100" s="66"/>
      <c r="G100" s="66"/>
      <c r="H100" s="66"/>
      <c r="I100" s="66"/>
      <c r="J100" s="66"/>
      <c r="K100" s="66"/>
      <c r="L100" s="66"/>
      <c r="M100" s="66"/>
    </row>
    <row r="101" spans="1:13" x14ac:dyDescent="0.2">
      <c r="A101" s="66"/>
      <c r="C101" s="66"/>
      <c r="D101" s="66"/>
      <c r="E101" s="66"/>
      <c r="F101" s="66"/>
      <c r="G101" s="66"/>
      <c r="H101" s="66"/>
      <c r="I101" s="66"/>
      <c r="J101" s="66"/>
      <c r="K101" s="66"/>
      <c r="L101" s="66"/>
      <c r="M101" s="66"/>
    </row>
    <row r="102" spans="1:13" x14ac:dyDescent="0.2">
      <c r="A102" s="66"/>
      <c r="C102" s="66"/>
      <c r="D102" s="66"/>
      <c r="E102" s="66"/>
      <c r="F102" s="66"/>
      <c r="G102" s="66"/>
      <c r="H102" s="66"/>
      <c r="I102" s="66"/>
      <c r="J102" s="66"/>
      <c r="K102" s="66"/>
      <c r="L102" s="66"/>
      <c r="M102" s="66"/>
    </row>
    <row r="103" spans="1:13" x14ac:dyDescent="0.2">
      <c r="A103" s="66"/>
      <c r="C103" s="66"/>
      <c r="D103" s="66"/>
      <c r="E103" s="66"/>
      <c r="F103" s="66"/>
      <c r="G103" s="66"/>
      <c r="H103" s="66"/>
      <c r="I103" s="66"/>
      <c r="J103" s="66"/>
      <c r="K103" s="66"/>
      <c r="L103" s="66"/>
      <c r="M103" s="66"/>
    </row>
    <row r="104" spans="1:13" x14ac:dyDescent="0.2">
      <c r="A104" s="66"/>
      <c r="C104" s="66"/>
      <c r="D104" s="66"/>
      <c r="E104" s="66"/>
      <c r="F104" s="66"/>
      <c r="G104" s="66"/>
      <c r="H104" s="66"/>
      <c r="I104" s="66"/>
      <c r="J104" s="66"/>
      <c r="K104" s="66"/>
      <c r="L104" s="66"/>
      <c r="M104" s="66"/>
    </row>
    <row r="105" spans="1:13" x14ac:dyDescent="0.2">
      <c r="A105" s="66"/>
      <c r="C105" s="66"/>
      <c r="D105" s="66"/>
      <c r="E105" s="66"/>
      <c r="F105" s="66"/>
      <c r="G105" s="66"/>
      <c r="H105" s="66"/>
      <c r="I105" s="66"/>
      <c r="J105" s="66"/>
      <c r="K105" s="66"/>
      <c r="L105" s="66"/>
      <c r="M105" s="66"/>
    </row>
    <row r="106" spans="1:13" x14ac:dyDescent="0.2">
      <c r="A106" s="66"/>
      <c r="C106" s="66"/>
      <c r="D106" s="66"/>
      <c r="E106" s="66"/>
      <c r="F106" s="66"/>
      <c r="G106" s="66"/>
      <c r="H106" s="66"/>
      <c r="I106" s="66"/>
      <c r="J106" s="66"/>
      <c r="K106" s="66"/>
      <c r="L106" s="66"/>
      <c r="M106" s="66"/>
    </row>
    <row r="107" spans="1:13" x14ac:dyDescent="0.2">
      <c r="A107" s="66"/>
      <c r="C107" s="66"/>
      <c r="D107" s="66"/>
      <c r="E107" s="66"/>
      <c r="F107" s="66"/>
      <c r="G107" s="66"/>
      <c r="H107" s="66"/>
      <c r="I107" s="66"/>
      <c r="J107" s="66"/>
      <c r="K107" s="66"/>
      <c r="L107" s="66"/>
      <c r="M107" s="66"/>
    </row>
    <row r="108" spans="1:13" x14ac:dyDescent="0.2">
      <c r="A108" s="66"/>
      <c r="C108" s="66"/>
      <c r="D108" s="66"/>
      <c r="E108" s="66"/>
      <c r="F108" s="66"/>
      <c r="G108" s="66"/>
      <c r="H108" s="66"/>
      <c r="I108" s="66"/>
      <c r="J108" s="66"/>
      <c r="K108" s="66"/>
      <c r="L108" s="66"/>
      <c r="M108" s="66"/>
    </row>
    <row r="109" spans="1:13" x14ac:dyDescent="0.2">
      <c r="A109" s="66"/>
      <c r="C109" s="66"/>
      <c r="D109" s="66"/>
      <c r="E109" s="66"/>
      <c r="F109" s="66"/>
      <c r="G109" s="66"/>
      <c r="H109" s="66"/>
      <c r="I109" s="66"/>
      <c r="J109" s="66"/>
      <c r="K109" s="66"/>
      <c r="L109" s="66"/>
      <c r="M109" s="66"/>
    </row>
    <row r="110" spans="1:13" x14ac:dyDescent="0.2">
      <c r="A110" s="66"/>
      <c r="C110" s="66"/>
      <c r="D110" s="66"/>
      <c r="E110" s="66"/>
      <c r="F110" s="66"/>
      <c r="G110" s="66"/>
      <c r="H110" s="66"/>
      <c r="I110" s="66"/>
      <c r="J110" s="66"/>
      <c r="K110" s="66"/>
      <c r="L110" s="66"/>
      <c r="M110" s="66"/>
    </row>
    <row r="111" spans="1:13" x14ac:dyDescent="0.2">
      <c r="A111" s="66"/>
      <c r="C111" s="66"/>
      <c r="D111" s="66"/>
      <c r="E111" s="66"/>
      <c r="F111" s="66"/>
      <c r="G111" s="66"/>
      <c r="H111" s="66"/>
      <c r="I111" s="66"/>
      <c r="J111" s="66"/>
      <c r="K111" s="66"/>
      <c r="L111" s="66"/>
      <c r="M111" s="66"/>
    </row>
    <row r="112" spans="1:13" x14ac:dyDescent="0.2">
      <c r="A112" s="66"/>
      <c r="C112" s="66"/>
      <c r="D112" s="66"/>
      <c r="E112" s="66"/>
      <c r="F112" s="66"/>
      <c r="G112" s="66"/>
      <c r="H112" s="66"/>
      <c r="I112" s="66"/>
      <c r="J112" s="66"/>
      <c r="K112" s="66"/>
      <c r="L112" s="66"/>
      <c r="M112" s="66"/>
    </row>
    <row r="113" spans="1:13" x14ac:dyDescent="0.2">
      <c r="A113" s="66"/>
      <c r="C113" s="66"/>
      <c r="D113" s="66"/>
      <c r="E113" s="66"/>
      <c r="F113" s="66"/>
      <c r="G113" s="66"/>
      <c r="H113" s="66"/>
      <c r="I113" s="66"/>
      <c r="J113" s="66"/>
      <c r="K113" s="66"/>
      <c r="L113" s="66"/>
      <c r="M113" s="66"/>
    </row>
    <row r="114" spans="1:13" x14ac:dyDescent="0.2">
      <c r="A114" s="66"/>
      <c r="C114" s="66"/>
      <c r="D114" s="66"/>
      <c r="E114" s="66"/>
      <c r="F114" s="66"/>
      <c r="G114" s="66"/>
      <c r="H114" s="66"/>
      <c r="I114" s="66"/>
      <c r="J114" s="66"/>
      <c r="K114" s="66"/>
      <c r="L114" s="66"/>
      <c r="M114" s="66"/>
    </row>
    <row r="115" spans="1:13" x14ac:dyDescent="0.2">
      <c r="A115" s="66"/>
      <c r="C115" s="66"/>
      <c r="D115" s="66"/>
      <c r="E115" s="66"/>
      <c r="F115" s="66"/>
      <c r="G115" s="66"/>
      <c r="H115" s="66"/>
      <c r="I115" s="66"/>
      <c r="J115" s="66"/>
      <c r="K115" s="66"/>
      <c r="L115" s="66"/>
      <c r="M115" s="66"/>
    </row>
    <row r="116" spans="1:13" x14ac:dyDescent="0.2">
      <c r="A116" s="66"/>
      <c r="C116" s="66"/>
      <c r="D116" s="66"/>
      <c r="E116" s="66"/>
      <c r="F116" s="66"/>
      <c r="G116" s="66"/>
      <c r="H116" s="66"/>
      <c r="I116" s="66"/>
      <c r="J116" s="66"/>
      <c r="K116" s="66"/>
      <c r="L116" s="66"/>
      <c r="M116" s="66"/>
    </row>
    <row r="117" spans="1:13" x14ac:dyDescent="0.2">
      <c r="A117" s="66"/>
      <c r="C117" s="66"/>
      <c r="D117" s="66"/>
      <c r="E117" s="66"/>
      <c r="F117" s="66"/>
      <c r="G117" s="66"/>
      <c r="H117" s="66"/>
      <c r="I117" s="66"/>
      <c r="J117" s="66"/>
      <c r="K117" s="66"/>
      <c r="L117" s="66"/>
      <c r="M117" s="66"/>
    </row>
    <row r="118" spans="1:13" x14ac:dyDescent="0.2">
      <c r="A118" s="66"/>
      <c r="C118" s="66"/>
      <c r="D118" s="66"/>
      <c r="E118" s="66"/>
      <c r="F118" s="66"/>
      <c r="G118" s="66"/>
      <c r="H118" s="66"/>
      <c r="I118" s="66"/>
      <c r="J118" s="66"/>
      <c r="K118" s="66"/>
      <c r="L118" s="66"/>
      <c r="M118" s="66"/>
    </row>
  </sheetData>
  <pageMargins left="0.5" right="0.5" top="0.75" bottom="0.75" header="0.5" footer="0.5"/>
  <pageSetup orientation="landscape"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2:P105"/>
  <sheetViews>
    <sheetView zoomScaleNormal="100" workbookViewId="0">
      <pane xSplit="2" ySplit="6" topLeftCell="C69" activePane="bottomRight" state="frozen"/>
      <selection activeCell="I69" sqref="I69"/>
      <selection pane="topRight" activeCell="I69" sqref="I69"/>
      <selection pane="bottomLeft" activeCell="I69" sqref="I69"/>
      <selection pane="bottomRight" activeCell="O93" sqref="O93"/>
    </sheetView>
  </sheetViews>
  <sheetFormatPr defaultColWidth="9.140625"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9.140625" style="66"/>
    <col min="15" max="15" width="10.7109375" style="66" bestFit="1" customWidth="1"/>
    <col min="16" max="16384" width="9.140625" style="66"/>
  </cols>
  <sheetData>
    <row r="2" spans="1:15" x14ac:dyDescent="0.2">
      <c r="B2" s="180" t="s">
        <v>115</v>
      </c>
      <c r="C2" s="84"/>
    </row>
    <row r="3" spans="1:15" x14ac:dyDescent="0.2">
      <c r="C3" s="84"/>
    </row>
    <row r="4" spans="1:15" x14ac:dyDescent="0.2">
      <c r="C4" s="181"/>
      <c r="D4" s="181"/>
      <c r="E4" s="181"/>
      <c r="F4" s="181"/>
      <c r="G4" s="181"/>
      <c r="H4" s="182"/>
      <c r="I4" s="182"/>
      <c r="J4" s="180"/>
    </row>
    <row r="5" spans="1:15" x14ac:dyDescent="0.2">
      <c r="C5" s="181"/>
      <c r="D5" s="181"/>
      <c r="E5" s="181"/>
      <c r="F5" s="181"/>
      <c r="G5" s="181"/>
      <c r="H5" s="182"/>
      <c r="I5" s="182"/>
      <c r="J5" s="181"/>
    </row>
    <row r="6" spans="1:15" ht="9.9499999999999993" customHeight="1" x14ac:dyDescent="0.2">
      <c r="C6" s="126">
        <v>41760</v>
      </c>
      <c r="D6" s="87">
        <f t="shared" ref="D6:N6" si="0">EOMONTH(C6,1)</f>
        <v>41820</v>
      </c>
      <c r="E6" s="87">
        <f t="shared" si="0"/>
        <v>41851</v>
      </c>
      <c r="F6" s="87">
        <f t="shared" si="0"/>
        <v>41882</v>
      </c>
      <c r="G6" s="87">
        <f t="shared" si="0"/>
        <v>41912</v>
      </c>
      <c r="H6" s="87">
        <f t="shared" si="0"/>
        <v>41943</v>
      </c>
      <c r="I6" s="87">
        <f t="shared" si="0"/>
        <v>41973</v>
      </c>
      <c r="J6" s="87">
        <f t="shared" si="0"/>
        <v>42004</v>
      </c>
      <c r="K6" s="87">
        <f t="shared" si="0"/>
        <v>42035</v>
      </c>
      <c r="L6" s="87">
        <f t="shared" si="0"/>
        <v>42063</v>
      </c>
      <c r="M6" s="87">
        <f t="shared" si="0"/>
        <v>42094</v>
      </c>
      <c r="N6" s="87">
        <f t="shared" si="0"/>
        <v>42124</v>
      </c>
    </row>
    <row r="7" spans="1:15" s="67" customFormat="1" x14ac:dyDescent="0.2">
      <c r="A7" s="183" t="s">
        <v>47</v>
      </c>
      <c r="C7" s="184">
        <v>35.26</v>
      </c>
      <c r="D7" s="184">
        <v>34.83</v>
      </c>
      <c r="E7" s="184">
        <v>32.770000000000003</v>
      </c>
      <c r="F7" s="184">
        <v>33.75</v>
      </c>
      <c r="G7" s="184">
        <v>38.630000000000003</v>
      </c>
      <c r="H7" s="184">
        <v>38.85</v>
      </c>
      <c r="I7" s="184">
        <v>36.6</v>
      </c>
      <c r="J7" s="184">
        <v>40.380000000000003</v>
      </c>
      <c r="K7" s="184">
        <v>40.39</v>
      </c>
      <c r="L7" s="184">
        <v>36.770000000000003</v>
      </c>
      <c r="M7" s="184">
        <v>41.29</v>
      </c>
      <c r="N7" s="184">
        <v>38.75</v>
      </c>
    </row>
    <row r="8" spans="1:15" x14ac:dyDescent="0.2">
      <c r="A8" s="66" t="s">
        <v>48</v>
      </c>
      <c r="C8" s="89">
        <v>0</v>
      </c>
      <c r="D8" s="89">
        <v>0</v>
      </c>
      <c r="E8" s="89">
        <v>0</v>
      </c>
      <c r="F8" s="89">
        <v>0</v>
      </c>
      <c r="G8" s="89">
        <v>0</v>
      </c>
      <c r="H8" s="89">
        <v>0</v>
      </c>
      <c r="I8" s="89">
        <v>0</v>
      </c>
      <c r="J8" s="89">
        <v>0</v>
      </c>
      <c r="K8" s="89">
        <v>0</v>
      </c>
      <c r="L8" s="89">
        <v>0</v>
      </c>
      <c r="M8" s="89">
        <v>0</v>
      </c>
      <c r="N8" s="89">
        <v>0</v>
      </c>
    </row>
    <row r="9" spans="1:15" x14ac:dyDescent="0.2">
      <c r="A9" s="66"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5" x14ac:dyDescent="0.2">
      <c r="A10" s="180" t="s">
        <v>50</v>
      </c>
      <c r="C10" s="91">
        <f t="shared" ref="C10:N10" si="2">+C7-C9</f>
        <v>35.26</v>
      </c>
      <c r="D10" s="91">
        <f t="shared" si="2"/>
        <v>34.83</v>
      </c>
      <c r="E10" s="91">
        <f t="shared" si="2"/>
        <v>32.770000000000003</v>
      </c>
      <c r="F10" s="91">
        <f t="shared" si="2"/>
        <v>33.75</v>
      </c>
      <c r="G10" s="91">
        <f t="shared" si="2"/>
        <v>38.630000000000003</v>
      </c>
      <c r="H10" s="91">
        <f t="shared" si="2"/>
        <v>38.85</v>
      </c>
      <c r="I10" s="91">
        <f t="shared" si="2"/>
        <v>36.6</v>
      </c>
      <c r="J10" s="91">
        <f t="shared" si="2"/>
        <v>40.380000000000003</v>
      </c>
      <c r="K10" s="91">
        <f t="shared" si="2"/>
        <v>40.39</v>
      </c>
      <c r="L10" s="91">
        <f t="shared" si="2"/>
        <v>36.770000000000003</v>
      </c>
      <c r="M10" s="91">
        <f t="shared" si="2"/>
        <v>41.29</v>
      </c>
      <c r="N10" s="91">
        <f t="shared" si="2"/>
        <v>38.75</v>
      </c>
      <c r="O10" s="91">
        <f>SUM(C10:N10)</f>
        <v>448.27</v>
      </c>
    </row>
    <row r="12" spans="1:15" x14ac:dyDescent="0.2">
      <c r="A12" s="180" t="s">
        <v>51</v>
      </c>
    </row>
    <row r="13" spans="1:15" s="92" customFormat="1" x14ac:dyDescent="0.2">
      <c r="B13" s="92" t="s">
        <v>24</v>
      </c>
      <c r="C13" s="124">
        <v>0.19500000000000001</v>
      </c>
      <c r="D13" s="124">
        <f>+C13</f>
        <v>0.19500000000000001</v>
      </c>
      <c r="E13" s="124">
        <f t="shared" ref="E13:N13" si="3">+D13</f>
        <v>0.19500000000000001</v>
      </c>
      <c r="F13" s="124">
        <f t="shared" si="3"/>
        <v>0.19500000000000001</v>
      </c>
      <c r="G13" s="124">
        <f t="shared" si="3"/>
        <v>0.19500000000000001</v>
      </c>
      <c r="H13" s="124">
        <f t="shared" si="3"/>
        <v>0.19500000000000001</v>
      </c>
      <c r="I13" s="124">
        <f t="shared" si="3"/>
        <v>0.19500000000000001</v>
      </c>
      <c r="J13" s="124">
        <f t="shared" si="3"/>
        <v>0.19500000000000001</v>
      </c>
      <c r="K13" s="124">
        <f t="shared" si="3"/>
        <v>0.19500000000000001</v>
      </c>
      <c r="L13" s="124">
        <f t="shared" si="3"/>
        <v>0.19500000000000001</v>
      </c>
      <c r="M13" s="124">
        <f t="shared" si="3"/>
        <v>0.19500000000000001</v>
      </c>
      <c r="N13" s="124">
        <f t="shared" si="3"/>
        <v>0.19500000000000001</v>
      </c>
    </row>
    <row r="14" spans="1:15" s="92" customFormat="1" x14ac:dyDescent="0.2">
      <c r="B14" s="92" t="s">
        <v>28</v>
      </c>
      <c r="C14" s="124">
        <v>0.1782</v>
      </c>
      <c r="D14" s="124">
        <f t="shared" ref="D14:N23" si="4">+C14</f>
        <v>0.1782</v>
      </c>
      <c r="E14" s="124">
        <f t="shared" si="4"/>
        <v>0.1782</v>
      </c>
      <c r="F14" s="124">
        <f t="shared" si="4"/>
        <v>0.1782</v>
      </c>
      <c r="G14" s="124">
        <f t="shared" si="4"/>
        <v>0.1782</v>
      </c>
      <c r="H14" s="124">
        <f t="shared" si="4"/>
        <v>0.1782</v>
      </c>
      <c r="I14" s="124">
        <f t="shared" si="4"/>
        <v>0.1782</v>
      </c>
      <c r="J14" s="124">
        <f t="shared" si="4"/>
        <v>0.1782</v>
      </c>
      <c r="K14" s="124">
        <f t="shared" si="4"/>
        <v>0.1782</v>
      </c>
      <c r="L14" s="124">
        <f t="shared" si="4"/>
        <v>0.1782</v>
      </c>
      <c r="M14" s="124">
        <f t="shared" si="4"/>
        <v>0.1782</v>
      </c>
      <c r="N14" s="124">
        <f t="shared" si="4"/>
        <v>0.1782</v>
      </c>
    </row>
    <row r="15" spans="1:15" s="92" customFormat="1" x14ac:dyDescent="0.2">
      <c r="B15" s="92" t="s">
        <v>52</v>
      </c>
      <c r="C15" s="124">
        <v>0</v>
      </c>
      <c r="D15" s="124">
        <f t="shared" si="4"/>
        <v>0</v>
      </c>
      <c r="E15" s="124">
        <f t="shared" si="4"/>
        <v>0</v>
      </c>
      <c r="F15" s="124">
        <f t="shared" si="4"/>
        <v>0</v>
      </c>
      <c r="G15" s="124">
        <f t="shared" si="4"/>
        <v>0</v>
      </c>
      <c r="H15" s="124">
        <f t="shared" si="4"/>
        <v>0</v>
      </c>
      <c r="I15" s="124">
        <f t="shared" si="4"/>
        <v>0</v>
      </c>
      <c r="J15" s="124">
        <f t="shared" si="4"/>
        <v>0</v>
      </c>
      <c r="K15" s="124">
        <f t="shared" si="4"/>
        <v>0</v>
      </c>
      <c r="L15" s="124">
        <f t="shared" si="4"/>
        <v>0</v>
      </c>
      <c r="M15" s="124">
        <f t="shared" si="4"/>
        <v>0</v>
      </c>
      <c r="N15" s="124">
        <f t="shared" si="4"/>
        <v>0</v>
      </c>
    </row>
    <row r="16" spans="1:15" s="92" customFormat="1" x14ac:dyDescent="0.2">
      <c r="B16" s="92" t="s">
        <v>53</v>
      </c>
      <c r="C16" s="124">
        <v>1.6500000000000001E-2</v>
      </c>
      <c r="D16" s="124">
        <f t="shared" si="4"/>
        <v>1.6500000000000001E-2</v>
      </c>
      <c r="E16" s="124">
        <f t="shared" si="4"/>
        <v>1.6500000000000001E-2</v>
      </c>
      <c r="F16" s="124">
        <f t="shared" si="4"/>
        <v>1.6500000000000001E-2</v>
      </c>
      <c r="G16" s="124">
        <f t="shared" si="4"/>
        <v>1.6500000000000001E-2</v>
      </c>
      <c r="H16" s="124">
        <f t="shared" si="4"/>
        <v>1.6500000000000001E-2</v>
      </c>
      <c r="I16" s="124">
        <f t="shared" si="4"/>
        <v>1.6500000000000001E-2</v>
      </c>
      <c r="J16" s="124">
        <f t="shared" si="4"/>
        <v>1.6500000000000001E-2</v>
      </c>
      <c r="K16" s="124">
        <f t="shared" si="4"/>
        <v>1.6500000000000001E-2</v>
      </c>
      <c r="L16" s="124">
        <f t="shared" si="4"/>
        <v>1.6500000000000001E-2</v>
      </c>
      <c r="M16" s="124">
        <f t="shared" si="4"/>
        <v>1.6500000000000001E-2</v>
      </c>
      <c r="N16" s="124">
        <f t="shared" si="4"/>
        <v>1.6500000000000001E-2</v>
      </c>
    </row>
    <row r="17" spans="1:14" s="92" customFormat="1" x14ac:dyDescent="0.2">
      <c r="B17" s="92" t="s">
        <v>54</v>
      </c>
      <c r="C17" s="124">
        <v>4.4900000000000002E-2</v>
      </c>
      <c r="D17" s="124">
        <f t="shared" si="4"/>
        <v>4.4900000000000002E-2</v>
      </c>
      <c r="E17" s="124">
        <f t="shared" si="4"/>
        <v>4.4900000000000002E-2</v>
      </c>
      <c r="F17" s="124">
        <f t="shared" si="4"/>
        <v>4.4900000000000002E-2</v>
      </c>
      <c r="G17" s="124">
        <f t="shared" si="4"/>
        <v>4.4900000000000002E-2</v>
      </c>
      <c r="H17" s="124">
        <f t="shared" si="4"/>
        <v>4.4900000000000002E-2</v>
      </c>
      <c r="I17" s="124">
        <f t="shared" si="4"/>
        <v>4.4900000000000002E-2</v>
      </c>
      <c r="J17" s="124">
        <f t="shared" si="4"/>
        <v>4.4900000000000002E-2</v>
      </c>
      <c r="K17" s="124">
        <f t="shared" si="4"/>
        <v>4.4900000000000002E-2</v>
      </c>
      <c r="L17" s="124">
        <f t="shared" si="4"/>
        <v>4.4900000000000002E-2</v>
      </c>
      <c r="M17" s="124">
        <f t="shared" si="4"/>
        <v>4.4900000000000002E-2</v>
      </c>
      <c r="N17" s="124">
        <f t="shared" si="4"/>
        <v>4.4900000000000002E-2</v>
      </c>
    </row>
    <row r="18" spans="1:14" s="92" customFormat="1" x14ac:dyDescent="0.2">
      <c r="B18" s="92" t="s">
        <v>55</v>
      </c>
      <c r="C18" s="124">
        <v>7.4999999999999997E-3</v>
      </c>
      <c r="D18" s="124">
        <f t="shared" si="4"/>
        <v>7.4999999999999997E-3</v>
      </c>
      <c r="E18" s="124">
        <f t="shared" si="4"/>
        <v>7.4999999999999997E-3</v>
      </c>
      <c r="F18" s="124">
        <f t="shared" si="4"/>
        <v>7.4999999999999997E-3</v>
      </c>
      <c r="G18" s="124">
        <f t="shared" si="4"/>
        <v>7.4999999999999997E-3</v>
      </c>
      <c r="H18" s="124">
        <f t="shared" si="4"/>
        <v>7.4999999999999997E-3</v>
      </c>
      <c r="I18" s="124">
        <f t="shared" si="4"/>
        <v>7.4999999999999997E-3</v>
      </c>
      <c r="J18" s="124">
        <f t="shared" si="4"/>
        <v>7.4999999999999997E-3</v>
      </c>
      <c r="K18" s="124">
        <f t="shared" si="4"/>
        <v>7.4999999999999997E-3</v>
      </c>
      <c r="L18" s="124">
        <f t="shared" si="4"/>
        <v>7.4999999999999997E-3</v>
      </c>
      <c r="M18" s="124">
        <f t="shared" si="4"/>
        <v>7.4999999999999997E-3</v>
      </c>
      <c r="N18" s="124">
        <f t="shared" si="4"/>
        <v>7.4999999999999997E-3</v>
      </c>
    </row>
    <row r="19" spans="1:14" s="92" customFormat="1" x14ac:dyDescent="0.2">
      <c r="B19" s="66" t="s">
        <v>56</v>
      </c>
      <c r="C19" s="124">
        <v>0</v>
      </c>
      <c r="D19" s="124">
        <f t="shared" si="4"/>
        <v>0</v>
      </c>
      <c r="E19" s="124">
        <f t="shared" si="4"/>
        <v>0</v>
      </c>
      <c r="F19" s="124">
        <f t="shared" si="4"/>
        <v>0</v>
      </c>
      <c r="G19" s="124">
        <f t="shared" si="4"/>
        <v>0</v>
      </c>
      <c r="H19" s="124">
        <f t="shared" si="4"/>
        <v>0</v>
      </c>
      <c r="I19" s="124">
        <f t="shared" si="4"/>
        <v>0</v>
      </c>
      <c r="J19" s="124">
        <f t="shared" si="4"/>
        <v>0</v>
      </c>
      <c r="K19" s="124">
        <f t="shared" si="4"/>
        <v>0</v>
      </c>
      <c r="L19" s="124">
        <f t="shared" si="4"/>
        <v>0</v>
      </c>
      <c r="M19" s="124">
        <f t="shared" si="4"/>
        <v>0</v>
      </c>
      <c r="N19" s="124">
        <f t="shared" si="4"/>
        <v>0</v>
      </c>
    </row>
    <row r="20" spans="1:14" s="92" customFormat="1" x14ac:dyDescent="0.2">
      <c r="B20" s="66" t="s">
        <v>22</v>
      </c>
      <c r="C20" s="124">
        <v>0.17680000000000001</v>
      </c>
      <c r="D20" s="124">
        <f t="shared" si="4"/>
        <v>0.17680000000000001</v>
      </c>
      <c r="E20" s="124">
        <f t="shared" si="4"/>
        <v>0.17680000000000001</v>
      </c>
      <c r="F20" s="124">
        <f t="shared" si="4"/>
        <v>0.17680000000000001</v>
      </c>
      <c r="G20" s="124">
        <f t="shared" si="4"/>
        <v>0.17680000000000001</v>
      </c>
      <c r="H20" s="124">
        <f t="shared" si="4"/>
        <v>0.17680000000000001</v>
      </c>
      <c r="I20" s="124">
        <f t="shared" si="4"/>
        <v>0.17680000000000001</v>
      </c>
      <c r="J20" s="124">
        <f t="shared" si="4"/>
        <v>0.17680000000000001</v>
      </c>
      <c r="K20" s="124">
        <f t="shared" si="4"/>
        <v>0.17680000000000001</v>
      </c>
      <c r="L20" s="124">
        <f t="shared" si="4"/>
        <v>0.17680000000000001</v>
      </c>
      <c r="M20" s="124">
        <f t="shared" si="4"/>
        <v>0.17680000000000001</v>
      </c>
      <c r="N20" s="124">
        <f t="shared" si="4"/>
        <v>0.17680000000000001</v>
      </c>
    </row>
    <row r="21" spans="1:14" s="92" customFormat="1" x14ac:dyDescent="0.2">
      <c r="B21" s="92" t="s">
        <v>57</v>
      </c>
      <c r="C21" s="124">
        <v>0</v>
      </c>
      <c r="D21" s="124">
        <f t="shared" si="4"/>
        <v>0</v>
      </c>
      <c r="E21" s="124">
        <f t="shared" si="4"/>
        <v>0</v>
      </c>
      <c r="F21" s="124">
        <f t="shared" si="4"/>
        <v>0</v>
      </c>
      <c r="G21" s="124">
        <f t="shared" si="4"/>
        <v>0</v>
      </c>
      <c r="H21" s="124">
        <f t="shared" si="4"/>
        <v>0</v>
      </c>
      <c r="I21" s="124">
        <f t="shared" si="4"/>
        <v>0</v>
      </c>
      <c r="J21" s="124">
        <f t="shared" si="4"/>
        <v>0</v>
      </c>
      <c r="K21" s="124">
        <f t="shared" si="4"/>
        <v>0</v>
      </c>
      <c r="L21" s="124">
        <f t="shared" si="4"/>
        <v>0</v>
      </c>
      <c r="M21" s="124">
        <f t="shared" si="4"/>
        <v>0</v>
      </c>
      <c r="N21" s="124">
        <f t="shared" si="4"/>
        <v>0</v>
      </c>
    </row>
    <row r="22" spans="1:14" s="92" customFormat="1" x14ac:dyDescent="0.2">
      <c r="B22" s="92" t="s">
        <v>58</v>
      </c>
      <c r="C22" s="124">
        <v>5.930000000000013E-2</v>
      </c>
      <c r="D22" s="124">
        <f t="shared" si="4"/>
        <v>5.930000000000013E-2</v>
      </c>
      <c r="E22" s="124">
        <f t="shared" si="4"/>
        <v>5.930000000000013E-2</v>
      </c>
      <c r="F22" s="124">
        <f t="shared" si="4"/>
        <v>5.930000000000013E-2</v>
      </c>
      <c r="G22" s="124">
        <f t="shared" si="4"/>
        <v>5.930000000000013E-2</v>
      </c>
      <c r="H22" s="124">
        <f t="shared" si="4"/>
        <v>5.930000000000013E-2</v>
      </c>
      <c r="I22" s="124">
        <f t="shared" si="4"/>
        <v>5.930000000000013E-2</v>
      </c>
      <c r="J22" s="124">
        <f t="shared" si="4"/>
        <v>5.930000000000013E-2</v>
      </c>
      <c r="K22" s="124">
        <f t="shared" si="4"/>
        <v>5.930000000000013E-2</v>
      </c>
      <c r="L22" s="124">
        <f t="shared" si="4"/>
        <v>5.930000000000013E-2</v>
      </c>
      <c r="M22" s="124">
        <f t="shared" si="4"/>
        <v>5.930000000000013E-2</v>
      </c>
      <c r="N22" s="124">
        <f t="shared" si="4"/>
        <v>5.930000000000013E-2</v>
      </c>
    </row>
    <row r="23" spans="1:14" s="92" customFormat="1" x14ac:dyDescent="0.2">
      <c r="B23" s="92" t="s">
        <v>59</v>
      </c>
      <c r="C23" s="125">
        <v>0.32179999999999997</v>
      </c>
      <c r="D23" s="124">
        <f t="shared" si="4"/>
        <v>0.32179999999999997</v>
      </c>
      <c r="E23" s="124">
        <f t="shared" si="4"/>
        <v>0.32179999999999997</v>
      </c>
      <c r="F23" s="124">
        <f t="shared" si="4"/>
        <v>0.32179999999999997</v>
      </c>
      <c r="G23" s="124">
        <f t="shared" si="4"/>
        <v>0.32179999999999997</v>
      </c>
      <c r="H23" s="124">
        <f t="shared" si="4"/>
        <v>0.32179999999999997</v>
      </c>
      <c r="I23" s="124">
        <f t="shared" si="4"/>
        <v>0.32179999999999997</v>
      </c>
      <c r="J23" s="124">
        <f t="shared" si="4"/>
        <v>0.32179999999999997</v>
      </c>
      <c r="K23" s="124">
        <f t="shared" si="4"/>
        <v>0.32179999999999997</v>
      </c>
      <c r="L23" s="124">
        <f t="shared" si="4"/>
        <v>0.32179999999999997</v>
      </c>
      <c r="M23" s="124">
        <f t="shared" si="4"/>
        <v>0.32179999999999997</v>
      </c>
      <c r="N23" s="124">
        <f t="shared" si="4"/>
        <v>0.32179999999999997</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180" t="s">
        <v>60</v>
      </c>
    </row>
    <row r="27" spans="1:14" x14ac:dyDescent="0.2">
      <c r="B27" s="66" t="s">
        <v>24</v>
      </c>
      <c r="C27" s="75">
        <f>+C$10*C13</f>
        <v>6.8757000000000001</v>
      </c>
      <c r="D27" s="75">
        <f t="shared" ref="D27:N37" si="5">+D$10*D13</f>
        <v>6.7918500000000002</v>
      </c>
      <c r="E27" s="75">
        <f t="shared" si="5"/>
        <v>6.3901500000000011</v>
      </c>
      <c r="F27" s="75">
        <f t="shared" si="5"/>
        <v>6.5812499999999998</v>
      </c>
      <c r="G27" s="75">
        <f t="shared" si="5"/>
        <v>7.5328500000000007</v>
      </c>
      <c r="H27" s="75">
        <f t="shared" si="5"/>
        <v>7.5757500000000002</v>
      </c>
      <c r="I27" s="75">
        <f t="shared" si="5"/>
        <v>7.1370000000000005</v>
      </c>
      <c r="J27" s="75">
        <f t="shared" si="5"/>
        <v>7.8741000000000012</v>
      </c>
      <c r="K27" s="75">
        <f t="shared" si="5"/>
        <v>7.8760500000000002</v>
      </c>
      <c r="L27" s="75">
        <f t="shared" si="5"/>
        <v>7.1701500000000005</v>
      </c>
      <c r="M27" s="75">
        <f t="shared" si="5"/>
        <v>8.0515500000000007</v>
      </c>
      <c r="N27" s="75">
        <f t="shared" si="5"/>
        <v>7.5562500000000004</v>
      </c>
    </row>
    <row r="28" spans="1:14" x14ac:dyDescent="0.2">
      <c r="B28" s="66" t="s">
        <v>28</v>
      </c>
      <c r="C28" s="75">
        <f t="shared" ref="C28:C37" si="6">+C$10*C14</f>
        <v>6.2833319999999997</v>
      </c>
      <c r="D28" s="75">
        <f t="shared" si="5"/>
        <v>6.2067059999999996</v>
      </c>
      <c r="E28" s="75">
        <f t="shared" si="5"/>
        <v>5.8396140000000001</v>
      </c>
      <c r="F28" s="75">
        <f t="shared" si="5"/>
        <v>6.0142499999999997</v>
      </c>
      <c r="G28" s="75">
        <f t="shared" si="5"/>
        <v>6.8838660000000003</v>
      </c>
      <c r="H28" s="75">
        <f t="shared" si="5"/>
        <v>6.9230700000000001</v>
      </c>
      <c r="I28" s="75">
        <f t="shared" si="5"/>
        <v>6.5221200000000001</v>
      </c>
      <c r="J28" s="75">
        <f t="shared" si="5"/>
        <v>7.195716</v>
      </c>
      <c r="K28" s="75">
        <f t="shared" si="5"/>
        <v>7.1974980000000004</v>
      </c>
      <c r="L28" s="75">
        <f t="shared" si="5"/>
        <v>6.5524140000000006</v>
      </c>
      <c r="M28" s="75">
        <f t="shared" si="5"/>
        <v>7.3578779999999995</v>
      </c>
      <c r="N28" s="75">
        <f t="shared" si="5"/>
        <v>6.9052499999999997</v>
      </c>
    </row>
    <row r="29" spans="1:14" x14ac:dyDescent="0.2">
      <c r="B29" s="66" t="s">
        <v>52</v>
      </c>
      <c r="C29" s="75">
        <f t="shared" si="6"/>
        <v>0</v>
      </c>
      <c r="D29" s="75">
        <f t="shared" si="5"/>
        <v>0</v>
      </c>
      <c r="E29" s="75">
        <f t="shared" si="5"/>
        <v>0</v>
      </c>
      <c r="F29" s="75">
        <f t="shared" si="5"/>
        <v>0</v>
      </c>
      <c r="G29" s="75">
        <f t="shared" si="5"/>
        <v>0</v>
      </c>
      <c r="H29" s="75">
        <f t="shared" si="5"/>
        <v>0</v>
      </c>
      <c r="I29" s="75">
        <f t="shared" si="5"/>
        <v>0</v>
      </c>
      <c r="J29" s="75">
        <f t="shared" si="5"/>
        <v>0</v>
      </c>
      <c r="K29" s="75">
        <f t="shared" si="5"/>
        <v>0</v>
      </c>
      <c r="L29" s="75">
        <f t="shared" si="5"/>
        <v>0</v>
      </c>
      <c r="M29" s="75">
        <f t="shared" si="5"/>
        <v>0</v>
      </c>
      <c r="N29" s="75">
        <f t="shared" si="5"/>
        <v>0</v>
      </c>
    </row>
    <row r="30" spans="1:14" x14ac:dyDescent="0.2">
      <c r="B30" s="66" t="s">
        <v>53</v>
      </c>
      <c r="C30" s="75">
        <f t="shared" si="6"/>
        <v>0.58179000000000003</v>
      </c>
      <c r="D30" s="75">
        <f t="shared" si="5"/>
        <v>0.57469499999999996</v>
      </c>
      <c r="E30" s="75">
        <f t="shared" si="5"/>
        <v>0.5407050000000001</v>
      </c>
      <c r="F30" s="75">
        <f t="shared" si="5"/>
        <v>0.55687500000000001</v>
      </c>
      <c r="G30" s="75">
        <f t="shared" si="5"/>
        <v>0.63739500000000004</v>
      </c>
      <c r="H30" s="75">
        <f t="shared" si="5"/>
        <v>0.64102500000000007</v>
      </c>
      <c r="I30" s="75">
        <f t="shared" si="5"/>
        <v>0.6039000000000001</v>
      </c>
      <c r="J30" s="75">
        <f t="shared" si="5"/>
        <v>0.66627000000000003</v>
      </c>
      <c r="K30" s="75">
        <f t="shared" si="5"/>
        <v>0.666435</v>
      </c>
      <c r="L30" s="75">
        <f t="shared" si="5"/>
        <v>0.60670500000000005</v>
      </c>
      <c r="M30" s="75">
        <f t="shared" si="5"/>
        <v>0.68128500000000003</v>
      </c>
      <c r="N30" s="75">
        <f t="shared" si="5"/>
        <v>0.63937500000000003</v>
      </c>
    </row>
    <row r="31" spans="1:14" x14ac:dyDescent="0.2">
      <c r="B31" s="66" t="s">
        <v>54</v>
      </c>
      <c r="C31" s="75">
        <f t="shared" si="6"/>
        <v>1.5831740000000001</v>
      </c>
      <c r="D31" s="75">
        <f t="shared" si="5"/>
        <v>1.5638670000000001</v>
      </c>
      <c r="E31" s="75">
        <f t="shared" si="5"/>
        <v>1.4713730000000003</v>
      </c>
      <c r="F31" s="75">
        <f t="shared" si="5"/>
        <v>1.5153750000000001</v>
      </c>
      <c r="G31" s="75">
        <f t="shared" si="5"/>
        <v>1.7344870000000001</v>
      </c>
      <c r="H31" s="75">
        <f t="shared" si="5"/>
        <v>1.7443650000000002</v>
      </c>
      <c r="I31" s="75">
        <f t="shared" si="5"/>
        <v>1.6433400000000002</v>
      </c>
      <c r="J31" s="75">
        <f t="shared" si="5"/>
        <v>1.8130620000000002</v>
      </c>
      <c r="K31" s="75">
        <f t="shared" si="5"/>
        <v>1.8135110000000001</v>
      </c>
      <c r="L31" s="75">
        <f t="shared" si="5"/>
        <v>1.6509730000000002</v>
      </c>
      <c r="M31" s="75">
        <f t="shared" si="5"/>
        <v>1.8539210000000002</v>
      </c>
      <c r="N31" s="75">
        <f t="shared" si="5"/>
        <v>1.7398750000000001</v>
      </c>
    </row>
    <row r="32" spans="1:14" x14ac:dyDescent="0.2">
      <c r="B32" s="66" t="s">
        <v>55</v>
      </c>
      <c r="C32" s="75">
        <f t="shared" si="6"/>
        <v>0.26444999999999996</v>
      </c>
      <c r="D32" s="75">
        <f t="shared" si="5"/>
        <v>0.26122499999999998</v>
      </c>
      <c r="E32" s="75">
        <f t="shared" si="5"/>
        <v>0.24577500000000002</v>
      </c>
      <c r="F32" s="75">
        <f t="shared" si="5"/>
        <v>0.25312499999999999</v>
      </c>
      <c r="G32" s="75">
        <f t="shared" si="5"/>
        <v>0.28972500000000001</v>
      </c>
      <c r="H32" s="75">
        <f t="shared" si="5"/>
        <v>0.291375</v>
      </c>
      <c r="I32" s="75">
        <f t="shared" si="5"/>
        <v>0.27450000000000002</v>
      </c>
      <c r="J32" s="75">
        <f t="shared" si="5"/>
        <v>0.30285000000000001</v>
      </c>
      <c r="K32" s="75">
        <f t="shared" si="5"/>
        <v>0.302925</v>
      </c>
      <c r="L32" s="75">
        <f t="shared" si="5"/>
        <v>0.27577499999999999</v>
      </c>
      <c r="M32" s="75">
        <f t="shared" si="5"/>
        <v>0.30967499999999998</v>
      </c>
      <c r="N32" s="75">
        <f t="shared" si="5"/>
        <v>0.29062499999999997</v>
      </c>
    </row>
    <row r="33" spans="1:14" x14ac:dyDescent="0.2">
      <c r="B33" s="66" t="s">
        <v>56</v>
      </c>
      <c r="C33" s="75">
        <f t="shared" si="6"/>
        <v>0</v>
      </c>
      <c r="D33" s="75">
        <f t="shared" si="5"/>
        <v>0</v>
      </c>
      <c r="E33" s="75">
        <f t="shared" si="5"/>
        <v>0</v>
      </c>
      <c r="F33" s="75">
        <f t="shared" si="5"/>
        <v>0</v>
      </c>
      <c r="G33" s="75">
        <f t="shared" si="5"/>
        <v>0</v>
      </c>
      <c r="H33" s="75">
        <f t="shared" si="5"/>
        <v>0</v>
      </c>
      <c r="I33" s="75">
        <f t="shared" si="5"/>
        <v>0</v>
      </c>
      <c r="J33" s="75">
        <f t="shared" si="5"/>
        <v>0</v>
      </c>
      <c r="K33" s="75">
        <f t="shared" si="5"/>
        <v>0</v>
      </c>
      <c r="L33" s="75">
        <f t="shared" si="5"/>
        <v>0</v>
      </c>
      <c r="M33" s="75">
        <f t="shared" si="5"/>
        <v>0</v>
      </c>
      <c r="N33" s="75">
        <f t="shared" si="5"/>
        <v>0</v>
      </c>
    </row>
    <row r="34" spans="1:14" x14ac:dyDescent="0.2">
      <c r="B34" s="66" t="s">
        <v>22</v>
      </c>
      <c r="C34" s="75">
        <f t="shared" si="6"/>
        <v>6.233968</v>
      </c>
      <c r="D34" s="75">
        <f t="shared" si="5"/>
        <v>6.1579440000000005</v>
      </c>
      <c r="E34" s="75">
        <f t="shared" si="5"/>
        <v>5.7937360000000009</v>
      </c>
      <c r="F34" s="75">
        <f t="shared" si="5"/>
        <v>5.9670000000000005</v>
      </c>
      <c r="G34" s="75">
        <f t="shared" si="5"/>
        <v>6.829784000000001</v>
      </c>
      <c r="H34" s="75">
        <f t="shared" si="5"/>
        <v>6.8686800000000003</v>
      </c>
      <c r="I34" s="75">
        <f t="shared" si="5"/>
        <v>6.4708800000000011</v>
      </c>
      <c r="J34" s="75">
        <f t="shared" si="5"/>
        <v>7.1391840000000011</v>
      </c>
      <c r="K34" s="75">
        <f t="shared" si="5"/>
        <v>7.1409520000000004</v>
      </c>
      <c r="L34" s="75">
        <f t="shared" si="5"/>
        <v>6.5009360000000012</v>
      </c>
      <c r="M34" s="75">
        <f t="shared" si="5"/>
        <v>7.3000720000000001</v>
      </c>
      <c r="N34" s="75">
        <f t="shared" si="5"/>
        <v>6.8510000000000009</v>
      </c>
    </row>
    <row r="35" spans="1:14" x14ac:dyDescent="0.2">
      <c r="B35" s="66" t="s">
        <v>57</v>
      </c>
      <c r="C35" s="75">
        <f t="shared" si="6"/>
        <v>0</v>
      </c>
      <c r="D35" s="75">
        <f t="shared" si="5"/>
        <v>0</v>
      </c>
      <c r="E35" s="75">
        <f t="shared" si="5"/>
        <v>0</v>
      </c>
      <c r="F35" s="75">
        <f t="shared" si="5"/>
        <v>0</v>
      </c>
      <c r="G35" s="75">
        <f t="shared" si="5"/>
        <v>0</v>
      </c>
      <c r="H35" s="75">
        <f t="shared" si="5"/>
        <v>0</v>
      </c>
      <c r="I35" s="75">
        <f t="shared" si="5"/>
        <v>0</v>
      </c>
      <c r="J35" s="75">
        <f t="shared" si="5"/>
        <v>0</v>
      </c>
      <c r="K35" s="75">
        <f t="shared" si="5"/>
        <v>0</v>
      </c>
      <c r="L35" s="75">
        <f t="shared" si="5"/>
        <v>0</v>
      </c>
      <c r="M35" s="75">
        <f t="shared" si="5"/>
        <v>0</v>
      </c>
      <c r="N35" s="75">
        <f t="shared" si="5"/>
        <v>0</v>
      </c>
    </row>
    <row r="36" spans="1:14" x14ac:dyDescent="0.2">
      <c r="B36" s="66" t="s">
        <v>58</v>
      </c>
      <c r="C36" s="75">
        <f t="shared" si="6"/>
        <v>2.0909180000000043</v>
      </c>
      <c r="D36" s="75">
        <f t="shared" si="5"/>
        <v>2.0654190000000043</v>
      </c>
      <c r="E36" s="75">
        <f t="shared" si="5"/>
        <v>1.9432610000000046</v>
      </c>
      <c r="F36" s="75">
        <f t="shared" si="5"/>
        <v>2.0013750000000043</v>
      </c>
      <c r="G36" s="75">
        <f t="shared" si="5"/>
        <v>2.2907590000000053</v>
      </c>
      <c r="H36" s="75">
        <f t="shared" si="5"/>
        <v>2.303805000000005</v>
      </c>
      <c r="I36" s="75">
        <f t="shared" si="5"/>
        <v>2.1703800000000046</v>
      </c>
      <c r="J36" s="75">
        <f t="shared" si="5"/>
        <v>2.3945340000000055</v>
      </c>
      <c r="K36" s="75">
        <f t="shared" si="5"/>
        <v>2.3951270000000053</v>
      </c>
      <c r="L36" s="75">
        <f t="shared" si="5"/>
        <v>2.1804610000000051</v>
      </c>
      <c r="M36" s="75">
        <f t="shared" si="5"/>
        <v>2.4484970000000055</v>
      </c>
      <c r="N36" s="75">
        <f t="shared" si="5"/>
        <v>2.2978750000000052</v>
      </c>
    </row>
    <row r="37" spans="1:14" x14ac:dyDescent="0.2">
      <c r="B37" s="66" t="s">
        <v>59</v>
      </c>
      <c r="C37" s="90">
        <f t="shared" si="6"/>
        <v>11.346667999999999</v>
      </c>
      <c r="D37" s="90">
        <f t="shared" si="5"/>
        <v>11.208293999999999</v>
      </c>
      <c r="E37" s="90">
        <f t="shared" si="5"/>
        <v>10.545386000000001</v>
      </c>
      <c r="F37" s="90">
        <f t="shared" si="5"/>
        <v>10.860749999999999</v>
      </c>
      <c r="G37" s="90">
        <f t="shared" si="5"/>
        <v>12.431134</v>
      </c>
      <c r="H37" s="90">
        <f t="shared" si="5"/>
        <v>12.50193</v>
      </c>
      <c r="I37" s="90">
        <f t="shared" si="5"/>
        <v>11.77788</v>
      </c>
      <c r="J37" s="90">
        <f t="shared" si="5"/>
        <v>12.994284</v>
      </c>
      <c r="K37" s="90">
        <f t="shared" si="5"/>
        <v>12.997501999999999</v>
      </c>
      <c r="L37" s="90">
        <f t="shared" si="5"/>
        <v>11.832586000000001</v>
      </c>
      <c r="M37" s="90">
        <f t="shared" si="5"/>
        <v>13.287121999999998</v>
      </c>
      <c r="N37" s="90">
        <f t="shared" si="5"/>
        <v>12.469749999999999</v>
      </c>
    </row>
    <row r="38" spans="1:14" x14ac:dyDescent="0.2">
      <c r="C38" s="75">
        <f>SUM(C27:C37)</f>
        <v>35.260000000000005</v>
      </c>
      <c r="D38" s="75">
        <f t="shared" ref="D38:N38" si="7">SUM(D27:D37)</f>
        <v>34.830000000000005</v>
      </c>
      <c r="E38" s="75">
        <f t="shared" si="7"/>
        <v>32.77000000000001</v>
      </c>
      <c r="F38" s="75">
        <f t="shared" si="7"/>
        <v>33.75</v>
      </c>
      <c r="G38" s="75">
        <f t="shared" si="7"/>
        <v>38.63000000000001</v>
      </c>
      <c r="H38" s="75">
        <f t="shared" si="7"/>
        <v>38.850000000000009</v>
      </c>
      <c r="I38" s="75">
        <f t="shared" si="7"/>
        <v>36.600000000000009</v>
      </c>
      <c r="J38" s="75">
        <f t="shared" si="7"/>
        <v>40.38000000000001</v>
      </c>
      <c r="K38" s="75">
        <f t="shared" si="7"/>
        <v>40.390000000000008</v>
      </c>
      <c r="L38" s="75">
        <f t="shared" si="7"/>
        <v>36.77000000000001</v>
      </c>
      <c r="M38" s="75">
        <f t="shared" si="7"/>
        <v>41.290000000000006</v>
      </c>
      <c r="N38" s="75">
        <f t="shared" si="7"/>
        <v>38.75</v>
      </c>
    </row>
    <row r="40" spans="1:14" x14ac:dyDescent="0.2">
      <c r="A40" s="180" t="s">
        <v>61</v>
      </c>
    </row>
    <row r="41" spans="1:14" x14ac:dyDescent="0.2">
      <c r="B41" s="66" t="s">
        <v>24</v>
      </c>
      <c r="C41" s="185">
        <v>1</v>
      </c>
      <c r="D41" s="95">
        <v>1</v>
      </c>
      <c r="E41" s="95">
        <v>1</v>
      </c>
      <c r="F41" s="95">
        <v>1</v>
      </c>
      <c r="G41" s="95">
        <v>1</v>
      </c>
      <c r="H41" s="95">
        <v>1</v>
      </c>
      <c r="I41" s="95">
        <v>1</v>
      </c>
      <c r="J41" s="95">
        <v>1</v>
      </c>
      <c r="K41" s="95">
        <v>1</v>
      </c>
      <c r="L41" s="95">
        <v>1</v>
      </c>
      <c r="M41" s="95">
        <v>1</v>
      </c>
      <c r="N41" s="95">
        <v>1</v>
      </c>
    </row>
    <row r="42" spans="1:14" x14ac:dyDescent="0.2">
      <c r="B42" s="66" t="s">
        <v>28</v>
      </c>
      <c r="C42" s="185">
        <v>1</v>
      </c>
      <c r="D42" s="95">
        <v>1</v>
      </c>
      <c r="E42" s="95">
        <v>1</v>
      </c>
      <c r="F42" s="95">
        <v>1</v>
      </c>
      <c r="G42" s="95">
        <v>1</v>
      </c>
      <c r="H42" s="95">
        <v>1</v>
      </c>
      <c r="I42" s="95">
        <v>1</v>
      </c>
      <c r="J42" s="95">
        <v>1</v>
      </c>
      <c r="K42" s="95">
        <v>1</v>
      </c>
      <c r="L42" s="95">
        <v>1</v>
      </c>
      <c r="M42" s="95">
        <v>1</v>
      </c>
      <c r="N42" s="95">
        <v>1</v>
      </c>
    </row>
    <row r="43" spans="1:14" x14ac:dyDescent="0.2">
      <c r="B43" s="66" t="s">
        <v>52</v>
      </c>
      <c r="C43" s="185">
        <v>1</v>
      </c>
      <c r="D43" s="95">
        <v>1</v>
      </c>
      <c r="E43" s="95">
        <v>1</v>
      </c>
      <c r="F43" s="95">
        <v>1</v>
      </c>
      <c r="G43" s="95">
        <v>1</v>
      </c>
      <c r="H43" s="95">
        <v>1</v>
      </c>
      <c r="I43" s="95">
        <v>1</v>
      </c>
      <c r="J43" s="95">
        <v>1</v>
      </c>
      <c r="K43" s="95">
        <v>1</v>
      </c>
      <c r="L43" s="95">
        <v>1</v>
      </c>
      <c r="M43" s="95">
        <v>1</v>
      </c>
      <c r="N43" s="95">
        <v>1</v>
      </c>
    </row>
    <row r="44" spans="1:14" x14ac:dyDescent="0.2">
      <c r="B44" s="66" t="s">
        <v>53</v>
      </c>
      <c r="C44" s="185">
        <v>1</v>
      </c>
      <c r="D44" s="95">
        <v>1</v>
      </c>
      <c r="E44" s="95">
        <v>1</v>
      </c>
      <c r="F44" s="95">
        <v>1</v>
      </c>
      <c r="G44" s="95">
        <v>1</v>
      </c>
      <c r="H44" s="95">
        <v>1</v>
      </c>
      <c r="I44" s="95">
        <v>1</v>
      </c>
      <c r="J44" s="95">
        <v>1</v>
      </c>
      <c r="K44" s="95">
        <v>1</v>
      </c>
      <c r="L44" s="95">
        <v>1</v>
      </c>
      <c r="M44" s="95">
        <v>1</v>
      </c>
      <c r="N44" s="95">
        <v>1</v>
      </c>
    </row>
    <row r="45" spans="1:14" x14ac:dyDescent="0.2">
      <c r="B45" s="66" t="s">
        <v>54</v>
      </c>
      <c r="C45" s="185">
        <v>1</v>
      </c>
      <c r="D45" s="95">
        <v>1</v>
      </c>
      <c r="E45" s="95">
        <v>1</v>
      </c>
      <c r="F45" s="95">
        <v>1</v>
      </c>
      <c r="G45" s="95">
        <v>1</v>
      </c>
      <c r="H45" s="95">
        <v>1</v>
      </c>
      <c r="I45" s="95">
        <v>1</v>
      </c>
      <c r="J45" s="95">
        <v>1</v>
      </c>
      <c r="K45" s="95">
        <v>1</v>
      </c>
      <c r="L45" s="95">
        <v>1</v>
      </c>
      <c r="M45" s="95">
        <v>1</v>
      </c>
      <c r="N45" s="95">
        <v>1</v>
      </c>
    </row>
    <row r="46" spans="1:14" x14ac:dyDescent="0.2">
      <c r="B46" s="66" t="s">
        <v>55</v>
      </c>
      <c r="C46" s="185">
        <v>1</v>
      </c>
      <c r="D46" s="95">
        <v>1</v>
      </c>
      <c r="E46" s="95">
        <v>1</v>
      </c>
      <c r="F46" s="95">
        <v>1</v>
      </c>
      <c r="G46" s="95">
        <v>1</v>
      </c>
      <c r="H46" s="95">
        <v>1</v>
      </c>
      <c r="I46" s="95">
        <v>1</v>
      </c>
      <c r="J46" s="95">
        <v>1</v>
      </c>
      <c r="K46" s="95">
        <v>1</v>
      </c>
      <c r="L46" s="95">
        <v>1</v>
      </c>
      <c r="M46" s="95">
        <v>1</v>
      </c>
      <c r="N46" s="95">
        <v>1</v>
      </c>
    </row>
    <row r="47" spans="1:14" x14ac:dyDescent="0.2">
      <c r="B47" s="66" t="s">
        <v>56</v>
      </c>
      <c r="C47" s="185">
        <v>1</v>
      </c>
      <c r="D47" s="95">
        <v>1</v>
      </c>
      <c r="E47" s="95">
        <v>1</v>
      </c>
      <c r="F47" s="95">
        <v>1</v>
      </c>
      <c r="G47" s="95">
        <v>1</v>
      </c>
      <c r="H47" s="95">
        <v>1</v>
      </c>
      <c r="I47" s="95">
        <v>1</v>
      </c>
      <c r="J47" s="95">
        <v>1</v>
      </c>
      <c r="K47" s="95">
        <v>1</v>
      </c>
      <c r="L47" s="95">
        <v>1</v>
      </c>
      <c r="M47" s="95">
        <v>1</v>
      </c>
      <c r="N47" s="95">
        <v>1</v>
      </c>
    </row>
    <row r="48" spans="1:14" x14ac:dyDescent="0.2">
      <c r="B48" s="66" t="s">
        <v>22</v>
      </c>
      <c r="C48" s="185">
        <v>1</v>
      </c>
      <c r="D48" s="95">
        <v>1</v>
      </c>
      <c r="E48" s="95">
        <v>1</v>
      </c>
      <c r="F48" s="95">
        <v>1</v>
      </c>
      <c r="G48" s="95">
        <v>1</v>
      </c>
      <c r="H48" s="95">
        <v>1</v>
      </c>
      <c r="I48" s="95">
        <v>1</v>
      </c>
      <c r="J48" s="95">
        <v>1</v>
      </c>
      <c r="K48" s="95">
        <v>1</v>
      </c>
      <c r="L48" s="95">
        <v>1</v>
      </c>
      <c r="M48" s="95">
        <v>1</v>
      </c>
      <c r="N48" s="95">
        <v>1</v>
      </c>
    </row>
    <row r="49" spans="1:14" x14ac:dyDescent="0.2">
      <c r="B49" s="66" t="s">
        <v>57</v>
      </c>
      <c r="C49" s="185">
        <v>1</v>
      </c>
      <c r="D49" s="95">
        <v>1</v>
      </c>
      <c r="E49" s="95">
        <v>1</v>
      </c>
      <c r="F49" s="95">
        <v>1</v>
      </c>
      <c r="G49" s="95">
        <v>1</v>
      </c>
      <c r="H49" s="95">
        <v>1</v>
      </c>
      <c r="I49" s="95">
        <v>1</v>
      </c>
      <c r="J49" s="95">
        <v>1</v>
      </c>
      <c r="K49" s="95">
        <v>1</v>
      </c>
      <c r="L49" s="95">
        <v>1</v>
      </c>
      <c r="M49" s="95">
        <v>1</v>
      </c>
      <c r="N49" s="95">
        <v>1</v>
      </c>
    </row>
    <row r="50" spans="1:14" x14ac:dyDescent="0.2">
      <c r="B50" s="66" t="s">
        <v>58</v>
      </c>
      <c r="C50" s="185">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59</v>
      </c>
      <c r="C52" s="93">
        <f>+C65/C37</f>
        <v>0.99999999999999956</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180" t="s">
        <v>62</v>
      </c>
      <c r="L54" s="93"/>
      <c r="N54" s="95"/>
    </row>
    <row r="55" spans="1:14" x14ac:dyDescent="0.2">
      <c r="B55" s="66" t="s">
        <v>24</v>
      </c>
      <c r="C55" s="75">
        <f>+C27*C41</f>
        <v>6.8757000000000001</v>
      </c>
      <c r="D55" s="75">
        <f t="shared" ref="D55:N55" si="8">+D27*D41</f>
        <v>6.7918500000000002</v>
      </c>
      <c r="E55" s="75">
        <f t="shared" si="8"/>
        <v>6.3901500000000011</v>
      </c>
      <c r="F55" s="75">
        <f t="shared" si="8"/>
        <v>6.5812499999999998</v>
      </c>
      <c r="G55" s="75">
        <f t="shared" si="8"/>
        <v>7.5328500000000007</v>
      </c>
      <c r="H55" s="75">
        <f t="shared" si="8"/>
        <v>7.5757500000000002</v>
      </c>
      <c r="I55" s="75">
        <f t="shared" si="8"/>
        <v>7.1370000000000005</v>
      </c>
      <c r="J55" s="75">
        <f t="shared" si="8"/>
        <v>7.8741000000000012</v>
      </c>
      <c r="K55" s="75">
        <f t="shared" si="8"/>
        <v>7.8760500000000002</v>
      </c>
      <c r="L55" s="75">
        <f t="shared" si="8"/>
        <v>7.1701500000000005</v>
      </c>
      <c r="M55" s="75">
        <f t="shared" si="8"/>
        <v>8.0515500000000007</v>
      </c>
      <c r="N55" s="75">
        <f t="shared" si="8"/>
        <v>7.5562500000000004</v>
      </c>
    </row>
    <row r="56" spans="1:14" x14ac:dyDescent="0.2">
      <c r="B56" s="66" t="s">
        <v>28</v>
      </c>
      <c r="C56" s="75">
        <f t="shared" ref="C56:N64" si="9">+C28*C42</f>
        <v>6.2833319999999997</v>
      </c>
      <c r="D56" s="75">
        <f t="shared" si="9"/>
        <v>6.2067059999999996</v>
      </c>
      <c r="E56" s="75">
        <f t="shared" si="9"/>
        <v>5.8396140000000001</v>
      </c>
      <c r="F56" s="75">
        <f t="shared" si="9"/>
        <v>6.0142499999999997</v>
      </c>
      <c r="G56" s="75">
        <f t="shared" si="9"/>
        <v>6.8838660000000003</v>
      </c>
      <c r="H56" s="75">
        <f t="shared" si="9"/>
        <v>6.9230700000000001</v>
      </c>
      <c r="I56" s="75">
        <f t="shared" si="9"/>
        <v>6.5221200000000001</v>
      </c>
      <c r="J56" s="75">
        <f t="shared" si="9"/>
        <v>7.195716</v>
      </c>
      <c r="K56" s="75">
        <f t="shared" si="9"/>
        <v>7.1974980000000004</v>
      </c>
      <c r="L56" s="75">
        <f t="shared" si="9"/>
        <v>6.5524140000000006</v>
      </c>
      <c r="M56" s="75">
        <f t="shared" si="9"/>
        <v>7.3578779999999995</v>
      </c>
      <c r="N56" s="75">
        <f t="shared" si="9"/>
        <v>6.9052499999999997</v>
      </c>
    </row>
    <row r="57" spans="1:14" x14ac:dyDescent="0.2">
      <c r="B57" s="66" t="s">
        <v>52</v>
      </c>
      <c r="C57" s="75">
        <f t="shared" si="9"/>
        <v>0</v>
      </c>
      <c r="D57" s="75">
        <f t="shared" si="9"/>
        <v>0</v>
      </c>
      <c r="E57" s="75">
        <f t="shared" si="9"/>
        <v>0</v>
      </c>
      <c r="F57" s="75">
        <f t="shared" si="9"/>
        <v>0</v>
      </c>
      <c r="G57" s="75">
        <f t="shared" si="9"/>
        <v>0</v>
      </c>
      <c r="H57" s="75">
        <f t="shared" si="9"/>
        <v>0</v>
      </c>
      <c r="I57" s="75">
        <f t="shared" si="9"/>
        <v>0</v>
      </c>
      <c r="J57" s="75">
        <f t="shared" si="9"/>
        <v>0</v>
      </c>
      <c r="K57" s="75">
        <f t="shared" si="9"/>
        <v>0</v>
      </c>
      <c r="L57" s="75">
        <f t="shared" si="9"/>
        <v>0</v>
      </c>
      <c r="M57" s="75">
        <f t="shared" si="9"/>
        <v>0</v>
      </c>
      <c r="N57" s="75">
        <f t="shared" si="9"/>
        <v>0</v>
      </c>
    </row>
    <row r="58" spans="1:14" x14ac:dyDescent="0.2">
      <c r="B58" s="66" t="s">
        <v>53</v>
      </c>
      <c r="C58" s="75">
        <f t="shared" si="9"/>
        <v>0.58179000000000003</v>
      </c>
      <c r="D58" s="75">
        <f t="shared" si="9"/>
        <v>0.57469499999999996</v>
      </c>
      <c r="E58" s="75">
        <f t="shared" si="9"/>
        <v>0.5407050000000001</v>
      </c>
      <c r="F58" s="75">
        <f t="shared" si="9"/>
        <v>0.55687500000000001</v>
      </c>
      <c r="G58" s="75">
        <f t="shared" si="9"/>
        <v>0.63739500000000004</v>
      </c>
      <c r="H58" s="75">
        <f t="shared" si="9"/>
        <v>0.64102500000000007</v>
      </c>
      <c r="I58" s="75">
        <f t="shared" si="9"/>
        <v>0.6039000000000001</v>
      </c>
      <c r="J58" s="75">
        <f t="shared" si="9"/>
        <v>0.66627000000000003</v>
      </c>
      <c r="K58" s="75">
        <f t="shared" si="9"/>
        <v>0.666435</v>
      </c>
      <c r="L58" s="75">
        <f t="shared" si="9"/>
        <v>0.60670500000000005</v>
      </c>
      <c r="M58" s="75">
        <f t="shared" si="9"/>
        <v>0.68128500000000003</v>
      </c>
      <c r="N58" s="75">
        <f t="shared" si="9"/>
        <v>0.63937500000000003</v>
      </c>
    </row>
    <row r="59" spans="1:14" x14ac:dyDescent="0.2">
      <c r="B59" s="66" t="s">
        <v>54</v>
      </c>
      <c r="C59" s="75">
        <f t="shared" si="9"/>
        <v>1.5831740000000001</v>
      </c>
      <c r="D59" s="75">
        <f t="shared" si="9"/>
        <v>1.5638670000000001</v>
      </c>
      <c r="E59" s="75">
        <f t="shared" si="9"/>
        <v>1.4713730000000003</v>
      </c>
      <c r="F59" s="75">
        <f t="shared" si="9"/>
        <v>1.5153750000000001</v>
      </c>
      <c r="G59" s="75">
        <f t="shared" si="9"/>
        <v>1.7344870000000001</v>
      </c>
      <c r="H59" s="75">
        <f t="shared" si="9"/>
        <v>1.7443650000000002</v>
      </c>
      <c r="I59" s="75">
        <f t="shared" si="9"/>
        <v>1.6433400000000002</v>
      </c>
      <c r="J59" s="75">
        <f t="shared" si="9"/>
        <v>1.8130620000000002</v>
      </c>
      <c r="K59" s="75">
        <f t="shared" si="9"/>
        <v>1.8135110000000001</v>
      </c>
      <c r="L59" s="75">
        <f t="shared" si="9"/>
        <v>1.6509730000000002</v>
      </c>
      <c r="M59" s="75">
        <f t="shared" si="9"/>
        <v>1.8539210000000002</v>
      </c>
      <c r="N59" s="75">
        <f t="shared" si="9"/>
        <v>1.7398750000000001</v>
      </c>
    </row>
    <row r="60" spans="1:14" x14ac:dyDescent="0.2">
      <c r="B60" s="66" t="s">
        <v>55</v>
      </c>
      <c r="C60" s="96">
        <f t="shared" si="9"/>
        <v>0.26444999999999996</v>
      </c>
      <c r="D60" s="96">
        <f t="shared" si="9"/>
        <v>0.26122499999999998</v>
      </c>
      <c r="E60" s="96">
        <f t="shared" si="9"/>
        <v>0.24577500000000002</v>
      </c>
      <c r="F60" s="96">
        <f t="shared" si="9"/>
        <v>0.25312499999999999</v>
      </c>
      <c r="G60" s="96">
        <f t="shared" si="9"/>
        <v>0.28972500000000001</v>
      </c>
      <c r="H60" s="96">
        <f t="shared" si="9"/>
        <v>0.291375</v>
      </c>
      <c r="I60" s="96">
        <f t="shared" si="9"/>
        <v>0.27450000000000002</v>
      </c>
      <c r="J60" s="96">
        <f t="shared" si="9"/>
        <v>0.30285000000000001</v>
      </c>
      <c r="K60" s="96">
        <f t="shared" si="9"/>
        <v>0.302925</v>
      </c>
      <c r="L60" s="96">
        <f t="shared" si="9"/>
        <v>0.27577499999999999</v>
      </c>
      <c r="M60" s="96">
        <f t="shared" si="9"/>
        <v>0.30967499999999998</v>
      </c>
      <c r="N60" s="96">
        <f t="shared" si="9"/>
        <v>0.29062499999999997</v>
      </c>
    </row>
    <row r="61" spans="1:14" x14ac:dyDescent="0.2">
      <c r="B61" s="66" t="s">
        <v>56</v>
      </c>
      <c r="C61" s="75">
        <f t="shared" si="9"/>
        <v>0</v>
      </c>
      <c r="D61" s="75">
        <f t="shared" si="9"/>
        <v>0</v>
      </c>
      <c r="E61" s="75">
        <f t="shared" si="9"/>
        <v>0</v>
      </c>
      <c r="F61" s="75">
        <f t="shared" si="9"/>
        <v>0</v>
      </c>
      <c r="G61" s="75">
        <f t="shared" si="9"/>
        <v>0</v>
      </c>
      <c r="H61" s="75">
        <f t="shared" si="9"/>
        <v>0</v>
      </c>
      <c r="I61" s="75">
        <f t="shared" si="9"/>
        <v>0</v>
      </c>
      <c r="J61" s="75">
        <f t="shared" si="9"/>
        <v>0</v>
      </c>
      <c r="K61" s="75">
        <f t="shared" si="9"/>
        <v>0</v>
      </c>
      <c r="L61" s="75">
        <f t="shared" si="9"/>
        <v>0</v>
      </c>
      <c r="M61" s="75">
        <f t="shared" si="9"/>
        <v>0</v>
      </c>
      <c r="N61" s="75">
        <f t="shared" si="9"/>
        <v>0</v>
      </c>
    </row>
    <row r="62" spans="1:14" x14ac:dyDescent="0.2">
      <c r="B62" s="66" t="s">
        <v>49</v>
      </c>
      <c r="C62" s="75">
        <f t="shared" si="9"/>
        <v>6.233968</v>
      </c>
      <c r="D62" s="75">
        <f t="shared" si="9"/>
        <v>6.1579440000000005</v>
      </c>
      <c r="E62" s="75">
        <f t="shared" si="9"/>
        <v>5.7937360000000009</v>
      </c>
      <c r="F62" s="75">
        <f t="shared" si="9"/>
        <v>5.9670000000000005</v>
      </c>
      <c r="G62" s="75">
        <f t="shared" si="9"/>
        <v>6.829784000000001</v>
      </c>
      <c r="H62" s="75">
        <f t="shared" si="9"/>
        <v>6.8686800000000003</v>
      </c>
      <c r="I62" s="75">
        <f t="shared" si="9"/>
        <v>6.4708800000000011</v>
      </c>
      <c r="J62" s="75">
        <f t="shared" si="9"/>
        <v>7.1391840000000011</v>
      </c>
      <c r="K62" s="75">
        <f t="shared" si="9"/>
        <v>7.1409520000000004</v>
      </c>
      <c r="L62" s="75">
        <f t="shared" si="9"/>
        <v>6.5009360000000012</v>
      </c>
      <c r="M62" s="75">
        <f t="shared" si="9"/>
        <v>7.3000720000000001</v>
      </c>
      <c r="N62" s="75">
        <f t="shared" si="9"/>
        <v>6.8510000000000009</v>
      </c>
    </row>
    <row r="63" spans="1:14" x14ac:dyDescent="0.2">
      <c r="B63" s="66" t="s">
        <v>57</v>
      </c>
      <c r="C63" s="75">
        <f t="shared" si="9"/>
        <v>0</v>
      </c>
      <c r="D63" s="75">
        <f t="shared" si="9"/>
        <v>0</v>
      </c>
      <c r="E63" s="75">
        <f t="shared" si="9"/>
        <v>0</v>
      </c>
      <c r="F63" s="75">
        <f t="shared" si="9"/>
        <v>0</v>
      </c>
      <c r="G63" s="75">
        <f t="shared" si="9"/>
        <v>0</v>
      </c>
      <c r="H63" s="75">
        <f t="shared" si="9"/>
        <v>0</v>
      </c>
      <c r="I63" s="75">
        <f t="shared" si="9"/>
        <v>0</v>
      </c>
      <c r="J63" s="75">
        <f t="shared" si="9"/>
        <v>0</v>
      </c>
      <c r="K63" s="75">
        <f t="shared" si="9"/>
        <v>0</v>
      </c>
      <c r="L63" s="75">
        <f t="shared" si="9"/>
        <v>0</v>
      </c>
      <c r="M63" s="75">
        <f t="shared" si="9"/>
        <v>0</v>
      </c>
      <c r="N63" s="75">
        <f t="shared" si="9"/>
        <v>0</v>
      </c>
    </row>
    <row r="64" spans="1:14" x14ac:dyDescent="0.2">
      <c r="B64" s="66" t="s">
        <v>58</v>
      </c>
      <c r="C64" s="75">
        <f t="shared" si="9"/>
        <v>2.0909180000000043</v>
      </c>
      <c r="D64" s="75">
        <f t="shared" si="9"/>
        <v>2.0654190000000043</v>
      </c>
      <c r="E64" s="75">
        <f t="shared" si="9"/>
        <v>1.9432610000000046</v>
      </c>
      <c r="F64" s="75">
        <f t="shared" si="9"/>
        <v>2.0013750000000043</v>
      </c>
      <c r="G64" s="75">
        <f t="shared" si="9"/>
        <v>2.2907590000000053</v>
      </c>
      <c r="H64" s="75">
        <f t="shared" si="9"/>
        <v>2.303805000000005</v>
      </c>
      <c r="I64" s="75">
        <f t="shared" si="9"/>
        <v>2.1703800000000046</v>
      </c>
      <c r="J64" s="75">
        <f t="shared" si="9"/>
        <v>2.3945340000000055</v>
      </c>
      <c r="K64" s="75">
        <f t="shared" si="9"/>
        <v>2.3951270000000053</v>
      </c>
      <c r="L64" s="75">
        <f t="shared" si="9"/>
        <v>2.1804610000000051</v>
      </c>
      <c r="M64" s="75">
        <f t="shared" si="9"/>
        <v>2.4484970000000055</v>
      </c>
      <c r="N64" s="75">
        <f t="shared" si="9"/>
        <v>2.2978750000000052</v>
      </c>
    </row>
    <row r="65" spans="1:15" x14ac:dyDescent="0.2">
      <c r="B65" s="66" t="s">
        <v>59</v>
      </c>
      <c r="C65" s="90">
        <f t="shared" ref="C65:N65" si="10">+C7-SUM(C55:C64)</f>
        <v>11.346667999999994</v>
      </c>
      <c r="D65" s="90">
        <f t="shared" si="10"/>
        <v>11.208293999999992</v>
      </c>
      <c r="E65" s="90">
        <f t="shared" si="10"/>
        <v>10.545385999999997</v>
      </c>
      <c r="F65" s="90">
        <f t="shared" si="10"/>
        <v>10.860749999999996</v>
      </c>
      <c r="G65" s="90">
        <f t="shared" si="10"/>
        <v>12.431133999999997</v>
      </c>
      <c r="H65" s="90">
        <f t="shared" si="10"/>
        <v>12.501929999999994</v>
      </c>
      <c r="I65" s="90">
        <f t="shared" si="10"/>
        <v>11.777879999999993</v>
      </c>
      <c r="J65" s="90">
        <f t="shared" si="10"/>
        <v>12.994283999999993</v>
      </c>
      <c r="K65" s="90">
        <f t="shared" si="10"/>
        <v>12.997501999999994</v>
      </c>
      <c r="L65" s="90">
        <f t="shared" si="10"/>
        <v>11.832585999999996</v>
      </c>
      <c r="M65" s="90">
        <f t="shared" si="10"/>
        <v>13.287121999999993</v>
      </c>
      <c r="N65" s="90">
        <f t="shared" si="10"/>
        <v>12.469749999999998</v>
      </c>
    </row>
    <row r="66" spans="1:15" x14ac:dyDescent="0.2">
      <c r="C66" s="75">
        <f t="shared" ref="C66:N66" si="11">SUM(C55:C65)</f>
        <v>35.26</v>
      </c>
      <c r="D66" s="75">
        <f t="shared" si="11"/>
        <v>34.83</v>
      </c>
      <c r="E66" s="75">
        <f t="shared" si="11"/>
        <v>32.770000000000003</v>
      </c>
      <c r="F66" s="75">
        <f t="shared" si="11"/>
        <v>33.75</v>
      </c>
      <c r="G66" s="75">
        <f t="shared" si="11"/>
        <v>38.630000000000003</v>
      </c>
      <c r="H66" s="75">
        <f t="shared" si="11"/>
        <v>38.85</v>
      </c>
      <c r="I66" s="75">
        <f t="shared" si="11"/>
        <v>36.6</v>
      </c>
      <c r="J66" s="75">
        <f t="shared" si="11"/>
        <v>40.380000000000003</v>
      </c>
      <c r="K66" s="75">
        <f t="shared" si="11"/>
        <v>40.39</v>
      </c>
      <c r="L66" s="75">
        <f t="shared" si="11"/>
        <v>36.770000000000003</v>
      </c>
      <c r="M66" s="75">
        <f t="shared" si="11"/>
        <v>41.29</v>
      </c>
      <c r="N66" s="75">
        <f t="shared" si="11"/>
        <v>38.75</v>
      </c>
    </row>
    <row r="67" spans="1:15" ht="8.1" customHeight="1" x14ac:dyDescent="0.2"/>
    <row r="68" spans="1:15" x14ac:dyDescent="0.2">
      <c r="A68" s="186" t="s">
        <v>63</v>
      </c>
      <c r="E68" s="66" t="s">
        <v>116</v>
      </c>
    </row>
    <row r="69" spans="1:15" x14ac:dyDescent="0.2">
      <c r="B69" s="66" t="s">
        <v>24</v>
      </c>
      <c r="C69" s="128">
        <v>75.095999999999989</v>
      </c>
      <c r="D69" s="128">
        <v>73.835999999999999</v>
      </c>
      <c r="E69" s="128">
        <v>74.444999999999993</v>
      </c>
      <c r="F69" s="128">
        <v>73.695999999999998</v>
      </c>
      <c r="G69" s="128">
        <v>67.003999999999991</v>
      </c>
      <c r="H69" s="128">
        <v>68.453000000000003</v>
      </c>
      <c r="I69" s="128">
        <v>63.755999999999993</v>
      </c>
      <c r="J69" s="128">
        <v>60.780999999999992</v>
      </c>
      <c r="K69" s="128">
        <v>59.100999999999999</v>
      </c>
      <c r="L69" s="128">
        <v>58.519999999999989</v>
      </c>
      <c r="M69" s="128">
        <v>59.919999999999995</v>
      </c>
      <c r="N69" s="128">
        <v>61.284999999999997</v>
      </c>
    </row>
    <row r="70" spans="1:15" x14ac:dyDescent="0.2">
      <c r="B70" s="66" t="s">
        <v>28</v>
      </c>
      <c r="C70" s="128">
        <v>99.538013913363088</v>
      </c>
      <c r="D70" s="128">
        <v>95.647999999999982</v>
      </c>
      <c r="E70" s="128">
        <v>101.63999999999999</v>
      </c>
      <c r="F70" s="128">
        <v>98.993999999999986</v>
      </c>
      <c r="G70" s="128">
        <v>91.475999999999999</v>
      </c>
      <c r="H70" s="128">
        <v>95.332999999999998</v>
      </c>
      <c r="I70" s="128">
        <v>93.1</v>
      </c>
      <c r="J70" s="128">
        <v>88.647999999999996</v>
      </c>
      <c r="K70" s="128">
        <v>85.644999999999996</v>
      </c>
      <c r="L70" s="128">
        <v>73.444000000000003</v>
      </c>
      <c r="M70" s="128">
        <v>71.742999999999995</v>
      </c>
      <c r="N70" s="128">
        <v>80.044999999999987</v>
      </c>
    </row>
    <row r="71" spans="1:15" x14ac:dyDescent="0.2">
      <c r="B71" s="66" t="s">
        <v>52</v>
      </c>
      <c r="C71" s="128"/>
      <c r="D71" s="128"/>
      <c r="E71" s="128"/>
      <c r="F71" s="128"/>
      <c r="G71" s="128"/>
      <c r="H71" s="128"/>
      <c r="I71" s="128" t="s">
        <v>98</v>
      </c>
      <c r="J71" s="128">
        <v>0</v>
      </c>
      <c r="K71" s="128"/>
      <c r="L71" s="128"/>
      <c r="M71" s="128"/>
      <c r="N71" s="128"/>
    </row>
    <row r="72" spans="1:15" x14ac:dyDescent="0.2">
      <c r="B72" s="66" t="s">
        <v>53</v>
      </c>
      <c r="C72" s="128">
        <v>80.184999999999988</v>
      </c>
      <c r="D72" s="128">
        <v>74.192999999999998</v>
      </c>
      <c r="E72" s="128">
        <v>73.751999999999995</v>
      </c>
      <c r="F72" s="128">
        <v>73.254999999999995</v>
      </c>
      <c r="G72" s="128">
        <v>76.705999999999989</v>
      </c>
      <c r="H72" s="128">
        <v>61.949999999999996</v>
      </c>
      <c r="I72" s="128">
        <v>52.856999999999999</v>
      </c>
      <c r="J72" s="128">
        <v>53.297999999999995</v>
      </c>
      <c r="K72" s="128">
        <v>53.024999999999999</v>
      </c>
      <c r="L72" s="128">
        <v>39.094999999999999</v>
      </c>
      <c r="M72" s="128">
        <v>39.753</v>
      </c>
      <c r="N72" s="128">
        <v>39.269999999999996</v>
      </c>
    </row>
    <row r="73" spans="1:15" x14ac:dyDescent="0.2">
      <c r="B73" s="66" t="s">
        <v>54</v>
      </c>
      <c r="C73" s="128">
        <v>189.09099999999998</v>
      </c>
      <c r="D73" s="128">
        <v>190.60999999999999</v>
      </c>
      <c r="E73" s="128">
        <v>213.80799999999999</v>
      </c>
      <c r="F73" s="128">
        <v>216.37</v>
      </c>
      <c r="G73" s="128">
        <v>238.16799999999998</v>
      </c>
      <c r="H73" s="128">
        <v>230.12499999999997</v>
      </c>
      <c r="I73" s="128">
        <v>209.37700000000001</v>
      </c>
      <c r="J73" s="128">
        <v>171.57</v>
      </c>
      <c r="K73" s="128">
        <v>130.49399999999997</v>
      </c>
      <c r="L73" s="128">
        <v>104.23699999999999</v>
      </c>
      <c r="M73" s="128">
        <v>119.26599999999999</v>
      </c>
      <c r="N73" s="128">
        <v>143.15699999999998</v>
      </c>
    </row>
    <row r="74" spans="1:15" x14ac:dyDescent="0.2">
      <c r="B74" s="66" t="s">
        <v>55</v>
      </c>
      <c r="C74" s="128">
        <v>1078.0139999999999</v>
      </c>
      <c r="D74" s="128">
        <v>1048.7190000000001</v>
      </c>
      <c r="E74" s="128">
        <v>1082.5429999999999</v>
      </c>
      <c r="F74" s="128">
        <v>1138.1859999999999</v>
      </c>
      <c r="G74" s="128">
        <v>1150.8559999999998</v>
      </c>
      <c r="H74" s="128">
        <v>1124.4870000000001</v>
      </c>
      <c r="I74" s="128">
        <v>1232</v>
      </c>
      <c r="J74" s="128">
        <v>1190</v>
      </c>
      <c r="K74" s="128">
        <v>1106</v>
      </c>
      <c r="L74" s="128">
        <v>1095.4089999999999</v>
      </c>
      <c r="M74" s="128">
        <v>1041.194</v>
      </c>
      <c r="N74" s="128">
        <v>970.33299999999997</v>
      </c>
    </row>
    <row r="75" spans="1:15" x14ac:dyDescent="0.2">
      <c r="B75" s="66" t="s">
        <v>56</v>
      </c>
      <c r="C75" s="128"/>
      <c r="D75" s="128"/>
      <c r="E75" s="128"/>
      <c r="F75" s="128"/>
      <c r="G75" s="128"/>
      <c r="H75" s="128"/>
      <c r="I75" s="128" t="s">
        <v>98</v>
      </c>
      <c r="J75" s="128">
        <v>0</v>
      </c>
      <c r="K75" s="128"/>
      <c r="L75" s="128"/>
      <c r="M75" s="128"/>
      <c r="N75" s="128"/>
    </row>
    <row r="76" spans="1:15" x14ac:dyDescent="0.2">
      <c r="B76" s="66" t="s">
        <v>49</v>
      </c>
      <c r="C76" s="128">
        <v>-15.18</v>
      </c>
      <c r="D76" s="128">
        <v>-6.98</v>
      </c>
      <c r="E76" s="128">
        <v>-7.6</v>
      </c>
      <c r="F76" s="128">
        <v>-8.7100000000000009</v>
      </c>
      <c r="G76" s="128">
        <v>2.6</v>
      </c>
      <c r="H76" s="128">
        <v>0.99399999999999988</v>
      </c>
      <c r="I76" s="128">
        <v>-2.9539999999999997</v>
      </c>
      <c r="J76" s="128">
        <v>-4.7669999999999995</v>
      </c>
      <c r="K76" s="128">
        <v>-3.9339999999999997</v>
      </c>
      <c r="L76" s="128">
        <v>-9.113999999999999</v>
      </c>
      <c r="M76" s="128">
        <v>-5.194</v>
      </c>
      <c r="N76" s="128">
        <v>-13.93</v>
      </c>
    </row>
    <row r="77" spans="1:15" x14ac:dyDescent="0.2">
      <c r="B77" s="66" t="s">
        <v>57</v>
      </c>
      <c r="C77" s="128">
        <v>-120.17</v>
      </c>
      <c r="D77" s="128">
        <v>-120.17</v>
      </c>
      <c r="E77" s="128">
        <v>-120.17</v>
      </c>
      <c r="F77" s="128">
        <v>-120.17</v>
      </c>
      <c r="G77" s="128">
        <v>-120.17</v>
      </c>
      <c r="H77" s="128">
        <v>-120.17</v>
      </c>
      <c r="I77" s="128">
        <v>-120.17</v>
      </c>
      <c r="J77" s="128">
        <v>-120.17</v>
      </c>
      <c r="K77" s="128">
        <v>-120.17</v>
      </c>
      <c r="L77" s="128">
        <v>-120.17</v>
      </c>
      <c r="M77" s="128">
        <v>-120.17</v>
      </c>
      <c r="N77" s="128">
        <v>-120.17</v>
      </c>
    </row>
    <row r="78" spans="1:15" x14ac:dyDescent="0.2">
      <c r="B78" s="66" t="s">
        <v>58</v>
      </c>
      <c r="C78" s="128">
        <v>-120.17</v>
      </c>
      <c r="D78" s="128">
        <v>-120.17</v>
      </c>
      <c r="E78" s="128">
        <v>-120.17</v>
      </c>
      <c r="F78" s="128">
        <v>-120.17</v>
      </c>
      <c r="G78" s="128">
        <v>-120.17</v>
      </c>
      <c r="H78" s="128">
        <v>-120.17</v>
      </c>
      <c r="I78" s="128">
        <v>-120.17</v>
      </c>
      <c r="J78" s="128">
        <v>-120.17</v>
      </c>
      <c r="K78" s="128">
        <v>-120.17</v>
      </c>
      <c r="L78" s="128">
        <v>-120.17</v>
      </c>
      <c r="M78" s="128">
        <v>-120.17</v>
      </c>
      <c r="N78" s="128">
        <v>-120.17</v>
      </c>
    </row>
    <row r="79" spans="1:15" x14ac:dyDescent="0.2">
      <c r="B79" s="66" t="s">
        <v>59</v>
      </c>
      <c r="C79" s="128">
        <v>70.069999999999993</v>
      </c>
      <c r="D79" s="128">
        <v>68.361999999999995</v>
      </c>
      <c r="E79" s="128">
        <v>68.417999999999992</v>
      </c>
      <c r="F79" s="128">
        <v>68.018999999999991</v>
      </c>
      <c r="G79" s="128">
        <v>62.811</v>
      </c>
      <c r="H79" s="128">
        <v>60.717999999999989</v>
      </c>
      <c r="I79" s="128">
        <v>56.370999999999995</v>
      </c>
      <c r="J79" s="128">
        <v>53.717999999999996</v>
      </c>
      <c r="K79" s="128">
        <v>53.255999999999993</v>
      </c>
      <c r="L79" s="128">
        <v>51.967999999999996</v>
      </c>
      <c r="M79" s="128">
        <v>56.069999999999993</v>
      </c>
      <c r="N79" s="128">
        <v>56.069999999999993</v>
      </c>
      <c r="O79" s="111">
        <f>SUM(C69:N79)</f>
        <v>15769.502013913374</v>
      </c>
    </row>
    <row r="80" spans="1:15" ht="8.1" customHeight="1" x14ac:dyDescent="0.2"/>
    <row r="81" spans="1:16" x14ac:dyDescent="0.2">
      <c r="A81" s="180" t="s">
        <v>64</v>
      </c>
    </row>
    <row r="82" spans="1:16" x14ac:dyDescent="0.2">
      <c r="B82" s="66" t="s">
        <v>24</v>
      </c>
      <c r="C82" s="98">
        <f>+C69*C55</f>
        <v>516.33756719999997</v>
      </c>
      <c r="D82" s="75">
        <f t="shared" ref="D82:N82" si="12">+D69*D55</f>
        <v>501.48303659999999</v>
      </c>
      <c r="E82" s="75">
        <f t="shared" si="12"/>
        <v>475.71471675000004</v>
      </c>
      <c r="F82" s="75">
        <f t="shared" si="12"/>
        <v>485.01179999999999</v>
      </c>
      <c r="G82" s="75">
        <f t="shared" si="12"/>
        <v>504.73108139999999</v>
      </c>
      <c r="H82" s="75">
        <f t="shared" si="12"/>
        <v>518.58281475000001</v>
      </c>
      <c r="I82" s="75">
        <f t="shared" si="12"/>
        <v>455.02657199999999</v>
      </c>
      <c r="J82" s="75">
        <f t="shared" si="12"/>
        <v>478.5956721</v>
      </c>
      <c r="K82" s="75">
        <f t="shared" si="12"/>
        <v>465.48243105</v>
      </c>
      <c r="L82" s="75">
        <f t="shared" si="12"/>
        <v>419.59717799999993</v>
      </c>
      <c r="M82" s="75">
        <f t="shared" si="12"/>
        <v>482.44887599999998</v>
      </c>
      <c r="N82" s="75">
        <f t="shared" si="12"/>
        <v>463.08478124999999</v>
      </c>
      <c r="O82" s="111">
        <f t="shared" ref="O82:O92" si="13">SUM(C82:N82)</f>
        <v>5766.0965271000005</v>
      </c>
    </row>
    <row r="83" spans="1:16" x14ac:dyDescent="0.2">
      <c r="B83" s="66" t="s">
        <v>28</v>
      </c>
      <c r="C83" s="98">
        <f t="shared" ref="C83:N92" si="14">+C70*C56</f>
        <v>625.43038803827949</v>
      </c>
      <c r="D83" s="75">
        <f t="shared" si="14"/>
        <v>593.6590154879998</v>
      </c>
      <c r="E83" s="75">
        <f t="shared" si="14"/>
        <v>593.53836695999996</v>
      </c>
      <c r="F83" s="75">
        <f t="shared" si="14"/>
        <v>595.37466449999988</v>
      </c>
      <c r="G83" s="75">
        <f t="shared" si="14"/>
        <v>629.708526216</v>
      </c>
      <c r="H83" s="75">
        <f t="shared" si="14"/>
        <v>659.99703231000001</v>
      </c>
      <c r="I83" s="75">
        <f t="shared" si="14"/>
        <v>607.20937200000003</v>
      </c>
      <c r="J83" s="75">
        <f t="shared" si="14"/>
        <v>637.88583196799993</v>
      </c>
      <c r="K83" s="75">
        <f t="shared" si="14"/>
        <v>616.42971621000004</v>
      </c>
      <c r="L83" s="75">
        <f t="shared" si="14"/>
        <v>481.23549381600009</v>
      </c>
      <c r="M83" s="75">
        <f t="shared" si="14"/>
        <v>527.87624135399994</v>
      </c>
      <c r="N83" s="75">
        <f t="shared" si="14"/>
        <v>552.73073624999984</v>
      </c>
      <c r="O83" s="111">
        <f t="shared" si="13"/>
        <v>7121.0753851102781</v>
      </c>
    </row>
    <row r="84" spans="1:16" x14ac:dyDescent="0.2">
      <c r="B84" s="66" t="s">
        <v>52</v>
      </c>
      <c r="C84" s="98">
        <f t="shared" si="14"/>
        <v>0</v>
      </c>
      <c r="D84" s="75">
        <f t="shared" si="14"/>
        <v>0</v>
      </c>
      <c r="E84" s="75">
        <f t="shared" si="14"/>
        <v>0</v>
      </c>
      <c r="F84" s="75">
        <f t="shared" si="14"/>
        <v>0</v>
      </c>
      <c r="G84" s="75">
        <f t="shared" si="14"/>
        <v>0</v>
      </c>
      <c r="H84" s="75">
        <f t="shared" si="14"/>
        <v>0</v>
      </c>
      <c r="I84" s="75"/>
      <c r="J84" s="75">
        <f t="shared" si="14"/>
        <v>0</v>
      </c>
      <c r="K84" s="75">
        <f t="shared" si="14"/>
        <v>0</v>
      </c>
      <c r="L84" s="75">
        <f t="shared" si="14"/>
        <v>0</v>
      </c>
      <c r="M84" s="75">
        <f t="shared" si="14"/>
        <v>0</v>
      </c>
      <c r="N84" s="75">
        <f t="shared" si="14"/>
        <v>0</v>
      </c>
      <c r="O84" s="111">
        <f t="shared" si="13"/>
        <v>0</v>
      </c>
    </row>
    <row r="85" spans="1:16" x14ac:dyDescent="0.2">
      <c r="B85" s="66" t="s">
        <v>53</v>
      </c>
      <c r="C85" s="98">
        <f t="shared" si="14"/>
        <v>46.650831149999995</v>
      </c>
      <c r="D85" s="75">
        <f t="shared" si="14"/>
        <v>42.638346134999992</v>
      </c>
      <c r="E85" s="75">
        <f t="shared" si="14"/>
        <v>39.878075160000002</v>
      </c>
      <c r="F85" s="75">
        <f t="shared" si="14"/>
        <v>40.793878124999999</v>
      </c>
      <c r="G85" s="75">
        <f t="shared" si="14"/>
        <v>48.892020869999996</v>
      </c>
      <c r="H85" s="75">
        <f t="shared" si="14"/>
        <v>39.711498750000004</v>
      </c>
      <c r="I85" s="75">
        <f t="shared" si="14"/>
        <v>31.920342300000005</v>
      </c>
      <c r="J85" s="75">
        <f t="shared" si="14"/>
        <v>35.510858460000001</v>
      </c>
      <c r="K85" s="75">
        <f t="shared" si="14"/>
        <v>35.337715875000001</v>
      </c>
      <c r="L85" s="75">
        <f t="shared" si="14"/>
        <v>23.719131975</v>
      </c>
      <c r="M85" s="75">
        <f t="shared" si="14"/>
        <v>27.083122605</v>
      </c>
      <c r="N85" s="75">
        <f t="shared" si="14"/>
        <v>25.10825625</v>
      </c>
      <c r="O85" s="111">
        <f t="shared" si="13"/>
        <v>437.24407765500001</v>
      </c>
    </row>
    <row r="86" spans="1:16" x14ac:dyDescent="0.2">
      <c r="B86" s="66" t="s">
        <v>54</v>
      </c>
      <c r="C86" s="98">
        <f t="shared" si="14"/>
        <v>299.36395483399997</v>
      </c>
      <c r="D86" s="75">
        <f t="shared" si="14"/>
        <v>298.08868887</v>
      </c>
      <c r="E86" s="75">
        <f t="shared" si="14"/>
        <v>314.59131838400003</v>
      </c>
      <c r="F86" s="75">
        <f t="shared" si="14"/>
        <v>327.88168875000002</v>
      </c>
      <c r="G86" s="75">
        <f t="shared" si="14"/>
        <v>413.09929981599998</v>
      </c>
      <c r="H86" s="75">
        <f t="shared" si="14"/>
        <v>401.42199562499997</v>
      </c>
      <c r="I86" s="75">
        <f t="shared" si="14"/>
        <v>344.07759918000005</v>
      </c>
      <c r="J86" s="75">
        <f t="shared" si="14"/>
        <v>311.06704734000004</v>
      </c>
      <c r="K86" s="75">
        <f t="shared" si="14"/>
        <v>236.65230443399997</v>
      </c>
      <c r="L86" s="75">
        <f t="shared" si="14"/>
        <v>172.09247260100003</v>
      </c>
      <c r="M86" s="75">
        <f t="shared" si="14"/>
        <v>221.10974198599999</v>
      </c>
      <c r="N86" s="75">
        <f t="shared" si="14"/>
        <v>249.07528537499996</v>
      </c>
      <c r="O86" s="111">
        <f t="shared" si="13"/>
        <v>3588.5213971949997</v>
      </c>
    </row>
    <row r="87" spans="1:16" x14ac:dyDescent="0.2">
      <c r="B87" s="66" t="s">
        <v>55</v>
      </c>
      <c r="C87" s="98">
        <f t="shared" si="14"/>
        <v>285.08080229999996</v>
      </c>
      <c r="D87" s="75">
        <f t="shared" si="14"/>
        <v>273.95162077499998</v>
      </c>
      <c r="E87" s="75">
        <f t="shared" si="14"/>
        <v>266.06200582499997</v>
      </c>
      <c r="F87" s="75">
        <f t="shared" si="14"/>
        <v>288.10333124999994</v>
      </c>
      <c r="G87" s="75">
        <f t="shared" si="14"/>
        <v>333.43175459999992</v>
      </c>
      <c r="H87" s="75">
        <f t="shared" si="14"/>
        <v>327.64739962499999</v>
      </c>
      <c r="I87" s="75">
        <f t="shared" si="14"/>
        <v>338.18400000000003</v>
      </c>
      <c r="J87" s="75">
        <f t="shared" si="14"/>
        <v>360.39150000000001</v>
      </c>
      <c r="K87" s="75">
        <f t="shared" si="14"/>
        <v>335.03505000000001</v>
      </c>
      <c r="L87" s="75">
        <f t="shared" si="14"/>
        <v>302.08641697499996</v>
      </c>
      <c r="M87" s="75">
        <f t="shared" si="14"/>
        <v>322.43175194999998</v>
      </c>
      <c r="N87" s="75">
        <f t="shared" si="14"/>
        <v>282.00302812499996</v>
      </c>
      <c r="O87" s="111">
        <f t="shared" si="13"/>
        <v>3714.408661425</v>
      </c>
    </row>
    <row r="88" spans="1:16" x14ac:dyDescent="0.2">
      <c r="B88" s="66" t="s">
        <v>56</v>
      </c>
      <c r="C88" s="98">
        <f t="shared" si="14"/>
        <v>0</v>
      </c>
      <c r="D88" s="75">
        <f t="shared" si="14"/>
        <v>0</v>
      </c>
      <c r="E88" s="75">
        <f t="shared" si="14"/>
        <v>0</v>
      </c>
      <c r="F88" s="75">
        <f t="shared" si="14"/>
        <v>0</v>
      </c>
      <c r="G88" s="75">
        <f t="shared" si="14"/>
        <v>0</v>
      </c>
      <c r="H88" s="75">
        <f t="shared" si="14"/>
        <v>0</v>
      </c>
      <c r="I88" s="75"/>
      <c r="J88" s="75">
        <f t="shared" si="14"/>
        <v>0</v>
      </c>
      <c r="K88" s="75">
        <f t="shared" si="14"/>
        <v>0</v>
      </c>
      <c r="L88" s="75">
        <f t="shared" si="14"/>
        <v>0</v>
      </c>
      <c r="M88" s="75">
        <f t="shared" si="14"/>
        <v>0</v>
      </c>
      <c r="N88" s="75">
        <f t="shared" si="14"/>
        <v>0</v>
      </c>
      <c r="O88" s="111">
        <f t="shared" si="13"/>
        <v>0</v>
      </c>
    </row>
    <row r="89" spans="1:16" x14ac:dyDescent="0.2">
      <c r="B89" s="66" t="s">
        <v>49</v>
      </c>
      <c r="C89" s="98">
        <f t="shared" si="14"/>
        <v>-94.631634239999997</v>
      </c>
      <c r="D89" s="75">
        <f t="shared" si="14"/>
        <v>-42.982449120000005</v>
      </c>
      <c r="E89" s="75">
        <f t="shared" si="14"/>
        <v>-44.032393600000006</v>
      </c>
      <c r="F89" s="75">
        <f t="shared" si="14"/>
        <v>-51.972570000000012</v>
      </c>
      <c r="G89" s="75">
        <f t="shared" si="14"/>
        <v>17.757438400000002</v>
      </c>
      <c r="H89" s="75">
        <f t="shared" si="14"/>
        <v>6.8274679199999992</v>
      </c>
      <c r="I89" s="75">
        <f t="shared" si="14"/>
        <v>-19.114979520000002</v>
      </c>
      <c r="J89" s="75">
        <f t="shared" si="14"/>
        <v>-34.032490127999999</v>
      </c>
      <c r="K89" s="75">
        <f t="shared" si="14"/>
        <v>-28.092505167999999</v>
      </c>
      <c r="L89" s="75">
        <f t="shared" si="14"/>
        <v>-59.249530704000001</v>
      </c>
      <c r="M89" s="75">
        <f t="shared" si="14"/>
        <v>-37.916573968000002</v>
      </c>
      <c r="N89" s="75">
        <f t="shared" si="14"/>
        <v>-95.434430000000006</v>
      </c>
      <c r="O89" s="111">
        <f t="shared" si="13"/>
        <v>-482.87465012800004</v>
      </c>
    </row>
    <row r="90" spans="1:16" x14ac:dyDescent="0.2">
      <c r="B90" s="66" t="s">
        <v>57</v>
      </c>
      <c r="C90" s="98">
        <f t="shared" si="14"/>
        <v>0</v>
      </c>
      <c r="D90" s="75">
        <f t="shared" si="14"/>
        <v>0</v>
      </c>
      <c r="E90" s="75">
        <f t="shared" si="14"/>
        <v>0</v>
      </c>
      <c r="F90" s="75">
        <f t="shared" si="14"/>
        <v>0</v>
      </c>
      <c r="G90" s="75">
        <f t="shared" si="14"/>
        <v>0</v>
      </c>
      <c r="H90" s="75">
        <f t="shared" si="14"/>
        <v>0</v>
      </c>
      <c r="I90" s="75">
        <f t="shared" si="14"/>
        <v>0</v>
      </c>
      <c r="J90" s="75">
        <f t="shared" si="14"/>
        <v>0</v>
      </c>
      <c r="K90" s="75">
        <f t="shared" si="14"/>
        <v>0</v>
      </c>
      <c r="L90" s="75">
        <f t="shared" si="14"/>
        <v>0</v>
      </c>
      <c r="M90" s="75">
        <f t="shared" si="14"/>
        <v>0</v>
      </c>
      <c r="N90" s="75">
        <f t="shared" si="14"/>
        <v>0</v>
      </c>
      <c r="O90" s="111">
        <f t="shared" si="13"/>
        <v>0</v>
      </c>
    </row>
    <row r="91" spans="1:16" x14ac:dyDescent="0.2">
      <c r="B91" s="66" t="s">
        <v>58</v>
      </c>
      <c r="C91" s="98">
        <f t="shared" si="14"/>
        <v>-251.26561606000053</v>
      </c>
      <c r="D91" s="75">
        <f t="shared" si="14"/>
        <v>-248.20140123000053</v>
      </c>
      <c r="E91" s="75">
        <f t="shared" si="14"/>
        <v>-233.52167437000054</v>
      </c>
      <c r="F91" s="75">
        <f t="shared" si="14"/>
        <v>-240.50523375000051</v>
      </c>
      <c r="G91" s="75">
        <f t="shared" si="14"/>
        <v>-275.28050903000064</v>
      </c>
      <c r="H91" s="75">
        <f t="shared" si="14"/>
        <v>-276.84824685000058</v>
      </c>
      <c r="I91" s="75">
        <f t="shared" si="14"/>
        <v>-260.81456460000055</v>
      </c>
      <c r="J91" s="75">
        <f t="shared" si="14"/>
        <v>-287.75115078000067</v>
      </c>
      <c r="K91" s="75">
        <f t="shared" si="14"/>
        <v>-287.82241159000063</v>
      </c>
      <c r="L91" s="75">
        <f t="shared" si="14"/>
        <v>-262.02599837000059</v>
      </c>
      <c r="M91" s="75">
        <f t="shared" si="14"/>
        <v>-294.23588449000067</v>
      </c>
      <c r="N91" s="75">
        <f t="shared" si="14"/>
        <v>-276.13563875000062</v>
      </c>
      <c r="O91" s="111">
        <f t="shared" si="13"/>
        <v>-3194.4083298700075</v>
      </c>
    </row>
    <row r="92" spans="1:16" x14ac:dyDescent="0.2">
      <c r="B92" s="66" t="s">
        <v>59</v>
      </c>
      <c r="C92" s="99">
        <f t="shared" si="14"/>
        <v>795.06102675999955</v>
      </c>
      <c r="D92" s="90">
        <f t="shared" si="14"/>
        <v>766.22139442799937</v>
      </c>
      <c r="E92" s="90">
        <f t="shared" si="14"/>
        <v>721.49421934799966</v>
      </c>
      <c r="F92" s="90">
        <f t="shared" si="14"/>
        <v>738.73735424999961</v>
      </c>
      <c r="G92" s="90">
        <f t="shared" si="14"/>
        <v>780.81195767399981</v>
      </c>
      <c r="H92" s="90">
        <f t="shared" si="14"/>
        <v>759.09218573999954</v>
      </c>
      <c r="I92" s="90">
        <f t="shared" si="14"/>
        <v>663.93087347999949</v>
      </c>
      <c r="J92" s="90">
        <f t="shared" si="14"/>
        <v>698.02694791199963</v>
      </c>
      <c r="K92" s="75">
        <f t="shared" si="14"/>
        <v>692.19496651199961</v>
      </c>
      <c r="L92" s="75">
        <f t="shared" si="14"/>
        <v>614.91582924799968</v>
      </c>
      <c r="M92" s="75">
        <f t="shared" si="14"/>
        <v>745.00893053999948</v>
      </c>
      <c r="N92" s="75">
        <f t="shared" si="14"/>
        <v>699.17888249999976</v>
      </c>
      <c r="O92" s="111">
        <f t="shared" si="13"/>
        <v>8674.6745683919962</v>
      </c>
    </row>
    <row r="93" spans="1:16" x14ac:dyDescent="0.2">
      <c r="A93" s="180" t="s">
        <v>65</v>
      </c>
      <c r="B93" s="180"/>
      <c r="C93" s="187">
        <f t="shared" ref="C93:N93" si="15">SUM(C82:C92)</f>
        <v>2222.0273199822782</v>
      </c>
      <c r="D93" s="188">
        <f t="shared" si="15"/>
        <v>2184.8582519459983</v>
      </c>
      <c r="E93" s="188">
        <f t="shared" si="15"/>
        <v>2133.7246344569994</v>
      </c>
      <c r="F93" s="188">
        <f t="shared" si="15"/>
        <v>2183.424913124999</v>
      </c>
      <c r="G93" s="188">
        <f t="shared" si="15"/>
        <v>2453.1515699459987</v>
      </c>
      <c r="H93" s="188">
        <f t="shared" si="15"/>
        <v>2436.4321478699985</v>
      </c>
      <c r="I93" s="188">
        <f t="shared" si="15"/>
        <v>2160.4192148399989</v>
      </c>
      <c r="J93" s="188">
        <f t="shared" si="15"/>
        <v>2199.6942168719988</v>
      </c>
      <c r="K93" s="189">
        <f t="shared" si="15"/>
        <v>2065.2172673229989</v>
      </c>
      <c r="L93" s="189">
        <f t="shared" si="15"/>
        <v>1692.3709935409988</v>
      </c>
      <c r="M93" s="189">
        <f t="shared" si="15"/>
        <v>1993.8062059769989</v>
      </c>
      <c r="N93" s="189">
        <f t="shared" si="15"/>
        <v>1899.6109009999986</v>
      </c>
      <c r="O93" s="111">
        <f>SUM(C93:N93)</f>
        <v>25624.737636879265</v>
      </c>
      <c r="P93" s="111">
        <f>O93*50%</f>
        <v>12812.368818439632</v>
      </c>
    </row>
    <row r="94" spans="1:16" x14ac:dyDescent="0.2">
      <c r="A94" s="180" t="s">
        <v>66</v>
      </c>
      <c r="B94" s="180"/>
      <c r="C94" s="187">
        <f t="shared" ref="C94:N94" si="16">+C93/C66</f>
        <v>63.018358479361268</v>
      </c>
      <c r="D94" s="188">
        <f t="shared" si="16"/>
        <v>62.729206199999958</v>
      </c>
      <c r="E94" s="188">
        <f t="shared" si="16"/>
        <v>65.112134099999977</v>
      </c>
      <c r="F94" s="188">
        <f t="shared" si="16"/>
        <v>64.694071499999964</v>
      </c>
      <c r="G94" s="188">
        <f t="shared" si="16"/>
        <v>63.503794199999966</v>
      </c>
      <c r="H94" s="188">
        <f t="shared" si="16"/>
        <v>62.713826199999957</v>
      </c>
      <c r="I94" s="188">
        <f t="shared" si="16"/>
        <v>59.027847399999963</v>
      </c>
      <c r="J94" s="188">
        <f t="shared" si="16"/>
        <v>54.474844399999967</v>
      </c>
      <c r="K94" s="175">
        <f t="shared" si="16"/>
        <v>51.131895699999973</v>
      </c>
      <c r="L94" s="175">
        <f t="shared" si="16"/>
        <v>46.025863299999962</v>
      </c>
      <c r="M94" s="175">
        <f t="shared" si="16"/>
        <v>48.287871299999971</v>
      </c>
      <c r="N94" s="175">
        <f t="shared" si="16"/>
        <v>49.022216799999967</v>
      </c>
      <c r="O94" s="111"/>
    </row>
    <row r="95" spans="1:16" ht="8.1" customHeight="1" x14ac:dyDescent="0.2"/>
    <row r="96" spans="1:16" x14ac:dyDescent="0.2">
      <c r="A96" s="180"/>
      <c r="C96" s="111">
        <f>C94*0.7</f>
        <v>44.112850935552885</v>
      </c>
      <c r="D96" s="111">
        <f t="shared" ref="D96:N96" si="17">D94*0.7</f>
        <v>43.91044433999997</v>
      </c>
      <c r="E96" s="111">
        <f t="shared" si="17"/>
        <v>45.578493869999981</v>
      </c>
      <c r="F96" s="111">
        <f t="shared" si="17"/>
        <v>45.285850049999972</v>
      </c>
      <c r="G96" s="111">
        <f t="shared" si="17"/>
        <v>44.452655939999971</v>
      </c>
      <c r="H96" s="111">
        <f t="shared" si="17"/>
        <v>43.899678339999966</v>
      </c>
      <c r="I96" s="111">
        <f t="shared" si="17"/>
        <v>41.319493179999974</v>
      </c>
      <c r="J96" s="111">
        <f t="shared" si="17"/>
        <v>38.132391079999977</v>
      </c>
      <c r="K96" s="111">
        <f t="shared" si="17"/>
        <v>35.792326989999978</v>
      </c>
      <c r="L96" s="111">
        <f t="shared" si="17"/>
        <v>32.218104309999973</v>
      </c>
      <c r="M96" s="111">
        <f t="shared" si="17"/>
        <v>33.801509909999979</v>
      </c>
      <c r="N96" s="111">
        <f t="shared" si="17"/>
        <v>34.315551759999977</v>
      </c>
    </row>
    <row r="97" spans="1:14" x14ac:dyDescent="0.2">
      <c r="C97" s="102"/>
      <c r="D97" s="102"/>
      <c r="E97" s="102"/>
      <c r="F97" s="102"/>
      <c r="G97" s="102"/>
      <c r="H97" s="102"/>
      <c r="I97" s="102"/>
      <c r="J97" s="102"/>
      <c r="K97" s="102"/>
      <c r="L97" s="102"/>
      <c r="M97" s="102"/>
      <c r="N97" s="102"/>
    </row>
    <row r="98" spans="1:14" x14ac:dyDescent="0.2">
      <c r="A98" s="180"/>
      <c r="B98" s="180"/>
      <c r="C98" s="187"/>
      <c r="D98" s="187"/>
      <c r="E98" s="187"/>
      <c r="F98" s="187"/>
      <c r="G98" s="187"/>
      <c r="H98" s="187"/>
      <c r="I98" s="187"/>
      <c r="J98" s="190"/>
    </row>
    <row r="99" spans="1:14" ht="8.1" customHeight="1" x14ac:dyDescent="0.2">
      <c r="C99" s="103"/>
      <c r="D99" s="103"/>
      <c r="E99" s="103"/>
      <c r="F99" s="103"/>
      <c r="G99" s="103"/>
      <c r="H99" s="103"/>
      <c r="I99" s="103"/>
      <c r="J99" s="103"/>
    </row>
    <row r="100" spans="1:14" x14ac:dyDescent="0.2">
      <c r="A100" s="180"/>
      <c r="B100" s="180"/>
      <c r="C100" s="190"/>
      <c r="D100" s="190"/>
      <c r="E100" s="190"/>
      <c r="F100" s="190"/>
      <c r="G100" s="190"/>
      <c r="H100" s="190"/>
      <c r="I100" s="190"/>
      <c r="J100" s="190"/>
    </row>
    <row r="101" spans="1:14" ht="8.1" customHeight="1" x14ac:dyDescent="0.2">
      <c r="C101" s="103"/>
      <c r="D101" s="103"/>
      <c r="E101" s="103"/>
      <c r="F101" s="103"/>
      <c r="G101" s="103"/>
      <c r="H101" s="103"/>
      <c r="I101" s="103"/>
      <c r="J101" s="103"/>
    </row>
    <row r="102" spans="1:14" x14ac:dyDescent="0.2">
      <c r="A102" s="180"/>
      <c r="C102" s="102"/>
      <c r="D102" s="102"/>
      <c r="E102" s="102"/>
      <c r="F102" s="102"/>
      <c r="G102" s="102"/>
      <c r="H102" s="102"/>
      <c r="I102" s="102"/>
      <c r="J102" s="105"/>
    </row>
    <row r="105" spans="1:14" x14ac:dyDescent="0.2">
      <c r="B105" s="66" t="str">
        <f ca="1">CELL("filename")</f>
        <v>S:\District\~WUTC Files~\1. RSA\2017-2019 Plan Year\UTC Filing 12-2018\Revised Filing\Bellevue\[Revised TG-181020 fixed Staff comm CR RS adjust.xlsx]Staff Analysis</v>
      </c>
    </row>
  </sheetData>
  <pageMargins left="0.25" right="0.25" top="0.75" bottom="0.75" header="0.3" footer="0.3"/>
  <pageSetup scale="62" fitToWidth="0" orientation="portrait" r:id="rId1"/>
  <headerFooter alignWithMargins="0"/>
  <rowBreaks count="1" manualBreakCount="1">
    <brk id="53"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118"/>
  <sheetViews>
    <sheetView workbookViewId="0">
      <selection activeCell="E25" sqref="E25"/>
    </sheetView>
  </sheetViews>
  <sheetFormatPr defaultRowHeight="12.75" x14ac:dyDescent="0.2"/>
  <cols>
    <col min="1" max="1" width="8.140625" customWidth="1"/>
    <col min="2" max="2" width="2.140625" customWidth="1"/>
    <col min="3" max="13" width="11.7109375" customWidth="1"/>
    <col min="14" max="14" width="2.85546875" customWidth="1"/>
    <col min="15" max="15" width="9" style="72" bestFit="1" customWidth="1"/>
    <col min="16" max="16" width="15.85546875" customWidth="1"/>
    <col min="257" max="257" width="8.140625" customWidth="1"/>
    <col min="258" max="258" width="2.140625" customWidth="1"/>
    <col min="259" max="269" width="11.7109375" customWidth="1"/>
    <col min="270" max="270" width="2.85546875" customWidth="1"/>
    <col min="271" max="271" width="9" bestFit="1" customWidth="1"/>
    <col min="272" max="272" width="15.85546875" customWidth="1"/>
    <col min="513" max="513" width="8.140625" customWidth="1"/>
    <col min="514" max="514" width="2.140625" customWidth="1"/>
    <col min="515" max="525" width="11.7109375" customWidth="1"/>
    <col min="526" max="526" width="2.85546875" customWidth="1"/>
    <col min="527" max="527" width="9" bestFit="1" customWidth="1"/>
    <col min="528" max="528" width="15.85546875" customWidth="1"/>
    <col min="769" max="769" width="8.140625" customWidth="1"/>
    <col min="770" max="770" width="2.140625" customWidth="1"/>
    <col min="771" max="781" width="11.7109375" customWidth="1"/>
    <col min="782" max="782" width="2.85546875" customWidth="1"/>
    <col min="783" max="783" width="9" bestFit="1" customWidth="1"/>
    <col min="784" max="784" width="15.85546875" customWidth="1"/>
    <col min="1025" max="1025" width="8.140625" customWidth="1"/>
    <col min="1026" max="1026" width="2.140625" customWidth="1"/>
    <col min="1027" max="1037" width="11.7109375" customWidth="1"/>
    <col min="1038" max="1038" width="2.85546875" customWidth="1"/>
    <col min="1039" max="1039" width="9" bestFit="1" customWidth="1"/>
    <col min="1040" max="1040" width="15.85546875" customWidth="1"/>
    <col min="1281" max="1281" width="8.140625" customWidth="1"/>
    <col min="1282" max="1282" width="2.140625" customWidth="1"/>
    <col min="1283" max="1293" width="11.7109375" customWidth="1"/>
    <col min="1294" max="1294" width="2.85546875" customWidth="1"/>
    <col min="1295" max="1295" width="9" bestFit="1" customWidth="1"/>
    <col min="1296" max="1296" width="15.85546875" customWidth="1"/>
    <col min="1537" max="1537" width="8.140625" customWidth="1"/>
    <col min="1538" max="1538" width="2.140625" customWidth="1"/>
    <col min="1539" max="1549" width="11.7109375" customWidth="1"/>
    <col min="1550" max="1550" width="2.85546875" customWidth="1"/>
    <col min="1551" max="1551" width="9" bestFit="1" customWidth="1"/>
    <col min="1552" max="1552" width="15.85546875" customWidth="1"/>
    <col min="1793" max="1793" width="8.140625" customWidth="1"/>
    <col min="1794" max="1794" width="2.140625" customWidth="1"/>
    <col min="1795" max="1805" width="11.7109375" customWidth="1"/>
    <col min="1806" max="1806" width="2.85546875" customWidth="1"/>
    <col min="1807" max="1807" width="9" bestFit="1" customWidth="1"/>
    <col min="1808" max="1808" width="15.85546875" customWidth="1"/>
    <col min="2049" max="2049" width="8.140625" customWidth="1"/>
    <col min="2050" max="2050" width="2.140625" customWidth="1"/>
    <col min="2051" max="2061" width="11.7109375" customWidth="1"/>
    <col min="2062" max="2062" width="2.85546875" customWidth="1"/>
    <col min="2063" max="2063" width="9" bestFit="1" customWidth="1"/>
    <col min="2064" max="2064" width="15.85546875" customWidth="1"/>
    <col min="2305" max="2305" width="8.140625" customWidth="1"/>
    <col min="2306" max="2306" width="2.140625" customWidth="1"/>
    <col min="2307" max="2317" width="11.7109375" customWidth="1"/>
    <col min="2318" max="2318" width="2.85546875" customWidth="1"/>
    <col min="2319" max="2319" width="9" bestFit="1" customWidth="1"/>
    <col min="2320" max="2320" width="15.85546875" customWidth="1"/>
    <col min="2561" max="2561" width="8.140625" customWidth="1"/>
    <col min="2562" max="2562" width="2.140625" customWidth="1"/>
    <col min="2563" max="2573" width="11.7109375" customWidth="1"/>
    <col min="2574" max="2574" width="2.85546875" customWidth="1"/>
    <col min="2575" max="2575" width="9" bestFit="1" customWidth="1"/>
    <col min="2576" max="2576" width="15.85546875" customWidth="1"/>
    <col min="2817" max="2817" width="8.140625" customWidth="1"/>
    <col min="2818" max="2818" width="2.140625" customWidth="1"/>
    <col min="2819" max="2829" width="11.7109375" customWidth="1"/>
    <col min="2830" max="2830" width="2.85546875" customWidth="1"/>
    <col min="2831" max="2831" width="9" bestFit="1" customWidth="1"/>
    <col min="2832" max="2832" width="15.85546875" customWidth="1"/>
    <col min="3073" max="3073" width="8.140625" customWidth="1"/>
    <col min="3074" max="3074" width="2.140625" customWidth="1"/>
    <col min="3075" max="3085" width="11.7109375" customWidth="1"/>
    <col min="3086" max="3086" width="2.85546875" customWidth="1"/>
    <col min="3087" max="3087" width="9" bestFit="1" customWidth="1"/>
    <col min="3088" max="3088" width="15.85546875" customWidth="1"/>
    <col min="3329" max="3329" width="8.140625" customWidth="1"/>
    <col min="3330" max="3330" width="2.140625" customWidth="1"/>
    <col min="3331" max="3341" width="11.7109375" customWidth="1"/>
    <col min="3342" max="3342" width="2.85546875" customWidth="1"/>
    <col min="3343" max="3343" width="9" bestFit="1" customWidth="1"/>
    <col min="3344" max="3344" width="15.85546875" customWidth="1"/>
    <col min="3585" max="3585" width="8.140625" customWidth="1"/>
    <col min="3586" max="3586" width="2.140625" customWidth="1"/>
    <col min="3587" max="3597" width="11.7109375" customWidth="1"/>
    <col min="3598" max="3598" width="2.85546875" customWidth="1"/>
    <col min="3599" max="3599" width="9" bestFit="1" customWidth="1"/>
    <col min="3600" max="3600" width="15.85546875" customWidth="1"/>
    <col min="3841" max="3841" width="8.140625" customWidth="1"/>
    <col min="3842" max="3842" width="2.140625" customWidth="1"/>
    <col min="3843" max="3853" width="11.7109375" customWidth="1"/>
    <col min="3854" max="3854" width="2.85546875" customWidth="1"/>
    <col min="3855" max="3855" width="9" bestFit="1" customWidth="1"/>
    <col min="3856" max="3856" width="15.85546875" customWidth="1"/>
    <col min="4097" max="4097" width="8.140625" customWidth="1"/>
    <col min="4098" max="4098" width="2.140625" customWidth="1"/>
    <col min="4099" max="4109" width="11.7109375" customWidth="1"/>
    <col min="4110" max="4110" width="2.85546875" customWidth="1"/>
    <col min="4111" max="4111" width="9" bestFit="1" customWidth="1"/>
    <col min="4112" max="4112" width="15.85546875" customWidth="1"/>
    <col min="4353" max="4353" width="8.140625" customWidth="1"/>
    <col min="4354" max="4354" width="2.140625" customWidth="1"/>
    <col min="4355" max="4365" width="11.7109375" customWidth="1"/>
    <col min="4366" max="4366" width="2.85546875" customWidth="1"/>
    <col min="4367" max="4367" width="9" bestFit="1" customWidth="1"/>
    <col min="4368" max="4368" width="15.85546875" customWidth="1"/>
    <col min="4609" max="4609" width="8.140625" customWidth="1"/>
    <col min="4610" max="4610" width="2.140625" customWidth="1"/>
    <col min="4611" max="4621" width="11.7109375" customWidth="1"/>
    <col min="4622" max="4622" width="2.85546875" customWidth="1"/>
    <col min="4623" max="4623" width="9" bestFit="1" customWidth="1"/>
    <col min="4624" max="4624" width="15.85546875" customWidth="1"/>
    <col min="4865" max="4865" width="8.140625" customWidth="1"/>
    <col min="4866" max="4866" width="2.140625" customWidth="1"/>
    <col min="4867" max="4877" width="11.7109375" customWidth="1"/>
    <col min="4878" max="4878" width="2.85546875" customWidth="1"/>
    <col min="4879" max="4879" width="9" bestFit="1" customWidth="1"/>
    <col min="4880" max="4880" width="15.85546875" customWidth="1"/>
    <col min="5121" max="5121" width="8.140625" customWidth="1"/>
    <col min="5122" max="5122" width="2.140625" customWidth="1"/>
    <col min="5123" max="5133" width="11.7109375" customWidth="1"/>
    <col min="5134" max="5134" width="2.85546875" customWidth="1"/>
    <col min="5135" max="5135" width="9" bestFit="1" customWidth="1"/>
    <col min="5136" max="5136" width="15.85546875" customWidth="1"/>
    <col min="5377" max="5377" width="8.140625" customWidth="1"/>
    <col min="5378" max="5378" width="2.140625" customWidth="1"/>
    <col min="5379" max="5389" width="11.7109375" customWidth="1"/>
    <col min="5390" max="5390" width="2.85546875" customWidth="1"/>
    <col min="5391" max="5391" width="9" bestFit="1" customWidth="1"/>
    <col min="5392" max="5392" width="15.85546875" customWidth="1"/>
    <col min="5633" max="5633" width="8.140625" customWidth="1"/>
    <col min="5634" max="5634" width="2.140625" customWidth="1"/>
    <col min="5635" max="5645" width="11.7109375" customWidth="1"/>
    <col min="5646" max="5646" width="2.85546875" customWidth="1"/>
    <col min="5647" max="5647" width="9" bestFit="1" customWidth="1"/>
    <col min="5648" max="5648" width="15.85546875" customWidth="1"/>
    <col min="5889" max="5889" width="8.140625" customWidth="1"/>
    <col min="5890" max="5890" width="2.140625" customWidth="1"/>
    <col min="5891" max="5901" width="11.7109375" customWidth="1"/>
    <col min="5902" max="5902" width="2.85546875" customWidth="1"/>
    <col min="5903" max="5903" width="9" bestFit="1" customWidth="1"/>
    <col min="5904" max="5904" width="15.85546875" customWidth="1"/>
    <col min="6145" max="6145" width="8.140625" customWidth="1"/>
    <col min="6146" max="6146" width="2.140625" customWidth="1"/>
    <col min="6147" max="6157" width="11.7109375" customWidth="1"/>
    <col min="6158" max="6158" width="2.85546875" customWidth="1"/>
    <col min="6159" max="6159" width="9" bestFit="1" customWidth="1"/>
    <col min="6160" max="6160" width="15.85546875" customWidth="1"/>
    <col min="6401" max="6401" width="8.140625" customWidth="1"/>
    <col min="6402" max="6402" width="2.140625" customWidth="1"/>
    <col min="6403" max="6413" width="11.7109375" customWidth="1"/>
    <col min="6414" max="6414" width="2.85546875" customWidth="1"/>
    <col min="6415" max="6415" width="9" bestFit="1" customWidth="1"/>
    <col min="6416" max="6416" width="15.85546875" customWidth="1"/>
    <col min="6657" max="6657" width="8.140625" customWidth="1"/>
    <col min="6658" max="6658" width="2.140625" customWidth="1"/>
    <col min="6659" max="6669" width="11.7109375" customWidth="1"/>
    <col min="6670" max="6670" width="2.85546875" customWidth="1"/>
    <col min="6671" max="6671" width="9" bestFit="1" customWidth="1"/>
    <col min="6672" max="6672" width="15.85546875" customWidth="1"/>
    <col min="6913" max="6913" width="8.140625" customWidth="1"/>
    <col min="6914" max="6914" width="2.140625" customWidth="1"/>
    <col min="6915" max="6925" width="11.7109375" customWidth="1"/>
    <col min="6926" max="6926" width="2.85546875" customWidth="1"/>
    <col min="6927" max="6927" width="9" bestFit="1" customWidth="1"/>
    <col min="6928" max="6928" width="15.85546875" customWidth="1"/>
    <col min="7169" max="7169" width="8.140625" customWidth="1"/>
    <col min="7170" max="7170" width="2.140625" customWidth="1"/>
    <col min="7171" max="7181" width="11.7109375" customWidth="1"/>
    <col min="7182" max="7182" width="2.85546875" customWidth="1"/>
    <col min="7183" max="7183" width="9" bestFit="1" customWidth="1"/>
    <col min="7184" max="7184" width="15.85546875" customWidth="1"/>
    <col min="7425" max="7425" width="8.140625" customWidth="1"/>
    <col min="7426" max="7426" width="2.140625" customWidth="1"/>
    <col min="7427" max="7437" width="11.7109375" customWidth="1"/>
    <col min="7438" max="7438" width="2.85546875" customWidth="1"/>
    <col min="7439" max="7439" width="9" bestFit="1" customWidth="1"/>
    <col min="7440" max="7440" width="15.85546875" customWidth="1"/>
    <col min="7681" max="7681" width="8.140625" customWidth="1"/>
    <col min="7682" max="7682" width="2.140625" customWidth="1"/>
    <col min="7683" max="7693" width="11.7109375" customWidth="1"/>
    <col min="7694" max="7694" width="2.85546875" customWidth="1"/>
    <col min="7695" max="7695" width="9" bestFit="1" customWidth="1"/>
    <col min="7696" max="7696" width="15.85546875" customWidth="1"/>
    <col min="7937" max="7937" width="8.140625" customWidth="1"/>
    <col min="7938" max="7938" width="2.140625" customWidth="1"/>
    <col min="7939" max="7949" width="11.7109375" customWidth="1"/>
    <col min="7950" max="7950" width="2.85546875" customWidth="1"/>
    <col min="7951" max="7951" width="9" bestFit="1" customWidth="1"/>
    <col min="7952" max="7952" width="15.85546875" customWidth="1"/>
    <col min="8193" max="8193" width="8.140625" customWidth="1"/>
    <col min="8194" max="8194" width="2.140625" customWidth="1"/>
    <col min="8195" max="8205" width="11.7109375" customWidth="1"/>
    <col min="8206" max="8206" width="2.85546875" customWidth="1"/>
    <col min="8207" max="8207" width="9" bestFit="1" customWidth="1"/>
    <col min="8208" max="8208" width="15.85546875" customWidth="1"/>
    <col min="8449" max="8449" width="8.140625" customWidth="1"/>
    <col min="8450" max="8450" width="2.140625" customWidth="1"/>
    <col min="8451" max="8461" width="11.7109375" customWidth="1"/>
    <col min="8462" max="8462" width="2.85546875" customWidth="1"/>
    <col min="8463" max="8463" width="9" bestFit="1" customWidth="1"/>
    <col min="8464" max="8464" width="15.85546875" customWidth="1"/>
    <col min="8705" max="8705" width="8.140625" customWidth="1"/>
    <col min="8706" max="8706" width="2.140625" customWidth="1"/>
    <col min="8707" max="8717" width="11.7109375" customWidth="1"/>
    <col min="8718" max="8718" width="2.85546875" customWidth="1"/>
    <col min="8719" max="8719" width="9" bestFit="1" customWidth="1"/>
    <col min="8720" max="8720" width="15.85546875" customWidth="1"/>
    <col min="8961" max="8961" width="8.140625" customWidth="1"/>
    <col min="8962" max="8962" width="2.140625" customWidth="1"/>
    <col min="8963" max="8973" width="11.7109375" customWidth="1"/>
    <col min="8974" max="8974" width="2.85546875" customWidth="1"/>
    <col min="8975" max="8975" width="9" bestFit="1" customWidth="1"/>
    <col min="8976" max="8976" width="15.85546875" customWidth="1"/>
    <col min="9217" max="9217" width="8.140625" customWidth="1"/>
    <col min="9218" max="9218" width="2.140625" customWidth="1"/>
    <col min="9219" max="9229" width="11.7109375" customWidth="1"/>
    <col min="9230" max="9230" width="2.85546875" customWidth="1"/>
    <col min="9231" max="9231" width="9" bestFit="1" customWidth="1"/>
    <col min="9232" max="9232" width="15.85546875" customWidth="1"/>
    <col min="9473" max="9473" width="8.140625" customWidth="1"/>
    <col min="9474" max="9474" width="2.140625" customWidth="1"/>
    <col min="9475" max="9485" width="11.7109375" customWidth="1"/>
    <col min="9486" max="9486" width="2.85546875" customWidth="1"/>
    <col min="9487" max="9487" width="9" bestFit="1" customWidth="1"/>
    <col min="9488" max="9488" width="15.85546875" customWidth="1"/>
    <col min="9729" max="9729" width="8.140625" customWidth="1"/>
    <col min="9730" max="9730" width="2.140625" customWidth="1"/>
    <col min="9731" max="9741" width="11.7109375" customWidth="1"/>
    <col min="9742" max="9742" width="2.85546875" customWidth="1"/>
    <col min="9743" max="9743" width="9" bestFit="1" customWidth="1"/>
    <col min="9744" max="9744" width="15.85546875" customWidth="1"/>
    <col min="9985" max="9985" width="8.140625" customWidth="1"/>
    <col min="9986" max="9986" width="2.140625" customWidth="1"/>
    <col min="9987" max="9997" width="11.7109375" customWidth="1"/>
    <col min="9998" max="9998" width="2.85546875" customWidth="1"/>
    <col min="9999" max="9999" width="9" bestFit="1" customWidth="1"/>
    <col min="10000" max="10000" width="15.85546875" customWidth="1"/>
    <col min="10241" max="10241" width="8.140625" customWidth="1"/>
    <col min="10242" max="10242" width="2.140625" customWidth="1"/>
    <col min="10243" max="10253" width="11.7109375" customWidth="1"/>
    <col min="10254" max="10254" width="2.85546875" customWidth="1"/>
    <col min="10255" max="10255" width="9" bestFit="1" customWidth="1"/>
    <col min="10256" max="10256" width="15.85546875" customWidth="1"/>
    <col min="10497" max="10497" width="8.140625" customWidth="1"/>
    <col min="10498" max="10498" width="2.140625" customWidth="1"/>
    <col min="10499" max="10509" width="11.7109375" customWidth="1"/>
    <col min="10510" max="10510" width="2.85546875" customWidth="1"/>
    <col min="10511" max="10511" width="9" bestFit="1" customWidth="1"/>
    <col min="10512" max="10512" width="15.85546875" customWidth="1"/>
    <col min="10753" max="10753" width="8.140625" customWidth="1"/>
    <col min="10754" max="10754" width="2.140625" customWidth="1"/>
    <col min="10755" max="10765" width="11.7109375" customWidth="1"/>
    <col min="10766" max="10766" width="2.85546875" customWidth="1"/>
    <col min="10767" max="10767" width="9" bestFit="1" customWidth="1"/>
    <col min="10768" max="10768" width="15.85546875" customWidth="1"/>
    <col min="11009" max="11009" width="8.140625" customWidth="1"/>
    <col min="11010" max="11010" width="2.140625" customWidth="1"/>
    <col min="11011" max="11021" width="11.7109375" customWidth="1"/>
    <col min="11022" max="11022" width="2.85546875" customWidth="1"/>
    <col min="11023" max="11023" width="9" bestFit="1" customWidth="1"/>
    <col min="11024" max="11024" width="15.85546875" customWidth="1"/>
    <col min="11265" max="11265" width="8.140625" customWidth="1"/>
    <col min="11266" max="11266" width="2.140625" customWidth="1"/>
    <col min="11267" max="11277" width="11.7109375" customWidth="1"/>
    <col min="11278" max="11278" width="2.85546875" customWidth="1"/>
    <col min="11279" max="11279" width="9" bestFit="1" customWidth="1"/>
    <col min="11280" max="11280" width="15.85546875" customWidth="1"/>
    <col min="11521" max="11521" width="8.140625" customWidth="1"/>
    <col min="11522" max="11522" width="2.140625" customWidth="1"/>
    <col min="11523" max="11533" width="11.7109375" customWidth="1"/>
    <col min="11534" max="11534" width="2.85546875" customWidth="1"/>
    <col min="11535" max="11535" width="9" bestFit="1" customWidth="1"/>
    <col min="11536" max="11536" width="15.85546875" customWidth="1"/>
    <col min="11777" max="11777" width="8.140625" customWidth="1"/>
    <col min="11778" max="11778" width="2.140625" customWidth="1"/>
    <col min="11779" max="11789" width="11.7109375" customWidth="1"/>
    <col min="11790" max="11790" width="2.85546875" customWidth="1"/>
    <col min="11791" max="11791" width="9" bestFit="1" customWidth="1"/>
    <col min="11792" max="11792" width="15.85546875" customWidth="1"/>
    <col min="12033" max="12033" width="8.140625" customWidth="1"/>
    <col min="12034" max="12034" width="2.140625" customWidth="1"/>
    <col min="12035" max="12045" width="11.7109375" customWidth="1"/>
    <col min="12046" max="12046" width="2.85546875" customWidth="1"/>
    <col min="12047" max="12047" width="9" bestFit="1" customWidth="1"/>
    <col min="12048" max="12048" width="15.85546875" customWidth="1"/>
    <col min="12289" max="12289" width="8.140625" customWidth="1"/>
    <col min="12290" max="12290" width="2.140625" customWidth="1"/>
    <col min="12291" max="12301" width="11.7109375" customWidth="1"/>
    <col min="12302" max="12302" width="2.85546875" customWidth="1"/>
    <col min="12303" max="12303" width="9" bestFit="1" customWidth="1"/>
    <col min="12304" max="12304" width="15.85546875" customWidth="1"/>
    <col min="12545" max="12545" width="8.140625" customWidth="1"/>
    <col min="12546" max="12546" width="2.140625" customWidth="1"/>
    <col min="12547" max="12557" width="11.7109375" customWidth="1"/>
    <col min="12558" max="12558" width="2.85546875" customWidth="1"/>
    <col min="12559" max="12559" width="9" bestFit="1" customWidth="1"/>
    <col min="12560" max="12560" width="15.85546875" customWidth="1"/>
    <col min="12801" max="12801" width="8.140625" customWidth="1"/>
    <col min="12802" max="12802" width="2.140625" customWidth="1"/>
    <col min="12803" max="12813" width="11.7109375" customWidth="1"/>
    <col min="12814" max="12814" width="2.85546875" customWidth="1"/>
    <col min="12815" max="12815" width="9" bestFit="1" customWidth="1"/>
    <col min="12816" max="12816" width="15.85546875" customWidth="1"/>
    <col min="13057" max="13057" width="8.140625" customWidth="1"/>
    <col min="13058" max="13058" width="2.140625" customWidth="1"/>
    <col min="13059" max="13069" width="11.7109375" customWidth="1"/>
    <col min="13070" max="13070" width="2.85546875" customWidth="1"/>
    <col min="13071" max="13071" width="9" bestFit="1" customWidth="1"/>
    <col min="13072" max="13072" width="15.85546875" customWidth="1"/>
    <col min="13313" max="13313" width="8.140625" customWidth="1"/>
    <col min="13314" max="13314" width="2.140625" customWidth="1"/>
    <col min="13315" max="13325" width="11.7109375" customWidth="1"/>
    <col min="13326" max="13326" width="2.85546875" customWidth="1"/>
    <col min="13327" max="13327" width="9" bestFit="1" customWidth="1"/>
    <col min="13328" max="13328" width="15.85546875" customWidth="1"/>
    <col min="13569" max="13569" width="8.140625" customWidth="1"/>
    <col min="13570" max="13570" width="2.140625" customWidth="1"/>
    <col min="13571" max="13581" width="11.7109375" customWidth="1"/>
    <col min="13582" max="13582" width="2.85546875" customWidth="1"/>
    <col min="13583" max="13583" width="9" bestFit="1" customWidth="1"/>
    <col min="13584" max="13584" width="15.85546875" customWidth="1"/>
    <col min="13825" max="13825" width="8.140625" customWidth="1"/>
    <col min="13826" max="13826" width="2.140625" customWidth="1"/>
    <col min="13827" max="13837" width="11.7109375" customWidth="1"/>
    <col min="13838" max="13838" width="2.85546875" customWidth="1"/>
    <col min="13839" max="13839" width="9" bestFit="1" customWidth="1"/>
    <col min="13840" max="13840" width="15.85546875" customWidth="1"/>
    <col min="14081" max="14081" width="8.140625" customWidth="1"/>
    <col min="14082" max="14082" width="2.140625" customWidth="1"/>
    <col min="14083" max="14093" width="11.7109375" customWidth="1"/>
    <col min="14094" max="14094" width="2.85546875" customWidth="1"/>
    <col min="14095" max="14095" width="9" bestFit="1" customWidth="1"/>
    <col min="14096" max="14096" width="15.85546875" customWidth="1"/>
    <col min="14337" max="14337" width="8.140625" customWidth="1"/>
    <col min="14338" max="14338" width="2.140625" customWidth="1"/>
    <col min="14339" max="14349" width="11.7109375" customWidth="1"/>
    <col min="14350" max="14350" width="2.85546875" customWidth="1"/>
    <col min="14351" max="14351" width="9" bestFit="1" customWidth="1"/>
    <col min="14352" max="14352" width="15.85546875" customWidth="1"/>
    <col min="14593" max="14593" width="8.140625" customWidth="1"/>
    <col min="14594" max="14594" width="2.140625" customWidth="1"/>
    <col min="14595" max="14605" width="11.7109375" customWidth="1"/>
    <col min="14606" max="14606" width="2.85546875" customWidth="1"/>
    <col min="14607" max="14607" width="9" bestFit="1" customWidth="1"/>
    <col min="14608" max="14608" width="15.85546875" customWidth="1"/>
    <col min="14849" max="14849" width="8.140625" customWidth="1"/>
    <col min="14850" max="14850" width="2.140625" customWidth="1"/>
    <col min="14851" max="14861" width="11.7109375" customWidth="1"/>
    <col min="14862" max="14862" width="2.85546875" customWidth="1"/>
    <col min="14863" max="14863" width="9" bestFit="1" customWidth="1"/>
    <col min="14864" max="14864" width="15.85546875" customWidth="1"/>
    <col min="15105" max="15105" width="8.140625" customWidth="1"/>
    <col min="15106" max="15106" width="2.140625" customWidth="1"/>
    <col min="15107" max="15117" width="11.7109375" customWidth="1"/>
    <col min="15118" max="15118" width="2.85546875" customWidth="1"/>
    <col min="15119" max="15119" width="9" bestFit="1" customWidth="1"/>
    <col min="15120" max="15120" width="15.85546875" customWidth="1"/>
    <col min="15361" max="15361" width="8.140625" customWidth="1"/>
    <col min="15362" max="15362" width="2.140625" customWidth="1"/>
    <col min="15363" max="15373" width="11.7109375" customWidth="1"/>
    <col min="15374" max="15374" width="2.85546875" customWidth="1"/>
    <col min="15375" max="15375" width="9" bestFit="1" customWidth="1"/>
    <col min="15376" max="15376" width="15.85546875" customWidth="1"/>
    <col min="15617" max="15617" width="8.140625" customWidth="1"/>
    <col min="15618" max="15618" width="2.140625" customWidth="1"/>
    <col min="15619" max="15629" width="11.7109375" customWidth="1"/>
    <col min="15630" max="15630" width="2.85546875" customWidth="1"/>
    <col min="15631" max="15631" width="9" bestFit="1" customWidth="1"/>
    <col min="15632" max="15632" width="15.85546875" customWidth="1"/>
    <col min="15873" max="15873" width="8.140625" customWidth="1"/>
    <col min="15874" max="15874" width="2.140625" customWidth="1"/>
    <col min="15875" max="15885" width="11.7109375" customWidth="1"/>
    <col min="15886" max="15886" width="2.85546875" customWidth="1"/>
    <col min="15887" max="15887" width="9" bestFit="1" customWidth="1"/>
    <col min="15888" max="15888" width="15.85546875" customWidth="1"/>
    <col min="16129" max="16129" width="8.140625" customWidth="1"/>
    <col min="16130" max="16130" width="2.140625" customWidth="1"/>
    <col min="16131" max="16141" width="11.7109375" customWidth="1"/>
    <col min="16142" max="16142" width="2.85546875" customWidth="1"/>
    <col min="16143" max="16143" width="9" bestFit="1" customWidth="1"/>
    <col min="16144" max="16144" width="15.85546875" customWidth="1"/>
  </cols>
  <sheetData>
    <row r="1" spans="1:17" x14ac:dyDescent="0.2">
      <c r="A1" s="59" t="s">
        <v>46</v>
      </c>
      <c r="B1" s="60"/>
    </row>
    <row r="2" spans="1:17" x14ac:dyDescent="0.2">
      <c r="A2" s="61" t="str">
        <f>'[9]WUTC_AW of Bellevue_MF'!A1</f>
        <v>Rabanco Ltd (dba Republic Services)</v>
      </c>
      <c r="B2" s="61"/>
    </row>
    <row r="3" spans="1:17" x14ac:dyDescent="0.2">
      <c r="B3" s="70"/>
    </row>
    <row r="4" spans="1:17" x14ac:dyDescent="0.2">
      <c r="B4" s="70"/>
      <c r="C4" s="70"/>
      <c r="D4" s="70"/>
      <c r="E4" s="70"/>
      <c r="F4" s="70"/>
      <c r="G4" s="70"/>
      <c r="H4" s="70"/>
      <c r="I4" s="70"/>
      <c r="J4" s="70"/>
      <c r="K4" s="70"/>
      <c r="L4" s="70"/>
      <c r="M4" s="70"/>
      <c r="O4" s="73" t="str">
        <f>+TEXT(P18,"00.0%")&amp;" of"</f>
        <v>50.0% of</v>
      </c>
    </row>
    <row r="5" spans="1:17" x14ac:dyDescent="0.2">
      <c r="B5" s="70"/>
      <c r="C5" s="63" t="s">
        <v>21</v>
      </c>
      <c r="D5" s="63" t="s">
        <v>22</v>
      </c>
      <c r="E5" s="63" t="s">
        <v>33</v>
      </c>
      <c r="F5" s="63" t="s">
        <v>23</v>
      </c>
      <c r="G5" s="63" t="s">
        <v>24</v>
      </c>
      <c r="H5" s="63" t="s">
        <v>25</v>
      </c>
      <c r="I5" s="63" t="s">
        <v>26</v>
      </c>
      <c r="J5" s="63" t="s">
        <v>27</v>
      </c>
      <c r="K5" s="63" t="s">
        <v>28</v>
      </c>
      <c r="L5" s="63" t="s">
        <v>29</v>
      </c>
      <c r="M5" s="63" t="s">
        <v>30</v>
      </c>
      <c r="O5" s="73" t="s">
        <v>30</v>
      </c>
      <c r="P5" s="63" t="s">
        <v>96</v>
      </c>
    </row>
    <row r="6" spans="1:17" ht="15.75" customHeight="1" x14ac:dyDescent="0.2">
      <c r="A6" s="65">
        <f>+[9]Pricing!A4</f>
        <v>43221</v>
      </c>
      <c r="B6" s="70"/>
      <c r="C6" s="71">
        <f>'[9]Commodity Tonnages'!C6*[9]Pricing!C4</f>
        <v>299.92237874999995</v>
      </c>
      <c r="D6" s="74">
        <f>'[9]Commodity Tonnages'!D6*[9]Pricing!D4</f>
        <v>-164.92819824</v>
      </c>
      <c r="E6" s="74">
        <f>'[9]Commodity Tonnages'!E6*[9]Pricing!E4</f>
        <v>0</v>
      </c>
      <c r="F6" s="74">
        <f>'[9]Commodity Tonnages'!F6*[9]Pricing!F4</f>
        <v>55.231030799999999</v>
      </c>
      <c r="G6" s="74">
        <f>'[9]Commodity Tonnages'!G6*[9]Pricing!G4</f>
        <v>0</v>
      </c>
      <c r="H6" s="74">
        <f>'[9]Commodity Tonnages'!H6*[9]Pricing!H4</f>
        <v>-273.11241743999989</v>
      </c>
      <c r="I6" s="74">
        <f>'[9]Commodity Tonnages'!I6*[9]Pricing!I4</f>
        <v>83.297516895000001</v>
      </c>
      <c r="J6" s="74">
        <f>'[9]Commodity Tonnages'!J6*[9]Pricing!J4</f>
        <v>83.297516895000001</v>
      </c>
      <c r="K6" s="74">
        <f>'[9]Commodity Tonnages'!K6*[9]Pricing!K4</f>
        <v>286.40189951999997</v>
      </c>
      <c r="L6" s="74">
        <f>'[9]Commodity Tonnages'!L6*[9]Pricing!L4</f>
        <v>-294.74523591000064</v>
      </c>
      <c r="M6" s="169">
        <f>SUM(C6:L6)</f>
        <v>75.364491269999405</v>
      </c>
      <c r="O6" s="98">
        <f>M6*P6</f>
        <v>37.682245634999703</v>
      </c>
      <c r="P6" s="339">
        <v>0.5</v>
      </c>
      <c r="Q6" s="170"/>
    </row>
    <row r="7" spans="1:17" ht="15.75" customHeight="1" x14ac:dyDescent="0.2">
      <c r="A7" s="65">
        <f>+[9]Pricing!A5</f>
        <v>43281</v>
      </c>
      <c r="B7" s="70"/>
      <c r="C7" s="71">
        <f>'[9]Commodity Tonnages'!C7*[9]Pricing!C5</f>
        <v>163.60783049999998</v>
      </c>
      <c r="D7" s="74">
        <f>'[9]Commodity Tonnages'!D7*[9]Pricing!D5</f>
        <v>-65.91876615999999</v>
      </c>
      <c r="E7" s="74">
        <f>'[9]Commodity Tonnages'!E7*[9]Pricing!E5</f>
        <v>0</v>
      </c>
      <c r="F7" s="74">
        <f>'[9]Commodity Tonnages'!F7*[9]Pricing!F5</f>
        <v>29.929915949999998</v>
      </c>
      <c r="G7" s="74">
        <f>'[9]Commodity Tonnages'!G7*[9]Pricing!G5</f>
        <v>0</v>
      </c>
      <c r="H7" s="74">
        <f>'[9]Commodity Tonnages'!H7*[9]Pricing!H5</f>
        <v>20.144863999999991</v>
      </c>
      <c r="I7" s="74">
        <f>'[9]Commodity Tonnages'!I7*[9]Pricing!I5</f>
        <v>38.486941979999997</v>
      </c>
      <c r="J7" s="74">
        <f>'[9]Commodity Tonnages'!J7*[9]Pricing!J5</f>
        <v>38.486941979999997</v>
      </c>
      <c r="K7" s="74">
        <f>'[9]Commodity Tonnages'!K7*[9]Pricing!K5</f>
        <v>208.76912297999996</v>
      </c>
      <c r="L7" s="74">
        <f>'[9]Commodity Tonnages'!L7*[9]Pricing!L5</f>
        <v>-155.55333463000034</v>
      </c>
      <c r="M7" s="169">
        <f t="shared" ref="M7:M17" si="0">SUM(C7:L7)</f>
        <v>277.9535165999996</v>
      </c>
      <c r="O7" s="98">
        <f t="shared" ref="O7:O17" si="1">M7*P7</f>
        <v>138.9767582999998</v>
      </c>
      <c r="P7" s="339">
        <v>0.5</v>
      </c>
      <c r="Q7" s="170"/>
    </row>
    <row r="8" spans="1:17" ht="15.75" customHeight="1" x14ac:dyDescent="0.2">
      <c r="A8" s="65">
        <f>+[9]Pricing!A6</f>
        <v>43312</v>
      </c>
      <c r="B8" s="66"/>
      <c r="C8" s="71">
        <f>'[9]Commodity Tonnages'!C8*[9]Pricing!C6</f>
        <v>267.85356675000003</v>
      </c>
      <c r="D8" s="74">
        <f>'[9]Commodity Tonnages'!D8*[9]Pricing!D6</f>
        <v>-21.163331280000001</v>
      </c>
      <c r="E8" s="74">
        <f>'[9]Commodity Tonnages'!E8*[9]Pricing!E6</f>
        <v>0</v>
      </c>
      <c r="F8" s="74">
        <f>'[9]Commodity Tonnages'!F8*[9]Pricing!F6</f>
        <v>50.37848970000001</v>
      </c>
      <c r="G8" s="74">
        <f>'[9]Commodity Tonnages'!G8*[9]Pricing!G6</f>
        <v>0</v>
      </c>
      <c r="H8" s="74">
        <f>'[9]Commodity Tonnages'!H8*[9]Pricing!H6</f>
        <v>72.605593759999991</v>
      </c>
      <c r="I8" s="74">
        <f>'[9]Commodity Tonnages'!I8*[9]Pricing!I6</f>
        <v>82.222718655000008</v>
      </c>
      <c r="J8" s="74">
        <f>'[9]Commodity Tonnages'!J8*[9]Pricing!J6</f>
        <v>82.222718655000008</v>
      </c>
      <c r="K8" s="74">
        <f>'[9]Commodity Tonnages'!K8*[9]Pricing!K6</f>
        <v>408.57364547999998</v>
      </c>
      <c r="L8" s="74">
        <f>'[9]Commodity Tonnages'!L8*[9]Pricing!L6</f>
        <v>-267.60920011000059</v>
      </c>
      <c r="M8" s="169">
        <f t="shared" si="0"/>
        <v>675.08420160999935</v>
      </c>
      <c r="O8" s="98">
        <f t="shared" si="1"/>
        <v>337.54210080499968</v>
      </c>
      <c r="P8" s="339">
        <v>0.5</v>
      </c>
      <c r="Q8" s="170"/>
    </row>
    <row r="9" spans="1:17" ht="15.75" customHeight="1" x14ac:dyDescent="0.2">
      <c r="A9" s="65">
        <f>+[9]Pricing!A7</f>
        <v>43343</v>
      </c>
      <c r="B9" s="66"/>
      <c r="C9" s="71">
        <f>'[9]Commodity Tonnages'!C9*[9]Pricing!C7</f>
        <v>215.20951650000003</v>
      </c>
      <c r="D9" s="74">
        <f>'[9]Commodity Tonnages'!D9*[9]Pricing!D7</f>
        <v>3.5246140800000005</v>
      </c>
      <c r="E9" s="74">
        <f>'[9]Commodity Tonnages'!E9*[9]Pricing!E7</f>
        <v>0</v>
      </c>
      <c r="F9" s="74">
        <f>'[9]Commodity Tonnages'!F9*[9]Pricing!F7</f>
        <v>27.492943500000003</v>
      </c>
      <c r="G9" s="74">
        <f>'[9]Commodity Tonnages'!G9*[9]Pricing!G7</f>
        <v>0</v>
      </c>
      <c r="H9" s="74">
        <f>'[9]Commodity Tonnages'!H9*[9]Pricing!H7</f>
        <v>117.22822463999997</v>
      </c>
      <c r="I9" s="74">
        <f>'[9]Commodity Tonnages'!I9*[9]Pricing!I7</f>
        <v>101.90930550000002</v>
      </c>
      <c r="J9" s="74">
        <f>'[9]Commodity Tonnages'!J9*[9]Pricing!J7</f>
        <v>101.90930550000002</v>
      </c>
      <c r="K9" s="74">
        <f>'[9]Commodity Tonnages'!K9*[9]Pricing!K7</f>
        <v>291.11493311999999</v>
      </c>
      <c r="L9" s="74">
        <f>'[9]Commodity Tonnages'!L9*[9]Pricing!L7</f>
        <v>-215.01317778000049</v>
      </c>
      <c r="M9" s="169">
        <f>SUM(C9:L9)</f>
        <v>643.37566505999962</v>
      </c>
      <c r="O9" s="98">
        <f t="shared" si="1"/>
        <v>321.68783252999981</v>
      </c>
      <c r="P9" s="339">
        <v>0.5</v>
      </c>
      <c r="Q9" s="170"/>
    </row>
    <row r="10" spans="1:17" ht="15.75" customHeight="1" x14ac:dyDescent="0.2">
      <c r="A10" s="65">
        <f>+[9]Pricing!A8</f>
        <v>43373</v>
      </c>
      <c r="B10" s="66"/>
      <c r="C10" s="71">
        <f>'[9]Commodity Tonnages'!C10*[9]Pricing!C8</f>
        <v>180.80299049999999</v>
      </c>
      <c r="D10" s="74">
        <f>'[9]Commodity Tonnages'!D10*[9]Pricing!D8</f>
        <v>-66.29414792</v>
      </c>
      <c r="E10" s="74">
        <f>'[9]Commodity Tonnages'!E10*[9]Pricing!E8</f>
        <v>0</v>
      </c>
      <c r="F10" s="74">
        <f>'[9]Commodity Tonnages'!F10*[9]Pricing!F8</f>
        <v>29.454636750000002</v>
      </c>
      <c r="G10" s="74">
        <f>'[9]Commodity Tonnages'!G10*[9]Pricing!G8</f>
        <v>0</v>
      </c>
      <c r="H10" s="74">
        <f>'[9]Commodity Tonnages'!H10*[9]Pricing!H8</f>
        <v>356.30620959999982</v>
      </c>
      <c r="I10" s="74">
        <f>'[9]Commodity Tonnages'!I10*[9]Pricing!I8</f>
        <v>45.358269604999997</v>
      </c>
      <c r="J10" s="74">
        <f>'[9]Commodity Tonnages'!J10*[9]Pricing!J8</f>
        <v>45.358269604999997</v>
      </c>
      <c r="K10" s="74">
        <f>'[9]Commodity Tonnages'!K10*[9]Pricing!K8</f>
        <v>291.61993410000002</v>
      </c>
      <c r="L10" s="74">
        <f>'[9]Commodity Tonnages'!L10*[9]Pricing!L8</f>
        <v>-204.55782281000043</v>
      </c>
      <c r="M10" s="169">
        <f t="shared" si="0"/>
        <v>678.04833942999949</v>
      </c>
      <c r="O10" s="98">
        <f t="shared" si="1"/>
        <v>339.02416971499974</v>
      </c>
      <c r="P10" s="339">
        <v>0.5</v>
      </c>
      <c r="Q10" s="170"/>
    </row>
    <row r="11" spans="1:17" ht="15.75" customHeight="1" x14ac:dyDescent="0.2">
      <c r="A11" s="65">
        <f>+[9]Pricing!A9</f>
        <v>43404</v>
      </c>
      <c r="B11" s="66"/>
      <c r="C11" s="71">
        <f>'[9]Commodity Tonnages'!C11*[9]Pricing!C9</f>
        <v>182.63594699999999</v>
      </c>
      <c r="D11" s="74">
        <f>'[9]Commodity Tonnages'!D11*[9]Pricing!D9</f>
        <v>-78.161229120000016</v>
      </c>
      <c r="E11" s="74">
        <f>'[9]Commodity Tonnages'!E11*[9]Pricing!E9</f>
        <v>0</v>
      </c>
      <c r="F11" s="74">
        <f>'[9]Commodity Tonnages'!F11*[9]Pricing!F9</f>
        <v>34.210004400000003</v>
      </c>
      <c r="G11" s="74">
        <f>'[9]Commodity Tonnages'!G11*[9]Pricing!G9</f>
        <v>0</v>
      </c>
      <c r="H11" s="74">
        <f>'[9]Commodity Tonnages'!H11*[9]Pricing!H9</f>
        <v>353.1916627199999</v>
      </c>
      <c r="I11" s="74">
        <f>'[9]Commodity Tonnages'!I11*[9]Pricing!I9</f>
        <v>44.807847240000008</v>
      </c>
      <c r="J11" s="74">
        <f>'[9]Commodity Tonnages'!J11*[9]Pricing!J9</f>
        <v>44.807847240000008</v>
      </c>
      <c r="K11" s="74">
        <f>'[9]Commodity Tonnages'!K11*[9]Pricing!K9</f>
        <v>338.74993152000002</v>
      </c>
      <c r="L11" s="74">
        <f>'[9]Commodity Tonnages'!L11*[9]Pricing!L9</f>
        <v>-211.66107924000048</v>
      </c>
      <c r="M11" s="169">
        <f t="shared" si="0"/>
        <v>708.58093175999943</v>
      </c>
      <c r="O11" s="98">
        <f t="shared" si="1"/>
        <v>354.29046587999972</v>
      </c>
      <c r="P11" s="339">
        <v>0.5</v>
      </c>
      <c r="Q11" s="170"/>
    </row>
    <row r="12" spans="1:17" ht="15.75" customHeight="1" x14ac:dyDescent="0.2">
      <c r="A12" s="65">
        <f>+[9]Pricing!A10</f>
        <v>43434</v>
      </c>
      <c r="B12" s="66"/>
      <c r="C12" s="71">
        <f>'[9]Commodity Tonnages'!C12*[9]Pricing!C10</f>
        <v>0</v>
      </c>
      <c r="D12" s="74">
        <f>'[9]Commodity Tonnages'!D12*[9]Pricing!D10</f>
        <v>0</v>
      </c>
      <c r="E12" s="74">
        <f>'[9]Commodity Tonnages'!E12*[9]Pricing!E10</f>
        <v>0</v>
      </c>
      <c r="F12" s="74">
        <f>'[9]Commodity Tonnages'!F12*[9]Pricing!F10</f>
        <v>0</v>
      </c>
      <c r="G12" s="74">
        <f>'[9]Commodity Tonnages'!G12*[9]Pricing!G10</f>
        <v>0</v>
      </c>
      <c r="H12" s="74">
        <f>'[9]Commodity Tonnages'!H12*[9]Pricing!H10</f>
        <v>0</v>
      </c>
      <c r="I12" s="74">
        <f>'[9]Commodity Tonnages'!I12*[9]Pricing!I10</f>
        <v>0</v>
      </c>
      <c r="J12" s="74">
        <f>'[9]Commodity Tonnages'!J12*[9]Pricing!J10</f>
        <v>0</v>
      </c>
      <c r="K12" s="74">
        <f>'[9]Commodity Tonnages'!K12*[9]Pricing!K10</f>
        <v>0</v>
      </c>
      <c r="L12" s="74">
        <f>'[9]Commodity Tonnages'!L12*[9]Pricing!L10</f>
        <v>0</v>
      </c>
      <c r="M12" s="169">
        <f t="shared" si="0"/>
        <v>0</v>
      </c>
      <c r="O12" s="98">
        <f t="shared" si="1"/>
        <v>0</v>
      </c>
      <c r="P12" s="339">
        <v>0.5</v>
      </c>
      <c r="Q12" s="170"/>
    </row>
    <row r="13" spans="1:17" ht="15.75" customHeight="1" x14ac:dyDescent="0.2">
      <c r="A13" s="65">
        <f>+[9]Pricing!A11</f>
        <v>43465</v>
      </c>
      <c r="B13" s="66"/>
      <c r="C13" s="71">
        <f>'[9]Commodity Tonnages'!C13*[9]Pricing!C11</f>
        <v>0</v>
      </c>
      <c r="D13" s="74">
        <f>'[9]Commodity Tonnages'!D13*[9]Pricing!D11</f>
        <v>0</v>
      </c>
      <c r="E13" s="74">
        <f>'[9]Commodity Tonnages'!E13*[9]Pricing!E11</f>
        <v>0</v>
      </c>
      <c r="F13" s="74">
        <f>'[9]Commodity Tonnages'!F13*[9]Pricing!F11</f>
        <v>0</v>
      </c>
      <c r="G13" s="74">
        <f>'[9]Commodity Tonnages'!G13*[9]Pricing!G11</f>
        <v>0</v>
      </c>
      <c r="H13" s="74">
        <f>'[9]Commodity Tonnages'!H13*[9]Pricing!H11</f>
        <v>0</v>
      </c>
      <c r="I13" s="74">
        <f>'[9]Commodity Tonnages'!I13*[9]Pricing!I11</f>
        <v>0</v>
      </c>
      <c r="J13" s="74">
        <f>'[9]Commodity Tonnages'!J13*[9]Pricing!J11</f>
        <v>0</v>
      </c>
      <c r="K13" s="74">
        <f>'[9]Commodity Tonnages'!K13*[9]Pricing!K11</f>
        <v>0</v>
      </c>
      <c r="L13" s="74">
        <f>'[9]Commodity Tonnages'!L13*[9]Pricing!L11</f>
        <v>0</v>
      </c>
      <c r="M13" s="169">
        <f t="shared" si="0"/>
        <v>0</v>
      </c>
      <c r="O13" s="98">
        <f t="shared" si="1"/>
        <v>0</v>
      </c>
      <c r="P13" s="339">
        <v>0.5</v>
      </c>
      <c r="Q13" s="170"/>
    </row>
    <row r="14" spans="1:17" ht="15.75" customHeight="1" x14ac:dyDescent="0.2">
      <c r="A14" s="65">
        <f>+[9]Pricing!A12</f>
        <v>43496</v>
      </c>
      <c r="B14" s="66"/>
      <c r="C14" s="71">
        <f>'[9]Commodity Tonnages'!C14*[9]Pricing!C12</f>
        <v>0</v>
      </c>
      <c r="D14" s="74">
        <f>'[9]Commodity Tonnages'!D14*[9]Pricing!D12</f>
        <v>0</v>
      </c>
      <c r="E14" s="74">
        <f>'[9]Commodity Tonnages'!E14*[9]Pricing!E12</f>
        <v>0</v>
      </c>
      <c r="F14" s="74">
        <f>'[9]Commodity Tonnages'!F14*[9]Pricing!F12</f>
        <v>0</v>
      </c>
      <c r="G14" s="74">
        <f>'[9]Commodity Tonnages'!G14*[9]Pricing!G12</f>
        <v>0</v>
      </c>
      <c r="H14" s="74">
        <f>'[9]Commodity Tonnages'!H14*[9]Pricing!H12</f>
        <v>0</v>
      </c>
      <c r="I14" s="74">
        <f>'[9]Commodity Tonnages'!I14*[9]Pricing!I12</f>
        <v>0</v>
      </c>
      <c r="J14" s="74">
        <f>'[9]Commodity Tonnages'!J14*[9]Pricing!J12</f>
        <v>0</v>
      </c>
      <c r="K14" s="74">
        <f>'[9]Commodity Tonnages'!K14*[9]Pricing!K12</f>
        <v>0</v>
      </c>
      <c r="L14" s="74">
        <f>'[9]Commodity Tonnages'!L14*[9]Pricing!L12</f>
        <v>0</v>
      </c>
      <c r="M14" s="169">
        <f t="shared" si="0"/>
        <v>0</v>
      </c>
      <c r="O14" s="98">
        <f t="shared" si="1"/>
        <v>0</v>
      </c>
      <c r="P14" s="339">
        <v>0.5</v>
      </c>
      <c r="Q14" s="170"/>
    </row>
    <row r="15" spans="1:17" ht="15.75" customHeight="1" x14ac:dyDescent="0.2">
      <c r="A15" s="65">
        <f>+[9]Pricing!A13</f>
        <v>43524</v>
      </c>
      <c r="B15" s="66"/>
      <c r="C15" s="71">
        <f>'[9]Commodity Tonnages'!C15*[9]Pricing!C13</f>
        <v>0</v>
      </c>
      <c r="D15" s="74">
        <f>'[9]Commodity Tonnages'!D15*[9]Pricing!D13</f>
        <v>0</v>
      </c>
      <c r="E15" s="74">
        <f>'[9]Commodity Tonnages'!E15*[9]Pricing!E13</f>
        <v>0</v>
      </c>
      <c r="F15" s="74">
        <f>'[9]Commodity Tonnages'!F15*[9]Pricing!F13</f>
        <v>0</v>
      </c>
      <c r="G15" s="74">
        <f>'[9]Commodity Tonnages'!G15*[9]Pricing!G13</f>
        <v>0</v>
      </c>
      <c r="H15" s="74">
        <f>'[9]Commodity Tonnages'!H15*[9]Pricing!H13</f>
        <v>0</v>
      </c>
      <c r="I15" s="74">
        <f>'[9]Commodity Tonnages'!I15*[9]Pricing!I13</f>
        <v>0</v>
      </c>
      <c r="J15" s="74">
        <f>'[9]Commodity Tonnages'!J15*[9]Pricing!J13</f>
        <v>0</v>
      </c>
      <c r="K15" s="74">
        <f>'[9]Commodity Tonnages'!K15*[9]Pricing!K13</f>
        <v>0</v>
      </c>
      <c r="L15" s="74">
        <f>'[9]Commodity Tonnages'!L15*[9]Pricing!L13</f>
        <v>0</v>
      </c>
      <c r="M15" s="169">
        <f t="shared" si="0"/>
        <v>0</v>
      </c>
      <c r="O15" s="98">
        <f t="shared" si="1"/>
        <v>0</v>
      </c>
      <c r="P15" s="339">
        <v>0.5</v>
      </c>
      <c r="Q15" s="170"/>
    </row>
    <row r="16" spans="1:17" ht="15.75" customHeight="1" x14ac:dyDescent="0.2">
      <c r="A16" s="65">
        <f>+[9]Pricing!A14</f>
        <v>43555</v>
      </c>
      <c r="B16" s="66"/>
      <c r="C16" s="71">
        <f>'[9]Commodity Tonnages'!C16*[9]Pricing!C14</f>
        <v>0</v>
      </c>
      <c r="D16" s="74">
        <f>'[9]Commodity Tonnages'!D16*[9]Pricing!D14</f>
        <v>0</v>
      </c>
      <c r="E16" s="74">
        <f>'[9]Commodity Tonnages'!E16*[9]Pricing!E14</f>
        <v>0</v>
      </c>
      <c r="F16" s="74">
        <f>'[9]Commodity Tonnages'!F16*[9]Pricing!F14</f>
        <v>0</v>
      </c>
      <c r="G16" s="74">
        <f>'[9]Commodity Tonnages'!G16*[9]Pricing!G14</f>
        <v>0</v>
      </c>
      <c r="H16" s="74">
        <f>'[9]Commodity Tonnages'!H16*[9]Pricing!H14</f>
        <v>0</v>
      </c>
      <c r="I16" s="74">
        <f>'[9]Commodity Tonnages'!I16*[9]Pricing!I14</f>
        <v>0</v>
      </c>
      <c r="J16" s="74">
        <f>'[9]Commodity Tonnages'!J16*[9]Pricing!J14</f>
        <v>0</v>
      </c>
      <c r="K16" s="74">
        <f>'[9]Commodity Tonnages'!K16*[9]Pricing!K14</f>
        <v>0</v>
      </c>
      <c r="L16" s="74">
        <f>'[9]Commodity Tonnages'!L16*[9]Pricing!L14</f>
        <v>0</v>
      </c>
      <c r="M16" s="169">
        <f t="shared" si="0"/>
        <v>0</v>
      </c>
      <c r="O16" s="98">
        <f t="shared" si="1"/>
        <v>0</v>
      </c>
      <c r="P16" s="339">
        <v>0.5</v>
      </c>
      <c r="Q16" s="170"/>
    </row>
    <row r="17" spans="1:17" ht="15.75" customHeight="1" x14ac:dyDescent="0.2">
      <c r="A17" s="65">
        <f>+[9]Pricing!A15</f>
        <v>43585</v>
      </c>
      <c r="B17" s="66"/>
      <c r="C17" s="71">
        <f>'[9]Commodity Tonnages'!C17*[9]Pricing!C15</f>
        <v>0</v>
      </c>
      <c r="D17" s="74">
        <f>'[9]Commodity Tonnages'!D17*[9]Pricing!D15</f>
        <v>0</v>
      </c>
      <c r="E17" s="74">
        <f>'[9]Commodity Tonnages'!E17*[9]Pricing!E15</f>
        <v>0</v>
      </c>
      <c r="F17" s="74">
        <f>'[9]Commodity Tonnages'!F17*[9]Pricing!F15</f>
        <v>0</v>
      </c>
      <c r="G17" s="74">
        <f>'[9]Commodity Tonnages'!G17*[9]Pricing!G15</f>
        <v>0</v>
      </c>
      <c r="H17" s="74">
        <f>'[9]Commodity Tonnages'!H17*[9]Pricing!H15</f>
        <v>0</v>
      </c>
      <c r="I17" s="74">
        <f>'[9]Commodity Tonnages'!I17*[9]Pricing!I15</f>
        <v>0</v>
      </c>
      <c r="J17" s="74">
        <f>'[9]Commodity Tonnages'!J17*[9]Pricing!J15</f>
        <v>0</v>
      </c>
      <c r="K17" s="74">
        <f>'[9]Commodity Tonnages'!K17*[9]Pricing!K15</f>
        <v>0</v>
      </c>
      <c r="L17" s="74">
        <f>'[9]Commodity Tonnages'!L17*[9]Pricing!L15</f>
        <v>0</v>
      </c>
      <c r="M17" s="169">
        <f t="shared" si="0"/>
        <v>0</v>
      </c>
      <c r="O17" s="98">
        <f t="shared" si="1"/>
        <v>0</v>
      </c>
      <c r="P17" s="339">
        <v>0.5</v>
      </c>
      <c r="Q17" s="170"/>
    </row>
    <row r="18" spans="1:17" ht="15.75" customHeight="1" x14ac:dyDescent="0.2">
      <c r="A18" s="69" t="s">
        <v>32</v>
      </c>
      <c r="B18" s="66"/>
      <c r="C18" s="132">
        <f t="shared" ref="C18:L18" si="2">SUM(C6:C17)</f>
        <v>1310.03223</v>
      </c>
      <c r="D18" s="133">
        <f t="shared" si="2"/>
        <v>-392.94105864000005</v>
      </c>
      <c r="E18" s="133">
        <f t="shared" si="2"/>
        <v>0</v>
      </c>
      <c r="F18" s="132">
        <f t="shared" si="2"/>
        <v>226.6970211</v>
      </c>
      <c r="G18" s="132">
        <f t="shared" si="2"/>
        <v>0</v>
      </c>
      <c r="H18" s="132">
        <f t="shared" si="2"/>
        <v>646.3641372799998</v>
      </c>
      <c r="I18" s="132">
        <f t="shared" si="2"/>
        <v>396.08259987499997</v>
      </c>
      <c r="J18" s="132">
        <f t="shared" si="2"/>
        <v>396.08259987499997</v>
      </c>
      <c r="K18" s="132">
        <f t="shared" si="2"/>
        <v>1825.2294667200001</v>
      </c>
      <c r="L18" s="133">
        <f t="shared" si="2"/>
        <v>-1349.1398504800029</v>
      </c>
      <c r="M18" s="171">
        <f>SUM(C18:L18)</f>
        <v>3058.407145729997</v>
      </c>
      <c r="O18" s="135">
        <f>SUM(O6:O17)</f>
        <v>1529.2035728649985</v>
      </c>
      <c r="P18" s="172">
        <f>+O18/M18</f>
        <v>0.5</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A102"/>
  <sheetViews>
    <sheetView workbookViewId="0">
      <selection activeCell="D39" sqref="D39"/>
    </sheetView>
  </sheetViews>
  <sheetFormatPr defaultRowHeight="12.75" x14ac:dyDescent="0.2"/>
  <cols>
    <col min="1" max="1" width="20.7109375" style="5" customWidth="1"/>
    <col min="2" max="2" width="14"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6.5703125" style="5" bestFit="1" customWidth="1"/>
    <col min="10" max="10" width="9.42578125" style="5" customWidth="1"/>
    <col min="11" max="11" width="4.7109375" style="5" bestFit="1" customWidth="1"/>
    <col min="12" max="12" width="8.5703125" style="5" customWidth="1"/>
    <col min="13" max="13" width="9.5703125" style="5" customWidth="1"/>
    <col min="14" max="14" width="9.5703125" style="5" hidden="1" customWidth="1"/>
    <col min="15" max="15" width="15.28515625" style="5" hidden="1" customWidth="1"/>
    <col min="16" max="16" width="36.7109375" style="5"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0.7109375" style="5" customWidth="1"/>
    <col min="258" max="258" width="14" style="5" customWidth="1"/>
    <col min="259" max="259" width="4.42578125" style="5" customWidth="1"/>
    <col min="260" max="260" width="11.28515625" style="5" customWidth="1"/>
    <col min="261" max="261" width="7" style="5" customWidth="1"/>
    <col min="262" max="262" width="13" style="5" customWidth="1"/>
    <col min="263" max="263" width="8.7109375" style="5" customWidth="1"/>
    <col min="264" max="264" width="4.7109375" style="5" bestFit="1" customWidth="1"/>
    <col min="265" max="265" width="10.7109375" style="5" bestFit="1" customWidth="1"/>
    <col min="266" max="266" width="9.42578125" style="5" customWidth="1"/>
    <col min="267" max="267" width="4.7109375" style="5" bestFit="1" customWidth="1"/>
    <col min="268" max="268" width="8.5703125" style="5" customWidth="1"/>
    <col min="269" max="269" width="9.5703125" style="5" customWidth="1"/>
    <col min="270" max="271" width="0" style="5" hidden="1" customWidth="1"/>
    <col min="272" max="272" width="36.7109375" style="5"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0.7109375" style="5" customWidth="1"/>
    <col min="514" max="514" width="14" style="5" customWidth="1"/>
    <col min="515" max="515" width="4.42578125" style="5" customWidth="1"/>
    <col min="516" max="516" width="11.28515625" style="5" customWidth="1"/>
    <col min="517" max="517" width="7" style="5" customWidth="1"/>
    <col min="518" max="518" width="13" style="5" customWidth="1"/>
    <col min="519" max="519" width="8.7109375" style="5" customWidth="1"/>
    <col min="520" max="520" width="4.7109375" style="5" bestFit="1" customWidth="1"/>
    <col min="521" max="521" width="10.7109375" style="5" bestFit="1" customWidth="1"/>
    <col min="522" max="522" width="9.42578125" style="5" customWidth="1"/>
    <col min="523" max="523" width="4.7109375" style="5" bestFit="1" customWidth="1"/>
    <col min="524" max="524" width="8.5703125" style="5" customWidth="1"/>
    <col min="525" max="525" width="9.5703125" style="5" customWidth="1"/>
    <col min="526" max="527" width="0" style="5" hidden="1" customWidth="1"/>
    <col min="528" max="528" width="36.7109375" style="5"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0.7109375" style="5" customWidth="1"/>
    <col min="770" max="770" width="14" style="5" customWidth="1"/>
    <col min="771" max="771" width="4.42578125" style="5" customWidth="1"/>
    <col min="772" max="772" width="11.28515625" style="5" customWidth="1"/>
    <col min="773" max="773" width="7" style="5" customWidth="1"/>
    <col min="774" max="774" width="13" style="5" customWidth="1"/>
    <col min="775" max="775" width="8.7109375" style="5" customWidth="1"/>
    <col min="776" max="776" width="4.7109375" style="5" bestFit="1" customWidth="1"/>
    <col min="777" max="777" width="10.7109375" style="5" bestFit="1" customWidth="1"/>
    <col min="778" max="778" width="9.42578125" style="5" customWidth="1"/>
    <col min="779" max="779" width="4.7109375" style="5" bestFit="1" customWidth="1"/>
    <col min="780" max="780" width="8.5703125" style="5" customWidth="1"/>
    <col min="781" max="781" width="9.5703125" style="5" customWidth="1"/>
    <col min="782" max="783" width="0" style="5" hidden="1" customWidth="1"/>
    <col min="784" max="784" width="36.7109375" style="5"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0.7109375" style="5" customWidth="1"/>
    <col min="1026" max="1026" width="14" style="5" customWidth="1"/>
    <col min="1027" max="1027" width="4.42578125" style="5" customWidth="1"/>
    <col min="1028" max="1028" width="11.28515625" style="5" customWidth="1"/>
    <col min="1029" max="1029" width="7" style="5" customWidth="1"/>
    <col min="1030" max="1030" width="13" style="5" customWidth="1"/>
    <col min="1031" max="1031" width="8.7109375" style="5" customWidth="1"/>
    <col min="1032" max="1032" width="4.7109375" style="5" bestFit="1" customWidth="1"/>
    <col min="1033" max="1033" width="10.7109375" style="5" bestFit="1" customWidth="1"/>
    <col min="1034" max="1034" width="9.42578125" style="5" customWidth="1"/>
    <col min="1035" max="1035" width="4.7109375" style="5" bestFit="1" customWidth="1"/>
    <col min="1036" max="1036" width="8.5703125" style="5" customWidth="1"/>
    <col min="1037" max="1037" width="9.5703125" style="5" customWidth="1"/>
    <col min="1038" max="1039" width="0" style="5" hidden="1" customWidth="1"/>
    <col min="1040" max="1040" width="36.7109375" style="5"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0.7109375" style="5" customWidth="1"/>
    <col min="1282" max="1282" width="14" style="5" customWidth="1"/>
    <col min="1283" max="1283" width="4.42578125" style="5" customWidth="1"/>
    <col min="1284" max="1284" width="11.28515625" style="5" customWidth="1"/>
    <col min="1285" max="1285" width="7" style="5" customWidth="1"/>
    <col min="1286" max="1286" width="13" style="5" customWidth="1"/>
    <col min="1287" max="1287" width="8.7109375" style="5" customWidth="1"/>
    <col min="1288" max="1288" width="4.7109375" style="5" bestFit="1" customWidth="1"/>
    <col min="1289" max="1289" width="10.7109375" style="5" bestFit="1" customWidth="1"/>
    <col min="1290" max="1290" width="9.42578125" style="5" customWidth="1"/>
    <col min="1291" max="1291" width="4.7109375" style="5" bestFit="1" customWidth="1"/>
    <col min="1292" max="1292" width="8.5703125" style="5" customWidth="1"/>
    <col min="1293" max="1293" width="9.5703125" style="5" customWidth="1"/>
    <col min="1294" max="1295" width="0" style="5" hidden="1" customWidth="1"/>
    <col min="1296" max="1296" width="36.7109375" style="5"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0.7109375" style="5" customWidth="1"/>
    <col min="1538" max="1538" width="14" style="5" customWidth="1"/>
    <col min="1539" max="1539" width="4.42578125" style="5" customWidth="1"/>
    <col min="1540" max="1540" width="11.28515625" style="5" customWidth="1"/>
    <col min="1541" max="1541" width="7" style="5" customWidth="1"/>
    <col min="1542" max="1542" width="13" style="5" customWidth="1"/>
    <col min="1543" max="1543" width="8.7109375" style="5" customWidth="1"/>
    <col min="1544" max="1544" width="4.7109375" style="5" bestFit="1" customWidth="1"/>
    <col min="1545" max="1545" width="10.7109375" style="5" bestFit="1" customWidth="1"/>
    <col min="1546" max="1546" width="9.42578125" style="5" customWidth="1"/>
    <col min="1547" max="1547" width="4.7109375" style="5" bestFit="1" customWidth="1"/>
    <col min="1548" max="1548" width="8.5703125" style="5" customWidth="1"/>
    <col min="1549" max="1549" width="9.5703125" style="5" customWidth="1"/>
    <col min="1550" max="1551" width="0" style="5" hidden="1" customWidth="1"/>
    <col min="1552" max="1552" width="36.7109375" style="5"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0.7109375" style="5" customWidth="1"/>
    <col min="1794" max="1794" width="14" style="5" customWidth="1"/>
    <col min="1795" max="1795" width="4.42578125" style="5" customWidth="1"/>
    <col min="1796" max="1796" width="11.28515625" style="5" customWidth="1"/>
    <col min="1797" max="1797" width="7" style="5" customWidth="1"/>
    <col min="1798" max="1798" width="13" style="5" customWidth="1"/>
    <col min="1799" max="1799" width="8.7109375" style="5" customWidth="1"/>
    <col min="1800" max="1800" width="4.7109375" style="5" bestFit="1" customWidth="1"/>
    <col min="1801" max="1801" width="10.7109375" style="5" bestFit="1" customWidth="1"/>
    <col min="1802" max="1802" width="9.42578125" style="5" customWidth="1"/>
    <col min="1803" max="1803" width="4.7109375" style="5" bestFit="1" customWidth="1"/>
    <col min="1804" max="1804" width="8.5703125" style="5" customWidth="1"/>
    <col min="1805" max="1805" width="9.5703125" style="5" customWidth="1"/>
    <col min="1806" max="1807" width="0" style="5" hidden="1" customWidth="1"/>
    <col min="1808" max="1808" width="36.7109375" style="5"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0.7109375" style="5" customWidth="1"/>
    <col min="2050" max="2050" width="14" style="5" customWidth="1"/>
    <col min="2051" max="2051" width="4.42578125" style="5" customWidth="1"/>
    <col min="2052" max="2052" width="11.28515625" style="5" customWidth="1"/>
    <col min="2053" max="2053" width="7" style="5" customWidth="1"/>
    <col min="2054" max="2054" width="13" style="5" customWidth="1"/>
    <col min="2055" max="2055" width="8.7109375" style="5" customWidth="1"/>
    <col min="2056" max="2056" width="4.7109375" style="5" bestFit="1" customWidth="1"/>
    <col min="2057" max="2057" width="10.7109375" style="5" bestFit="1" customWidth="1"/>
    <col min="2058" max="2058" width="9.42578125" style="5" customWidth="1"/>
    <col min="2059" max="2059" width="4.7109375" style="5" bestFit="1" customWidth="1"/>
    <col min="2060" max="2060" width="8.5703125" style="5" customWidth="1"/>
    <col min="2061" max="2061" width="9.5703125" style="5" customWidth="1"/>
    <col min="2062" max="2063" width="0" style="5" hidden="1" customWidth="1"/>
    <col min="2064" max="2064" width="36.7109375" style="5"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0.7109375" style="5" customWidth="1"/>
    <col min="2306" max="2306" width="14" style="5" customWidth="1"/>
    <col min="2307" max="2307" width="4.42578125" style="5" customWidth="1"/>
    <col min="2308" max="2308" width="11.28515625" style="5" customWidth="1"/>
    <col min="2309" max="2309" width="7" style="5" customWidth="1"/>
    <col min="2310" max="2310" width="13" style="5" customWidth="1"/>
    <col min="2311" max="2311" width="8.7109375" style="5" customWidth="1"/>
    <col min="2312" max="2312" width="4.7109375" style="5" bestFit="1" customWidth="1"/>
    <col min="2313" max="2313" width="10.7109375" style="5" bestFit="1" customWidth="1"/>
    <col min="2314" max="2314" width="9.42578125" style="5" customWidth="1"/>
    <col min="2315" max="2315" width="4.7109375" style="5" bestFit="1" customWidth="1"/>
    <col min="2316" max="2316" width="8.5703125" style="5" customWidth="1"/>
    <col min="2317" max="2317" width="9.5703125" style="5" customWidth="1"/>
    <col min="2318" max="2319" width="0" style="5" hidden="1" customWidth="1"/>
    <col min="2320" max="2320" width="36.7109375" style="5"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0.7109375" style="5" customWidth="1"/>
    <col min="2562" max="2562" width="14" style="5" customWidth="1"/>
    <col min="2563" max="2563" width="4.42578125" style="5" customWidth="1"/>
    <col min="2564" max="2564" width="11.28515625" style="5" customWidth="1"/>
    <col min="2565" max="2565" width="7" style="5" customWidth="1"/>
    <col min="2566" max="2566" width="13" style="5" customWidth="1"/>
    <col min="2567" max="2567" width="8.7109375" style="5" customWidth="1"/>
    <col min="2568" max="2568" width="4.7109375" style="5" bestFit="1" customWidth="1"/>
    <col min="2569" max="2569" width="10.7109375" style="5" bestFit="1" customWidth="1"/>
    <col min="2570" max="2570" width="9.42578125" style="5" customWidth="1"/>
    <col min="2571" max="2571" width="4.7109375" style="5" bestFit="1" customWidth="1"/>
    <col min="2572" max="2572" width="8.5703125" style="5" customWidth="1"/>
    <col min="2573" max="2573" width="9.5703125" style="5" customWidth="1"/>
    <col min="2574" max="2575" width="0" style="5" hidden="1" customWidth="1"/>
    <col min="2576" max="2576" width="36.7109375" style="5"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0.7109375" style="5" customWidth="1"/>
    <col min="2818" max="2818" width="14" style="5" customWidth="1"/>
    <col min="2819" max="2819" width="4.42578125" style="5" customWidth="1"/>
    <col min="2820" max="2820" width="11.28515625" style="5" customWidth="1"/>
    <col min="2821" max="2821" width="7" style="5" customWidth="1"/>
    <col min="2822" max="2822" width="13" style="5" customWidth="1"/>
    <col min="2823" max="2823" width="8.7109375" style="5" customWidth="1"/>
    <col min="2824" max="2824" width="4.7109375" style="5" bestFit="1" customWidth="1"/>
    <col min="2825" max="2825" width="10.7109375" style="5" bestFit="1" customWidth="1"/>
    <col min="2826" max="2826" width="9.42578125" style="5" customWidth="1"/>
    <col min="2827" max="2827" width="4.7109375" style="5" bestFit="1" customWidth="1"/>
    <col min="2828" max="2828" width="8.5703125" style="5" customWidth="1"/>
    <col min="2829" max="2829" width="9.5703125" style="5" customWidth="1"/>
    <col min="2830" max="2831" width="0" style="5" hidden="1" customWidth="1"/>
    <col min="2832" max="2832" width="36.7109375" style="5"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0.7109375" style="5" customWidth="1"/>
    <col min="3074" max="3074" width="14" style="5" customWidth="1"/>
    <col min="3075" max="3075" width="4.42578125" style="5" customWidth="1"/>
    <col min="3076" max="3076" width="11.28515625" style="5" customWidth="1"/>
    <col min="3077" max="3077" width="7" style="5" customWidth="1"/>
    <col min="3078" max="3078" width="13" style="5" customWidth="1"/>
    <col min="3079" max="3079" width="8.7109375" style="5" customWidth="1"/>
    <col min="3080" max="3080" width="4.7109375" style="5" bestFit="1" customWidth="1"/>
    <col min="3081" max="3081" width="10.7109375" style="5" bestFit="1" customWidth="1"/>
    <col min="3082" max="3082" width="9.42578125" style="5" customWidth="1"/>
    <col min="3083" max="3083" width="4.7109375" style="5" bestFit="1" customWidth="1"/>
    <col min="3084" max="3084" width="8.5703125" style="5" customWidth="1"/>
    <col min="3085" max="3085" width="9.5703125" style="5" customWidth="1"/>
    <col min="3086" max="3087" width="0" style="5" hidden="1" customWidth="1"/>
    <col min="3088" max="3088" width="36.7109375" style="5"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0.7109375" style="5" customWidth="1"/>
    <col min="3330" max="3330" width="14" style="5" customWidth="1"/>
    <col min="3331" max="3331" width="4.42578125" style="5" customWidth="1"/>
    <col min="3332" max="3332" width="11.28515625" style="5" customWidth="1"/>
    <col min="3333" max="3333" width="7" style="5" customWidth="1"/>
    <col min="3334" max="3334" width="13" style="5" customWidth="1"/>
    <col min="3335" max="3335" width="8.7109375" style="5" customWidth="1"/>
    <col min="3336" max="3336" width="4.7109375" style="5" bestFit="1" customWidth="1"/>
    <col min="3337" max="3337" width="10.7109375" style="5" bestFit="1" customWidth="1"/>
    <col min="3338" max="3338" width="9.42578125" style="5" customWidth="1"/>
    <col min="3339" max="3339" width="4.7109375" style="5" bestFit="1" customWidth="1"/>
    <col min="3340" max="3340" width="8.5703125" style="5" customWidth="1"/>
    <col min="3341" max="3341" width="9.5703125" style="5" customWidth="1"/>
    <col min="3342" max="3343" width="0" style="5" hidden="1" customWidth="1"/>
    <col min="3344" max="3344" width="36.7109375" style="5"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0.7109375" style="5" customWidth="1"/>
    <col min="3586" max="3586" width="14" style="5" customWidth="1"/>
    <col min="3587" max="3587" width="4.42578125" style="5" customWidth="1"/>
    <col min="3588" max="3588" width="11.28515625" style="5" customWidth="1"/>
    <col min="3589" max="3589" width="7" style="5" customWidth="1"/>
    <col min="3590" max="3590" width="13" style="5" customWidth="1"/>
    <col min="3591" max="3591" width="8.7109375" style="5" customWidth="1"/>
    <col min="3592" max="3592" width="4.7109375" style="5" bestFit="1" customWidth="1"/>
    <col min="3593" max="3593" width="10.7109375" style="5" bestFit="1" customWidth="1"/>
    <col min="3594" max="3594" width="9.42578125" style="5" customWidth="1"/>
    <col min="3595" max="3595" width="4.7109375" style="5" bestFit="1" customWidth="1"/>
    <col min="3596" max="3596" width="8.5703125" style="5" customWidth="1"/>
    <col min="3597" max="3597" width="9.5703125" style="5" customWidth="1"/>
    <col min="3598" max="3599" width="0" style="5" hidden="1" customWidth="1"/>
    <col min="3600" max="3600" width="36.7109375" style="5"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0.7109375" style="5" customWidth="1"/>
    <col min="3842" max="3842" width="14" style="5" customWidth="1"/>
    <col min="3843" max="3843" width="4.42578125" style="5" customWidth="1"/>
    <col min="3844" max="3844" width="11.28515625" style="5" customWidth="1"/>
    <col min="3845" max="3845" width="7" style="5" customWidth="1"/>
    <col min="3846" max="3846" width="13" style="5" customWidth="1"/>
    <col min="3847" max="3847" width="8.7109375" style="5" customWidth="1"/>
    <col min="3848" max="3848" width="4.7109375" style="5" bestFit="1" customWidth="1"/>
    <col min="3849" max="3849" width="10.7109375" style="5" bestFit="1" customWidth="1"/>
    <col min="3850" max="3850" width="9.42578125" style="5" customWidth="1"/>
    <col min="3851" max="3851" width="4.7109375" style="5" bestFit="1" customWidth="1"/>
    <col min="3852" max="3852" width="8.5703125" style="5" customWidth="1"/>
    <col min="3853" max="3853" width="9.5703125" style="5" customWidth="1"/>
    <col min="3854" max="3855" width="0" style="5" hidden="1" customWidth="1"/>
    <col min="3856" max="3856" width="36.7109375" style="5"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0.7109375" style="5" customWidth="1"/>
    <col min="4098" max="4098" width="14" style="5" customWidth="1"/>
    <col min="4099" max="4099" width="4.42578125" style="5" customWidth="1"/>
    <col min="4100" max="4100" width="11.28515625" style="5" customWidth="1"/>
    <col min="4101" max="4101" width="7" style="5" customWidth="1"/>
    <col min="4102" max="4102" width="13" style="5" customWidth="1"/>
    <col min="4103" max="4103" width="8.7109375" style="5" customWidth="1"/>
    <col min="4104" max="4104" width="4.7109375" style="5" bestFit="1" customWidth="1"/>
    <col min="4105" max="4105" width="10.7109375" style="5" bestFit="1" customWidth="1"/>
    <col min="4106" max="4106" width="9.42578125" style="5" customWidth="1"/>
    <col min="4107" max="4107" width="4.7109375" style="5" bestFit="1" customWidth="1"/>
    <col min="4108" max="4108" width="8.5703125" style="5" customWidth="1"/>
    <col min="4109" max="4109" width="9.5703125" style="5" customWidth="1"/>
    <col min="4110" max="4111" width="0" style="5" hidden="1" customWidth="1"/>
    <col min="4112" max="4112" width="36.7109375" style="5"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0.7109375" style="5" customWidth="1"/>
    <col min="4354" max="4354" width="14" style="5" customWidth="1"/>
    <col min="4355" max="4355" width="4.42578125" style="5" customWidth="1"/>
    <col min="4356" max="4356" width="11.28515625" style="5" customWidth="1"/>
    <col min="4357" max="4357" width="7" style="5" customWidth="1"/>
    <col min="4358" max="4358" width="13" style="5" customWidth="1"/>
    <col min="4359" max="4359" width="8.7109375" style="5" customWidth="1"/>
    <col min="4360" max="4360" width="4.7109375" style="5" bestFit="1" customWidth="1"/>
    <col min="4361" max="4361" width="10.7109375" style="5" bestFit="1" customWidth="1"/>
    <col min="4362" max="4362" width="9.42578125" style="5" customWidth="1"/>
    <col min="4363" max="4363" width="4.7109375" style="5" bestFit="1" customWidth="1"/>
    <col min="4364" max="4364" width="8.5703125" style="5" customWidth="1"/>
    <col min="4365" max="4365" width="9.5703125" style="5" customWidth="1"/>
    <col min="4366" max="4367" width="0" style="5" hidden="1" customWidth="1"/>
    <col min="4368" max="4368" width="36.7109375" style="5"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0.7109375" style="5" customWidth="1"/>
    <col min="4610" max="4610" width="14" style="5" customWidth="1"/>
    <col min="4611" max="4611" width="4.42578125" style="5" customWidth="1"/>
    <col min="4612" max="4612" width="11.28515625" style="5" customWidth="1"/>
    <col min="4613" max="4613" width="7" style="5" customWidth="1"/>
    <col min="4614" max="4614" width="13" style="5" customWidth="1"/>
    <col min="4615" max="4615" width="8.7109375" style="5" customWidth="1"/>
    <col min="4616" max="4616" width="4.7109375" style="5" bestFit="1" customWidth="1"/>
    <col min="4617" max="4617" width="10.7109375" style="5" bestFit="1" customWidth="1"/>
    <col min="4618" max="4618" width="9.42578125" style="5" customWidth="1"/>
    <col min="4619" max="4619" width="4.7109375" style="5" bestFit="1" customWidth="1"/>
    <col min="4620" max="4620" width="8.5703125" style="5" customWidth="1"/>
    <col min="4621" max="4621" width="9.5703125" style="5" customWidth="1"/>
    <col min="4622" max="4623" width="0" style="5" hidden="1" customWidth="1"/>
    <col min="4624" max="4624" width="36.7109375" style="5"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0.7109375" style="5" customWidth="1"/>
    <col min="4866" max="4866" width="14" style="5" customWidth="1"/>
    <col min="4867" max="4867" width="4.42578125" style="5" customWidth="1"/>
    <col min="4868" max="4868" width="11.28515625" style="5" customWidth="1"/>
    <col min="4869" max="4869" width="7" style="5" customWidth="1"/>
    <col min="4870" max="4870" width="13" style="5" customWidth="1"/>
    <col min="4871" max="4871" width="8.7109375" style="5" customWidth="1"/>
    <col min="4872" max="4872" width="4.7109375" style="5" bestFit="1" customWidth="1"/>
    <col min="4873" max="4873" width="10.7109375" style="5" bestFit="1" customWidth="1"/>
    <col min="4874" max="4874" width="9.42578125" style="5" customWidth="1"/>
    <col min="4875" max="4875" width="4.7109375" style="5" bestFit="1" customWidth="1"/>
    <col min="4876" max="4876" width="8.5703125" style="5" customWidth="1"/>
    <col min="4877" max="4877" width="9.5703125" style="5" customWidth="1"/>
    <col min="4878" max="4879" width="0" style="5" hidden="1" customWidth="1"/>
    <col min="4880" max="4880" width="36.7109375" style="5"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0.7109375" style="5" customWidth="1"/>
    <col min="5122" max="5122" width="14" style="5" customWidth="1"/>
    <col min="5123" max="5123" width="4.42578125" style="5" customWidth="1"/>
    <col min="5124" max="5124" width="11.28515625" style="5" customWidth="1"/>
    <col min="5125" max="5125" width="7" style="5" customWidth="1"/>
    <col min="5126" max="5126" width="13" style="5" customWidth="1"/>
    <col min="5127" max="5127" width="8.7109375" style="5" customWidth="1"/>
    <col min="5128" max="5128" width="4.7109375" style="5" bestFit="1" customWidth="1"/>
    <col min="5129" max="5129" width="10.7109375" style="5" bestFit="1" customWidth="1"/>
    <col min="5130" max="5130" width="9.42578125" style="5" customWidth="1"/>
    <col min="5131" max="5131" width="4.7109375" style="5" bestFit="1" customWidth="1"/>
    <col min="5132" max="5132" width="8.5703125" style="5" customWidth="1"/>
    <col min="5133" max="5133" width="9.5703125" style="5" customWidth="1"/>
    <col min="5134" max="5135" width="0" style="5" hidden="1" customWidth="1"/>
    <col min="5136" max="5136" width="36.7109375" style="5"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0.7109375" style="5" customWidth="1"/>
    <col min="5378" max="5378" width="14" style="5" customWidth="1"/>
    <col min="5379" max="5379" width="4.42578125" style="5" customWidth="1"/>
    <col min="5380" max="5380" width="11.28515625" style="5" customWidth="1"/>
    <col min="5381" max="5381" width="7" style="5" customWidth="1"/>
    <col min="5382" max="5382" width="13" style="5" customWidth="1"/>
    <col min="5383" max="5383" width="8.7109375" style="5" customWidth="1"/>
    <col min="5384" max="5384" width="4.7109375" style="5" bestFit="1" customWidth="1"/>
    <col min="5385" max="5385" width="10.7109375" style="5" bestFit="1" customWidth="1"/>
    <col min="5386" max="5386" width="9.42578125" style="5" customWidth="1"/>
    <col min="5387" max="5387" width="4.7109375" style="5" bestFit="1" customWidth="1"/>
    <col min="5388" max="5388" width="8.5703125" style="5" customWidth="1"/>
    <col min="5389" max="5389" width="9.5703125" style="5" customWidth="1"/>
    <col min="5390" max="5391" width="0" style="5" hidden="1" customWidth="1"/>
    <col min="5392" max="5392" width="36.7109375" style="5"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0.7109375" style="5" customWidth="1"/>
    <col min="5634" max="5634" width="14" style="5" customWidth="1"/>
    <col min="5635" max="5635" width="4.42578125" style="5" customWidth="1"/>
    <col min="5636" max="5636" width="11.28515625" style="5" customWidth="1"/>
    <col min="5637" max="5637" width="7" style="5" customWidth="1"/>
    <col min="5638" max="5638" width="13" style="5" customWidth="1"/>
    <col min="5639" max="5639" width="8.7109375" style="5" customWidth="1"/>
    <col min="5640" max="5640" width="4.7109375" style="5" bestFit="1" customWidth="1"/>
    <col min="5641" max="5641" width="10.7109375" style="5" bestFit="1" customWidth="1"/>
    <col min="5642" max="5642" width="9.42578125" style="5" customWidth="1"/>
    <col min="5643" max="5643" width="4.7109375" style="5" bestFit="1" customWidth="1"/>
    <col min="5644" max="5644" width="8.5703125" style="5" customWidth="1"/>
    <col min="5645" max="5645" width="9.5703125" style="5" customWidth="1"/>
    <col min="5646" max="5647" width="0" style="5" hidden="1" customWidth="1"/>
    <col min="5648" max="5648" width="36.7109375" style="5"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0.7109375" style="5" customWidth="1"/>
    <col min="5890" max="5890" width="14" style="5" customWidth="1"/>
    <col min="5891" max="5891" width="4.42578125" style="5" customWidth="1"/>
    <col min="5892" max="5892" width="11.28515625" style="5" customWidth="1"/>
    <col min="5893" max="5893" width="7" style="5" customWidth="1"/>
    <col min="5894" max="5894" width="13" style="5" customWidth="1"/>
    <col min="5895" max="5895" width="8.7109375" style="5" customWidth="1"/>
    <col min="5896" max="5896" width="4.7109375" style="5" bestFit="1" customWidth="1"/>
    <col min="5897" max="5897" width="10.7109375" style="5" bestFit="1" customWidth="1"/>
    <col min="5898" max="5898" width="9.42578125" style="5" customWidth="1"/>
    <col min="5899" max="5899" width="4.7109375" style="5" bestFit="1" customWidth="1"/>
    <col min="5900" max="5900" width="8.5703125" style="5" customWidth="1"/>
    <col min="5901" max="5901" width="9.5703125" style="5" customWidth="1"/>
    <col min="5902" max="5903" width="0" style="5" hidden="1" customWidth="1"/>
    <col min="5904" max="5904" width="36.7109375" style="5"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0.7109375" style="5" customWidth="1"/>
    <col min="6146" max="6146" width="14" style="5" customWidth="1"/>
    <col min="6147" max="6147" width="4.42578125" style="5" customWidth="1"/>
    <col min="6148" max="6148" width="11.28515625" style="5" customWidth="1"/>
    <col min="6149" max="6149" width="7" style="5" customWidth="1"/>
    <col min="6150" max="6150" width="13" style="5" customWidth="1"/>
    <col min="6151" max="6151" width="8.7109375" style="5" customWidth="1"/>
    <col min="6152" max="6152" width="4.7109375" style="5" bestFit="1" customWidth="1"/>
    <col min="6153" max="6153" width="10.7109375" style="5" bestFit="1" customWidth="1"/>
    <col min="6154" max="6154" width="9.42578125" style="5" customWidth="1"/>
    <col min="6155" max="6155" width="4.7109375" style="5" bestFit="1" customWidth="1"/>
    <col min="6156" max="6156" width="8.5703125" style="5" customWidth="1"/>
    <col min="6157" max="6157" width="9.5703125" style="5" customWidth="1"/>
    <col min="6158" max="6159" width="0" style="5" hidden="1" customWidth="1"/>
    <col min="6160" max="6160" width="36.7109375" style="5"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0.7109375" style="5" customWidth="1"/>
    <col min="6402" max="6402" width="14" style="5" customWidth="1"/>
    <col min="6403" max="6403" width="4.42578125" style="5" customWidth="1"/>
    <col min="6404" max="6404" width="11.28515625" style="5" customWidth="1"/>
    <col min="6405" max="6405" width="7" style="5" customWidth="1"/>
    <col min="6406" max="6406" width="13" style="5" customWidth="1"/>
    <col min="6407" max="6407" width="8.7109375" style="5" customWidth="1"/>
    <col min="6408" max="6408" width="4.7109375" style="5" bestFit="1" customWidth="1"/>
    <col min="6409" max="6409" width="10.7109375" style="5" bestFit="1" customWidth="1"/>
    <col min="6410" max="6410" width="9.42578125" style="5" customWidth="1"/>
    <col min="6411" max="6411" width="4.7109375" style="5" bestFit="1" customWidth="1"/>
    <col min="6412" max="6412" width="8.5703125" style="5" customWidth="1"/>
    <col min="6413" max="6413" width="9.5703125" style="5" customWidth="1"/>
    <col min="6414" max="6415" width="0" style="5" hidden="1" customWidth="1"/>
    <col min="6416" max="6416" width="36.7109375" style="5"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0.7109375" style="5" customWidth="1"/>
    <col min="6658" max="6658" width="14" style="5" customWidth="1"/>
    <col min="6659" max="6659" width="4.42578125" style="5" customWidth="1"/>
    <col min="6660" max="6660" width="11.28515625" style="5" customWidth="1"/>
    <col min="6661" max="6661" width="7" style="5" customWidth="1"/>
    <col min="6662" max="6662" width="13" style="5" customWidth="1"/>
    <col min="6663" max="6663" width="8.7109375" style="5" customWidth="1"/>
    <col min="6664" max="6664" width="4.7109375" style="5" bestFit="1" customWidth="1"/>
    <col min="6665" max="6665" width="10.7109375" style="5" bestFit="1" customWidth="1"/>
    <col min="6666" max="6666" width="9.42578125" style="5" customWidth="1"/>
    <col min="6667" max="6667" width="4.7109375" style="5" bestFit="1" customWidth="1"/>
    <col min="6668" max="6668" width="8.5703125" style="5" customWidth="1"/>
    <col min="6669" max="6669" width="9.5703125" style="5" customWidth="1"/>
    <col min="6670" max="6671" width="0" style="5" hidden="1" customWidth="1"/>
    <col min="6672" max="6672" width="36.7109375" style="5"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0.7109375" style="5" customWidth="1"/>
    <col min="6914" max="6914" width="14" style="5" customWidth="1"/>
    <col min="6915" max="6915" width="4.42578125" style="5" customWidth="1"/>
    <col min="6916" max="6916" width="11.28515625" style="5" customWidth="1"/>
    <col min="6917" max="6917" width="7" style="5" customWidth="1"/>
    <col min="6918" max="6918" width="13" style="5" customWidth="1"/>
    <col min="6919" max="6919" width="8.7109375" style="5" customWidth="1"/>
    <col min="6920" max="6920" width="4.7109375" style="5" bestFit="1" customWidth="1"/>
    <col min="6921" max="6921" width="10.7109375" style="5" bestFit="1" customWidth="1"/>
    <col min="6922" max="6922" width="9.42578125" style="5" customWidth="1"/>
    <col min="6923" max="6923" width="4.7109375" style="5" bestFit="1" customWidth="1"/>
    <col min="6924" max="6924" width="8.5703125" style="5" customWidth="1"/>
    <col min="6925" max="6925" width="9.5703125" style="5" customWidth="1"/>
    <col min="6926" max="6927" width="0" style="5" hidden="1" customWidth="1"/>
    <col min="6928" max="6928" width="36.7109375" style="5"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0.7109375" style="5" customWidth="1"/>
    <col min="7170" max="7170" width="14" style="5" customWidth="1"/>
    <col min="7171" max="7171" width="4.42578125" style="5" customWidth="1"/>
    <col min="7172" max="7172" width="11.28515625" style="5" customWidth="1"/>
    <col min="7173" max="7173" width="7" style="5" customWidth="1"/>
    <col min="7174" max="7174" width="13" style="5" customWidth="1"/>
    <col min="7175" max="7175" width="8.7109375" style="5" customWidth="1"/>
    <col min="7176" max="7176" width="4.7109375" style="5" bestFit="1" customWidth="1"/>
    <col min="7177" max="7177" width="10.7109375" style="5" bestFit="1" customWidth="1"/>
    <col min="7178" max="7178" width="9.42578125" style="5" customWidth="1"/>
    <col min="7179" max="7179" width="4.7109375" style="5" bestFit="1" customWidth="1"/>
    <col min="7180" max="7180" width="8.5703125" style="5" customWidth="1"/>
    <col min="7181" max="7181" width="9.5703125" style="5" customWidth="1"/>
    <col min="7182" max="7183" width="0" style="5" hidden="1" customWidth="1"/>
    <col min="7184" max="7184" width="36.7109375" style="5"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0.7109375" style="5" customWidth="1"/>
    <col min="7426" max="7426" width="14" style="5" customWidth="1"/>
    <col min="7427" max="7427" width="4.42578125" style="5" customWidth="1"/>
    <col min="7428" max="7428" width="11.28515625" style="5" customWidth="1"/>
    <col min="7429" max="7429" width="7" style="5" customWidth="1"/>
    <col min="7430" max="7430" width="13" style="5" customWidth="1"/>
    <col min="7431" max="7431" width="8.7109375" style="5" customWidth="1"/>
    <col min="7432" max="7432" width="4.7109375" style="5" bestFit="1" customWidth="1"/>
    <col min="7433" max="7433" width="10.7109375" style="5" bestFit="1" customWidth="1"/>
    <col min="7434" max="7434" width="9.42578125" style="5" customWidth="1"/>
    <col min="7435" max="7435" width="4.7109375" style="5" bestFit="1" customWidth="1"/>
    <col min="7436" max="7436" width="8.5703125" style="5" customWidth="1"/>
    <col min="7437" max="7437" width="9.5703125" style="5" customWidth="1"/>
    <col min="7438" max="7439" width="0" style="5" hidden="1" customWidth="1"/>
    <col min="7440" max="7440" width="36.7109375" style="5"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0.7109375" style="5" customWidth="1"/>
    <col min="7682" max="7682" width="14" style="5" customWidth="1"/>
    <col min="7683" max="7683" width="4.42578125" style="5" customWidth="1"/>
    <col min="7684" max="7684" width="11.28515625" style="5" customWidth="1"/>
    <col min="7685" max="7685" width="7" style="5" customWidth="1"/>
    <col min="7686" max="7686" width="13" style="5" customWidth="1"/>
    <col min="7687" max="7687" width="8.7109375" style="5" customWidth="1"/>
    <col min="7688" max="7688" width="4.7109375" style="5" bestFit="1" customWidth="1"/>
    <col min="7689" max="7689" width="10.7109375" style="5" bestFit="1" customWidth="1"/>
    <col min="7690" max="7690" width="9.42578125" style="5" customWidth="1"/>
    <col min="7691" max="7691" width="4.7109375" style="5" bestFit="1" customWidth="1"/>
    <col min="7692" max="7692" width="8.5703125" style="5" customWidth="1"/>
    <col min="7693" max="7693" width="9.5703125" style="5" customWidth="1"/>
    <col min="7694" max="7695" width="0" style="5" hidden="1" customWidth="1"/>
    <col min="7696" max="7696" width="36.7109375" style="5"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0.7109375" style="5" customWidth="1"/>
    <col min="7938" max="7938" width="14" style="5" customWidth="1"/>
    <col min="7939" max="7939" width="4.42578125" style="5" customWidth="1"/>
    <col min="7940" max="7940" width="11.28515625" style="5" customWidth="1"/>
    <col min="7941" max="7941" width="7" style="5" customWidth="1"/>
    <col min="7942" max="7942" width="13" style="5" customWidth="1"/>
    <col min="7943" max="7943" width="8.7109375" style="5" customWidth="1"/>
    <col min="7944" max="7944" width="4.7109375" style="5" bestFit="1" customWidth="1"/>
    <col min="7945" max="7945" width="10.7109375" style="5" bestFit="1" customWidth="1"/>
    <col min="7946" max="7946" width="9.42578125" style="5" customWidth="1"/>
    <col min="7947" max="7947" width="4.7109375" style="5" bestFit="1" customWidth="1"/>
    <col min="7948" max="7948" width="8.5703125" style="5" customWidth="1"/>
    <col min="7949" max="7949" width="9.5703125" style="5" customWidth="1"/>
    <col min="7950" max="7951" width="0" style="5" hidden="1" customWidth="1"/>
    <col min="7952" max="7952" width="36.7109375" style="5"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0.7109375" style="5" customWidth="1"/>
    <col min="8194" max="8194" width="14" style="5" customWidth="1"/>
    <col min="8195" max="8195" width="4.42578125" style="5" customWidth="1"/>
    <col min="8196" max="8196" width="11.28515625" style="5" customWidth="1"/>
    <col min="8197" max="8197" width="7" style="5" customWidth="1"/>
    <col min="8198" max="8198" width="13" style="5" customWidth="1"/>
    <col min="8199" max="8199" width="8.7109375" style="5" customWidth="1"/>
    <col min="8200" max="8200" width="4.7109375" style="5" bestFit="1" customWidth="1"/>
    <col min="8201" max="8201" width="10.7109375" style="5" bestFit="1" customWidth="1"/>
    <col min="8202" max="8202" width="9.42578125" style="5" customWidth="1"/>
    <col min="8203" max="8203" width="4.7109375" style="5" bestFit="1" customWidth="1"/>
    <col min="8204" max="8204" width="8.5703125" style="5" customWidth="1"/>
    <col min="8205" max="8205" width="9.5703125" style="5" customWidth="1"/>
    <col min="8206" max="8207" width="0" style="5" hidden="1" customWidth="1"/>
    <col min="8208" max="8208" width="36.7109375" style="5"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0.7109375" style="5" customWidth="1"/>
    <col min="8450" max="8450" width="14" style="5" customWidth="1"/>
    <col min="8451" max="8451" width="4.42578125" style="5" customWidth="1"/>
    <col min="8452" max="8452" width="11.28515625" style="5" customWidth="1"/>
    <col min="8453" max="8453" width="7" style="5" customWidth="1"/>
    <col min="8454" max="8454" width="13" style="5" customWidth="1"/>
    <col min="8455" max="8455" width="8.7109375" style="5" customWidth="1"/>
    <col min="8456" max="8456" width="4.7109375" style="5" bestFit="1" customWidth="1"/>
    <col min="8457" max="8457" width="10.7109375" style="5" bestFit="1" customWidth="1"/>
    <col min="8458" max="8458" width="9.42578125" style="5" customWidth="1"/>
    <col min="8459" max="8459" width="4.7109375" style="5" bestFit="1" customWidth="1"/>
    <col min="8460" max="8460" width="8.5703125" style="5" customWidth="1"/>
    <col min="8461" max="8461" width="9.5703125" style="5" customWidth="1"/>
    <col min="8462" max="8463" width="0" style="5" hidden="1" customWidth="1"/>
    <col min="8464" max="8464" width="36.7109375" style="5"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0.7109375" style="5" customWidth="1"/>
    <col min="8706" max="8706" width="14" style="5" customWidth="1"/>
    <col min="8707" max="8707" width="4.42578125" style="5" customWidth="1"/>
    <col min="8708" max="8708" width="11.28515625" style="5" customWidth="1"/>
    <col min="8709" max="8709" width="7" style="5" customWidth="1"/>
    <col min="8710" max="8710" width="13" style="5" customWidth="1"/>
    <col min="8711" max="8711" width="8.7109375" style="5" customWidth="1"/>
    <col min="8712" max="8712" width="4.7109375" style="5" bestFit="1" customWidth="1"/>
    <col min="8713" max="8713" width="10.7109375" style="5" bestFit="1" customWidth="1"/>
    <col min="8714" max="8714" width="9.42578125" style="5" customWidth="1"/>
    <col min="8715" max="8715" width="4.7109375" style="5" bestFit="1" customWidth="1"/>
    <col min="8716" max="8716" width="8.5703125" style="5" customWidth="1"/>
    <col min="8717" max="8717" width="9.5703125" style="5" customWidth="1"/>
    <col min="8718" max="8719" width="0" style="5" hidden="1" customWidth="1"/>
    <col min="8720" max="8720" width="36.7109375" style="5"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0.7109375" style="5" customWidth="1"/>
    <col min="8962" max="8962" width="14" style="5" customWidth="1"/>
    <col min="8963" max="8963" width="4.42578125" style="5" customWidth="1"/>
    <col min="8964" max="8964" width="11.28515625" style="5" customWidth="1"/>
    <col min="8965" max="8965" width="7" style="5" customWidth="1"/>
    <col min="8966" max="8966" width="13" style="5" customWidth="1"/>
    <col min="8967" max="8967" width="8.7109375" style="5" customWidth="1"/>
    <col min="8968" max="8968" width="4.7109375" style="5" bestFit="1" customWidth="1"/>
    <col min="8969" max="8969" width="10.7109375" style="5" bestFit="1" customWidth="1"/>
    <col min="8970" max="8970" width="9.42578125" style="5" customWidth="1"/>
    <col min="8971" max="8971" width="4.7109375" style="5" bestFit="1" customWidth="1"/>
    <col min="8972" max="8972" width="8.5703125" style="5" customWidth="1"/>
    <col min="8973" max="8973" width="9.5703125" style="5" customWidth="1"/>
    <col min="8974" max="8975" width="0" style="5" hidden="1" customWidth="1"/>
    <col min="8976" max="8976" width="36.7109375" style="5"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0.7109375" style="5" customWidth="1"/>
    <col min="9218" max="9218" width="14" style="5" customWidth="1"/>
    <col min="9219" max="9219" width="4.42578125" style="5" customWidth="1"/>
    <col min="9220" max="9220" width="11.28515625" style="5" customWidth="1"/>
    <col min="9221" max="9221" width="7" style="5" customWidth="1"/>
    <col min="9222" max="9222" width="13" style="5" customWidth="1"/>
    <col min="9223" max="9223" width="8.7109375" style="5" customWidth="1"/>
    <col min="9224" max="9224" width="4.7109375" style="5" bestFit="1" customWidth="1"/>
    <col min="9225" max="9225" width="10.7109375" style="5" bestFit="1" customWidth="1"/>
    <col min="9226" max="9226" width="9.42578125" style="5" customWidth="1"/>
    <col min="9227" max="9227" width="4.7109375" style="5" bestFit="1" customWidth="1"/>
    <col min="9228" max="9228" width="8.5703125" style="5" customWidth="1"/>
    <col min="9229" max="9229" width="9.5703125" style="5" customWidth="1"/>
    <col min="9230" max="9231" width="0" style="5" hidden="1" customWidth="1"/>
    <col min="9232" max="9232" width="36.7109375" style="5"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0.7109375" style="5" customWidth="1"/>
    <col min="9474" max="9474" width="14" style="5" customWidth="1"/>
    <col min="9475" max="9475" width="4.42578125" style="5" customWidth="1"/>
    <col min="9476" max="9476" width="11.28515625" style="5" customWidth="1"/>
    <col min="9477" max="9477" width="7" style="5" customWidth="1"/>
    <col min="9478" max="9478" width="13" style="5" customWidth="1"/>
    <col min="9479" max="9479" width="8.7109375" style="5" customWidth="1"/>
    <col min="9480" max="9480" width="4.7109375" style="5" bestFit="1" customWidth="1"/>
    <col min="9481" max="9481" width="10.7109375" style="5" bestFit="1" customWidth="1"/>
    <col min="9482" max="9482" width="9.42578125" style="5" customWidth="1"/>
    <col min="9483" max="9483" width="4.7109375" style="5" bestFit="1" customWidth="1"/>
    <col min="9484" max="9484" width="8.5703125" style="5" customWidth="1"/>
    <col min="9485" max="9485" width="9.5703125" style="5" customWidth="1"/>
    <col min="9486" max="9487" width="0" style="5" hidden="1" customWidth="1"/>
    <col min="9488" max="9488" width="36.7109375" style="5"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0.7109375" style="5" customWidth="1"/>
    <col min="9730" max="9730" width="14" style="5" customWidth="1"/>
    <col min="9731" max="9731" width="4.42578125" style="5" customWidth="1"/>
    <col min="9732" max="9732" width="11.28515625" style="5" customWidth="1"/>
    <col min="9733" max="9733" width="7" style="5" customWidth="1"/>
    <col min="9734" max="9734" width="13" style="5" customWidth="1"/>
    <col min="9735" max="9735" width="8.7109375" style="5" customWidth="1"/>
    <col min="9736" max="9736" width="4.7109375" style="5" bestFit="1" customWidth="1"/>
    <col min="9737" max="9737" width="10.7109375" style="5" bestFit="1" customWidth="1"/>
    <col min="9738" max="9738" width="9.42578125" style="5" customWidth="1"/>
    <col min="9739" max="9739" width="4.7109375" style="5" bestFit="1" customWidth="1"/>
    <col min="9740" max="9740" width="8.5703125" style="5" customWidth="1"/>
    <col min="9741" max="9741" width="9.5703125" style="5" customWidth="1"/>
    <col min="9742" max="9743" width="0" style="5" hidden="1" customWidth="1"/>
    <col min="9744" max="9744" width="36.7109375" style="5"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0.7109375" style="5" customWidth="1"/>
    <col min="9986" max="9986" width="14" style="5" customWidth="1"/>
    <col min="9987" max="9987" width="4.42578125" style="5" customWidth="1"/>
    <col min="9988" max="9988" width="11.28515625" style="5" customWidth="1"/>
    <col min="9989" max="9989" width="7" style="5" customWidth="1"/>
    <col min="9990" max="9990" width="13" style="5" customWidth="1"/>
    <col min="9991" max="9991" width="8.7109375" style="5" customWidth="1"/>
    <col min="9992" max="9992" width="4.7109375" style="5" bestFit="1" customWidth="1"/>
    <col min="9993" max="9993" width="10.7109375" style="5" bestFit="1" customWidth="1"/>
    <col min="9994" max="9994" width="9.42578125" style="5" customWidth="1"/>
    <col min="9995" max="9995" width="4.7109375" style="5" bestFit="1" customWidth="1"/>
    <col min="9996" max="9996" width="8.5703125" style="5" customWidth="1"/>
    <col min="9997" max="9997" width="9.5703125" style="5" customWidth="1"/>
    <col min="9998" max="9999" width="0" style="5" hidden="1" customWidth="1"/>
    <col min="10000" max="10000" width="36.7109375" style="5"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0.7109375" style="5" customWidth="1"/>
    <col min="10242" max="10242" width="14" style="5" customWidth="1"/>
    <col min="10243" max="10243" width="4.42578125" style="5" customWidth="1"/>
    <col min="10244" max="10244" width="11.28515625" style="5" customWidth="1"/>
    <col min="10245" max="10245" width="7" style="5" customWidth="1"/>
    <col min="10246" max="10246" width="13" style="5" customWidth="1"/>
    <col min="10247" max="10247" width="8.7109375" style="5" customWidth="1"/>
    <col min="10248" max="10248" width="4.7109375" style="5" bestFit="1" customWidth="1"/>
    <col min="10249" max="10249" width="10.7109375" style="5" bestFit="1" customWidth="1"/>
    <col min="10250" max="10250" width="9.42578125" style="5" customWidth="1"/>
    <col min="10251" max="10251" width="4.7109375" style="5" bestFit="1" customWidth="1"/>
    <col min="10252" max="10252" width="8.5703125" style="5" customWidth="1"/>
    <col min="10253" max="10253" width="9.5703125" style="5" customWidth="1"/>
    <col min="10254" max="10255" width="0" style="5" hidden="1" customWidth="1"/>
    <col min="10256" max="10256" width="36.7109375" style="5"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0.7109375" style="5" customWidth="1"/>
    <col min="10498" max="10498" width="14" style="5" customWidth="1"/>
    <col min="10499" max="10499" width="4.42578125" style="5" customWidth="1"/>
    <col min="10500" max="10500" width="11.28515625" style="5" customWidth="1"/>
    <col min="10501" max="10501" width="7" style="5" customWidth="1"/>
    <col min="10502" max="10502" width="13" style="5" customWidth="1"/>
    <col min="10503" max="10503" width="8.7109375" style="5" customWidth="1"/>
    <col min="10504" max="10504" width="4.7109375" style="5" bestFit="1" customWidth="1"/>
    <col min="10505" max="10505" width="10.7109375" style="5" bestFit="1" customWidth="1"/>
    <col min="10506" max="10506" width="9.42578125" style="5" customWidth="1"/>
    <col min="10507" max="10507" width="4.7109375" style="5" bestFit="1" customWidth="1"/>
    <col min="10508" max="10508" width="8.5703125" style="5" customWidth="1"/>
    <col min="10509" max="10509" width="9.5703125" style="5" customWidth="1"/>
    <col min="10510" max="10511" width="0" style="5" hidden="1" customWidth="1"/>
    <col min="10512" max="10512" width="36.7109375" style="5"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0.7109375" style="5" customWidth="1"/>
    <col min="10754" max="10754" width="14" style="5" customWidth="1"/>
    <col min="10755" max="10755" width="4.42578125" style="5" customWidth="1"/>
    <col min="10756" max="10756" width="11.28515625" style="5" customWidth="1"/>
    <col min="10757" max="10757" width="7" style="5" customWidth="1"/>
    <col min="10758" max="10758" width="13" style="5" customWidth="1"/>
    <col min="10759" max="10759" width="8.7109375" style="5" customWidth="1"/>
    <col min="10760" max="10760" width="4.7109375" style="5" bestFit="1" customWidth="1"/>
    <col min="10761" max="10761" width="10.7109375" style="5" bestFit="1" customWidth="1"/>
    <col min="10762" max="10762" width="9.42578125" style="5" customWidth="1"/>
    <col min="10763" max="10763" width="4.7109375" style="5" bestFit="1" customWidth="1"/>
    <col min="10764" max="10764" width="8.5703125" style="5" customWidth="1"/>
    <col min="10765" max="10765" width="9.5703125" style="5" customWidth="1"/>
    <col min="10766" max="10767" width="0" style="5" hidden="1" customWidth="1"/>
    <col min="10768" max="10768" width="36.7109375" style="5"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0.7109375" style="5" customWidth="1"/>
    <col min="11010" max="11010" width="14" style="5" customWidth="1"/>
    <col min="11011" max="11011" width="4.42578125" style="5" customWidth="1"/>
    <col min="11012" max="11012" width="11.28515625" style="5" customWidth="1"/>
    <col min="11013" max="11013" width="7" style="5" customWidth="1"/>
    <col min="11014" max="11014" width="13" style="5" customWidth="1"/>
    <col min="11015" max="11015" width="8.7109375" style="5" customWidth="1"/>
    <col min="11016" max="11016" width="4.7109375" style="5" bestFit="1" customWidth="1"/>
    <col min="11017" max="11017" width="10.7109375" style="5" bestFit="1" customWidth="1"/>
    <col min="11018" max="11018" width="9.42578125" style="5" customWidth="1"/>
    <col min="11019" max="11019" width="4.7109375" style="5" bestFit="1" customWidth="1"/>
    <col min="11020" max="11020" width="8.5703125" style="5" customWidth="1"/>
    <col min="11021" max="11021" width="9.5703125" style="5" customWidth="1"/>
    <col min="11022" max="11023" width="0" style="5" hidden="1" customWidth="1"/>
    <col min="11024" max="11024" width="36.7109375" style="5"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0.7109375" style="5" customWidth="1"/>
    <col min="11266" max="11266" width="14" style="5" customWidth="1"/>
    <col min="11267" max="11267" width="4.42578125" style="5" customWidth="1"/>
    <col min="11268" max="11268" width="11.28515625" style="5" customWidth="1"/>
    <col min="11269" max="11269" width="7" style="5" customWidth="1"/>
    <col min="11270" max="11270" width="13" style="5" customWidth="1"/>
    <col min="11271" max="11271" width="8.7109375" style="5" customWidth="1"/>
    <col min="11272" max="11272" width="4.7109375" style="5" bestFit="1" customWidth="1"/>
    <col min="11273" max="11273" width="10.7109375" style="5" bestFit="1" customWidth="1"/>
    <col min="11274" max="11274" width="9.42578125" style="5" customWidth="1"/>
    <col min="11275" max="11275" width="4.7109375" style="5" bestFit="1" customWidth="1"/>
    <col min="11276" max="11276" width="8.5703125" style="5" customWidth="1"/>
    <col min="11277" max="11277" width="9.5703125" style="5" customWidth="1"/>
    <col min="11278" max="11279" width="0" style="5" hidden="1" customWidth="1"/>
    <col min="11280" max="11280" width="36.7109375" style="5"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0.7109375" style="5" customWidth="1"/>
    <col min="11522" max="11522" width="14" style="5" customWidth="1"/>
    <col min="11523" max="11523" width="4.42578125" style="5" customWidth="1"/>
    <col min="11524" max="11524" width="11.28515625" style="5" customWidth="1"/>
    <col min="11525" max="11525" width="7" style="5" customWidth="1"/>
    <col min="11526" max="11526" width="13" style="5" customWidth="1"/>
    <col min="11527" max="11527" width="8.7109375" style="5" customWidth="1"/>
    <col min="11528" max="11528" width="4.7109375" style="5" bestFit="1" customWidth="1"/>
    <col min="11529" max="11529" width="10.7109375" style="5" bestFit="1" customWidth="1"/>
    <col min="11530" max="11530" width="9.42578125" style="5" customWidth="1"/>
    <col min="11531" max="11531" width="4.7109375" style="5" bestFit="1" customWidth="1"/>
    <col min="11532" max="11532" width="8.5703125" style="5" customWidth="1"/>
    <col min="11533" max="11533" width="9.5703125" style="5" customWidth="1"/>
    <col min="11534" max="11535" width="0" style="5" hidden="1" customWidth="1"/>
    <col min="11536" max="11536" width="36.7109375" style="5"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0.7109375" style="5" customWidth="1"/>
    <col min="11778" max="11778" width="14" style="5" customWidth="1"/>
    <col min="11779" max="11779" width="4.42578125" style="5" customWidth="1"/>
    <col min="11780" max="11780" width="11.28515625" style="5" customWidth="1"/>
    <col min="11781" max="11781" width="7" style="5" customWidth="1"/>
    <col min="11782" max="11782" width="13" style="5" customWidth="1"/>
    <col min="11783" max="11783" width="8.7109375" style="5" customWidth="1"/>
    <col min="11784" max="11784" width="4.7109375" style="5" bestFit="1" customWidth="1"/>
    <col min="11785" max="11785" width="10.7109375" style="5" bestFit="1" customWidth="1"/>
    <col min="11786" max="11786" width="9.42578125" style="5" customWidth="1"/>
    <col min="11787" max="11787" width="4.7109375" style="5" bestFit="1" customWidth="1"/>
    <col min="11788" max="11788" width="8.5703125" style="5" customWidth="1"/>
    <col min="11789" max="11789" width="9.5703125" style="5" customWidth="1"/>
    <col min="11790" max="11791" width="0" style="5" hidden="1" customWidth="1"/>
    <col min="11792" max="11792" width="36.7109375" style="5"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0.7109375" style="5" customWidth="1"/>
    <col min="12034" max="12034" width="14" style="5" customWidth="1"/>
    <col min="12035" max="12035" width="4.42578125" style="5" customWidth="1"/>
    <col min="12036" max="12036" width="11.28515625" style="5" customWidth="1"/>
    <col min="12037" max="12037" width="7" style="5" customWidth="1"/>
    <col min="12038" max="12038" width="13" style="5" customWidth="1"/>
    <col min="12039" max="12039" width="8.7109375" style="5" customWidth="1"/>
    <col min="12040" max="12040" width="4.7109375" style="5" bestFit="1" customWidth="1"/>
    <col min="12041" max="12041" width="10.7109375" style="5" bestFit="1" customWidth="1"/>
    <col min="12042" max="12042" width="9.42578125" style="5" customWidth="1"/>
    <col min="12043" max="12043" width="4.7109375" style="5" bestFit="1" customWidth="1"/>
    <col min="12044" max="12044" width="8.5703125" style="5" customWidth="1"/>
    <col min="12045" max="12045" width="9.5703125" style="5" customWidth="1"/>
    <col min="12046" max="12047" width="0" style="5" hidden="1" customWidth="1"/>
    <col min="12048" max="12048" width="36.7109375" style="5"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0.7109375" style="5" customWidth="1"/>
    <col min="12290" max="12290" width="14" style="5" customWidth="1"/>
    <col min="12291" max="12291" width="4.42578125" style="5" customWidth="1"/>
    <col min="12292" max="12292" width="11.28515625" style="5" customWidth="1"/>
    <col min="12293" max="12293" width="7" style="5" customWidth="1"/>
    <col min="12294" max="12294" width="13" style="5" customWidth="1"/>
    <col min="12295" max="12295" width="8.7109375" style="5" customWidth="1"/>
    <col min="12296" max="12296" width="4.7109375" style="5" bestFit="1" customWidth="1"/>
    <col min="12297" max="12297" width="10.7109375" style="5" bestFit="1" customWidth="1"/>
    <col min="12298" max="12298" width="9.42578125" style="5" customWidth="1"/>
    <col min="12299" max="12299" width="4.7109375" style="5" bestFit="1" customWidth="1"/>
    <col min="12300" max="12300" width="8.5703125" style="5" customWidth="1"/>
    <col min="12301" max="12301" width="9.5703125" style="5" customWidth="1"/>
    <col min="12302" max="12303" width="0" style="5" hidden="1" customWidth="1"/>
    <col min="12304" max="12304" width="36.7109375" style="5"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0.7109375" style="5" customWidth="1"/>
    <col min="12546" max="12546" width="14" style="5" customWidth="1"/>
    <col min="12547" max="12547" width="4.42578125" style="5" customWidth="1"/>
    <col min="12548" max="12548" width="11.28515625" style="5" customWidth="1"/>
    <col min="12549" max="12549" width="7" style="5" customWidth="1"/>
    <col min="12550" max="12550" width="13" style="5" customWidth="1"/>
    <col min="12551" max="12551" width="8.7109375" style="5" customWidth="1"/>
    <col min="12552" max="12552" width="4.7109375" style="5" bestFit="1" customWidth="1"/>
    <col min="12553" max="12553" width="10.7109375" style="5" bestFit="1" customWidth="1"/>
    <col min="12554" max="12554" width="9.42578125" style="5" customWidth="1"/>
    <col min="12555" max="12555" width="4.7109375" style="5" bestFit="1" customWidth="1"/>
    <col min="12556" max="12556" width="8.5703125" style="5" customWidth="1"/>
    <col min="12557" max="12557" width="9.5703125" style="5" customWidth="1"/>
    <col min="12558" max="12559" width="0" style="5" hidden="1" customWidth="1"/>
    <col min="12560" max="12560" width="36.7109375" style="5"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0.7109375" style="5" customWidth="1"/>
    <col min="12802" max="12802" width="14" style="5" customWidth="1"/>
    <col min="12803" max="12803" width="4.42578125" style="5" customWidth="1"/>
    <col min="12804" max="12804" width="11.28515625" style="5" customWidth="1"/>
    <col min="12805" max="12805" width="7" style="5" customWidth="1"/>
    <col min="12806" max="12806" width="13" style="5" customWidth="1"/>
    <col min="12807" max="12807" width="8.7109375" style="5" customWidth="1"/>
    <col min="12808" max="12808" width="4.7109375" style="5" bestFit="1" customWidth="1"/>
    <col min="12809" max="12809" width="10.7109375" style="5" bestFit="1" customWidth="1"/>
    <col min="12810" max="12810" width="9.42578125" style="5" customWidth="1"/>
    <col min="12811" max="12811" width="4.7109375" style="5" bestFit="1" customWidth="1"/>
    <col min="12812" max="12812" width="8.5703125" style="5" customWidth="1"/>
    <col min="12813" max="12813" width="9.5703125" style="5" customWidth="1"/>
    <col min="12814" max="12815" width="0" style="5" hidden="1" customWidth="1"/>
    <col min="12816" max="12816" width="36.7109375" style="5"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0.7109375" style="5" customWidth="1"/>
    <col min="13058" max="13058" width="14" style="5" customWidth="1"/>
    <col min="13059" max="13059" width="4.42578125" style="5" customWidth="1"/>
    <col min="13060" max="13060" width="11.28515625" style="5" customWidth="1"/>
    <col min="13061" max="13061" width="7" style="5" customWidth="1"/>
    <col min="13062" max="13062" width="13" style="5" customWidth="1"/>
    <col min="13063" max="13063" width="8.7109375" style="5" customWidth="1"/>
    <col min="13064" max="13064" width="4.7109375" style="5" bestFit="1" customWidth="1"/>
    <col min="13065" max="13065" width="10.7109375" style="5" bestFit="1" customWidth="1"/>
    <col min="13066" max="13066" width="9.42578125" style="5" customWidth="1"/>
    <col min="13067" max="13067" width="4.7109375" style="5" bestFit="1" customWidth="1"/>
    <col min="13068" max="13068" width="8.5703125" style="5" customWidth="1"/>
    <col min="13069" max="13069" width="9.5703125" style="5" customWidth="1"/>
    <col min="13070" max="13071" width="0" style="5" hidden="1" customWidth="1"/>
    <col min="13072" max="13072" width="36.7109375" style="5"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0.7109375" style="5" customWidth="1"/>
    <col min="13314" max="13314" width="14" style="5" customWidth="1"/>
    <col min="13315" max="13315" width="4.42578125" style="5" customWidth="1"/>
    <col min="13316" max="13316" width="11.28515625" style="5" customWidth="1"/>
    <col min="13317" max="13317" width="7" style="5" customWidth="1"/>
    <col min="13318" max="13318" width="13" style="5" customWidth="1"/>
    <col min="13319" max="13319" width="8.7109375" style="5" customWidth="1"/>
    <col min="13320" max="13320" width="4.7109375" style="5" bestFit="1" customWidth="1"/>
    <col min="13321" max="13321" width="10.7109375" style="5" bestFit="1" customWidth="1"/>
    <col min="13322" max="13322" width="9.42578125" style="5" customWidth="1"/>
    <col min="13323" max="13323" width="4.7109375" style="5" bestFit="1" customWidth="1"/>
    <col min="13324" max="13324" width="8.5703125" style="5" customWidth="1"/>
    <col min="13325" max="13325" width="9.5703125" style="5" customWidth="1"/>
    <col min="13326" max="13327" width="0" style="5" hidden="1" customWidth="1"/>
    <col min="13328" max="13328" width="36.7109375" style="5"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0.7109375" style="5" customWidth="1"/>
    <col min="13570" max="13570" width="14" style="5" customWidth="1"/>
    <col min="13571" max="13571" width="4.42578125" style="5" customWidth="1"/>
    <col min="13572" max="13572" width="11.28515625" style="5" customWidth="1"/>
    <col min="13573" max="13573" width="7" style="5" customWidth="1"/>
    <col min="13574" max="13574" width="13" style="5" customWidth="1"/>
    <col min="13575" max="13575" width="8.7109375" style="5" customWidth="1"/>
    <col min="13576" max="13576" width="4.7109375" style="5" bestFit="1" customWidth="1"/>
    <col min="13577" max="13577" width="10.7109375" style="5" bestFit="1" customWidth="1"/>
    <col min="13578" max="13578" width="9.42578125" style="5" customWidth="1"/>
    <col min="13579" max="13579" width="4.7109375" style="5" bestFit="1" customWidth="1"/>
    <col min="13580" max="13580" width="8.5703125" style="5" customWidth="1"/>
    <col min="13581" max="13581" width="9.5703125" style="5" customWidth="1"/>
    <col min="13582" max="13583" width="0" style="5" hidden="1" customWidth="1"/>
    <col min="13584" max="13584" width="36.7109375" style="5"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0.7109375" style="5" customWidth="1"/>
    <col min="13826" max="13826" width="14" style="5" customWidth="1"/>
    <col min="13827" max="13827" width="4.42578125" style="5" customWidth="1"/>
    <col min="13828" max="13828" width="11.28515625" style="5" customWidth="1"/>
    <col min="13829" max="13829" width="7" style="5" customWidth="1"/>
    <col min="13830" max="13830" width="13" style="5" customWidth="1"/>
    <col min="13831" max="13831" width="8.7109375" style="5" customWidth="1"/>
    <col min="13832" max="13832" width="4.7109375" style="5" bestFit="1" customWidth="1"/>
    <col min="13833" max="13833" width="10.7109375" style="5" bestFit="1" customWidth="1"/>
    <col min="13834" max="13834" width="9.42578125" style="5" customWidth="1"/>
    <col min="13835" max="13835" width="4.7109375" style="5" bestFit="1" customWidth="1"/>
    <col min="13836" max="13836" width="8.5703125" style="5" customWidth="1"/>
    <col min="13837" max="13837" width="9.5703125" style="5" customWidth="1"/>
    <col min="13838" max="13839" width="0" style="5" hidden="1" customWidth="1"/>
    <col min="13840" max="13840" width="36.7109375" style="5"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0.7109375" style="5" customWidth="1"/>
    <col min="14082" max="14082" width="14" style="5" customWidth="1"/>
    <col min="14083" max="14083" width="4.42578125" style="5" customWidth="1"/>
    <col min="14084" max="14084" width="11.28515625" style="5" customWidth="1"/>
    <col min="14085" max="14085" width="7" style="5" customWidth="1"/>
    <col min="14086" max="14086" width="13" style="5" customWidth="1"/>
    <col min="14087" max="14087" width="8.7109375" style="5" customWidth="1"/>
    <col min="14088" max="14088" width="4.7109375" style="5" bestFit="1" customWidth="1"/>
    <col min="14089" max="14089" width="10.7109375" style="5" bestFit="1" customWidth="1"/>
    <col min="14090" max="14090" width="9.42578125" style="5" customWidth="1"/>
    <col min="14091" max="14091" width="4.7109375" style="5" bestFit="1" customWidth="1"/>
    <col min="14092" max="14092" width="8.5703125" style="5" customWidth="1"/>
    <col min="14093" max="14093" width="9.5703125" style="5" customWidth="1"/>
    <col min="14094" max="14095" width="0" style="5" hidden="1" customWidth="1"/>
    <col min="14096" max="14096" width="36.7109375" style="5"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0.7109375" style="5" customWidth="1"/>
    <col min="14338" max="14338" width="14" style="5" customWidth="1"/>
    <col min="14339" max="14339" width="4.42578125" style="5" customWidth="1"/>
    <col min="14340" max="14340" width="11.28515625" style="5" customWidth="1"/>
    <col min="14341" max="14341" width="7" style="5" customWidth="1"/>
    <col min="14342" max="14342" width="13" style="5" customWidth="1"/>
    <col min="14343" max="14343" width="8.7109375" style="5" customWidth="1"/>
    <col min="14344" max="14344" width="4.7109375" style="5" bestFit="1" customWidth="1"/>
    <col min="14345" max="14345" width="10.7109375" style="5" bestFit="1" customWidth="1"/>
    <col min="14346" max="14346" width="9.42578125" style="5" customWidth="1"/>
    <col min="14347" max="14347" width="4.7109375" style="5" bestFit="1" customWidth="1"/>
    <col min="14348" max="14348" width="8.5703125" style="5" customWidth="1"/>
    <col min="14349" max="14349" width="9.5703125" style="5" customWidth="1"/>
    <col min="14350" max="14351" width="0" style="5" hidden="1" customWidth="1"/>
    <col min="14352" max="14352" width="36.7109375" style="5"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0.7109375" style="5" customWidth="1"/>
    <col min="14594" max="14594" width="14" style="5" customWidth="1"/>
    <col min="14595" max="14595" width="4.42578125" style="5" customWidth="1"/>
    <col min="14596" max="14596" width="11.28515625" style="5" customWidth="1"/>
    <col min="14597" max="14597" width="7" style="5" customWidth="1"/>
    <col min="14598" max="14598" width="13" style="5" customWidth="1"/>
    <col min="14599" max="14599" width="8.7109375" style="5" customWidth="1"/>
    <col min="14600" max="14600" width="4.7109375" style="5" bestFit="1" customWidth="1"/>
    <col min="14601" max="14601" width="10.7109375" style="5" bestFit="1" customWidth="1"/>
    <col min="14602" max="14602" width="9.42578125" style="5" customWidth="1"/>
    <col min="14603" max="14603" width="4.7109375" style="5" bestFit="1" customWidth="1"/>
    <col min="14604" max="14604" width="8.5703125" style="5" customWidth="1"/>
    <col min="14605" max="14605" width="9.5703125" style="5" customWidth="1"/>
    <col min="14606" max="14607" width="0" style="5" hidden="1" customWidth="1"/>
    <col min="14608" max="14608" width="36.7109375" style="5"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0.7109375" style="5" customWidth="1"/>
    <col min="14850" max="14850" width="14" style="5" customWidth="1"/>
    <col min="14851" max="14851" width="4.42578125" style="5" customWidth="1"/>
    <col min="14852" max="14852" width="11.28515625" style="5" customWidth="1"/>
    <col min="14853" max="14853" width="7" style="5" customWidth="1"/>
    <col min="14854" max="14854" width="13" style="5" customWidth="1"/>
    <col min="14855" max="14855" width="8.7109375" style="5" customWidth="1"/>
    <col min="14856" max="14856" width="4.7109375" style="5" bestFit="1" customWidth="1"/>
    <col min="14857" max="14857" width="10.7109375" style="5" bestFit="1" customWidth="1"/>
    <col min="14858" max="14858" width="9.42578125" style="5" customWidth="1"/>
    <col min="14859" max="14859" width="4.7109375" style="5" bestFit="1" customWidth="1"/>
    <col min="14860" max="14860" width="8.5703125" style="5" customWidth="1"/>
    <col min="14861" max="14861" width="9.5703125" style="5" customWidth="1"/>
    <col min="14862" max="14863" width="0" style="5" hidden="1" customWidth="1"/>
    <col min="14864" max="14864" width="36.7109375" style="5"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0.7109375" style="5" customWidth="1"/>
    <col min="15106" max="15106" width="14" style="5" customWidth="1"/>
    <col min="15107" max="15107" width="4.42578125" style="5" customWidth="1"/>
    <col min="15108" max="15108" width="11.28515625" style="5" customWidth="1"/>
    <col min="15109" max="15109" width="7" style="5" customWidth="1"/>
    <col min="15110" max="15110" width="13" style="5" customWidth="1"/>
    <col min="15111" max="15111" width="8.7109375" style="5" customWidth="1"/>
    <col min="15112" max="15112" width="4.7109375" style="5" bestFit="1" customWidth="1"/>
    <col min="15113" max="15113" width="10.7109375" style="5" bestFit="1" customWidth="1"/>
    <col min="15114" max="15114" width="9.42578125" style="5" customWidth="1"/>
    <col min="15115" max="15115" width="4.7109375" style="5" bestFit="1" customWidth="1"/>
    <col min="15116" max="15116" width="8.5703125" style="5" customWidth="1"/>
    <col min="15117" max="15117" width="9.5703125" style="5" customWidth="1"/>
    <col min="15118" max="15119" width="0" style="5" hidden="1" customWidth="1"/>
    <col min="15120" max="15120" width="36.7109375" style="5"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0.7109375" style="5" customWidth="1"/>
    <col min="15362" max="15362" width="14" style="5" customWidth="1"/>
    <col min="15363" max="15363" width="4.42578125" style="5" customWidth="1"/>
    <col min="15364" max="15364" width="11.28515625" style="5" customWidth="1"/>
    <col min="15365" max="15365" width="7" style="5" customWidth="1"/>
    <col min="15366" max="15366" width="13" style="5" customWidth="1"/>
    <col min="15367" max="15367" width="8.7109375" style="5" customWidth="1"/>
    <col min="15368" max="15368" width="4.7109375" style="5" bestFit="1" customWidth="1"/>
    <col min="15369" max="15369" width="10.7109375" style="5" bestFit="1" customWidth="1"/>
    <col min="15370" max="15370" width="9.42578125" style="5" customWidth="1"/>
    <col min="15371" max="15371" width="4.7109375" style="5" bestFit="1" customWidth="1"/>
    <col min="15372" max="15372" width="8.5703125" style="5" customWidth="1"/>
    <col min="15373" max="15373" width="9.5703125" style="5" customWidth="1"/>
    <col min="15374" max="15375" width="0" style="5" hidden="1" customWidth="1"/>
    <col min="15376" max="15376" width="36.7109375" style="5"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0.7109375" style="5" customWidth="1"/>
    <col min="15618" max="15618" width="14" style="5" customWidth="1"/>
    <col min="15619" max="15619" width="4.42578125" style="5" customWidth="1"/>
    <col min="15620" max="15620" width="11.28515625" style="5" customWidth="1"/>
    <col min="15621" max="15621" width="7" style="5" customWidth="1"/>
    <col min="15622" max="15622" width="13" style="5" customWidth="1"/>
    <col min="15623" max="15623" width="8.7109375" style="5" customWidth="1"/>
    <col min="15624" max="15624" width="4.7109375" style="5" bestFit="1" customWidth="1"/>
    <col min="15625" max="15625" width="10.7109375" style="5" bestFit="1" customWidth="1"/>
    <col min="15626" max="15626" width="9.42578125" style="5" customWidth="1"/>
    <col min="15627" max="15627" width="4.7109375" style="5" bestFit="1" customWidth="1"/>
    <col min="15628" max="15628" width="8.5703125" style="5" customWidth="1"/>
    <col min="15629" max="15629" width="9.5703125" style="5" customWidth="1"/>
    <col min="15630" max="15631" width="0" style="5" hidden="1" customWidth="1"/>
    <col min="15632" max="15632" width="36.7109375" style="5"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0.7109375" style="5" customWidth="1"/>
    <col min="15874" max="15874" width="14" style="5" customWidth="1"/>
    <col min="15875" max="15875" width="4.42578125" style="5" customWidth="1"/>
    <col min="15876" max="15876" width="11.28515625" style="5" customWidth="1"/>
    <col min="15877" max="15877" width="7" style="5" customWidth="1"/>
    <col min="15878" max="15878" width="13" style="5" customWidth="1"/>
    <col min="15879" max="15879" width="8.7109375" style="5" customWidth="1"/>
    <col min="15880" max="15880" width="4.7109375" style="5" bestFit="1" customWidth="1"/>
    <col min="15881" max="15881" width="10.7109375" style="5" bestFit="1" customWidth="1"/>
    <col min="15882" max="15882" width="9.42578125" style="5" customWidth="1"/>
    <col min="15883" max="15883" width="4.7109375" style="5" bestFit="1" customWidth="1"/>
    <col min="15884" max="15884" width="8.5703125" style="5" customWidth="1"/>
    <col min="15885" max="15885" width="9.5703125" style="5" customWidth="1"/>
    <col min="15886" max="15887" width="0" style="5" hidden="1" customWidth="1"/>
    <col min="15888" max="15888" width="36.7109375" style="5"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0.7109375" style="5" customWidth="1"/>
    <col min="16130" max="16130" width="14" style="5" customWidth="1"/>
    <col min="16131" max="16131" width="4.42578125" style="5" customWidth="1"/>
    <col min="16132" max="16132" width="11.28515625" style="5" customWidth="1"/>
    <col min="16133" max="16133" width="7" style="5" customWidth="1"/>
    <col min="16134" max="16134" width="13" style="5" customWidth="1"/>
    <col min="16135" max="16135" width="8.7109375" style="5" customWidth="1"/>
    <col min="16136" max="16136" width="4.7109375" style="5" bestFit="1" customWidth="1"/>
    <col min="16137" max="16137" width="10.7109375" style="5" bestFit="1" customWidth="1"/>
    <col min="16138" max="16138" width="9.42578125" style="5" customWidth="1"/>
    <col min="16139" max="16139" width="4.7109375" style="5" bestFit="1" customWidth="1"/>
    <col min="16140" max="16140" width="8.5703125" style="5" customWidth="1"/>
    <col min="16141" max="16141" width="9.5703125" style="5" customWidth="1"/>
    <col min="16142" max="16143" width="0" style="5" hidden="1" customWidth="1"/>
    <col min="16144" max="16144" width="36.7109375" style="5"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226</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31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4" t="str">
        <f>+F6</f>
        <v>Revenue</v>
      </c>
      <c r="P6" s="113"/>
    </row>
    <row r="7" spans="1:27" s="16" customFormat="1" ht="11.25" x14ac:dyDescent="0.2">
      <c r="A7" s="15" t="s">
        <v>5</v>
      </c>
      <c r="B7" s="12" t="s">
        <v>6</v>
      </c>
      <c r="C7" s="12"/>
      <c r="D7" s="12" t="s">
        <v>3</v>
      </c>
      <c r="E7" s="12"/>
      <c r="F7" s="12" t="s">
        <v>7</v>
      </c>
      <c r="G7" s="12"/>
      <c r="H7" s="12"/>
      <c r="I7" s="12"/>
      <c r="J7" s="12" t="s">
        <v>6</v>
      </c>
      <c r="K7" s="12"/>
      <c r="O7" s="144" t="str">
        <f>+F7</f>
        <v>per Customer</v>
      </c>
      <c r="P7" s="113"/>
    </row>
    <row r="8" spans="1:27" s="16" customFormat="1" ht="11.25" x14ac:dyDescent="0.2">
      <c r="A8" s="129">
        <f>'[11]Single Family'!$C$6</f>
        <v>43221</v>
      </c>
      <c r="B8" s="338">
        <v>10938</v>
      </c>
      <c r="C8" s="114"/>
      <c r="D8" s="115">
        <f>VLOOKUP(A8,[11]Value!$A$6:$O$17,15,)</f>
        <v>351.74177403999647</v>
      </c>
      <c r="E8" s="114"/>
      <c r="F8" s="16">
        <f>ROUND(D8/B8,2)</f>
        <v>0.03</v>
      </c>
      <c r="G8" s="114"/>
      <c r="H8" s="114"/>
      <c r="I8" s="114"/>
      <c r="J8" s="14">
        <f t="shared" ref="J8:J18" si="0">+B8</f>
        <v>10938</v>
      </c>
      <c r="K8" s="13">
        <f t="shared" ref="K8:K18" si="1">YEAR(A8)</f>
        <v>2018</v>
      </c>
      <c r="O8" s="145">
        <f>VLOOKUP(A8,[11]Value!$A$6:$O$17,13,FALSE)</f>
        <v>703.48354807999294</v>
      </c>
      <c r="P8" s="113"/>
    </row>
    <row r="9" spans="1:27" s="16" customFormat="1" ht="11.25" x14ac:dyDescent="0.2">
      <c r="A9" s="17">
        <f t="shared" ref="A9:A18" si="2">EOMONTH(A8,1)</f>
        <v>43281</v>
      </c>
      <c r="B9" s="337">
        <v>10944</v>
      </c>
      <c r="C9" s="20"/>
      <c r="D9" s="115">
        <f>VLOOKUP(A9,[11]Value!$A$6:$O$17,15,)</f>
        <v>2186.9764889999969</v>
      </c>
      <c r="E9" s="14"/>
      <c r="F9" s="16">
        <f>ROUND(D9/B9,2)</f>
        <v>0.2</v>
      </c>
      <c r="G9" s="14"/>
      <c r="H9" s="14"/>
      <c r="I9" s="14"/>
      <c r="J9" s="14">
        <f t="shared" si="0"/>
        <v>10944</v>
      </c>
      <c r="K9" s="13">
        <f t="shared" si="1"/>
        <v>2018</v>
      </c>
      <c r="O9" s="145">
        <f>VLOOKUP(A9,[11]Value!$A$6:$O$17,13,FALSE)</f>
        <v>4373.9529779999939</v>
      </c>
      <c r="P9" s="113"/>
    </row>
    <row r="10" spans="1:27" s="16" customFormat="1" ht="11.25" x14ac:dyDescent="0.2">
      <c r="A10" s="17">
        <f t="shared" si="2"/>
        <v>43312</v>
      </c>
      <c r="B10" s="337">
        <v>10965</v>
      </c>
      <c r="C10" s="14"/>
      <c r="D10" s="115">
        <f>VLOOKUP(A10,[11]Value!$A$6:$O$17,15,)</f>
        <v>3424.3459889599972</v>
      </c>
      <c r="E10" s="14"/>
      <c r="F10" s="16">
        <f>ROUND(D10/B10,2)</f>
        <v>0.31</v>
      </c>
      <c r="G10" s="14"/>
      <c r="H10" s="14"/>
      <c r="I10" s="14"/>
      <c r="J10" s="14">
        <f t="shared" si="0"/>
        <v>10965</v>
      </c>
      <c r="K10" s="13">
        <f t="shared" si="1"/>
        <v>2018</v>
      </c>
      <c r="O10" s="145">
        <f>VLOOKUP(A10,[11]Value!$A$6:$O$17,13,FALSE)</f>
        <v>6848.6919779199943</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94</v>
      </c>
      <c r="B12" s="21">
        <f>SUM(B8:B11)</f>
        <v>32847</v>
      </c>
      <c r="C12" s="20" t="s">
        <v>8</v>
      </c>
      <c r="D12" s="22">
        <f>SUM(D8:D11)</f>
        <v>5963.064251999991</v>
      </c>
      <c r="E12" s="14"/>
      <c r="G12" s="14"/>
      <c r="H12" s="14"/>
      <c r="I12" s="14"/>
      <c r="J12" s="14"/>
      <c r="K12" s="13"/>
      <c r="O12" s="145"/>
      <c r="P12" s="113"/>
    </row>
    <row r="13" spans="1:27" s="16" customFormat="1" ht="11.25" x14ac:dyDescent="0.2">
      <c r="A13" s="17"/>
      <c r="B13" s="14"/>
      <c r="C13" s="14"/>
      <c r="E13" s="14"/>
      <c r="G13" s="14"/>
      <c r="H13" s="14"/>
      <c r="I13" s="14"/>
      <c r="J13" s="14"/>
      <c r="K13" s="13"/>
      <c r="O13" s="145"/>
      <c r="P13" s="113"/>
    </row>
    <row r="14" spans="1:27" s="16" customFormat="1" ht="11.25" x14ac:dyDescent="0.2">
      <c r="A14" s="17">
        <f>EOMONTH(A10,1)</f>
        <v>43343</v>
      </c>
      <c r="B14" s="337">
        <v>10938</v>
      </c>
      <c r="C14" s="14"/>
      <c r="D14" s="115">
        <f>VLOOKUP(A14,[11]Value!$A$6:$O$17,15,)</f>
        <v>4209.5253007349966</v>
      </c>
      <c r="E14" s="14"/>
      <c r="F14" s="16">
        <f>ROUND(D14/B14,2)</f>
        <v>0.38</v>
      </c>
      <c r="G14" s="23"/>
      <c r="H14" s="14"/>
      <c r="I14" s="14"/>
      <c r="J14" s="14">
        <f t="shared" si="0"/>
        <v>10938</v>
      </c>
      <c r="K14" s="13">
        <f t="shared" si="1"/>
        <v>2018</v>
      </c>
      <c r="O14" s="145">
        <f>VLOOKUP(A14,[11]Value!$A$6:$O$17,13,FALSE)</f>
        <v>8419.0506014699931</v>
      </c>
      <c r="P14" s="113"/>
    </row>
    <row r="15" spans="1:27" s="16" customFormat="1" ht="11.25" x14ac:dyDescent="0.2">
      <c r="A15" s="17">
        <f t="shared" si="2"/>
        <v>43373</v>
      </c>
      <c r="B15" s="337">
        <v>10953</v>
      </c>
      <c r="C15" s="14"/>
      <c r="D15" s="115">
        <f>VLOOKUP(A15,[11]Value!$A$6:$O$17,15,)</f>
        <v>4111.0152830949974</v>
      </c>
      <c r="E15" s="14"/>
      <c r="F15" s="16">
        <f>ROUND(D15/B15,2)</f>
        <v>0.38</v>
      </c>
      <c r="G15" s="23"/>
      <c r="H15" s="14"/>
      <c r="I15" s="14"/>
      <c r="J15" s="14">
        <f t="shared" si="0"/>
        <v>10953</v>
      </c>
      <c r="K15" s="13">
        <f t="shared" si="1"/>
        <v>2018</v>
      </c>
      <c r="O15" s="145">
        <f>VLOOKUP(A15,[11]Value!$A$6:$O$17,13,FALSE)</f>
        <v>8222.0305661899947</v>
      </c>
      <c r="P15" s="113"/>
    </row>
    <row r="16" spans="1:27" s="16" customFormat="1" ht="11.25" x14ac:dyDescent="0.2">
      <c r="A16" s="17">
        <f t="shared" si="2"/>
        <v>43404</v>
      </c>
      <c r="B16" s="337">
        <v>10940</v>
      </c>
      <c r="C16" s="14"/>
      <c r="D16" s="115">
        <f>VLOOKUP(A16,[11]Value!$A$6:$O$17,15,)</f>
        <v>3999.1271101499979</v>
      </c>
      <c r="E16" s="14"/>
      <c r="F16" s="16">
        <f>ROUND(D16/B16,2)</f>
        <v>0.37</v>
      </c>
      <c r="G16" s="23"/>
      <c r="H16" s="14"/>
      <c r="I16" s="14"/>
      <c r="J16" s="14">
        <f t="shared" si="0"/>
        <v>10940</v>
      </c>
      <c r="K16" s="13">
        <f t="shared" si="1"/>
        <v>2018</v>
      </c>
      <c r="O16" s="145">
        <f>VLOOKUP(A16,[11]Value!$A$6:$O$17,13,FALSE)</f>
        <v>7998.2542202999957</v>
      </c>
      <c r="P16" s="113"/>
    </row>
    <row r="17" spans="1:27" s="16" customFormat="1" ht="11.25" x14ac:dyDescent="0.2">
      <c r="A17" s="17">
        <f t="shared" si="2"/>
        <v>43434</v>
      </c>
      <c r="B17" s="337">
        <v>0</v>
      </c>
      <c r="C17" s="14"/>
      <c r="D17" s="115">
        <f>VLOOKUP(A17,[11]Value!$A$6:$O$17,15,)</f>
        <v>0</v>
      </c>
      <c r="E17" s="14"/>
      <c r="G17" s="23"/>
      <c r="H17" s="14"/>
      <c r="I17" s="14"/>
      <c r="J17" s="14">
        <f t="shared" si="0"/>
        <v>0</v>
      </c>
      <c r="K17" s="13">
        <f t="shared" si="1"/>
        <v>2018</v>
      </c>
      <c r="O17" s="145">
        <f>VLOOKUP(A17,[11]Value!$A$6:$O$17,13,FALSE)</f>
        <v>0</v>
      </c>
      <c r="P17" s="113"/>
    </row>
    <row r="18" spans="1:27" s="16" customFormat="1" ht="11.25" x14ac:dyDescent="0.2">
      <c r="A18" s="17">
        <f t="shared" si="2"/>
        <v>43465</v>
      </c>
      <c r="B18" s="337"/>
      <c r="C18" s="14"/>
      <c r="D18" s="115">
        <f>VLOOKUP(A18,[11]Value!$A$6:$O$17,15,)</f>
        <v>0</v>
      </c>
      <c r="E18" s="14"/>
      <c r="G18" s="23"/>
      <c r="H18" s="14"/>
      <c r="I18" s="14"/>
      <c r="J18" s="14">
        <f t="shared" si="0"/>
        <v>0</v>
      </c>
      <c r="K18" s="13">
        <f t="shared" si="1"/>
        <v>2018</v>
      </c>
      <c r="O18" s="145">
        <f>VLOOKUP(A18,[11]Value!$A$6:$O$17,13,FALSE)</f>
        <v>0</v>
      </c>
      <c r="P18" s="113"/>
    </row>
    <row r="19" spans="1:27" s="16" customFormat="1" ht="11.25" x14ac:dyDescent="0.2">
      <c r="A19" s="17">
        <f>EOMONTH(A18,1)</f>
        <v>43496</v>
      </c>
      <c r="B19" s="337"/>
      <c r="C19" s="14"/>
      <c r="D19" s="115">
        <f>VLOOKUP(A19,[11]Value!$A$6:$O$17,15,)</f>
        <v>0</v>
      </c>
      <c r="E19" s="14"/>
      <c r="G19" s="23"/>
      <c r="H19" s="14"/>
      <c r="I19" s="14"/>
      <c r="J19" s="14">
        <f>+B19</f>
        <v>0</v>
      </c>
      <c r="K19" s="13">
        <f>YEAR(A19)</f>
        <v>2019</v>
      </c>
      <c r="O19" s="145">
        <f>VLOOKUP(A19,[11]Value!$A$6:$O$17,13,FALSE)</f>
        <v>0</v>
      </c>
      <c r="P19" s="113"/>
      <c r="X19" s="14"/>
      <c r="Y19" s="14"/>
    </row>
    <row r="20" spans="1:27" s="16" customFormat="1" ht="11.25" x14ac:dyDescent="0.2">
      <c r="A20" s="17">
        <f>EOMONTH(A19,1)</f>
        <v>43524</v>
      </c>
      <c r="B20" s="337"/>
      <c r="C20" s="14"/>
      <c r="D20" s="115">
        <f>VLOOKUP(A20,[11]Value!$A$6:$O$17,15,)</f>
        <v>0</v>
      </c>
      <c r="E20" s="14"/>
      <c r="G20" s="23"/>
      <c r="H20" s="14"/>
      <c r="I20" s="14"/>
      <c r="J20" s="14">
        <f>+B20</f>
        <v>0</v>
      </c>
      <c r="K20" s="13">
        <f>YEAR(A20)</f>
        <v>2019</v>
      </c>
      <c r="L20" s="14"/>
      <c r="M20" s="14"/>
      <c r="N20" s="14"/>
      <c r="O20" s="145">
        <f>VLOOKUP(A20,[11]Value!$A$6:$O$17,13,FALSE)</f>
        <v>0</v>
      </c>
      <c r="P20" s="35"/>
      <c r="Q20" s="14"/>
      <c r="R20" s="14"/>
      <c r="S20" s="14"/>
      <c r="T20" s="14"/>
      <c r="U20" s="14"/>
      <c r="V20" s="14"/>
      <c r="W20" s="14"/>
      <c r="Y20" s="14"/>
      <c r="AA20" s="14"/>
    </row>
    <row r="21" spans="1:27" s="16" customFormat="1" ht="11.25" x14ac:dyDescent="0.2">
      <c r="A21" s="17">
        <f>EOMONTH(A20,1)</f>
        <v>43555</v>
      </c>
      <c r="B21" s="337"/>
      <c r="C21" s="14"/>
      <c r="D21" s="115">
        <f>VLOOKUP(A21,[11]Value!$A$6:$O$17,15,)</f>
        <v>0</v>
      </c>
      <c r="E21" s="14"/>
      <c r="G21" s="23"/>
      <c r="H21" s="20"/>
      <c r="I21" s="14"/>
      <c r="J21" s="14">
        <f>+B21</f>
        <v>0</v>
      </c>
      <c r="K21" s="13">
        <f>YEAR(A21)</f>
        <v>2019</v>
      </c>
      <c r="O21" s="145">
        <f>VLOOKUP(A21,[11]Value!$A$6:$O$17,13,FALSE)</f>
        <v>0</v>
      </c>
      <c r="P21" s="113"/>
    </row>
    <row r="22" spans="1:27" s="16" customFormat="1" ht="11.25" x14ac:dyDescent="0.2">
      <c r="A22" s="17">
        <f>EOMONTH(A21,1)</f>
        <v>43585</v>
      </c>
      <c r="B22" s="337"/>
      <c r="C22" s="14"/>
      <c r="D22" s="115">
        <f>VLOOKUP(A22,[11]Value!$A$6:$O$17,15,)</f>
        <v>0</v>
      </c>
      <c r="E22" s="14"/>
      <c r="G22" s="23"/>
      <c r="H22" s="20"/>
      <c r="I22" s="14"/>
      <c r="J22" s="14">
        <f>+B22</f>
        <v>0</v>
      </c>
      <c r="K22" s="13">
        <f>YEAR(A22)</f>
        <v>2019</v>
      </c>
      <c r="O22" s="145">
        <f>VLOOKUP(A22,[11]Value!$A$6:$O$17,13,FALSE)</f>
        <v>0</v>
      </c>
      <c r="P22" s="113"/>
    </row>
    <row r="23" spans="1:27" s="16" customFormat="1" ht="11.25" x14ac:dyDescent="0.2">
      <c r="A23" s="17"/>
      <c r="B23" s="14"/>
      <c r="C23" s="14"/>
      <c r="E23" s="14"/>
      <c r="G23" s="14"/>
      <c r="H23" s="14"/>
      <c r="I23" s="14"/>
      <c r="J23" s="14"/>
      <c r="K23" s="13"/>
      <c r="O23" s="146"/>
    </row>
    <row r="24" spans="1:27" s="16" customFormat="1" ht="11.25" x14ac:dyDescent="0.2">
      <c r="A24" s="17" t="s">
        <v>95</v>
      </c>
      <c r="B24" s="21">
        <f>SUM(B14:B22)</f>
        <v>32831</v>
      </c>
      <c r="C24" s="20" t="s">
        <v>9</v>
      </c>
      <c r="D24" s="22">
        <f>SUM(D13:D23)</f>
        <v>12319.667693979991</v>
      </c>
      <c r="E24" s="14"/>
      <c r="G24" s="14"/>
      <c r="H24" s="14"/>
      <c r="I24" s="14"/>
      <c r="J24" s="14"/>
      <c r="K24" s="13"/>
      <c r="O24" s="146"/>
      <c r="P24" s="147" t="s">
        <v>87</v>
      </c>
    </row>
    <row r="25" spans="1:27" x14ac:dyDescent="0.2">
      <c r="D25" s="25"/>
      <c r="O25" s="146">
        <f>SUM(O8:O24)</f>
        <v>36565.463891959967</v>
      </c>
      <c r="P25" s="120"/>
    </row>
    <row r="26" spans="1:27" s="16" customFormat="1" ht="12" thickBot="1" x14ac:dyDescent="0.25">
      <c r="A26" s="26"/>
      <c r="B26" s="27">
        <f>+B12+B24</f>
        <v>65678</v>
      </c>
      <c r="C26" s="20"/>
      <c r="D26" s="28">
        <f>+D12+D24</f>
        <v>18282.731945979984</v>
      </c>
      <c r="E26" s="20" t="s">
        <v>10</v>
      </c>
      <c r="F26" s="23">
        <f>ROUND(D26/B26,3)</f>
        <v>0.27800000000000002</v>
      </c>
      <c r="H26" s="14"/>
      <c r="I26" s="14"/>
      <c r="J26" s="27">
        <f>SUM(J8:J25)</f>
        <v>65678</v>
      </c>
      <c r="K26" s="20" t="s">
        <v>12</v>
      </c>
      <c r="O26" s="148">
        <f>ROUND(O25/J26,3)</f>
        <v>0.55700000000000005</v>
      </c>
      <c r="P26" s="113" t="s">
        <v>88</v>
      </c>
    </row>
    <row r="27" spans="1:27" s="16" customFormat="1" ht="12" thickTop="1" x14ac:dyDescent="0.2">
      <c r="A27" s="16" t="s">
        <v>224</v>
      </c>
      <c r="B27" s="14"/>
      <c r="C27" s="14"/>
      <c r="D27" s="14"/>
      <c r="E27" s="14"/>
      <c r="F27" s="14"/>
      <c r="G27" s="14"/>
      <c r="H27" s="14"/>
      <c r="I27" s="14"/>
      <c r="J27" s="14"/>
      <c r="K27" s="14"/>
      <c r="O27" s="149">
        <f>+J22</f>
        <v>0</v>
      </c>
      <c r="P27" s="113" t="s">
        <v>89</v>
      </c>
    </row>
    <row r="28" spans="1:27" s="16" customFormat="1" ht="11.25" x14ac:dyDescent="0.2">
      <c r="A28" s="16" t="s">
        <v>223</v>
      </c>
      <c r="B28" s="14">
        <f>B26</f>
        <v>65678</v>
      </c>
      <c r="C28" s="14"/>
      <c r="D28" s="14">
        <f>D26</f>
        <v>18282.731945979984</v>
      </c>
      <c r="E28" s="14"/>
      <c r="F28" s="23">
        <f>ROUND(D28/B28,3)</f>
        <v>0.27800000000000002</v>
      </c>
      <c r="G28" s="20" t="s">
        <v>11</v>
      </c>
      <c r="H28" s="14"/>
      <c r="I28" s="14"/>
      <c r="J28" s="14"/>
      <c r="K28" s="14"/>
      <c r="O28" s="113"/>
      <c r="P28" s="113" t="s">
        <v>90</v>
      </c>
    </row>
    <row r="29" spans="1:27" s="16" customFormat="1" ht="11.25" x14ac:dyDescent="0.2">
      <c r="B29" s="14"/>
      <c r="C29" s="14"/>
      <c r="D29" s="14"/>
      <c r="E29" s="14"/>
      <c r="F29" s="14"/>
      <c r="G29" s="14"/>
      <c r="H29" s="14"/>
      <c r="I29" s="14"/>
      <c r="J29" s="14"/>
      <c r="K29" s="14"/>
      <c r="O29" s="113"/>
      <c r="P29" s="113"/>
    </row>
    <row r="30" spans="1:27" s="16" customFormat="1" ht="12" thickBot="1" x14ac:dyDescent="0.25">
      <c r="A30" s="16">
        <f>AVERAGE(B8:B10,B14:B22)</f>
        <v>9382.5714285714294</v>
      </c>
      <c r="B30" s="29" t="s">
        <v>13</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ROUND(D26,0)</f>
        <v>18283</v>
      </c>
      <c r="H32" s="20" t="s">
        <v>10</v>
      </c>
      <c r="I32" s="14"/>
      <c r="J32" s="14"/>
      <c r="K32" s="14"/>
    </row>
    <row r="33" spans="1:27" s="13" customFormat="1" ht="11.25" x14ac:dyDescent="0.2">
      <c r="A33" s="33"/>
      <c r="B33" s="31"/>
      <c r="C33" s="14"/>
      <c r="D33" s="14"/>
      <c r="E33" s="14"/>
      <c r="F33" s="14"/>
      <c r="G33" s="14"/>
      <c r="H33" s="20"/>
      <c r="I33" s="14"/>
      <c r="J33" s="14"/>
      <c r="K33" s="14"/>
      <c r="O33" s="16">
        <f>12*O27*O26</f>
        <v>0</v>
      </c>
      <c r="P33" s="13" t="s">
        <v>91</v>
      </c>
      <c r="W33" s="14"/>
      <c r="X33" s="16"/>
      <c r="Y33" s="16"/>
      <c r="AA33" s="14"/>
    </row>
    <row r="34" spans="1:27" s="16" customFormat="1" ht="11.25" x14ac:dyDescent="0.2">
      <c r="B34" s="14" t="s">
        <v>15</v>
      </c>
      <c r="C34" s="14"/>
      <c r="D34" s="14"/>
      <c r="E34" s="14"/>
      <c r="F34" s="336">
        <v>1.141</v>
      </c>
      <c r="G34" s="14"/>
      <c r="H34" s="14"/>
      <c r="I34" s="14"/>
      <c r="J34" s="14"/>
      <c r="K34" s="14"/>
      <c r="O34" s="16">
        <f>12*O27*G57</f>
        <v>0</v>
      </c>
      <c r="P34" s="16" t="s">
        <v>92</v>
      </c>
    </row>
    <row r="35" spans="1:27" s="16" customFormat="1" ht="11.25" x14ac:dyDescent="0.2">
      <c r="B35" s="14"/>
      <c r="C35" s="14" t="str">
        <f>"Customers from "&amp;TEXT($A$8,"mm/yy")&amp;" - "&amp;TEXT($A$10,"mm/yy")</f>
        <v>Customers from 05/18 - 07/18</v>
      </c>
      <c r="D35" s="14"/>
      <c r="E35" s="14"/>
      <c r="F35" s="35">
        <f>+B12</f>
        <v>32847</v>
      </c>
      <c r="G35" s="20" t="s">
        <v>8</v>
      </c>
      <c r="H35" s="14"/>
      <c r="I35" s="14"/>
      <c r="J35" s="14"/>
      <c r="K35" s="14"/>
      <c r="O35" s="150" t="e">
        <f>+O34/O33</f>
        <v>#DIV/0!</v>
      </c>
    </row>
    <row r="36" spans="1:27" s="16" customFormat="1" ht="11.25" x14ac:dyDescent="0.2">
      <c r="B36" s="14"/>
      <c r="C36" s="14" t="s">
        <v>16</v>
      </c>
      <c r="D36" s="14"/>
      <c r="E36" s="14"/>
      <c r="F36" s="21">
        <f>ROUND(F34*F35,0)</f>
        <v>37478</v>
      </c>
      <c r="G36" s="20"/>
      <c r="H36" s="14"/>
      <c r="I36" s="14"/>
      <c r="J36" s="14"/>
      <c r="K36" s="14"/>
    </row>
    <row r="37" spans="1:27" s="16" customFormat="1" ht="11.25" x14ac:dyDescent="0.2">
      <c r="B37" s="14"/>
      <c r="C37" s="14"/>
      <c r="D37" s="14"/>
      <c r="E37" s="14"/>
      <c r="F37" s="35"/>
      <c r="G37" s="20"/>
      <c r="H37" s="14" t="s">
        <v>217</v>
      </c>
      <c r="I37" s="14"/>
      <c r="J37" s="14"/>
      <c r="K37" s="14"/>
    </row>
    <row r="38" spans="1:27" s="16" customFormat="1" ht="11.25" x14ac:dyDescent="0.2">
      <c r="B38" s="14" t="s">
        <v>15</v>
      </c>
      <c r="C38" s="14"/>
      <c r="D38" s="14"/>
      <c r="E38" s="14"/>
      <c r="F38" s="336">
        <v>0.47299999999999998</v>
      </c>
      <c r="G38" s="14"/>
      <c r="H38" s="14"/>
      <c r="I38" s="14"/>
      <c r="J38" s="14"/>
      <c r="K38" s="14"/>
    </row>
    <row r="39" spans="1:27" s="16" customFormat="1" ht="11.25" x14ac:dyDescent="0.2">
      <c r="B39" s="14"/>
      <c r="C39" s="14" t="str">
        <f>"Customers from "&amp;TEXT($A$14,"mm/yy")&amp;" - "&amp;TEXT($A$22,"mm/yy")</f>
        <v>Customers from 08/18 - 04/19</v>
      </c>
      <c r="D39" s="14"/>
      <c r="E39" s="14"/>
      <c r="F39" s="14">
        <f>+B24</f>
        <v>32831</v>
      </c>
      <c r="G39" s="20" t="s">
        <v>9</v>
      </c>
      <c r="H39" s="14"/>
      <c r="I39" s="14"/>
      <c r="J39" s="14"/>
      <c r="K39" s="14"/>
    </row>
    <row r="40" spans="1:27" s="16" customFormat="1" ht="11.25" x14ac:dyDescent="0.2">
      <c r="B40" s="14"/>
      <c r="C40" s="14" t="s">
        <v>16</v>
      </c>
      <c r="D40" s="14"/>
      <c r="E40" s="14"/>
      <c r="F40" s="21">
        <f>ROUND(F38*F39,0)</f>
        <v>15529</v>
      </c>
      <c r="G40" s="20"/>
      <c r="H40" s="14"/>
      <c r="I40" s="14"/>
      <c r="J40" s="14"/>
      <c r="K40" s="14"/>
    </row>
    <row r="41" spans="1:27" s="16" customFormat="1" ht="11.25" x14ac:dyDescent="0.2">
      <c r="B41" s="14"/>
      <c r="C41" s="14"/>
      <c r="D41" s="14"/>
      <c r="E41" s="14"/>
      <c r="F41" s="36"/>
      <c r="G41" s="20"/>
      <c r="H41" s="14"/>
      <c r="I41" s="14"/>
      <c r="J41" s="14"/>
      <c r="K41" s="14"/>
    </row>
    <row r="42" spans="1:27" s="16" customFormat="1" ht="12" thickBot="1" x14ac:dyDescent="0.25">
      <c r="B42" s="14"/>
      <c r="C42" s="14" t="s">
        <v>17</v>
      </c>
      <c r="D42" s="14"/>
      <c r="E42" s="14"/>
      <c r="F42" s="27">
        <f>+F36+F40</f>
        <v>53007</v>
      </c>
      <c r="G42" s="37">
        <f>+F42</f>
        <v>53007</v>
      </c>
      <c r="H42" s="14"/>
      <c r="I42" s="14"/>
      <c r="J42" s="14"/>
      <c r="K42" s="14"/>
    </row>
    <row r="43" spans="1:27" s="16" customFormat="1" ht="12" thickTop="1" x14ac:dyDescent="0.2">
      <c r="B43" s="1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
        <v>18</v>
      </c>
      <c r="G45" s="38">
        <f>+G32-G42</f>
        <v>-34724</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
        <v>227</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
        <v>228</v>
      </c>
      <c r="C50" s="14"/>
      <c r="D50" s="14"/>
      <c r="E50" s="14"/>
      <c r="F50" s="14"/>
      <c r="G50" s="14"/>
      <c r="H50" s="14"/>
      <c r="I50" s="14"/>
      <c r="J50" s="14"/>
      <c r="K50" s="14"/>
    </row>
    <row r="51" spans="1:27" s="16" customFormat="1" ht="11.25" x14ac:dyDescent="0.2">
      <c r="B51" s="14"/>
      <c r="C51" s="14"/>
      <c r="D51" s="14"/>
      <c r="E51" s="14"/>
      <c r="F51" s="32" t="s">
        <v>229</v>
      </c>
      <c r="G51" s="14">
        <f>+J26</f>
        <v>65678</v>
      </c>
      <c r="H51" s="20" t="s">
        <v>12</v>
      </c>
      <c r="I51" s="14"/>
      <c r="J51" s="14"/>
      <c r="K51" s="14"/>
    </row>
    <row r="52" spans="1:27" s="16" customFormat="1" ht="11.25" x14ac:dyDescent="0.2">
      <c r="B52" s="14"/>
      <c r="C52" s="14"/>
      <c r="D52" s="14"/>
      <c r="E52" s="14"/>
      <c r="F52" s="32" t="s">
        <v>18</v>
      </c>
      <c r="G52" s="14">
        <f>+G45</f>
        <v>-34724</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230</v>
      </c>
      <c r="G54" s="39">
        <f>ROUND(G52/G51,3)</f>
        <v>-0.52900000000000003</v>
      </c>
      <c r="H54" s="14"/>
      <c r="I54" s="23">
        <f>+G54</f>
        <v>-0.52900000000000003</v>
      </c>
      <c r="J54" s="14"/>
      <c r="K54" s="14"/>
    </row>
    <row r="55" spans="1:27" s="16" customFormat="1" ht="12" thickTop="1" x14ac:dyDescent="0.2">
      <c r="B55" s="14"/>
      <c r="C55" s="14"/>
      <c r="D55" s="14"/>
      <c r="E55" s="14"/>
      <c r="F55" s="32"/>
      <c r="G55" s="14"/>
      <c r="H55" s="14"/>
      <c r="I55" s="23"/>
      <c r="J55" s="14"/>
      <c r="K55" s="14"/>
      <c r="Y55" s="14"/>
    </row>
    <row r="56" spans="1:27" s="16" customFormat="1" ht="11.25" x14ac:dyDescent="0.2">
      <c r="B56" s="14" t="s">
        <v>231</v>
      </c>
      <c r="C56" s="14"/>
      <c r="D56" s="14"/>
      <c r="E56" s="14"/>
      <c r="F56" s="32"/>
      <c r="G56" s="14"/>
      <c r="H56" s="14"/>
      <c r="I56" s="23"/>
      <c r="J56" s="14"/>
      <c r="K56" s="14"/>
      <c r="N56" s="151" t="s">
        <v>93</v>
      </c>
    </row>
    <row r="57" spans="1:27" s="16" customFormat="1" ht="12" thickBot="1" x14ac:dyDescent="0.25">
      <c r="B57" s="31"/>
      <c r="C57" s="14"/>
      <c r="D57" s="14"/>
      <c r="E57" s="14"/>
      <c r="F57" s="32" t="s">
        <v>232</v>
      </c>
      <c r="G57" s="40">
        <f>+F28/[11]Value!$P$18*N57</f>
        <v>0.27800000000000002</v>
      </c>
      <c r="H57" s="14"/>
      <c r="I57" s="23">
        <f>+G57</f>
        <v>0.27800000000000002</v>
      </c>
      <c r="J57" s="20" t="s">
        <v>11</v>
      </c>
      <c r="K57" s="14"/>
      <c r="N57" s="152">
        <f>+'[10]WUTC_AW of Kent_MF'!$O$56</f>
        <v>0.5</v>
      </c>
    </row>
    <row r="58" spans="1:27" s="14" customFormat="1" ht="12" thickTop="1" x14ac:dyDescent="0.2">
      <c r="B58" s="31"/>
      <c r="I58" s="23"/>
      <c r="X58" s="16"/>
      <c r="Y58" s="16"/>
    </row>
    <row r="59" spans="1:27" s="16" customFormat="1" ht="12" thickBot="1" x14ac:dyDescent="0.25">
      <c r="B59" s="14"/>
      <c r="C59" s="14"/>
      <c r="D59" s="14"/>
      <c r="E59" s="14"/>
      <c r="F59" s="14"/>
      <c r="G59" s="32" t="s">
        <v>233</v>
      </c>
      <c r="H59" s="27"/>
      <c r="I59" s="39">
        <f>+I54+I57</f>
        <v>-0.251</v>
      </c>
      <c r="J59" s="14"/>
      <c r="K59" s="14"/>
    </row>
    <row r="60" spans="1:27" s="16" customFormat="1" ht="12" thickTop="1" x14ac:dyDescent="0.2"/>
    <row r="61" spans="1:27" s="16" customFormat="1" ht="11.25" x14ac:dyDescent="0.2"/>
    <row r="62" spans="1:27" s="16" customFormat="1" ht="11.25" x14ac:dyDescent="0.2">
      <c r="B62" s="16" t="s">
        <v>221</v>
      </c>
      <c r="G62" s="139" t="s">
        <v>84</v>
      </c>
      <c r="I62" s="286"/>
      <c r="L62" s="23"/>
    </row>
    <row r="63" spans="1:27" s="14" customFormat="1" ht="11.25" x14ac:dyDescent="0.2">
      <c r="A63" s="116"/>
      <c r="B63" s="35"/>
      <c r="C63" s="35"/>
      <c r="D63" s="113"/>
      <c r="E63" s="35"/>
      <c r="F63" s="113"/>
      <c r="X63" s="16"/>
      <c r="Y63" s="16"/>
    </row>
    <row r="64" spans="1:27" s="16" customFormat="1" ht="11.25" x14ac:dyDescent="0.2">
      <c r="A64" s="116"/>
      <c r="B64" s="35"/>
      <c r="C64" s="118"/>
      <c r="D64" s="113"/>
      <c r="E64" s="113"/>
      <c r="F64" s="113"/>
      <c r="G64" s="139" t="s">
        <v>85</v>
      </c>
      <c r="I64" s="22">
        <f>I62/(G51)</f>
        <v>0</v>
      </c>
    </row>
    <row r="65" spans="1:27" s="16" customFormat="1" ht="11.25" x14ac:dyDescent="0.2">
      <c r="A65" s="116"/>
      <c r="B65" s="35"/>
      <c r="C65" s="35"/>
      <c r="D65" s="113"/>
      <c r="E65" s="113"/>
      <c r="F65" s="113"/>
    </row>
    <row r="66" spans="1:27" s="16" customFormat="1" ht="12" thickBot="1" x14ac:dyDescent="0.25">
      <c r="A66" s="116"/>
      <c r="B66" s="117"/>
      <c r="C66" s="35"/>
      <c r="D66" s="113"/>
      <c r="E66" s="113"/>
      <c r="F66" s="113"/>
      <c r="G66" s="32" t="str">
        <f>$K$22+1&amp;" Net Credit"</f>
        <v>2020 Net Credit</v>
      </c>
      <c r="H66" s="27"/>
      <c r="I66" s="153">
        <f>+I59+I64</f>
        <v>-0.251</v>
      </c>
    </row>
    <row r="67" spans="1:27" s="16" customFormat="1" ht="12" thickTop="1" x14ac:dyDescent="0.2">
      <c r="A67" s="116"/>
      <c r="B67" s="117"/>
      <c r="C67" s="35"/>
      <c r="D67" s="113"/>
      <c r="E67" s="113"/>
      <c r="F67" s="113"/>
    </row>
    <row r="68" spans="1:27" s="16" customFormat="1" ht="11.25" x14ac:dyDescent="0.2">
      <c r="A68" s="116"/>
      <c r="B68" s="117"/>
      <c r="C68" s="35"/>
      <c r="D68" s="113"/>
      <c r="E68" s="113"/>
      <c r="F68" s="113"/>
    </row>
    <row r="69" spans="1:27" s="16" customFormat="1" ht="11.25" x14ac:dyDescent="0.2">
      <c r="A69" s="116"/>
      <c r="B69" s="117"/>
      <c r="C69" s="35"/>
      <c r="D69" s="113"/>
      <c r="E69" s="113"/>
      <c r="F69" s="113"/>
      <c r="Y69" s="14"/>
    </row>
    <row r="70" spans="1:27" s="16" customFormat="1" ht="11.25" x14ac:dyDescent="0.2">
      <c r="A70" s="116"/>
      <c r="B70" s="117"/>
      <c r="C70" s="35"/>
      <c r="D70" s="113"/>
      <c r="E70" s="113"/>
      <c r="F70" s="113"/>
    </row>
    <row r="71" spans="1:27" s="16" customFormat="1" ht="11.25" x14ac:dyDescent="0.2">
      <c r="A71" s="116"/>
      <c r="B71" s="117"/>
      <c r="C71" s="35"/>
      <c r="D71" s="113"/>
      <c r="E71" s="113"/>
      <c r="F71" s="113"/>
    </row>
    <row r="72" spans="1:27" s="16" customFormat="1" ht="11.25" x14ac:dyDescent="0.2">
      <c r="A72" s="116"/>
      <c r="B72" s="117"/>
      <c r="C72" s="35"/>
      <c r="D72" s="113"/>
      <c r="E72" s="113"/>
      <c r="F72" s="113"/>
    </row>
    <row r="73" spans="1:27" s="16" customFormat="1" ht="11.25" x14ac:dyDescent="0.2">
      <c r="A73" s="116"/>
      <c r="B73" s="117"/>
      <c r="C73" s="35"/>
      <c r="D73" s="113"/>
      <c r="E73" s="119"/>
      <c r="F73" s="113"/>
      <c r="G73" s="14"/>
      <c r="H73" s="13"/>
      <c r="I73" s="14"/>
      <c r="J73" s="14"/>
      <c r="K73" s="13"/>
      <c r="L73" s="14"/>
      <c r="M73" s="14"/>
      <c r="N73" s="14"/>
      <c r="O73" s="14"/>
      <c r="P73" s="14"/>
      <c r="Q73" s="14"/>
      <c r="R73" s="14"/>
      <c r="S73" s="14"/>
      <c r="T73" s="14"/>
      <c r="U73" s="14"/>
      <c r="V73" s="13"/>
      <c r="W73" s="14"/>
      <c r="AA73" s="14"/>
    </row>
    <row r="74" spans="1:27" s="16" customFormat="1" ht="11.25" x14ac:dyDescent="0.2">
      <c r="A74" s="116"/>
      <c r="B74" s="117"/>
      <c r="C74" s="35"/>
      <c r="D74" s="113"/>
      <c r="E74" s="113"/>
      <c r="F74" s="113"/>
    </row>
    <row r="75" spans="1:27" s="16" customFormat="1" ht="11.25" x14ac:dyDescent="0.2">
      <c r="A75" s="116"/>
      <c r="B75" s="35"/>
      <c r="C75" s="35"/>
      <c r="D75" s="113"/>
      <c r="E75" s="113"/>
      <c r="F75" s="113"/>
    </row>
    <row r="76" spans="1:27" s="16" customFormat="1" ht="11.25" x14ac:dyDescent="0.2">
      <c r="A76" s="116"/>
      <c r="B76" s="35"/>
      <c r="C76" s="118"/>
      <c r="D76" s="113"/>
      <c r="E76" s="113"/>
      <c r="F76" s="113"/>
    </row>
    <row r="77" spans="1:27" s="16" customFormat="1" x14ac:dyDescent="0.2">
      <c r="A77" s="120"/>
      <c r="B77" s="120"/>
      <c r="C77" s="120"/>
      <c r="D77" s="121"/>
      <c r="E77" s="113"/>
      <c r="F77" s="120"/>
    </row>
    <row r="78" spans="1:27" s="16" customFormat="1" ht="11.25" x14ac:dyDescent="0.2">
      <c r="A78" s="122"/>
      <c r="B78" s="35"/>
      <c r="C78" s="118"/>
      <c r="D78" s="113"/>
      <c r="E78" s="113"/>
      <c r="F78" s="123"/>
      <c r="Y78" s="14"/>
    </row>
    <row r="79" spans="1:27" s="16" customFormat="1" ht="11.25" x14ac:dyDescent="0.2"/>
    <row r="80" spans="1:27" s="16" customFormat="1" ht="11.25" x14ac:dyDescent="0.2"/>
    <row r="81" spans="1:27" s="16" customFormat="1" ht="11.25" x14ac:dyDescent="0.2"/>
    <row r="82" spans="1:27" s="16" customFormat="1" ht="11.25" x14ac:dyDescent="0.2">
      <c r="B82" s="8"/>
    </row>
    <row r="83" spans="1:27" s="14" customFormat="1" ht="11.25" x14ac:dyDescent="0.2">
      <c r="B83" s="31"/>
      <c r="X83" s="16"/>
      <c r="Y83" s="16"/>
    </row>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c r="A92" s="6"/>
    </row>
    <row r="93" spans="1:27" s="16" customFormat="1" x14ac:dyDescent="0.2">
      <c r="AA93" s="5"/>
    </row>
    <row r="94" spans="1:27" s="16" customFormat="1" x14ac:dyDescent="0.2">
      <c r="AA94" s="5"/>
    </row>
    <row r="95" spans="1:27" s="16" customFormat="1" x14ac:dyDescent="0.2">
      <c r="AA95" s="5"/>
    </row>
    <row r="96" spans="1:27" s="16" customFormat="1" x14ac:dyDescent="0.2">
      <c r="AA96" s="5"/>
    </row>
    <row r="97" spans="7:27" s="16" customFormat="1" x14ac:dyDescent="0.2">
      <c r="G97" s="56"/>
      <c r="I97" s="56"/>
      <c r="J97" s="56"/>
      <c r="L97" s="56"/>
      <c r="M97" s="56"/>
      <c r="N97" s="56"/>
      <c r="O97" s="56"/>
      <c r="P97" s="56"/>
      <c r="Q97" s="56"/>
      <c r="R97" s="56"/>
      <c r="S97" s="56"/>
      <c r="T97" s="56"/>
      <c r="U97" s="56"/>
      <c r="V97" s="56"/>
      <c r="W97" s="56"/>
      <c r="X97" s="56"/>
      <c r="Y97" s="56"/>
      <c r="AA97" s="5"/>
    </row>
    <row r="98" spans="7:27" s="16" customFormat="1" x14ac:dyDescent="0.2">
      <c r="AA98" s="5"/>
    </row>
    <row r="99" spans="7:27" s="16" customFormat="1" ht="13.5" thickBot="1" x14ac:dyDescent="0.25">
      <c r="G99" s="57"/>
      <c r="I99" s="57"/>
      <c r="J99" s="57"/>
      <c r="L99" s="57"/>
      <c r="M99" s="57"/>
      <c r="N99" s="57"/>
      <c r="O99" s="57"/>
      <c r="P99" s="57"/>
      <c r="Q99" s="57"/>
      <c r="R99" s="57"/>
      <c r="S99" s="57"/>
      <c r="T99" s="57"/>
      <c r="U99" s="57"/>
      <c r="V99" s="57"/>
      <c r="W99" s="57"/>
      <c r="X99" s="57"/>
      <c r="Y99" s="57"/>
      <c r="AA99" s="5"/>
    </row>
    <row r="100" spans="7:27" ht="13.5" thickTop="1" x14ac:dyDescent="0.2"/>
    <row r="101" spans="7:27" x14ac:dyDescent="0.2">
      <c r="W101" s="58"/>
      <c r="X101" s="58"/>
      <c r="Y101" s="58"/>
    </row>
    <row r="102" spans="7:27" x14ac:dyDescent="0.2">
      <c r="W102" s="58"/>
      <c r="AA102" s="58"/>
    </row>
  </sheetData>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118"/>
  <sheetViews>
    <sheetView workbookViewId="0">
      <selection sqref="A1:XFD1048576"/>
    </sheetView>
  </sheetViews>
  <sheetFormatPr defaultRowHeight="12.75" x14ac:dyDescent="0.2"/>
  <cols>
    <col min="1" max="1" width="8.140625" customWidth="1"/>
    <col min="2" max="2" width="2.140625" customWidth="1"/>
    <col min="3" max="13" width="11.7109375" customWidth="1"/>
    <col min="14" max="14" width="3" customWidth="1"/>
    <col min="15" max="15" width="10.42578125" style="72" bestFit="1" customWidth="1"/>
    <col min="16" max="16" width="14.5703125" bestFit="1" customWidth="1"/>
    <col min="257" max="257" width="8.140625" customWidth="1"/>
    <col min="258" max="258" width="2.140625" customWidth="1"/>
    <col min="259" max="269" width="11.7109375" customWidth="1"/>
    <col min="270" max="270" width="3" customWidth="1"/>
    <col min="271" max="271" width="10.42578125" bestFit="1" customWidth="1"/>
    <col min="272" max="272" width="14.5703125" bestFit="1" customWidth="1"/>
    <col min="513" max="513" width="8.140625" customWidth="1"/>
    <col min="514" max="514" width="2.140625" customWidth="1"/>
    <col min="515" max="525" width="11.7109375" customWidth="1"/>
    <col min="526" max="526" width="3" customWidth="1"/>
    <col min="527" max="527" width="10.42578125" bestFit="1" customWidth="1"/>
    <col min="528" max="528" width="14.5703125" bestFit="1" customWidth="1"/>
    <col min="769" max="769" width="8.140625" customWidth="1"/>
    <col min="770" max="770" width="2.140625" customWidth="1"/>
    <col min="771" max="781" width="11.7109375" customWidth="1"/>
    <col min="782" max="782" width="3" customWidth="1"/>
    <col min="783" max="783" width="10.42578125" bestFit="1" customWidth="1"/>
    <col min="784" max="784" width="14.5703125" bestFit="1" customWidth="1"/>
    <col min="1025" max="1025" width="8.140625" customWidth="1"/>
    <col min="1026" max="1026" width="2.140625" customWidth="1"/>
    <col min="1027" max="1037" width="11.7109375" customWidth="1"/>
    <col min="1038" max="1038" width="3" customWidth="1"/>
    <col min="1039" max="1039" width="10.42578125" bestFit="1" customWidth="1"/>
    <col min="1040" max="1040" width="14.5703125" bestFit="1" customWidth="1"/>
    <col min="1281" max="1281" width="8.140625" customWidth="1"/>
    <col min="1282" max="1282" width="2.140625" customWidth="1"/>
    <col min="1283" max="1293" width="11.7109375" customWidth="1"/>
    <col min="1294" max="1294" width="3" customWidth="1"/>
    <col min="1295" max="1295" width="10.42578125" bestFit="1" customWidth="1"/>
    <col min="1296" max="1296" width="14.5703125" bestFit="1" customWidth="1"/>
    <col min="1537" max="1537" width="8.140625" customWidth="1"/>
    <col min="1538" max="1538" width="2.140625" customWidth="1"/>
    <col min="1539" max="1549" width="11.7109375" customWidth="1"/>
    <col min="1550" max="1550" width="3" customWidth="1"/>
    <col min="1551" max="1551" width="10.42578125" bestFit="1" customWidth="1"/>
    <col min="1552" max="1552" width="14.5703125" bestFit="1" customWidth="1"/>
    <col min="1793" max="1793" width="8.140625" customWidth="1"/>
    <col min="1794" max="1794" width="2.140625" customWidth="1"/>
    <col min="1795" max="1805" width="11.7109375" customWidth="1"/>
    <col min="1806" max="1806" width="3" customWidth="1"/>
    <col min="1807" max="1807" width="10.42578125" bestFit="1" customWidth="1"/>
    <col min="1808" max="1808" width="14.5703125" bestFit="1" customWidth="1"/>
    <col min="2049" max="2049" width="8.140625" customWidth="1"/>
    <col min="2050" max="2050" width="2.140625" customWidth="1"/>
    <col min="2051" max="2061" width="11.7109375" customWidth="1"/>
    <col min="2062" max="2062" width="3" customWidth="1"/>
    <col min="2063" max="2063" width="10.42578125" bestFit="1" customWidth="1"/>
    <col min="2064" max="2064" width="14.5703125" bestFit="1" customWidth="1"/>
    <col min="2305" max="2305" width="8.140625" customWidth="1"/>
    <col min="2306" max="2306" width="2.140625" customWidth="1"/>
    <col min="2307" max="2317" width="11.7109375" customWidth="1"/>
    <col min="2318" max="2318" width="3" customWidth="1"/>
    <col min="2319" max="2319" width="10.42578125" bestFit="1" customWidth="1"/>
    <col min="2320" max="2320" width="14.5703125" bestFit="1" customWidth="1"/>
    <col min="2561" max="2561" width="8.140625" customWidth="1"/>
    <col min="2562" max="2562" width="2.140625" customWidth="1"/>
    <col min="2563" max="2573" width="11.7109375" customWidth="1"/>
    <col min="2574" max="2574" width="3" customWidth="1"/>
    <col min="2575" max="2575" width="10.42578125" bestFit="1" customWidth="1"/>
    <col min="2576" max="2576" width="14.5703125" bestFit="1" customWidth="1"/>
    <col min="2817" max="2817" width="8.140625" customWidth="1"/>
    <col min="2818" max="2818" width="2.140625" customWidth="1"/>
    <col min="2819" max="2829" width="11.7109375" customWidth="1"/>
    <col min="2830" max="2830" width="3" customWidth="1"/>
    <col min="2831" max="2831" width="10.42578125" bestFit="1" customWidth="1"/>
    <col min="2832" max="2832" width="14.5703125" bestFit="1" customWidth="1"/>
    <col min="3073" max="3073" width="8.140625" customWidth="1"/>
    <col min="3074" max="3074" width="2.140625" customWidth="1"/>
    <col min="3075" max="3085" width="11.7109375" customWidth="1"/>
    <col min="3086" max="3086" width="3" customWidth="1"/>
    <col min="3087" max="3087" width="10.42578125" bestFit="1" customWidth="1"/>
    <col min="3088" max="3088" width="14.5703125" bestFit="1" customWidth="1"/>
    <col min="3329" max="3329" width="8.140625" customWidth="1"/>
    <col min="3330" max="3330" width="2.140625" customWidth="1"/>
    <col min="3331" max="3341" width="11.7109375" customWidth="1"/>
    <col min="3342" max="3342" width="3" customWidth="1"/>
    <col min="3343" max="3343" width="10.42578125" bestFit="1" customWidth="1"/>
    <col min="3344" max="3344" width="14.5703125" bestFit="1" customWidth="1"/>
    <col min="3585" max="3585" width="8.140625" customWidth="1"/>
    <col min="3586" max="3586" width="2.140625" customWidth="1"/>
    <col min="3587" max="3597" width="11.7109375" customWidth="1"/>
    <col min="3598" max="3598" width="3" customWidth="1"/>
    <col min="3599" max="3599" width="10.42578125" bestFit="1" customWidth="1"/>
    <col min="3600" max="3600" width="14.5703125" bestFit="1" customWidth="1"/>
    <col min="3841" max="3841" width="8.140625" customWidth="1"/>
    <col min="3842" max="3842" width="2.140625" customWidth="1"/>
    <col min="3843" max="3853" width="11.7109375" customWidth="1"/>
    <col min="3854" max="3854" width="3" customWidth="1"/>
    <col min="3855" max="3855" width="10.42578125" bestFit="1" customWidth="1"/>
    <col min="3856" max="3856" width="14.5703125" bestFit="1" customWidth="1"/>
    <col min="4097" max="4097" width="8.140625" customWidth="1"/>
    <col min="4098" max="4098" width="2.140625" customWidth="1"/>
    <col min="4099" max="4109" width="11.7109375" customWidth="1"/>
    <col min="4110" max="4110" width="3" customWidth="1"/>
    <col min="4111" max="4111" width="10.42578125" bestFit="1" customWidth="1"/>
    <col min="4112" max="4112" width="14.5703125" bestFit="1" customWidth="1"/>
    <col min="4353" max="4353" width="8.140625" customWidth="1"/>
    <col min="4354" max="4354" width="2.140625" customWidth="1"/>
    <col min="4355" max="4365" width="11.7109375" customWidth="1"/>
    <col min="4366" max="4366" width="3" customWidth="1"/>
    <col min="4367" max="4367" width="10.42578125" bestFit="1" customWidth="1"/>
    <col min="4368" max="4368" width="14.5703125" bestFit="1" customWidth="1"/>
    <col min="4609" max="4609" width="8.140625" customWidth="1"/>
    <col min="4610" max="4610" width="2.140625" customWidth="1"/>
    <col min="4611" max="4621" width="11.7109375" customWidth="1"/>
    <col min="4622" max="4622" width="3" customWidth="1"/>
    <col min="4623" max="4623" width="10.42578125" bestFit="1" customWidth="1"/>
    <col min="4624" max="4624" width="14.5703125" bestFit="1" customWidth="1"/>
    <col min="4865" max="4865" width="8.140625" customWidth="1"/>
    <col min="4866" max="4866" width="2.140625" customWidth="1"/>
    <col min="4867" max="4877" width="11.7109375" customWidth="1"/>
    <col min="4878" max="4878" width="3" customWidth="1"/>
    <col min="4879" max="4879" width="10.42578125" bestFit="1" customWidth="1"/>
    <col min="4880" max="4880" width="14.5703125" bestFit="1" customWidth="1"/>
    <col min="5121" max="5121" width="8.140625" customWidth="1"/>
    <col min="5122" max="5122" width="2.140625" customWidth="1"/>
    <col min="5123" max="5133" width="11.7109375" customWidth="1"/>
    <col min="5134" max="5134" width="3" customWidth="1"/>
    <col min="5135" max="5135" width="10.42578125" bestFit="1" customWidth="1"/>
    <col min="5136" max="5136" width="14.5703125" bestFit="1" customWidth="1"/>
    <col min="5377" max="5377" width="8.140625" customWidth="1"/>
    <col min="5378" max="5378" width="2.140625" customWidth="1"/>
    <col min="5379" max="5389" width="11.7109375" customWidth="1"/>
    <col min="5390" max="5390" width="3" customWidth="1"/>
    <col min="5391" max="5391" width="10.42578125" bestFit="1" customWidth="1"/>
    <col min="5392" max="5392" width="14.5703125" bestFit="1" customWidth="1"/>
    <col min="5633" max="5633" width="8.140625" customWidth="1"/>
    <col min="5634" max="5634" width="2.140625" customWidth="1"/>
    <col min="5635" max="5645" width="11.7109375" customWidth="1"/>
    <col min="5646" max="5646" width="3" customWidth="1"/>
    <col min="5647" max="5647" width="10.42578125" bestFit="1" customWidth="1"/>
    <col min="5648" max="5648" width="14.5703125" bestFit="1" customWidth="1"/>
    <col min="5889" max="5889" width="8.140625" customWidth="1"/>
    <col min="5890" max="5890" width="2.140625" customWidth="1"/>
    <col min="5891" max="5901" width="11.7109375" customWidth="1"/>
    <col min="5902" max="5902" width="3" customWidth="1"/>
    <col min="5903" max="5903" width="10.42578125" bestFit="1" customWidth="1"/>
    <col min="5904" max="5904" width="14.5703125" bestFit="1" customWidth="1"/>
    <col min="6145" max="6145" width="8.140625" customWidth="1"/>
    <col min="6146" max="6146" width="2.140625" customWidth="1"/>
    <col min="6147" max="6157" width="11.7109375" customWidth="1"/>
    <col min="6158" max="6158" width="3" customWidth="1"/>
    <col min="6159" max="6159" width="10.42578125" bestFit="1" customWidth="1"/>
    <col min="6160" max="6160" width="14.5703125" bestFit="1" customWidth="1"/>
    <col min="6401" max="6401" width="8.140625" customWidth="1"/>
    <col min="6402" max="6402" width="2.140625" customWidth="1"/>
    <col min="6403" max="6413" width="11.7109375" customWidth="1"/>
    <col min="6414" max="6414" width="3" customWidth="1"/>
    <col min="6415" max="6415" width="10.42578125" bestFit="1" customWidth="1"/>
    <col min="6416" max="6416" width="14.5703125" bestFit="1" customWidth="1"/>
    <col min="6657" max="6657" width="8.140625" customWidth="1"/>
    <col min="6658" max="6658" width="2.140625" customWidth="1"/>
    <col min="6659" max="6669" width="11.7109375" customWidth="1"/>
    <col min="6670" max="6670" width="3" customWidth="1"/>
    <col min="6671" max="6671" width="10.42578125" bestFit="1" customWidth="1"/>
    <col min="6672" max="6672" width="14.5703125" bestFit="1" customWidth="1"/>
    <col min="6913" max="6913" width="8.140625" customWidth="1"/>
    <col min="6914" max="6914" width="2.140625" customWidth="1"/>
    <col min="6915" max="6925" width="11.7109375" customWidth="1"/>
    <col min="6926" max="6926" width="3" customWidth="1"/>
    <col min="6927" max="6927" width="10.42578125" bestFit="1" customWidth="1"/>
    <col min="6928" max="6928" width="14.5703125" bestFit="1" customWidth="1"/>
    <col min="7169" max="7169" width="8.140625" customWidth="1"/>
    <col min="7170" max="7170" width="2.140625" customWidth="1"/>
    <col min="7171" max="7181" width="11.7109375" customWidth="1"/>
    <col min="7182" max="7182" width="3" customWidth="1"/>
    <col min="7183" max="7183" width="10.42578125" bestFit="1" customWidth="1"/>
    <col min="7184" max="7184" width="14.5703125" bestFit="1" customWidth="1"/>
    <col min="7425" max="7425" width="8.140625" customWidth="1"/>
    <col min="7426" max="7426" width="2.140625" customWidth="1"/>
    <col min="7427" max="7437" width="11.7109375" customWidth="1"/>
    <col min="7438" max="7438" width="3" customWidth="1"/>
    <col min="7439" max="7439" width="10.42578125" bestFit="1" customWidth="1"/>
    <col min="7440" max="7440" width="14.5703125" bestFit="1" customWidth="1"/>
    <col min="7681" max="7681" width="8.140625" customWidth="1"/>
    <col min="7682" max="7682" width="2.140625" customWidth="1"/>
    <col min="7683" max="7693" width="11.7109375" customWidth="1"/>
    <col min="7694" max="7694" width="3" customWidth="1"/>
    <col min="7695" max="7695" width="10.42578125" bestFit="1" customWidth="1"/>
    <col min="7696" max="7696" width="14.5703125" bestFit="1" customWidth="1"/>
    <col min="7937" max="7937" width="8.140625" customWidth="1"/>
    <col min="7938" max="7938" width="2.140625" customWidth="1"/>
    <col min="7939" max="7949" width="11.7109375" customWidth="1"/>
    <col min="7950" max="7950" width="3" customWidth="1"/>
    <col min="7951" max="7951" width="10.42578125" bestFit="1" customWidth="1"/>
    <col min="7952" max="7952" width="14.5703125" bestFit="1" customWidth="1"/>
    <col min="8193" max="8193" width="8.140625" customWidth="1"/>
    <col min="8194" max="8194" width="2.140625" customWidth="1"/>
    <col min="8195" max="8205" width="11.7109375" customWidth="1"/>
    <col min="8206" max="8206" width="3" customWidth="1"/>
    <col min="8207" max="8207" width="10.42578125" bestFit="1" customWidth="1"/>
    <col min="8208" max="8208" width="14.5703125" bestFit="1" customWidth="1"/>
    <col min="8449" max="8449" width="8.140625" customWidth="1"/>
    <col min="8450" max="8450" width="2.140625" customWidth="1"/>
    <col min="8451" max="8461" width="11.7109375" customWidth="1"/>
    <col min="8462" max="8462" width="3" customWidth="1"/>
    <col min="8463" max="8463" width="10.42578125" bestFit="1" customWidth="1"/>
    <col min="8464" max="8464" width="14.5703125" bestFit="1" customWidth="1"/>
    <col min="8705" max="8705" width="8.140625" customWidth="1"/>
    <col min="8706" max="8706" width="2.140625" customWidth="1"/>
    <col min="8707" max="8717" width="11.7109375" customWidth="1"/>
    <col min="8718" max="8718" width="3" customWidth="1"/>
    <col min="8719" max="8719" width="10.42578125" bestFit="1" customWidth="1"/>
    <col min="8720" max="8720" width="14.5703125" bestFit="1" customWidth="1"/>
    <col min="8961" max="8961" width="8.140625" customWidth="1"/>
    <col min="8962" max="8962" width="2.140625" customWidth="1"/>
    <col min="8963" max="8973" width="11.7109375" customWidth="1"/>
    <col min="8974" max="8974" width="3" customWidth="1"/>
    <col min="8975" max="8975" width="10.42578125" bestFit="1" customWidth="1"/>
    <col min="8976" max="8976" width="14.5703125" bestFit="1" customWidth="1"/>
    <col min="9217" max="9217" width="8.140625" customWidth="1"/>
    <col min="9218" max="9218" width="2.140625" customWidth="1"/>
    <col min="9219" max="9229" width="11.7109375" customWidth="1"/>
    <col min="9230" max="9230" width="3" customWidth="1"/>
    <col min="9231" max="9231" width="10.42578125" bestFit="1" customWidth="1"/>
    <col min="9232" max="9232" width="14.5703125" bestFit="1" customWidth="1"/>
    <col min="9473" max="9473" width="8.140625" customWidth="1"/>
    <col min="9474" max="9474" width="2.140625" customWidth="1"/>
    <col min="9475" max="9485" width="11.7109375" customWidth="1"/>
    <col min="9486" max="9486" width="3" customWidth="1"/>
    <col min="9487" max="9487" width="10.42578125" bestFit="1" customWidth="1"/>
    <col min="9488" max="9488" width="14.5703125" bestFit="1" customWidth="1"/>
    <col min="9729" max="9729" width="8.140625" customWidth="1"/>
    <col min="9730" max="9730" width="2.140625" customWidth="1"/>
    <col min="9731" max="9741" width="11.7109375" customWidth="1"/>
    <col min="9742" max="9742" width="3" customWidth="1"/>
    <col min="9743" max="9743" width="10.42578125" bestFit="1" customWidth="1"/>
    <col min="9744" max="9744" width="14.5703125" bestFit="1" customWidth="1"/>
    <col min="9985" max="9985" width="8.140625" customWidth="1"/>
    <col min="9986" max="9986" width="2.140625" customWidth="1"/>
    <col min="9987" max="9997" width="11.7109375" customWidth="1"/>
    <col min="9998" max="9998" width="3" customWidth="1"/>
    <col min="9999" max="9999" width="10.42578125" bestFit="1" customWidth="1"/>
    <col min="10000" max="10000" width="14.5703125" bestFit="1" customWidth="1"/>
    <col min="10241" max="10241" width="8.140625" customWidth="1"/>
    <col min="10242" max="10242" width="2.140625" customWidth="1"/>
    <col min="10243" max="10253" width="11.7109375" customWidth="1"/>
    <col min="10254" max="10254" width="3" customWidth="1"/>
    <col min="10255" max="10255" width="10.42578125" bestFit="1" customWidth="1"/>
    <col min="10256" max="10256" width="14.5703125" bestFit="1" customWidth="1"/>
    <col min="10497" max="10497" width="8.140625" customWidth="1"/>
    <col min="10498" max="10498" width="2.140625" customWidth="1"/>
    <col min="10499" max="10509" width="11.7109375" customWidth="1"/>
    <col min="10510" max="10510" width="3" customWidth="1"/>
    <col min="10511" max="10511" width="10.42578125" bestFit="1" customWidth="1"/>
    <col min="10512" max="10512" width="14.5703125" bestFit="1" customWidth="1"/>
    <col min="10753" max="10753" width="8.140625" customWidth="1"/>
    <col min="10754" max="10754" width="2.140625" customWidth="1"/>
    <col min="10755" max="10765" width="11.7109375" customWidth="1"/>
    <col min="10766" max="10766" width="3" customWidth="1"/>
    <col min="10767" max="10767" width="10.42578125" bestFit="1" customWidth="1"/>
    <col min="10768" max="10768" width="14.5703125" bestFit="1" customWidth="1"/>
    <col min="11009" max="11009" width="8.140625" customWidth="1"/>
    <col min="11010" max="11010" width="2.140625" customWidth="1"/>
    <col min="11011" max="11021" width="11.7109375" customWidth="1"/>
    <col min="11022" max="11022" width="3" customWidth="1"/>
    <col min="11023" max="11023" width="10.42578125" bestFit="1" customWidth="1"/>
    <col min="11024" max="11024" width="14.5703125" bestFit="1" customWidth="1"/>
    <col min="11265" max="11265" width="8.140625" customWidth="1"/>
    <col min="11266" max="11266" width="2.140625" customWidth="1"/>
    <col min="11267" max="11277" width="11.7109375" customWidth="1"/>
    <col min="11278" max="11278" width="3" customWidth="1"/>
    <col min="11279" max="11279" width="10.42578125" bestFit="1" customWidth="1"/>
    <col min="11280" max="11280" width="14.5703125" bestFit="1" customWidth="1"/>
    <col min="11521" max="11521" width="8.140625" customWidth="1"/>
    <col min="11522" max="11522" width="2.140625" customWidth="1"/>
    <col min="11523" max="11533" width="11.7109375" customWidth="1"/>
    <col min="11534" max="11534" width="3" customWidth="1"/>
    <col min="11535" max="11535" width="10.42578125" bestFit="1" customWidth="1"/>
    <col min="11536" max="11536" width="14.5703125" bestFit="1" customWidth="1"/>
    <col min="11777" max="11777" width="8.140625" customWidth="1"/>
    <col min="11778" max="11778" width="2.140625" customWidth="1"/>
    <col min="11779" max="11789" width="11.7109375" customWidth="1"/>
    <col min="11790" max="11790" width="3" customWidth="1"/>
    <col min="11791" max="11791" width="10.42578125" bestFit="1" customWidth="1"/>
    <col min="11792" max="11792" width="14.5703125" bestFit="1" customWidth="1"/>
    <col min="12033" max="12033" width="8.140625" customWidth="1"/>
    <col min="12034" max="12034" width="2.140625" customWidth="1"/>
    <col min="12035" max="12045" width="11.7109375" customWidth="1"/>
    <col min="12046" max="12046" width="3" customWidth="1"/>
    <col min="12047" max="12047" width="10.42578125" bestFit="1" customWidth="1"/>
    <col min="12048" max="12048" width="14.5703125" bestFit="1" customWidth="1"/>
    <col min="12289" max="12289" width="8.140625" customWidth="1"/>
    <col min="12290" max="12290" width="2.140625" customWidth="1"/>
    <col min="12291" max="12301" width="11.7109375" customWidth="1"/>
    <col min="12302" max="12302" width="3" customWidth="1"/>
    <col min="12303" max="12303" width="10.42578125" bestFit="1" customWidth="1"/>
    <col min="12304" max="12304" width="14.5703125" bestFit="1" customWidth="1"/>
    <col min="12545" max="12545" width="8.140625" customWidth="1"/>
    <col min="12546" max="12546" width="2.140625" customWidth="1"/>
    <col min="12547" max="12557" width="11.7109375" customWidth="1"/>
    <col min="12558" max="12558" width="3" customWidth="1"/>
    <col min="12559" max="12559" width="10.42578125" bestFit="1" customWidth="1"/>
    <col min="12560" max="12560" width="14.5703125" bestFit="1" customWidth="1"/>
    <col min="12801" max="12801" width="8.140625" customWidth="1"/>
    <col min="12802" max="12802" width="2.140625" customWidth="1"/>
    <col min="12803" max="12813" width="11.7109375" customWidth="1"/>
    <col min="12814" max="12814" width="3" customWidth="1"/>
    <col min="12815" max="12815" width="10.42578125" bestFit="1" customWidth="1"/>
    <col min="12816" max="12816" width="14.5703125" bestFit="1" customWidth="1"/>
    <col min="13057" max="13057" width="8.140625" customWidth="1"/>
    <col min="13058" max="13058" width="2.140625" customWidth="1"/>
    <col min="13059" max="13069" width="11.7109375" customWidth="1"/>
    <col min="13070" max="13070" width="3" customWidth="1"/>
    <col min="13071" max="13071" width="10.42578125" bestFit="1" customWidth="1"/>
    <col min="13072" max="13072" width="14.5703125" bestFit="1" customWidth="1"/>
    <col min="13313" max="13313" width="8.140625" customWidth="1"/>
    <col min="13314" max="13314" width="2.140625" customWidth="1"/>
    <col min="13315" max="13325" width="11.7109375" customWidth="1"/>
    <col min="13326" max="13326" width="3" customWidth="1"/>
    <col min="13327" max="13327" width="10.42578125" bestFit="1" customWidth="1"/>
    <col min="13328" max="13328" width="14.5703125" bestFit="1" customWidth="1"/>
    <col min="13569" max="13569" width="8.140625" customWidth="1"/>
    <col min="13570" max="13570" width="2.140625" customWidth="1"/>
    <col min="13571" max="13581" width="11.7109375" customWidth="1"/>
    <col min="13582" max="13582" width="3" customWidth="1"/>
    <col min="13583" max="13583" width="10.42578125" bestFit="1" customWidth="1"/>
    <col min="13584" max="13584" width="14.5703125" bestFit="1" customWidth="1"/>
    <col min="13825" max="13825" width="8.140625" customWidth="1"/>
    <col min="13826" max="13826" width="2.140625" customWidth="1"/>
    <col min="13827" max="13837" width="11.7109375" customWidth="1"/>
    <col min="13838" max="13838" width="3" customWidth="1"/>
    <col min="13839" max="13839" width="10.42578125" bestFit="1" customWidth="1"/>
    <col min="13840" max="13840" width="14.5703125" bestFit="1" customWidth="1"/>
    <col min="14081" max="14081" width="8.140625" customWidth="1"/>
    <col min="14082" max="14082" width="2.140625" customWidth="1"/>
    <col min="14083" max="14093" width="11.7109375" customWidth="1"/>
    <col min="14094" max="14094" width="3" customWidth="1"/>
    <col min="14095" max="14095" width="10.42578125" bestFit="1" customWidth="1"/>
    <col min="14096" max="14096" width="14.5703125" bestFit="1" customWidth="1"/>
    <col min="14337" max="14337" width="8.140625" customWidth="1"/>
    <col min="14338" max="14338" width="2.140625" customWidth="1"/>
    <col min="14339" max="14349" width="11.7109375" customWidth="1"/>
    <col min="14350" max="14350" width="3" customWidth="1"/>
    <col min="14351" max="14351" width="10.42578125" bestFit="1" customWidth="1"/>
    <col min="14352" max="14352" width="14.5703125" bestFit="1" customWidth="1"/>
    <col min="14593" max="14593" width="8.140625" customWidth="1"/>
    <col min="14594" max="14594" width="2.140625" customWidth="1"/>
    <col min="14595" max="14605" width="11.7109375" customWidth="1"/>
    <col min="14606" max="14606" width="3" customWidth="1"/>
    <col min="14607" max="14607" width="10.42578125" bestFit="1" customWidth="1"/>
    <col min="14608" max="14608" width="14.5703125" bestFit="1" customWidth="1"/>
    <col min="14849" max="14849" width="8.140625" customWidth="1"/>
    <col min="14850" max="14850" width="2.140625" customWidth="1"/>
    <col min="14851" max="14861" width="11.7109375" customWidth="1"/>
    <col min="14862" max="14862" width="3" customWidth="1"/>
    <col min="14863" max="14863" width="10.42578125" bestFit="1" customWidth="1"/>
    <col min="14864" max="14864" width="14.5703125" bestFit="1" customWidth="1"/>
    <col min="15105" max="15105" width="8.140625" customWidth="1"/>
    <col min="15106" max="15106" width="2.140625" customWidth="1"/>
    <col min="15107" max="15117" width="11.7109375" customWidth="1"/>
    <col min="15118" max="15118" width="3" customWidth="1"/>
    <col min="15119" max="15119" width="10.42578125" bestFit="1" customWidth="1"/>
    <col min="15120" max="15120" width="14.5703125" bestFit="1" customWidth="1"/>
    <col min="15361" max="15361" width="8.140625" customWidth="1"/>
    <col min="15362" max="15362" width="2.140625" customWidth="1"/>
    <col min="15363" max="15373" width="11.7109375" customWidth="1"/>
    <col min="15374" max="15374" width="3" customWidth="1"/>
    <col min="15375" max="15375" width="10.42578125" bestFit="1" customWidth="1"/>
    <col min="15376" max="15376" width="14.5703125" bestFit="1" customWidth="1"/>
    <col min="15617" max="15617" width="8.140625" customWidth="1"/>
    <col min="15618" max="15618" width="2.140625" customWidth="1"/>
    <col min="15619" max="15629" width="11.7109375" customWidth="1"/>
    <col min="15630" max="15630" width="3" customWidth="1"/>
    <col min="15631" max="15631" width="10.42578125" bestFit="1" customWidth="1"/>
    <col min="15632" max="15632" width="14.5703125" bestFit="1" customWidth="1"/>
    <col min="15873" max="15873" width="8.140625" customWidth="1"/>
    <col min="15874" max="15874" width="2.140625" customWidth="1"/>
    <col min="15875" max="15885" width="11.7109375" customWidth="1"/>
    <col min="15886" max="15886" width="3" customWidth="1"/>
    <col min="15887" max="15887" width="10.42578125" bestFit="1" customWidth="1"/>
    <col min="15888" max="15888" width="14.5703125" bestFit="1" customWidth="1"/>
    <col min="16129" max="16129" width="8.140625" customWidth="1"/>
    <col min="16130" max="16130" width="2.140625" customWidth="1"/>
    <col min="16131" max="16141" width="11.7109375" customWidth="1"/>
    <col min="16142" max="16142" width="3" customWidth="1"/>
    <col min="16143" max="16143" width="10.42578125" bestFit="1" customWidth="1"/>
    <col min="16144" max="16144" width="14.5703125" bestFit="1" customWidth="1"/>
  </cols>
  <sheetData>
    <row r="1" spans="1:17" x14ac:dyDescent="0.2">
      <c r="A1" s="59" t="s">
        <v>46</v>
      </c>
      <c r="B1" s="60"/>
    </row>
    <row r="2" spans="1:17" x14ac:dyDescent="0.2">
      <c r="A2" s="61" t="str">
        <f>'[11]WUTC_AW of Bellevue_SF'!A1</f>
        <v>Rabanco Ltd (dba Republic Services)</v>
      </c>
      <c r="B2" s="61"/>
    </row>
    <row r="3" spans="1:17" x14ac:dyDescent="0.2">
      <c r="A3" s="61"/>
      <c r="B3" s="61"/>
      <c r="O3" s="73"/>
    </row>
    <row r="4" spans="1:17" x14ac:dyDescent="0.2">
      <c r="A4" s="61"/>
      <c r="B4" s="61"/>
      <c r="O4" s="73" t="str">
        <f>+TEXT(P18,"00.0%")&amp;" of"</f>
        <v>50.0% of</v>
      </c>
    </row>
    <row r="5" spans="1:17" x14ac:dyDescent="0.2">
      <c r="B5" s="70"/>
      <c r="C5" s="63" t="s">
        <v>21</v>
      </c>
      <c r="D5" s="63" t="s">
        <v>22</v>
      </c>
      <c r="E5" s="63" t="s">
        <v>33</v>
      </c>
      <c r="F5" s="63" t="s">
        <v>23</v>
      </c>
      <c r="G5" s="63" t="s">
        <v>24</v>
      </c>
      <c r="H5" s="63" t="s">
        <v>25</v>
      </c>
      <c r="I5" s="63" t="s">
        <v>26</v>
      </c>
      <c r="J5" s="63" t="s">
        <v>27</v>
      </c>
      <c r="K5" s="63" t="s">
        <v>28</v>
      </c>
      <c r="L5" s="63" t="s">
        <v>29</v>
      </c>
      <c r="M5" s="63" t="s">
        <v>30</v>
      </c>
      <c r="O5" s="73" t="s">
        <v>30</v>
      </c>
      <c r="P5" s="63" t="s">
        <v>96</v>
      </c>
    </row>
    <row r="6" spans="1:17" ht="15.75" customHeight="1" x14ac:dyDescent="0.2">
      <c r="A6" s="65">
        <f>+[11]Pricing!A6</f>
        <v>43221</v>
      </c>
      <c r="B6" s="66"/>
      <c r="C6" s="71">
        <f>'[11]Commodity Tonnages'!C6*[11]Pricing!C6</f>
        <v>2799.6003899999996</v>
      </c>
      <c r="D6" s="74">
        <f>'[11]Commodity Tonnages'!D6*[11]Pricing!D6</f>
        <v>-1539.5084889600002</v>
      </c>
      <c r="E6" s="74">
        <f>'[11]Commodity Tonnages'!E6*[11]Pricing!E6</f>
        <v>0</v>
      </c>
      <c r="F6" s="74">
        <f>'[11]Commodity Tonnages'!F6*[11]Pricing!F6</f>
        <v>515.54944320000004</v>
      </c>
      <c r="G6" s="74">
        <f>'[11]Commodity Tonnages'!G6*[11]Pricing!G6</f>
        <v>0</v>
      </c>
      <c r="H6" s="74">
        <f>'[11]Commodity Tonnages'!H6*[11]Pricing!H6</f>
        <v>-2549.3450457600002</v>
      </c>
      <c r="I6" s="74">
        <f>'[11]Commodity Tonnages'!I6*[11]Pricing!I6</f>
        <v>777.5337130800001</v>
      </c>
      <c r="J6" s="74">
        <f>'[11]Commodity Tonnages'!J6*[11]Pricing!J6</f>
        <v>777.5337130800001</v>
      </c>
      <c r="K6" s="74">
        <f>'[11]Commodity Tonnages'!K6*[11]Pricing!K6</f>
        <v>2673.3946060799999</v>
      </c>
      <c r="L6" s="74">
        <f>'[11]Commodity Tonnages'!L6*[11]Pricing!L6</f>
        <v>-2751.2747826400064</v>
      </c>
      <c r="M6" s="169">
        <f>SUM(C6:L6)</f>
        <v>703.48354807999294</v>
      </c>
      <c r="O6" s="98">
        <f>M6*P6</f>
        <v>351.74177403999647</v>
      </c>
      <c r="P6" s="339">
        <v>0.5</v>
      </c>
      <c r="Q6" s="159"/>
    </row>
    <row r="7" spans="1:17" ht="15.75" customHeight="1" x14ac:dyDescent="0.2">
      <c r="A7" s="65">
        <f>+[11]Pricing!A7</f>
        <v>43281</v>
      </c>
      <c r="B7" s="66"/>
      <c r="C7" s="71">
        <f>'[11]Commodity Tonnages'!C7*[11]Pricing!C7</f>
        <v>2574.5778149999996</v>
      </c>
      <c r="D7" s="74">
        <f>'[11]Commodity Tonnages'!D7*[11]Pricing!D7</f>
        <v>-1037.3158328</v>
      </c>
      <c r="E7" s="74">
        <f>'[11]Commodity Tonnages'!E7*[11]Pricing!E7</f>
        <v>0</v>
      </c>
      <c r="F7" s="74">
        <f>'[11]Commodity Tonnages'!F7*[11]Pricing!F7</f>
        <v>470.9853885</v>
      </c>
      <c r="G7" s="74">
        <f>'[11]Commodity Tonnages'!G7*[11]Pricing!G7</f>
        <v>0</v>
      </c>
      <c r="H7" s="74">
        <f>'[11]Commodity Tonnages'!H7*[11]Pricing!H7</f>
        <v>317.00512000000003</v>
      </c>
      <c r="I7" s="74">
        <f>'[11]Commodity Tonnages'!I7*[11]Pricing!I7</f>
        <v>605.64110339999991</v>
      </c>
      <c r="J7" s="74">
        <f>'[11]Commodity Tonnages'!J7*[11]Pricing!J7</f>
        <v>605.64110339999991</v>
      </c>
      <c r="K7" s="74">
        <f>'[11]Commodity Tonnages'!K7*[11]Pricing!K7</f>
        <v>3285.2483333999999</v>
      </c>
      <c r="L7" s="74">
        <f>'[11]Commodity Tonnages'!L7*[11]Pricing!L7</f>
        <v>-2447.8300529000053</v>
      </c>
      <c r="M7" s="169">
        <f t="shared" ref="M7:M17" si="0">SUM(C7:L7)</f>
        <v>4373.9529779999939</v>
      </c>
      <c r="O7" s="98">
        <f t="shared" ref="O7:O17" si="1">M7*P7</f>
        <v>2186.9764889999969</v>
      </c>
      <c r="P7" s="339">
        <v>0.5</v>
      </c>
      <c r="Q7" s="159"/>
    </row>
    <row r="8" spans="1:17" ht="15.75" customHeight="1" x14ac:dyDescent="0.2">
      <c r="A8" s="65">
        <f>+[11]Pricing!A8</f>
        <v>43312</v>
      </c>
      <c r="B8" s="66"/>
      <c r="C8" s="71">
        <f>'[11]Commodity Tonnages'!C8*[11]Pricing!C8</f>
        <v>2717.3596560000005</v>
      </c>
      <c r="D8" s="74">
        <f>'[11]Commodity Tonnages'!D8*[11]Pricing!D8</f>
        <v>-214.70082816000004</v>
      </c>
      <c r="E8" s="74">
        <f>'[11]Commodity Tonnages'!E8*[11]Pricing!E8</f>
        <v>0</v>
      </c>
      <c r="F8" s="74">
        <f>'[11]Commodity Tonnages'!F8*[11]Pricing!F8</f>
        <v>511.08699840000008</v>
      </c>
      <c r="G8" s="74">
        <f>'[11]Commodity Tonnages'!G8*[11]Pricing!G8</f>
        <v>0</v>
      </c>
      <c r="H8" s="74">
        <f>'[11]Commodity Tonnages'!H8*[11]Pricing!H8</f>
        <v>736.57974272000024</v>
      </c>
      <c r="I8" s="74">
        <f>'[11]Commodity Tonnages'!I8*[11]Pricing!I8</f>
        <v>834.14494416000014</v>
      </c>
      <c r="J8" s="74">
        <f>'[11]Commodity Tonnages'!J8*[11]Pricing!J8</f>
        <v>834.14494416000014</v>
      </c>
      <c r="K8" s="74">
        <f>'[11]Commodity Tonnages'!K8*[11]Pricing!K8</f>
        <v>4144.9570905599994</v>
      </c>
      <c r="L8" s="74">
        <f>'[11]Commodity Tonnages'!L8*[11]Pricing!L8</f>
        <v>-2714.8805699200061</v>
      </c>
      <c r="M8" s="169">
        <f t="shared" si="0"/>
        <v>6848.6919779199943</v>
      </c>
      <c r="O8" s="98">
        <f t="shared" si="1"/>
        <v>3424.3459889599972</v>
      </c>
      <c r="P8" s="339">
        <v>0.5</v>
      </c>
      <c r="Q8" s="159"/>
    </row>
    <row r="9" spans="1:17" ht="15.75" customHeight="1" x14ac:dyDescent="0.2">
      <c r="A9" s="65">
        <f>+[11]Pricing!A9</f>
        <v>43343</v>
      </c>
      <c r="B9" s="66"/>
      <c r="C9" s="71">
        <f>'[11]Commodity Tonnages'!C9*[11]Pricing!C9</f>
        <v>2816.1770917499998</v>
      </c>
      <c r="D9" s="74">
        <f>'[11]Commodity Tonnages'!D9*[11]Pricing!D9</f>
        <v>46.122204959999998</v>
      </c>
      <c r="E9" s="74">
        <f>'[11]Commodity Tonnages'!E9*[11]Pricing!E9</f>
        <v>0</v>
      </c>
      <c r="F9" s="74">
        <f>'[11]Commodity Tonnages'!F9*[11]Pricing!F9</f>
        <v>359.76567825000001</v>
      </c>
      <c r="G9" s="74">
        <f>'[11]Commodity Tonnages'!G9*[11]Pricing!G9</f>
        <v>0</v>
      </c>
      <c r="H9" s="74">
        <f>'[11]Commodity Tonnages'!H9*[11]Pricing!H9</f>
        <v>1534.0187836799998</v>
      </c>
      <c r="I9" s="74">
        <f>'[11]Commodity Tonnages'!I9*[11]Pricing!I9</f>
        <v>1333.5592972500001</v>
      </c>
      <c r="J9" s="74">
        <f>'[11]Commodity Tonnages'!J9*[11]Pricing!J9</f>
        <v>1333.5592972500001</v>
      </c>
      <c r="K9" s="74">
        <f>'[11]Commodity Tonnages'!K9*[11]Pricing!K9</f>
        <v>3809.4561014399997</v>
      </c>
      <c r="L9" s="74">
        <f>'[11]Commodity Tonnages'!L9*[11]Pricing!L9</f>
        <v>-2813.6078531100061</v>
      </c>
      <c r="M9" s="169">
        <f>SUM(C9:L9)</f>
        <v>8419.0506014699931</v>
      </c>
      <c r="O9" s="98">
        <f t="shared" si="1"/>
        <v>4209.5253007349966</v>
      </c>
      <c r="P9" s="339">
        <v>0.5</v>
      </c>
      <c r="Q9" s="159"/>
    </row>
    <row r="10" spans="1:17" ht="15.75" customHeight="1" x14ac:dyDescent="0.2">
      <c r="A10" s="65">
        <f>+[11]Pricing!A10</f>
        <v>43373</v>
      </c>
      <c r="B10" s="66"/>
      <c r="C10" s="71">
        <f>'[11]Commodity Tonnages'!C10*[11]Pricing!C10</f>
        <v>2192.4214365000003</v>
      </c>
      <c r="D10" s="74">
        <f>'[11]Commodity Tonnages'!D10*[11]Pricing!D10</f>
        <v>-803.8844413600001</v>
      </c>
      <c r="E10" s="74">
        <f>'[11]Commodity Tonnages'!E10*[11]Pricing!E10</f>
        <v>0</v>
      </c>
      <c r="F10" s="74">
        <f>'[11]Commodity Tonnages'!F10*[11]Pricing!F10</f>
        <v>357.1676377500001</v>
      </c>
      <c r="G10" s="74">
        <f>'[11]Commodity Tonnages'!G10*[11]Pricing!G10</f>
        <v>0</v>
      </c>
      <c r="H10" s="74">
        <f>'[11]Commodity Tonnages'!H10*[11]Pricing!H10</f>
        <v>4320.5777168000004</v>
      </c>
      <c r="I10" s="74">
        <f>'[11]Commodity Tonnages'!I10*[11]Pricing!I10</f>
        <v>550.01547446500001</v>
      </c>
      <c r="J10" s="74">
        <f>'[11]Commodity Tonnages'!J10*[11]Pricing!J10</f>
        <v>550.01547446500001</v>
      </c>
      <c r="K10" s="74">
        <f>'[11]Commodity Tonnages'!K10*[11]Pricing!K10</f>
        <v>3536.1903753000001</v>
      </c>
      <c r="L10" s="74">
        <f>'[11]Commodity Tonnages'!L10*[11]Pricing!L10</f>
        <v>-2480.4731077300057</v>
      </c>
      <c r="M10" s="169">
        <f t="shared" si="0"/>
        <v>8222.0305661899947</v>
      </c>
      <c r="O10" s="98">
        <f t="shared" si="1"/>
        <v>4111.0152830949974</v>
      </c>
      <c r="P10" s="339">
        <v>0.5</v>
      </c>
      <c r="Q10" s="159"/>
    </row>
    <row r="11" spans="1:17" ht="15.75" customHeight="1" x14ac:dyDescent="0.2">
      <c r="A11" s="65">
        <f>+[11]Pricing!A11</f>
        <v>43404</v>
      </c>
      <c r="B11" s="66"/>
      <c r="C11" s="71">
        <f>'[11]Commodity Tonnages'!C11*[11]Pricing!C11</f>
        <v>2061.5411287500001</v>
      </c>
      <c r="D11" s="74">
        <f>'[11]Commodity Tonnages'!D11*[11]Pricing!D11</f>
        <v>-882.26108360000023</v>
      </c>
      <c r="E11" s="74">
        <f>'[11]Commodity Tonnages'!E11*[11]Pricing!E11</f>
        <v>0</v>
      </c>
      <c r="F11" s="74">
        <f>'[11]Commodity Tonnages'!F11*[11]Pricing!F11</f>
        <v>386.15251950000004</v>
      </c>
      <c r="G11" s="74">
        <f>'[11]Commodity Tonnages'!G11*[11]Pricing!G11</f>
        <v>0</v>
      </c>
      <c r="H11" s="74">
        <f>'[11]Commodity Tonnages'!H11*[11]Pricing!H11</f>
        <v>3986.7241416000006</v>
      </c>
      <c r="I11" s="74">
        <f>'[11]Commodity Tonnages'!I11*[11]Pricing!I11</f>
        <v>505.77786845000014</v>
      </c>
      <c r="J11" s="74">
        <f>'[11]Commodity Tonnages'!J11*[11]Pricing!J11</f>
        <v>505.77786845000014</v>
      </c>
      <c r="K11" s="74">
        <f>'[11]Commodity Tonnages'!K11*[11]Pricing!K11</f>
        <v>3823.7101056000006</v>
      </c>
      <c r="L11" s="74">
        <f>'[11]Commodity Tonnages'!L11*[11]Pricing!L11</f>
        <v>-2389.1683284500054</v>
      </c>
      <c r="M11" s="169">
        <f t="shared" si="0"/>
        <v>7998.2542202999957</v>
      </c>
      <c r="O11" s="98">
        <f t="shared" si="1"/>
        <v>3999.1271101499979</v>
      </c>
      <c r="P11" s="339">
        <v>0.5</v>
      </c>
      <c r="Q11" s="159"/>
    </row>
    <row r="12" spans="1:17" ht="15.75" customHeight="1" x14ac:dyDescent="0.2">
      <c r="A12" s="65">
        <f>+[11]Pricing!A12</f>
        <v>43434</v>
      </c>
      <c r="B12" s="66"/>
      <c r="C12" s="71">
        <f>'[11]Commodity Tonnages'!C12*[11]Pricing!C12</f>
        <v>0</v>
      </c>
      <c r="D12" s="74">
        <f>'[11]Commodity Tonnages'!D12*[11]Pricing!D12</f>
        <v>0</v>
      </c>
      <c r="E12" s="74">
        <f>'[11]Commodity Tonnages'!E12*[11]Pricing!E12</f>
        <v>0</v>
      </c>
      <c r="F12" s="74">
        <f>'[11]Commodity Tonnages'!F12*[11]Pricing!F12</f>
        <v>0</v>
      </c>
      <c r="G12" s="74">
        <f>'[11]Commodity Tonnages'!G12*[11]Pricing!G12</f>
        <v>0</v>
      </c>
      <c r="H12" s="74">
        <f>'[11]Commodity Tonnages'!H12*[11]Pricing!H12</f>
        <v>0</v>
      </c>
      <c r="I12" s="74">
        <f>'[11]Commodity Tonnages'!I12*[11]Pricing!I12</f>
        <v>0</v>
      </c>
      <c r="J12" s="74">
        <f>'[11]Commodity Tonnages'!J12*[11]Pricing!J12</f>
        <v>0</v>
      </c>
      <c r="K12" s="74">
        <f>'[11]Commodity Tonnages'!K12*[11]Pricing!K12</f>
        <v>0</v>
      </c>
      <c r="L12" s="74">
        <f>'[11]Commodity Tonnages'!L12*[11]Pricing!L12</f>
        <v>0</v>
      </c>
      <c r="M12" s="169">
        <f t="shared" si="0"/>
        <v>0</v>
      </c>
      <c r="O12" s="98">
        <f t="shared" si="1"/>
        <v>0</v>
      </c>
      <c r="P12" s="339">
        <v>0.5</v>
      </c>
      <c r="Q12" s="159"/>
    </row>
    <row r="13" spans="1:17" ht="15.75" customHeight="1" x14ac:dyDescent="0.2">
      <c r="A13" s="65">
        <f>+[11]Pricing!A13</f>
        <v>43465</v>
      </c>
      <c r="B13" s="66"/>
      <c r="C13" s="71">
        <f>'[11]Commodity Tonnages'!C13*[11]Pricing!C13</f>
        <v>0</v>
      </c>
      <c r="D13" s="74">
        <f>'[11]Commodity Tonnages'!D13*[11]Pricing!D13</f>
        <v>0</v>
      </c>
      <c r="E13" s="74">
        <f>'[11]Commodity Tonnages'!E13*[11]Pricing!E13</f>
        <v>0</v>
      </c>
      <c r="F13" s="74">
        <f>'[11]Commodity Tonnages'!F13*[11]Pricing!F13</f>
        <v>0</v>
      </c>
      <c r="G13" s="74">
        <f>'[11]Commodity Tonnages'!G13*[11]Pricing!G13</f>
        <v>0</v>
      </c>
      <c r="H13" s="74">
        <f>'[11]Commodity Tonnages'!H13*[11]Pricing!H13</f>
        <v>0</v>
      </c>
      <c r="I13" s="74">
        <f>'[11]Commodity Tonnages'!I13*[11]Pricing!I13</f>
        <v>0</v>
      </c>
      <c r="J13" s="74">
        <f>'[11]Commodity Tonnages'!J13*[11]Pricing!J13</f>
        <v>0</v>
      </c>
      <c r="K13" s="74">
        <f>'[11]Commodity Tonnages'!K13*[11]Pricing!K13</f>
        <v>0</v>
      </c>
      <c r="L13" s="74">
        <f>'[11]Commodity Tonnages'!L13*[11]Pricing!L13</f>
        <v>0</v>
      </c>
      <c r="M13" s="169">
        <f t="shared" si="0"/>
        <v>0</v>
      </c>
      <c r="O13" s="98">
        <f t="shared" si="1"/>
        <v>0</v>
      </c>
      <c r="P13" s="339">
        <v>0.5</v>
      </c>
      <c r="Q13" s="159"/>
    </row>
    <row r="14" spans="1:17" ht="15.75" customHeight="1" x14ac:dyDescent="0.2">
      <c r="A14" s="65">
        <f>+[11]Pricing!A14</f>
        <v>43496</v>
      </c>
      <c r="B14" s="66"/>
      <c r="C14" s="71">
        <f>'[11]Commodity Tonnages'!C14*[11]Pricing!C14</f>
        <v>0</v>
      </c>
      <c r="D14" s="74">
        <f>'[11]Commodity Tonnages'!D14*[11]Pricing!D14</f>
        <v>0</v>
      </c>
      <c r="E14" s="74">
        <f>'[11]Commodity Tonnages'!E14*[11]Pricing!E14</f>
        <v>0</v>
      </c>
      <c r="F14" s="74">
        <f>'[11]Commodity Tonnages'!F14*[11]Pricing!F14</f>
        <v>0</v>
      </c>
      <c r="G14" s="74">
        <f>'[11]Commodity Tonnages'!G14*[11]Pricing!G14</f>
        <v>0</v>
      </c>
      <c r="H14" s="74">
        <f>'[11]Commodity Tonnages'!H14*[11]Pricing!H14</f>
        <v>0</v>
      </c>
      <c r="I14" s="74">
        <f>'[11]Commodity Tonnages'!I14*[11]Pricing!I14</f>
        <v>0</v>
      </c>
      <c r="J14" s="74">
        <f>'[11]Commodity Tonnages'!J14*[11]Pricing!J14</f>
        <v>0</v>
      </c>
      <c r="K14" s="74">
        <f>'[11]Commodity Tonnages'!K14*[11]Pricing!K14</f>
        <v>0</v>
      </c>
      <c r="L14" s="74">
        <f>'[11]Commodity Tonnages'!L14*[11]Pricing!L14</f>
        <v>0</v>
      </c>
      <c r="M14" s="169">
        <f t="shared" si="0"/>
        <v>0</v>
      </c>
      <c r="O14" s="98">
        <f t="shared" si="1"/>
        <v>0</v>
      </c>
      <c r="P14" s="339">
        <v>0.5</v>
      </c>
      <c r="Q14" s="159"/>
    </row>
    <row r="15" spans="1:17" ht="15.75" customHeight="1" x14ac:dyDescent="0.2">
      <c r="A15" s="65">
        <f>+[11]Pricing!A15</f>
        <v>43524</v>
      </c>
      <c r="B15" s="66"/>
      <c r="C15" s="71">
        <f>'[11]Commodity Tonnages'!C15*[11]Pricing!C15</f>
        <v>0</v>
      </c>
      <c r="D15" s="74">
        <f>'[11]Commodity Tonnages'!D15*[11]Pricing!D15</f>
        <v>0</v>
      </c>
      <c r="E15" s="74">
        <f>'[11]Commodity Tonnages'!E15*[11]Pricing!E15</f>
        <v>0</v>
      </c>
      <c r="F15" s="74">
        <f>'[11]Commodity Tonnages'!F15*[11]Pricing!F15</f>
        <v>0</v>
      </c>
      <c r="G15" s="74">
        <f>'[11]Commodity Tonnages'!G15*[11]Pricing!G15</f>
        <v>0</v>
      </c>
      <c r="H15" s="74">
        <f>'[11]Commodity Tonnages'!H15*[11]Pricing!H15</f>
        <v>0</v>
      </c>
      <c r="I15" s="74">
        <f>'[11]Commodity Tonnages'!I15*[11]Pricing!I15</f>
        <v>0</v>
      </c>
      <c r="J15" s="74">
        <f>'[11]Commodity Tonnages'!J15*[11]Pricing!J15</f>
        <v>0</v>
      </c>
      <c r="K15" s="74">
        <f>'[11]Commodity Tonnages'!K15*[11]Pricing!K15</f>
        <v>0</v>
      </c>
      <c r="L15" s="74">
        <f>'[11]Commodity Tonnages'!L15*[11]Pricing!L15</f>
        <v>0</v>
      </c>
      <c r="M15" s="169">
        <f t="shared" si="0"/>
        <v>0</v>
      </c>
      <c r="O15" s="98">
        <f t="shared" si="1"/>
        <v>0</v>
      </c>
      <c r="P15" s="339">
        <v>0.5</v>
      </c>
      <c r="Q15" s="159"/>
    </row>
    <row r="16" spans="1:17" ht="15.75" customHeight="1" x14ac:dyDescent="0.2">
      <c r="A16" s="65">
        <f>+[11]Pricing!A16</f>
        <v>43555</v>
      </c>
      <c r="B16" s="66"/>
      <c r="C16" s="71">
        <f>'[11]Commodity Tonnages'!C16*[11]Pricing!C16</f>
        <v>0</v>
      </c>
      <c r="D16" s="74">
        <f>'[11]Commodity Tonnages'!D16*[11]Pricing!D16</f>
        <v>0</v>
      </c>
      <c r="E16" s="74">
        <f>'[11]Commodity Tonnages'!E16*[11]Pricing!E16</f>
        <v>0</v>
      </c>
      <c r="F16" s="74">
        <f>'[11]Commodity Tonnages'!F16*[11]Pricing!F16</f>
        <v>0</v>
      </c>
      <c r="G16" s="74">
        <f>'[11]Commodity Tonnages'!G16*[11]Pricing!G16</f>
        <v>0</v>
      </c>
      <c r="H16" s="74">
        <f>'[11]Commodity Tonnages'!H16*[11]Pricing!H16</f>
        <v>0</v>
      </c>
      <c r="I16" s="74">
        <f>'[11]Commodity Tonnages'!I16*[11]Pricing!I16</f>
        <v>0</v>
      </c>
      <c r="J16" s="74">
        <f>'[11]Commodity Tonnages'!J16*[11]Pricing!J16</f>
        <v>0</v>
      </c>
      <c r="K16" s="74">
        <f>'[11]Commodity Tonnages'!K16*[11]Pricing!K16</f>
        <v>0</v>
      </c>
      <c r="L16" s="74">
        <f>'[11]Commodity Tonnages'!L16*[11]Pricing!L16</f>
        <v>0</v>
      </c>
      <c r="M16" s="169">
        <f t="shared" si="0"/>
        <v>0</v>
      </c>
      <c r="O16" s="98">
        <f t="shared" si="1"/>
        <v>0</v>
      </c>
      <c r="P16" s="339">
        <v>0.5</v>
      </c>
      <c r="Q16" s="159"/>
    </row>
    <row r="17" spans="1:17" ht="15.75" customHeight="1" x14ac:dyDescent="0.2">
      <c r="A17" s="65">
        <f>+[11]Pricing!A17</f>
        <v>43585</v>
      </c>
      <c r="B17" s="66"/>
      <c r="C17" s="71">
        <f>'[11]Commodity Tonnages'!C17*[11]Pricing!C17</f>
        <v>0</v>
      </c>
      <c r="D17" s="74">
        <f>'[11]Commodity Tonnages'!D17*[11]Pricing!D17</f>
        <v>0</v>
      </c>
      <c r="E17" s="74">
        <f>'[11]Commodity Tonnages'!E17*[11]Pricing!E17</f>
        <v>0</v>
      </c>
      <c r="F17" s="74">
        <f>'[11]Commodity Tonnages'!F17*[11]Pricing!F17</f>
        <v>0</v>
      </c>
      <c r="G17" s="74">
        <f>'[11]Commodity Tonnages'!G17*[11]Pricing!G17</f>
        <v>0</v>
      </c>
      <c r="H17" s="74">
        <f>'[11]Commodity Tonnages'!H17*[11]Pricing!H17</f>
        <v>0</v>
      </c>
      <c r="I17" s="74">
        <f>'[11]Commodity Tonnages'!I17*[11]Pricing!I17</f>
        <v>0</v>
      </c>
      <c r="J17" s="74">
        <f>'[11]Commodity Tonnages'!J17*[11]Pricing!J17</f>
        <v>0</v>
      </c>
      <c r="K17" s="74">
        <f>'[11]Commodity Tonnages'!K17*[11]Pricing!K17</f>
        <v>0</v>
      </c>
      <c r="L17" s="74">
        <f>'[11]Commodity Tonnages'!L17*[11]Pricing!L17</f>
        <v>0</v>
      </c>
      <c r="M17" s="169">
        <f t="shared" si="0"/>
        <v>0</v>
      </c>
      <c r="O17" s="98">
        <f t="shared" si="1"/>
        <v>0</v>
      </c>
      <c r="P17" s="339">
        <v>0.5</v>
      </c>
      <c r="Q17" s="159"/>
    </row>
    <row r="18" spans="1:17" ht="15.75" customHeight="1" x14ac:dyDescent="0.2">
      <c r="A18" s="69" t="s">
        <v>32</v>
      </c>
      <c r="B18" s="66"/>
      <c r="C18" s="132">
        <f t="shared" ref="C18:L18" si="2">SUM(C6:C17)</f>
        <v>15161.677518</v>
      </c>
      <c r="D18" s="133">
        <f t="shared" si="2"/>
        <v>-4431.5484699200006</v>
      </c>
      <c r="E18" s="133">
        <f t="shared" si="2"/>
        <v>0</v>
      </c>
      <c r="F18" s="132">
        <f t="shared" si="2"/>
        <v>2600.7076656000004</v>
      </c>
      <c r="G18" s="132">
        <f t="shared" si="2"/>
        <v>0</v>
      </c>
      <c r="H18" s="132">
        <f t="shared" si="2"/>
        <v>8345.5604590399998</v>
      </c>
      <c r="I18" s="132">
        <f t="shared" si="2"/>
        <v>4606.6724008050005</v>
      </c>
      <c r="J18" s="132">
        <f t="shared" si="2"/>
        <v>4606.6724008050005</v>
      </c>
      <c r="K18" s="132">
        <f t="shared" si="2"/>
        <v>21272.95661238</v>
      </c>
      <c r="L18" s="133">
        <f t="shared" si="2"/>
        <v>-15597.234694750035</v>
      </c>
      <c r="M18" s="171">
        <f>SUM(C18:L18)</f>
        <v>36565.463891959967</v>
      </c>
      <c r="O18" s="135">
        <f>SUM(O6:O17)</f>
        <v>18282.731945979984</v>
      </c>
      <c r="P18" s="141">
        <f>+O18/M18</f>
        <v>0.5</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A102"/>
  <sheetViews>
    <sheetView showGridLines="0" zoomScaleNormal="100" zoomScaleSheetLayoutView="100" workbookViewId="0">
      <pane ySplit="4" topLeftCell="A5" activePane="bottomLeft" state="frozenSplit"/>
      <selection activeCell="G25" sqref="G25"/>
      <selection pane="bottomLeft" activeCell="B29" sqref="B29"/>
    </sheetView>
  </sheetViews>
  <sheetFormatPr defaultRowHeight="12.75" x14ac:dyDescent="0.2"/>
  <cols>
    <col min="1" max="1" width="20.7109375" style="5" customWidth="1"/>
    <col min="2" max="2" width="14"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10.7109375" style="5" bestFit="1" customWidth="1"/>
    <col min="10" max="10" width="9.42578125" style="5" customWidth="1"/>
    <col min="11" max="11" width="4.7109375" style="5" bestFit="1" customWidth="1"/>
    <col min="12" max="12" width="9.5703125" style="5" customWidth="1"/>
    <col min="13"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83</v>
      </c>
      <c r="B1" s="2"/>
      <c r="C1" s="2"/>
      <c r="D1" s="2"/>
      <c r="E1" s="2"/>
      <c r="F1" s="2"/>
      <c r="G1" s="3"/>
      <c r="H1" s="2"/>
      <c r="I1" s="2"/>
      <c r="J1" s="1" t="s">
        <v>86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31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4" t="str">
        <f>+F6</f>
        <v>Revenue</v>
      </c>
      <c r="P6" s="113"/>
    </row>
    <row r="7" spans="1:27" s="16" customFormat="1" ht="11.25" x14ac:dyDescent="0.2">
      <c r="A7" s="15" t="s">
        <v>5</v>
      </c>
      <c r="B7" s="12" t="s">
        <v>6</v>
      </c>
      <c r="C7" s="12"/>
      <c r="D7" s="12" t="s">
        <v>3</v>
      </c>
      <c r="E7" s="12"/>
      <c r="F7" s="12" t="s">
        <v>7</v>
      </c>
      <c r="G7" s="12"/>
      <c r="H7" s="12"/>
      <c r="I7" s="12"/>
      <c r="J7" s="12" t="s">
        <v>6</v>
      </c>
      <c r="K7" s="12"/>
      <c r="O7" s="144" t="str">
        <f>+F7</f>
        <v>per Customer</v>
      </c>
      <c r="P7" s="113"/>
    </row>
    <row r="8" spans="1:27" s="16" customFormat="1" ht="11.25" x14ac:dyDescent="0.2">
      <c r="A8" s="129">
        <f>'Single Family 2018'!$C$6</f>
        <v>42856</v>
      </c>
      <c r="B8" s="338">
        <v>10832</v>
      </c>
      <c r="C8" s="114"/>
      <c r="D8" s="115">
        <f>VLOOKUP(A8,'Value 2018'!$A$6:$O$17,15,)</f>
        <v>9323.1521094399959</v>
      </c>
      <c r="E8" s="114"/>
      <c r="F8" s="16">
        <f>ROUND(D8/B8,2)</f>
        <v>0.86</v>
      </c>
      <c r="G8" s="114"/>
      <c r="H8" s="114"/>
      <c r="I8" s="114"/>
      <c r="J8" s="14">
        <f>+B8</f>
        <v>10832</v>
      </c>
      <c r="K8" s="13">
        <f>YEAR(A8)</f>
        <v>2017</v>
      </c>
      <c r="O8" s="145">
        <f>VLOOKUP(A8,'Value 2018'!$A$6:$O$17,13,FALSE)</f>
        <v>18646.304218879992</v>
      </c>
      <c r="P8" s="113"/>
    </row>
    <row r="9" spans="1:27" s="16" customFormat="1" ht="11.25" x14ac:dyDescent="0.2">
      <c r="A9" s="17">
        <f>EOMONTH(A8,1)</f>
        <v>42916</v>
      </c>
      <c r="B9" s="337">
        <v>10837</v>
      </c>
      <c r="C9" s="20"/>
      <c r="D9" s="115">
        <f>VLOOKUP(A9,'Value 2018'!$A$6:$O$17,15,)</f>
        <v>13968.982519955</v>
      </c>
      <c r="E9" s="14"/>
      <c r="F9" s="16">
        <f>ROUND(D9/B9,2)</f>
        <v>1.29</v>
      </c>
      <c r="G9" s="14"/>
      <c r="H9" s="14"/>
      <c r="I9" s="14"/>
      <c r="J9" s="14">
        <f>+B9</f>
        <v>10837</v>
      </c>
      <c r="K9" s="13">
        <f>YEAR(A9)</f>
        <v>2017</v>
      </c>
      <c r="O9" s="145">
        <f>VLOOKUP(A9,'Value 2018'!$A$6:$O$17,13,FALSE)</f>
        <v>27937.965039909999</v>
      </c>
      <c r="P9" s="113"/>
    </row>
    <row r="10" spans="1:27" s="16" customFormat="1" ht="11.25" x14ac:dyDescent="0.2">
      <c r="A10" s="17">
        <f>EOMONTH(A9,1)</f>
        <v>42947</v>
      </c>
      <c r="B10" s="337">
        <v>10820</v>
      </c>
      <c r="C10" s="14"/>
      <c r="D10" s="115">
        <f>VLOOKUP(A10,'Value 2018'!$A$6:$O$17,15,)</f>
        <v>14293.168221249995</v>
      </c>
      <c r="E10" s="14"/>
      <c r="F10" s="16">
        <f>ROUND(D10/B10,2)</f>
        <v>1.32</v>
      </c>
      <c r="G10" s="14"/>
      <c r="H10" s="14"/>
      <c r="I10" s="14"/>
      <c r="J10" s="14">
        <f>+B10</f>
        <v>10820</v>
      </c>
      <c r="K10" s="13">
        <f>YEAR(A10)</f>
        <v>2017</v>
      </c>
      <c r="O10" s="145">
        <f>VLOOKUP(A10,'Value 2018'!$A$6:$O$17,13,FALSE)</f>
        <v>28586.336442499989</v>
      </c>
      <c r="P10" s="113"/>
    </row>
    <row r="11" spans="1:27" s="16" customFormat="1" ht="11.25" x14ac:dyDescent="0.2">
      <c r="A11" s="17"/>
      <c r="B11" s="14"/>
      <c r="C11" s="14"/>
      <c r="E11" s="14"/>
      <c r="G11" s="14"/>
      <c r="H11" s="14"/>
      <c r="I11" s="14"/>
      <c r="J11" s="14"/>
      <c r="K11" s="13"/>
      <c r="O11" s="145"/>
      <c r="P11" s="113"/>
    </row>
    <row r="12" spans="1:27" s="16" customFormat="1" ht="11.25" x14ac:dyDescent="0.2">
      <c r="A12" s="17" t="s">
        <v>94</v>
      </c>
      <c r="B12" s="21">
        <f>SUM(B8:B11)</f>
        <v>32489</v>
      </c>
      <c r="C12" s="20" t="s">
        <v>8</v>
      </c>
      <c r="D12" s="22">
        <f>SUM(D8:D11)</f>
        <v>37585.302850644992</v>
      </c>
      <c r="E12" s="14"/>
      <c r="G12" s="14"/>
      <c r="H12" s="14"/>
      <c r="I12" s="14"/>
      <c r="J12" s="14"/>
      <c r="K12" s="13"/>
      <c r="O12" s="145"/>
      <c r="P12" s="113"/>
    </row>
    <row r="13" spans="1:27" s="16" customFormat="1" ht="11.25" x14ac:dyDescent="0.2">
      <c r="A13" s="17"/>
      <c r="B13" s="14"/>
      <c r="C13" s="14"/>
      <c r="E13" s="14"/>
      <c r="G13" s="14"/>
      <c r="H13" s="14"/>
      <c r="I13" s="14"/>
      <c r="J13" s="14"/>
      <c r="K13" s="13"/>
      <c r="O13" s="145"/>
      <c r="P13" s="113"/>
    </row>
    <row r="14" spans="1:27" s="16" customFormat="1" ht="11.25" x14ac:dyDescent="0.2">
      <c r="A14" s="17">
        <f>EOMONTH(A10,1)</f>
        <v>42978</v>
      </c>
      <c r="B14" s="337">
        <v>10889</v>
      </c>
      <c r="C14" s="14"/>
      <c r="D14" s="115">
        <f>VLOOKUP(A14,'Value 2018'!$A$6:$O$17,15,)</f>
        <v>13840.736424254996</v>
      </c>
      <c r="E14" s="14"/>
      <c r="F14" s="16">
        <f t="shared" ref="F14:F22" si="0">ROUND(D14/B14,2)</f>
        <v>1.27</v>
      </c>
      <c r="G14" s="23"/>
      <c r="H14" s="14"/>
      <c r="I14" s="14"/>
      <c r="J14" s="14">
        <f t="shared" ref="J14:J22" si="1">+B14</f>
        <v>10889</v>
      </c>
      <c r="K14" s="13">
        <f t="shared" ref="K14:K22" si="2">YEAR(A14)</f>
        <v>2017</v>
      </c>
      <c r="O14" s="145">
        <f>VLOOKUP(A14,'Value 2018'!$A$6:$O$17,13,FALSE)</f>
        <v>27681.472848509991</v>
      </c>
      <c r="P14" s="113"/>
    </row>
    <row r="15" spans="1:27" s="16" customFormat="1" ht="11.25" x14ac:dyDescent="0.2">
      <c r="A15" s="17">
        <f t="shared" ref="A15:A22" si="3">EOMONTH(A14,1)</f>
        <v>43008</v>
      </c>
      <c r="B15" s="337">
        <v>10879</v>
      </c>
      <c r="C15" s="14"/>
      <c r="D15" s="115">
        <f>VLOOKUP(A15,'Value 2018'!$A$6:$O$17,15,)</f>
        <v>9387.7373303249951</v>
      </c>
      <c r="E15" s="14"/>
      <c r="F15" s="16">
        <f t="shared" si="0"/>
        <v>0.86</v>
      </c>
      <c r="G15" s="23"/>
      <c r="H15" s="14"/>
      <c r="I15" s="14"/>
      <c r="J15" s="14">
        <f t="shared" si="1"/>
        <v>10879</v>
      </c>
      <c r="K15" s="13">
        <f t="shared" si="2"/>
        <v>2017</v>
      </c>
      <c r="O15" s="145">
        <f>VLOOKUP(A15,'Value 2018'!$A$6:$O$17,13,FALSE)</f>
        <v>18775.47466064999</v>
      </c>
      <c r="P15" s="113"/>
    </row>
    <row r="16" spans="1:27" s="16" customFormat="1" ht="11.25" x14ac:dyDescent="0.2">
      <c r="A16" s="17">
        <f t="shared" si="3"/>
        <v>43039</v>
      </c>
      <c r="B16" s="337">
        <v>10878</v>
      </c>
      <c r="C16" s="14"/>
      <c r="D16" s="115">
        <f>VLOOKUP(A16,'Value 2018'!$A$6:$O$17,15,)</f>
        <v>7260.8586135249971</v>
      </c>
      <c r="E16" s="14"/>
      <c r="F16" s="16">
        <f t="shared" si="0"/>
        <v>0.67</v>
      </c>
      <c r="G16" s="23"/>
      <c r="H16" s="14"/>
      <c r="I16" s="14"/>
      <c r="J16" s="14">
        <f t="shared" si="1"/>
        <v>10878</v>
      </c>
      <c r="K16" s="13">
        <f t="shared" si="2"/>
        <v>2017</v>
      </c>
      <c r="O16" s="145">
        <f>VLOOKUP(A16,'Value 2018'!$A$6:$O$17,13,FALSE)</f>
        <v>14521.717227049994</v>
      </c>
      <c r="P16" s="113"/>
    </row>
    <row r="17" spans="1:27" s="16" customFormat="1" ht="11.25" x14ac:dyDescent="0.2">
      <c r="A17" s="17">
        <f t="shared" si="3"/>
        <v>43069</v>
      </c>
      <c r="B17" s="337">
        <v>10949</v>
      </c>
      <c r="C17" s="14"/>
      <c r="D17" s="115">
        <f>VLOOKUP(A17,'Value 2018'!$A$6:$O$17,15,)</f>
        <v>10545.620029279997</v>
      </c>
      <c r="E17" s="14"/>
      <c r="F17" s="16">
        <f t="shared" si="0"/>
        <v>0.96</v>
      </c>
      <c r="G17" s="23"/>
      <c r="H17" s="14"/>
      <c r="I17" s="14"/>
      <c r="J17" s="14">
        <f t="shared" si="1"/>
        <v>10949</v>
      </c>
      <c r="K17" s="13">
        <f t="shared" si="2"/>
        <v>2017</v>
      </c>
      <c r="O17" s="145">
        <f>VLOOKUP(A17,'Value 2018'!$A$6:$O$17,13,FALSE)</f>
        <v>21091.240058559993</v>
      </c>
      <c r="P17" s="113"/>
    </row>
    <row r="18" spans="1:27" s="16" customFormat="1" ht="11.25" x14ac:dyDescent="0.2">
      <c r="A18" s="17">
        <f t="shared" si="3"/>
        <v>43100</v>
      </c>
      <c r="B18" s="337">
        <v>10905</v>
      </c>
      <c r="C18" s="14"/>
      <c r="D18" s="115">
        <f>VLOOKUP(A18,'Value 2018'!$A$6:$O$17,15,)</f>
        <v>9601.4671926749979</v>
      </c>
      <c r="E18" s="14"/>
      <c r="F18" s="16">
        <f t="shared" si="0"/>
        <v>0.88</v>
      </c>
      <c r="G18" s="23"/>
      <c r="H18" s="14"/>
      <c r="I18" s="14"/>
      <c r="J18" s="14">
        <f t="shared" si="1"/>
        <v>10905</v>
      </c>
      <c r="K18" s="13">
        <f t="shared" si="2"/>
        <v>2017</v>
      </c>
      <c r="O18" s="145">
        <f>VLOOKUP(A18,'Value 2018'!$A$6:$O$17,13,FALSE)</f>
        <v>19202.934385349996</v>
      </c>
      <c r="P18" s="113"/>
    </row>
    <row r="19" spans="1:27" s="16" customFormat="1" ht="11.25" x14ac:dyDescent="0.2">
      <c r="A19" s="17">
        <f t="shared" si="3"/>
        <v>43131</v>
      </c>
      <c r="B19" s="337">
        <v>10948</v>
      </c>
      <c r="C19" s="14"/>
      <c r="D19" s="115">
        <f>VLOOKUP(A19,'Value 2018'!$A$6:$O$17,15,)</f>
        <v>9032.2630908449955</v>
      </c>
      <c r="E19" s="14"/>
      <c r="F19" s="16">
        <f t="shared" si="0"/>
        <v>0.83</v>
      </c>
      <c r="G19" s="23"/>
      <c r="H19" s="14"/>
      <c r="I19" s="14"/>
      <c r="J19" s="14">
        <f t="shared" si="1"/>
        <v>10948</v>
      </c>
      <c r="K19" s="13">
        <f t="shared" si="2"/>
        <v>2018</v>
      </c>
      <c r="O19" s="145">
        <f>VLOOKUP(A19,'Value 2018'!$A$6:$O$17,13,FALSE)</f>
        <v>18064.526181689991</v>
      </c>
      <c r="P19" s="113"/>
      <c r="X19" s="14"/>
      <c r="Y19" s="14"/>
    </row>
    <row r="20" spans="1:27" s="16" customFormat="1" ht="11.25" x14ac:dyDescent="0.2">
      <c r="A20" s="17">
        <f t="shared" si="3"/>
        <v>43159</v>
      </c>
      <c r="B20" s="337">
        <v>10944</v>
      </c>
      <c r="C20" s="14"/>
      <c r="D20" s="115">
        <f>VLOOKUP(A20,'Value 2018'!$A$6:$O$17,15,)</f>
        <v>595.08611032499743</v>
      </c>
      <c r="E20" s="14"/>
      <c r="F20" s="16">
        <f t="shared" si="0"/>
        <v>0.05</v>
      </c>
      <c r="G20" s="23"/>
      <c r="H20" s="14"/>
      <c r="I20" s="14"/>
      <c r="J20" s="14">
        <f t="shared" si="1"/>
        <v>10944</v>
      </c>
      <c r="K20" s="13">
        <f t="shared" si="2"/>
        <v>2018</v>
      </c>
      <c r="L20" s="14"/>
      <c r="M20" s="14"/>
      <c r="N20" s="14"/>
      <c r="O20" s="145">
        <f>VLOOKUP(A20,'Value 2018'!$A$6:$O$17,13,FALSE)</f>
        <v>1190.1722206499949</v>
      </c>
      <c r="P20" s="35"/>
      <c r="Q20" s="14"/>
      <c r="R20" s="14"/>
      <c r="S20" s="14"/>
      <c r="T20" s="14"/>
      <c r="U20" s="14"/>
      <c r="V20" s="14"/>
      <c r="W20" s="14"/>
      <c r="Y20" s="14"/>
      <c r="AA20" s="14"/>
    </row>
    <row r="21" spans="1:27" s="16" customFormat="1" ht="11.25" x14ac:dyDescent="0.2">
      <c r="A21" s="17">
        <f t="shared" si="3"/>
        <v>43190</v>
      </c>
      <c r="B21" s="337">
        <v>10937</v>
      </c>
      <c r="C21" s="14"/>
      <c r="D21" s="115">
        <f>VLOOKUP(A21,'Value 2018'!$A$6:$O$17,15,)</f>
        <v>672.96889879999708</v>
      </c>
      <c r="E21" s="14"/>
      <c r="F21" s="16">
        <f t="shared" si="0"/>
        <v>0.06</v>
      </c>
      <c r="G21" s="23"/>
      <c r="H21" s="20"/>
      <c r="I21" s="14"/>
      <c r="J21" s="14">
        <f t="shared" si="1"/>
        <v>10937</v>
      </c>
      <c r="K21" s="13">
        <f t="shared" si="2"/>
        <v>2018</v>
      </c>
      <c r="O21" s="145">
        <f>VLOOKUP(A21,'Value 2018'!$A$6:$O$17,13,FALSE)</f>
        <v>1345.9377975999942</v>
      </c>
      <c r="P21" s="113"/>
    </row>
    <row r="22" spans="1:27" s="16" customFormat="1" ht="11.25" x14ac:dyDescent="0.2">
      <c r="A22" s="17">
        <f t="shared" si="3"/>
        <v>43220</v>
      </c>
      <c r="B22" s="337">
        <v>10940</v>
      </c>
      <c r="C22" s="14"/>
      <c r="D22" s="115">
        <f>VLOOKUP(A22,'Value 2018'!$A$6:$O$17,15,)</f>
        <v>560.68508010999722</v>
      </c>
      <c r="E22" s="14"/>
      <c r="F22" s="16">
        <f t="shared" si="0"/>
        <v>0.05</v>
      </c>
      <c r="G22" s="23"/>
      <c r="H22" s="20"/>
      <c r="I22" s="14"/>
      <c r="J22" s="14">
        <f t="shared" si="1"/>
        <v>10940</v>
      </c>
      <c r="K22" s="13">
        <f t="shared" si="2"/>
        <v>2018</v>
      </c>
      <c r="O22" s="145">
        <f>VLOOKUP(A22,'Value 2018'!$A$6:$O$17,13,FALSE)</f>
        <v>1121.3701602199944</v>
      </c>
      <c r="P22" s="113"/>
    </row>
    <row r="23" spans="1:27" s="16" customFormat="1" ht="11.25" x14ac:dyDescent="0.2">
      <c r="A23" s="17"/>
      <c r="B23" s="14"/>
      <c r="C23" s="14"/>
      <c r="E23" s="14"/>
      <c r="G23" s="14"/>
      <c r="H23" s="14"/>
      <c r="I23" s="14"/>
      <c r="J23" s="14"/>
      <c r="K23" s="13"/>
      <c r="O23" s="146"/>
    </row>
    <row r="24" spans="1:27" s="16" customFormat="1" ht="11.25" x14ac:dyDescent="0.2">
      <c r="A24" s="17" t="s">
        <v>95</v>
      </c>
      <c r="B24" s="21">
        <f>SUM(B14:B22)</f>
        <v>98269</v>
      </c>
      <c r="C24" s="20" t="s">
        <v>9</v>
      </c>
      <c r="D24" s="22">
        <f>SUM(D13:D23)</f>
        <v>61497.42277013998</v>
      </c>
      <c r="E24" s="14"/>
      <c r="G24" s="14"/>
      <c r="H24" s="14"/>
      <c r="I24" s="14"/>
      <c r="J24" s="14"/>
      <c r="K24" s="13"/>
      <c r="O24" s="146"/>
      <c r="P24" s="147" t="s">
        <v>87</v>
      </c>
    </row>
    <row r="25" spans="1:27" x14ac:dyDescent="0.2">
      <c r="D25" s="25"/>
      <c r="O25" s="146">
        <f>SUM(O8:O24)</f>
        <v>198165.45124156988</v>
      </c>
      <c r="P25" s="120"/>
    </row>
    <row r="26" spans="1:27" s="16" customFormat="1" ht="12" thickBot="1" x14ac:dyDescent="0.25">
      <c r="A26" s="26"/>
      <c r="B26" s="27">
        <f>+B12+B24</f>
        <v>130758</v>
      </c>
      <c r="C26" s="20"/>
      <c r="D26" s="28">
        <f>+D12+D24</f>
        <v>99082.725620784971</v>
      </c>
      <c r="E26" s="20" t="s">
        <v>10</v>
      </c>
      <c r="F26" s="23">
        <f>ROUND(D26/B26,3)</f>
        <v>0.75800000000000001</v>
      </c>
      <c r="H26" s="14"/>
      <c r="I26" s="14"/>
      <c r="J26" s="27">
        <f>SUM(J8:J25)</f>
        <v>130758</v>
      </c>
      <c r="K26" s="20" t="s">
        <v>12</v>
      </c>
      <c r="O26" s="148">
        <f>ROUND(O25/J26,3)</f>
        <v>1.516</v>
      </c>
      <c r="P26" s="113" t="s">
        <v>88</v>
      </c>
    </row>
    <row r="27" spans="1:27" s="16" customFormat="1" ht="12" thickTop="1" x14ac:dyDescent="0.2">
      <c r="A27" s="16" t="s">
        <v>224</v>
      </c>
      <c r="B27" s="14"/>
      <c r="C27" s="14"/>
      <c r="D27" s="14"/>
      <c r="E27" s="14"/>
      <c r="F27" s="14"/>
      <c r="G27" s="14"/>
      <c r="H27" s="14"/>
      <c r="I27" s="14"/>
      <c r="J27" s="14"/>
      <c r="K27" s="14"/>
      <c r="O27" s="149">
        <f>+J22</f>
        <v>10940</v>
      </c>
      <c r="P27" s="113" t="s">
        <v>89</v>
      </c>
    </row>
    <row r="28" spans="1:27" s="16" customFormat="1" ht="11.25" x14ac:dyDescent="0.2">
      <c r="A28" s="16" t="s">
        <v>223</v>
      </c>
      <c r="B28" s="14">
        <f>SUM(B17:B22)</f>
        <v>65623</v>
      </c>
      <c r="C28" s="14"/>
      <c r="D28" s="14">
        <f>SUM(D17:D22)</f>
        <v>31008.090402034981</v>
      </c>
      <c r="E28" s="14"/>
      <c r="F28" s="23">
        <f>ROUND(D28/B28,3)</f>
        <v>0.47299999999999998</v>
      </c>
      <c r="G28" s="20" t="s">
        <v>11</v>
      </c>
      <c r="H28" s="14"/>
      <c r="I28" s="14"/>
      <c r="J28" s="14"/>
      <c r="K28" s="14"/>
      <c r="O28" s="113"/>
      <c r="P28" s="113" t="s">
        <v>90</v>
      </c>
    </row>
    <row r="29" spans="1:27" s="16" customFormat="1" ht="11.25" x14ac:dyDescent="0.2">
      <c r="B29" s="14"/>
      <c r="C29" s="14"/>
      <c r="D29" s="14"/>
      <c r="E29" s="14"/>
      <c r="F29" s="14"/>
      <c r="G29" s="14"/>
      <c r="H29" s="14"/>
      <c r="I29" s="14"/>
      <c r="J29" s="14"/>
      <c r="K29" s="14"/>
      <c r="O29" s="113"/>
      <c r="P29" s="113"/>
    </row>
    <row r="30" spans="1:27" s="16" customFormat="1" ht="12" thickBot="1" x14ac:dyDescent="0.25">
      <c r="A30" s="16">
        <f>AVERAGE(B8:B10,B14:B22)</f>
        <v>10896.5</v>
      </c>
      <c r="B30" s="29" t="s">
        <v>13</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ROUND(D26,0)</f>
        <v>99083</v>
      </c>
      <c r="H32" s="20" t="s">
        <v>10</v>
      </c>
      <c r="I32" s="14"/>
      <c r="J32" s="14"/>
      <c r="K32" s="14"/>
    </row>
    <row r="33" spans="1:27" s="13" customFormat="1" ht="11.25" x14ac:dyDescent="0.2">
      <c r="A33" s="33"/>
      <c r="B33" s="31"/>
      <c r="C33" s="14"/>
      <c r="D33" s="14"/>
      <c r="E33" s="14"/>
      <c r="F33" s="14"/>
      <c r="G33" s="14"/>
      <c r="H33" s="20"/>
      <c r="I33" s="14"/>
      <c r="J33" s="14"/>
      <c r="K33" s="14"/>
      <c r="O33" s="16">
        <f>12*O27*O26</f>
        <v>199020.48</v>
      </c>
      <c r="P33" s="13" t="s">
        <v>91</v>
      </c>
      <c r="W33" s="14"/>
      <c r="X33" s="16"/>
      <c r="Y33" s="16"/>
      <c r="AA33" s="14"/>
    </row>
    <row r="34" spans="1:27" s="16" customFormat="1" ht="11.25" x14ac:dyDescent="0.2">
      <c r="B34" s="14" t="s">
        <v>15</v>
      </c>
      <c r="C34" s="14"/>
      <c r="D34" s="14"/>
      <c r="E34" s="14"/>
      <c r="F34" s="336">
        <v>0.86</v>
      </c>
      <c r="G34" s="14"/>
      <c r="H34" s="14"/>
      <c r="I34" s="14"/>
      <c r="J34" s="14"/>
      <c r="K34" s="14"/>
      <c r="O34" s="16">
        <f>12*O27*G57</f>
        <v>62095.440000000017</v>
      </c>
      <c r="P34" s="16" t="s">
        <v>92</v>
      </c>
    </row>
    <row r="35" spans="1:27" s="16" customFormat="1" ht="11.25" x14ac:dyDescent="0.2">
      <c r="B35" s="14"/>
      <c r="C35" s="14" t="str">
        <f>"Customers from "&amp;TEXT($A$8,"mm/yy")&amp;" - "&amp;TEXT($A$10,"mm/yy")</f>
        <v>Customers from 05/17 - 07/17</v>
      </c>
      <c r="D35" s="14"/>
      <c r="E35" s="14"/>
      <c r="F35" s="35">
        <f>+B12</f>
        <v>32489</v>
      </c>
      <c r="G35" s="20" t="s">
        <v>8</v>
      </c>
      <c r="H35" s="14"/>
      <c r="I35" s="14"/>
      <c r="J35" s="14"/>
      <c r="K35" s="14"/>
      <c r="O35" s="150">
        <f>+O34/O33</f>
        <v>0.31200527704485492</v>
      </c>
    </row>
    <row r="36" spans="1:27" s="16" customFormat="1" ht="11.25" x14ac:dyDescent="0.2">
      <c r="B36" s="14"/>
      <c r="C36" s="14" t="s">
        <v>16</v>
      </c>
      <c r="D36" s="14"/>
      <c r="E36" s="14"/>
      <c r="F36" s="21">
        <f>ROUND(F34*F35,0)</f>
        <v>27941</v>
      </c>
      <c r="G36" s="20"/>
      <c r="H36" s="14"/>
      <c r="I36" s="14"/>
      <c r="J36" s="14"/>
      <c r="K36" s="14"/>
    </row>
    <row r="37" spans="1:27" s="16" customFormat="1" ht="11.25" x14ac:dyDescent="0.2">
      <c r="B37" s="14"/>
      <c r="C37" s="14"/>
      <c r="D37" s="14"/>
      <c r="E37" s="14"/>
      <c r="F37" s="35"/>
      <c r="G37" s="20"/>
      <c r="H37" s="14" t="s">
        <v>217</v>
      </c>
      <c r="I37" s="14"/>
      <c r="J37" s="14"/>
      <c r="K37" s="14"/>
    </row>
    <row r="38" spans="1:27" s="16" customFormat="1" ht="11.25" x14ac:dyDescent="0.2">
      <c r="B38" s="14" t="s">
        <v>15</v>
      </c>
      <c r="C38" s="14"/>
      <c r="D38" s="14"/>
      <c r="E38" s="14"/>
      <c r="F38" s="336">
        <v>1.141</v>
      </c>
      <c r="G38" s="14"/>
      <c r="H38" s="14"/>
      <c r="I38" s="14"/>
      <c r="J38" s="14"/>
      <c r="K38" s="14"/>
    </row>
    <row r="39" spans="1:27" s="16" customFormat="1" ht="11.25" x14ac:dyDescent="0.2">
      <c r="B39" s="14"/>
      <c r="C39" s="14" t="str">
        <f>"Customers from "&amp;TEXT($A$14,"mm/yy")&amp;" - "&amp;TEXT($A$22,"mm/yy")</f>
        <v>Customers from 08/17 - 04/18</v>
      </c>
      <c r="D39" s="14"/>
      <c r="E39" s="14"/>
      <c r="F39" s="14">
        <f>+B24</f>
        <v>98269</v>
      </c>
      <c r="G39" s="20" t="s">
        <v>9</v>
      </c>
      <c r="H39" s="14"/>
      <c r="I39" s="14"/>
      <c r="J39" s="14"/>
      <c r="K39" s="14"/>
    </row>
    <row r="40" spans="1:27" s="16" customFormat="1" ht="11.25" x14ac:dyDescent="0.2">
      <c r="B40" s="14"/>
      <c r="C40" s="14" t="s">
        <v>16</v>
      </c>
      <c r="D40" s="14"/>
      <c r="E40" s="14"/>
      <c r="F40" s="21">
        <f>ROUND(F38*F39,0)</f>
        <v>112125</v>
      </c>
      <c r="G40" s="20"/>
      <c r="H40" s="14"/>
      <c r="I40" s="14"/>
      <c r="J40" s="14"/>
      <c r="K40" s="14"/>
    </row>
    <row r="41" spans="1:27" s="16" customFormat="1" ht="11.25" x14ac:dyDescent="0.2">
      <c r="B41" s="14"/>
      <c r="C41" s="14"/>
      <c r="D41" s="14"/>
      <c r="E41" s="14"/>
      <c r="F41" s="36"/>
      <c r="G41" s="20"/>
      <c r="H41" s="14"/>
      <c r="I41" s="14"/>
      <c r="J41" s="14"/>
      <c r="K41" s="14"/>
    </row>
    <row r="42" spans="1:27" s="16" customFormat="1" ht="12" thickBot="1" x14ac:dyDescent="0.25">
      <c r="B42" s="14"/>
      <c r="C42" s="14" t="s">
        <v>17</v>
      </c>
      <c r="D42" s="14"/>
      <c r="E42" s="14"/>
      <c r="F42" s="27">
        <f>+F36+F40</f>
        <v>140066</v>
      </c>
      <c r="G42" s="37">
        <f>+F42</f>
        <v>140066</v>
      </c>
      <c r="H42" s="14"/>
      <c r="I42" s="14"/>
      <c r="J42" s="14"/>
      <c r="K42" s="14"/>
    </row>
    <row r="43" spans="1:27" s="16" customFormat="1" ht="12" thickTop="1" x14ac:dyDescent="0.2">
      <c r="B43" s="34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
        <v>18</v>
      </c>
      <c r="G45" s="38">
        <f>+G32-G42</f>
        <v>-40983</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tr">
        <f>$K$22+1&amp;" Recycle Adjustment Calculation"</f>
        <v>2019 Recycle Adjustment Calculation</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tr">
        <f>$K$10&amp;"/"&amp;$K$22&amp;" True-up Computation"</f>
        <v>2017/2018 True-up Computation</v>
      </c>
      <c r="C50" s="14"/>
      <c r="D50" s="14"/>
      <c r="E50" s="14"/>
      <c r="F50" s="14"/>
      <c r="G50" s="14"/>
      <c r="H50" s="14"/>
      <c r="I50" s="14"/>
      <c r="J50" s="14"/>
      <c r="K50" s="14"/>
    </row>
    <row r="51" spans="1:27" s="16" customFormat="1" ht="11.25" x14ac:dyDescent="0.2">
      <c r="B51" s="14"/>
      <c r="C51" s="14"/>
      <c r="D51" s="14"/>
      <c r="E51" s="14"/>
      <c r="F51" s="32" t="s">
        <v>20</v>
      </c>
      <c r="G51" s="14">
        <f>+J26</f>
        <v>130758</v>
      </c>
      <c r="H51" s="20" t="s">
        <v>12</v>
      </c>
      <c r="I51" s="14"/>
      <c r="J51" s="14"/>
      <c r="K51" s="14"/>
    </row>
    <row r="52" spans="1:27" s="16" customFormat="1" ht="11.25" x14ac:dyDescent="0.2">
      <c r="B52" s="14"/>
      <c r="C52" s="14"/>
      <c r="D52" s="14"/>
      <c r="E52" s="14"/>
      <c r="F52" s="32" t="s">
        <v>18</v>
      </c>
      <c r="G52" s="14">
        <f>+G45</f>
        <v>-40983</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222</v>
      </c>
      <c r="G54" s="39">
        <f>ROUND(G52/G51,3)</f>
        <v>-0.313</v>
      </c>
      <c r="H54" s="14"/>
      <c r="I54" s="23">
        <f>+G54</f>
        <v>-0.313</v>
      </c>
      <c r="J54" s="14"/>
      <c r="K54" s="14"/>
    </row>
    <row r="55" spans="1:27" s="16" customFormat="1" ht="12" thickTop="1" x14ac:dyDescent="0.2">
      <c r="B55" s="14"/>
      <c r="C55" s="14"/>
      <c r="D55" s="14"/>
      <c r="E55" s="14"/>
      <c r="F55" s="32"/>
      <c r="G55" s="14"/>
      <c r="H55" s="14"/>
      <c r="I55" s="23"/>
      <c r="J55" s="14"/>
      <c r="K55" s="14"/>
      <c r="Y55" s="14"/>
    </row>
    <row r="56" spans="1:27" s="16" customFormat="1" ht="11.25" x14ac:dyDescent="0.2">
      <c r="B56" s="14" t="str">
        <f>$K$22+1&amp;" Projected Credit"</f>
        <v>2019 Projected Credit</v>
      </c>
      <c r="C56" s="14"/>
      <c r="D56" s="14"/>
      <c r="E56" s="14"/>
      <c r="F56" s="32"/>
      <c r="G56" s="14"/>
      <c r="H56" s="14"/>
      <c r="I56" s="23"/>
      <c r="J56" s="14"/>
      <c r="K56" s="14"/>
      <c r="N56" s="151" t="s">
        <v>93</v>
      </c>
    </row>
    <row r="57" spans="1:27" s="16" customFormat="1" ht="12" thickBot="1" x14ac:dyDescent="0.25">
      <c r="B57" s="31"/>
      <c r="C57" s="14"/>
      <c r="D57" s="14"/>
      <c r="E57" s="14"/>
      <c r="F57" s="32" t="s">
        <v>79</v>
      </c>
      <c r="G57" s="40">
        <f>+F28/'Value 2018'!$P$18*N57</f>
        <v>0.47300000000000014</v>
      </c>
      <c r="H57" s="14"/>
      <c r="I57" s="23">
        <f>+G57</f>
        <v>0.47300000000000014</v>
      </c>
      <c r="J57" s="20" t="s">
        <v>11</v>
      </c>
      <c r="K57" s="14"/>
      <c r="N57" s="152">
        <f>+'[10]WUTC_AW of Kent_MF'!$O$56</f>
        <v>0.5</v>
      </c>
    </row>
    <row r="58" spans="1:27" s="14" customFormat="1" ht="12" thickTop="1" x14ac:dyDescent="0.2">
      <c r="B58" s="31"/>
      <c r="I58" s="23"/>
      <c r="X58" s="16"/>
      <c r="Y58" s="16"/>
    </row>
    <row r="59" spans="1:27" s="16" customFormat="1" ht="12" thickBot="1" x14ac:dyDescent="0.25">
      <c r="B59" s="14"/>
      <c r="C59" s="14"/>
      <c r="D59" s="14"/>
      <c r="E59" s="14"/>
      <c r="F59" s="14"/>
      <c r="G59" s="32" t="str">
        <f>$K$22+1&amp;" Adjusted Credit"</f>
        <v>2019 Adjusted Credit</v>
      </c>
      <c r="H59" s="27"/>
      <c r="I59" s="39">
        <f>+I54+I57</f>
        <v>0.16000000000000014</v>
      </c>
      <c r="J59" s="14"/>
      <c r="K59" s="14"/>
    </row>
    <row r="60" spans="1:27" s="16" customFormat="1" ht="12" thickTop="1" x14ac:dyDescent="0.2"/>
    <row r="61" spans="1:27" s="16" customFormat="1" ht="11.25" x14ac:dyDescent="0.2"/>
    <row r="62" spans="1:27" s="16" customFormat="1" ht="11.25" x14ac:dyDescent="0.2">
      <c r="B62" s="16" t="s">
        <v>221</v>
      </c>
      <c r="G62" s="139" t="s">
        <v>84</v>
      </c>
      <c r="I62" s="286"/>
      <c r="L62" s="23"/>
    </row>
    <row r="63" spans="1:27" s="14" customFormat="1" ht="11.25" x14ac:dyDescent="0.2">
      <c r="A63" s="116"/>
      <c r="B63" s="35"/>
      <c r="C63" s="35"/>
      <c r="D63" s="113"/>
      <c r="E63" s="35"/>
      <c r="F63" s="113"/>
      <c r="X63" s="16"/>
      <c r="Y63" s="16"/>
    </row>
    <row r="64" spans="1:27" s="16" customFormat="1" ht="11.25" x14ac:dyDescent="0.2">
      <c r="A64" s="116"/>
      <c r="B64" s="35"/>
      <c r="C64" s="118"/>
      <c r="D64" s="113"/>
      <c r="E64" s="113"/>
      <c r="F64" s="113"/>
      <c r="G64" s="139" t="s">
        <v>85</v>
      </c>
      <c r="I64" s="22">
        <f>I62/(G51)</f>
        <v>0</v>
      </c>
    </row>
    <row r="65" spans="1:27" s="16" customFormat="1" ht="11.25" x14ac:dyDescent="0.2">
      <c r="A65" s="116"/>
      <c r="B65" s="35"/>
      <c r="C65" s="35"/>
      <c r="D65" s="113"/>
      <c r="E65" s="113"/>
      <c r="F65" s="113"/>
    </row>
    <row r="66" spans="1:27" s="16" customFormat="1" ht="12" thickBot="1" x14ac:dyDescent="0.25">
      <c r="A66" s="116"/>
      <c r="B66" s="117"/>
      <c r="C66" s="35"/>
      <c r="D66" s="113"/>
      <c r="E66" s="113"/>
      <c r="F66" s="113"/>
      <c r="G66" s="32" t="str">
        <f>$K$22+1&amp;" Net Credit"</f>
        <v>2019 Net Credit</v>
      </c>
      <c r="H66" s="27"/>
      <c r="I66" s="153">
        <f>+I59+I64</f>
        <v>0.16000000000000014</v>
      </c>
    </row>
    <row r="67" spans="1:27" s="16" customFormat="1" ht="12" thickTop="1" x14ac:dyDescent="0.2">
      <c r="A67" s="116"/>
      <c r="B67" s="117"/>
      <c r="C67" s="35"/>
      <c r="D67" s="113"/>
      <c r="E67" s="113"/>
      <c r="F67" s="113"/>
    </row>
    <row r="68" spans="1:27" s="16" customFormat="1" ht="11.25" x14ac:dyDescent="0.2">
      <c r="A68" s="116"/>
      <c r="B68" s="117"/>
      <c r="C68" s="35"/>
      <c r="D68" s="113"/>
      <c r="E68" s="113"/>
      <c r="F68" s="113"/>
    </row>
    <row r="69" spans="1:27" s="16" customFormat="1" ht="11.25" x14ac:dyDescent="0.2">
      <c r="A69" s="116"/>
      <c r="B69" s="117"/>
      <c r="C69" s="35"/>
      <c r="D69" s="113"/>
      <c r="E69" s="113"/>
      <c r="F69" s="113"/>
      <c r="Y69" s="14"/>
    </row>
    <row r="70" spans="1:27" s="16" customFormat="1" ht="11.25" x14ac:dyDescent="0.2">
      <c r="A70" s="116"/>
      <c r="B70" s="117"/>
      <c r="C70" s="35"/>
      <c r="D70" s="113"/>
      <c r="E70" s="113"/>
      <c r="F70" s="113"/>
    </row>
    <row r="71" spans="1:27" s="16" customFormat="1" ht="11.25" x14ac:dyDescent="0.2">
      <c r="A71" s="116"/>
      <c r="B71" s="117"/>
      <c r="C71" s="35"/>
      <c r="D71" s="113"/>
      <c r="E71" s="113"/>
      <c r="F71" s="113"/>
    </row>
    <row r="72" spans="1:27" s="16" customFormat="1" ht="11.25" x14ac:dyDescent="0.2">
      <c r="A72" s="116"/>
      <c r="B72" s="117"/>
      <c r="C72" s="35"/>
      <c r="D72" s="113"/>
      <c r="E72" s="113"/>
      <c r="F72" s="113"/>
    </row>
    <row r="73" spans="1:27" s="16" customFormat="1" ht="11.25" x14ac:dyDescent="0.2">
      <c r="A73" s="116"/>
      <c r="B73" s="117"/>
      <c r="C73" s="35"/>
      <c r="D73" s="113"/>
      <c r="E73" s="119"/>
      <c r="F73" s="113"/>
      <c r="G73" s="14"/>
      <c r="H73" s="13"/>
      <c r="I73" s="14"/>
      <c r="J73" s="14"/>
      <c r="K73" s="13"/>
      <c r="L73" s="14"/>
      <c r="M73" s="14"/>
      <c r="N73" s="14"/>
      <c r="O73" s="14"/>
      <c r="P73" s="14"/>
      <c r="Q73" s="14"/>
      <c r="R73" s="14"/>
      <c r="S73" s="14"/>
      <c r="T73" s="14"/>
      <c r="U73" s="14"/>
      <c r="V73" s="13"/>
      <c r="W73" s="14"/>
      <c r="AA73" s="14"/>
    </row>
    <row r="74" spans="1:27" s="16" customFormat="1" ht="11.25" x14ac:dyDescent="0.2">
      <c r="A74" s="116"/>
      <c r="B74" s="117"/>
      <c r="C74" s="35"/>
      <c r="D74" s="113"/>
      <c r="E74" s="113"/>
      <c r="F74" s="113"/>
    </row>
    <row r="75" spans="1:27" s="16" customFormat="1" ht="11.25" x14ac:dyDescent="0.2">
      <c r="A75" s="116"/>
      <c r="B75" s="35"/>
      <c r="C75" s="35"/>
      <c r="D75" s="113"/>
      <c r="E75" s="113"/>
      <c r="F75" s="113"/>
    </row>
    <row r="76" spans="1:27" s="16" customFormat="1" ht="11.25" x14ac:dyDescent="0.2">
      <c r="A76" s="116"/>
      <c r="B76" s="35"/>
      <c r="C76" s="118"/>
      <c r="D76" s="113"/>
      <c r="E76" s="113"/>
      <c r="F76" s="113"/>
    </row>
    <row r="77" spans="1:27" s="16" customFormat="1" x14ac:dyDescent="0.2">
      <c r="A77" s="120"/>
      <c r="B77" s="120"/>
      <c r="C77" s="120"/>
      <c r="D77" s="121"/>
      <c r="E77" s="113"/>
      <c r="F77" s="120"/>
    </row>
    <row r="78" spans="1:27" s="16" customFormat="1" ht="11.25" x14ac:dyDescent="0.2">
      <c r="A78" s="122"/>
      <c r="B78" s="35"/>
      <c r="C78" s="118"/>
      <c r="D78" s="113"/>
      <c r="E78" s="113"/>
      <c r="F78" s="123"/>
      <c r="Y78" s="14"/>
    </row>
    <row r="79" spans="1:27" s="16" customFormat="1" ht="11.25" x14ac:dyDescent="0.2"/>
    <row r="80" spans="1:27" s="16" customFormat="1" ht="11.25" x14ac:dyDescent="0.2"/>
    <row r="81" spans="1:27" s="16" customFormat="1" ht="11.25" x14ac:dyDescent="0.2"/>
    <row r="82" spans="1:27" s="16" customFormat="1" ht="11.25" x14ac:dyDescent="0.2">
      <c r="B82" s="8"/>
    </row>
    <row r="83" spans="1:27" s="14" customFormat="1" ht="11.25" x14ac:dyDescent="0.2">
      <c r="B83" s="31"/>
      <c r="X83" s="16"/>
      <c r="Y83" s="16"/>
    </row>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c r="A92" s="6"/>
    </row>
    <row r="93" spans="1:27" s="16" customFormat="1" x14ac:dyDescent="0.2">
      <c r="AA93" s="5"/>
    </row>
    <row r="94" spans="1:27" s="16" customFormat="1" x14ac:dyDescent="0.2">
      <c r="AA94" s="5"/>
    </row>
    <row r="95" spans="1:27" s="16" customFormat="1" x14ac:dyDescent="0.2">
      <c r="AA95" s="5"/>
    </row>
    <row r="96" spans="1:27" s="16" customFormat="1" x14ac:dyDescent="0.2">
      <c r="AA96" s="5"/>
    </row>
    <row r="97" spans="7:27" s="16" customFormat="1" x14ac:dyDescent="0.2">
      <c r="G97" s="56"/>
      <c r="I97" s="56"/>
      <c r="J97" s="56"/>
      <c r="L97" s="56"/>
      <c r="M97" s="56"/>
      <c r="N97" s="56"/>
      <c r="O97" s="56"/>
      <c r="P97" s="56"/>
      <c r="Q97" s="56"/>
      <c r="R97" s="56"/>
      <c r="S97" s="56"/>
      <c r="T97" s="56"/>
      <c r="U97" s="56"/>
      <c r="V97" s="56"/>
      <c r="W97" s="56"/>
      <c r="X97" s="56"/>
      <c r="Y97" s="56"/>
      <c r="AA97" s="5"/>
    </row>
    <row r="98" spans="7:27" s="16" customFormat="1" x14ac:dyDescent="0.2">
      <c r="AA98" s="5"/>
    </row>
    <row r="99" spans="7:27" s="16" customFormat="1" ht="13.5" thickBot="1" x14ac:dyDescent="0.25">
      <c r="G99" s="57"/>
      <c r="I99" s="57"/>
      <c r="J99" s="57"/>
      <c r="L99" s="57"/>
      <c r="M99" s="57"/>
      <c r="N99" s="57"/>
      <c r="O99" s="57"/>
      <c r="P99" s="57"/>
      <c r="Q99" s="57"/>
      <c r="R99" s="57"/>
      <c r="S99" s="57"/>
      <c r="T99" s="57"/>
      <c r="U99" s="57"/>
      <c r="V99" s="57"/>
      <c r="W99" s="57"/>
      <c r="X99" s="57"/>
      <c r="Y99" s="57"/>
      <c r="AA99" s="5"/>
    </row>
    <row r="100" spans="7:27" ht="13.5" thickTop="1" x14ac:dyDescent="0.2"/>
    <row r="101" spans="7:27" x14ac:dyDescent="0.2">
      <c r="W101" s="58"/>
      <c r="X101" s="58"/>
      <c r="Y101" s="58"/>
    </row>
    <row r="102" spans="7:27" x14ac:dyDescent="0.2">
      <c r="W102" s="58"/>
      <c r="AA102" s="58"/>
    </row>
  </sheetData>
  <printOptions horizontalCentered="1"/>
  <pageMargins left="0" right="0" top="0.52" bottom="0.44" header="0" footer="0"/>
  <pageSetup scale="75" orientation="portrait" horizontalDpi="4294967295" verticalDpi="4294967295" r:id="rId1"/>
  <headerFooter alignWithMargins="0">
    <oddFooter>&amp;R&amp;"Helv,Regular"&amp;6\\SERVER1\PUBLIC\EXCEL&amp;F,&amp;A</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Q118"/>
  <sheetViews>
    <sheetView showGridLines="0" topLeftCell="B1" zoomScaleNormal="100" zoomScaleSheetLayoutView="100" workbookViewId="0">
      <selection activeCell="F35" sqref="F35"/>
    </sheetView>
  </sheetViews>
  <sheetFormatPr defaultRowHeight="12.75" x14ac:dyDescent="0.2"/>
  <cols>
    <col min="1" max="1" width="8.140625" style="195" customWidth="1"/>
    <col min="2" max="2" width="2.140625" style="195" customWidth="1"/>
    <col min="3" max="13" width="11.7109375" style="195" customWidth="1"/>
    <col min="14" max="14" width="3" style="195" customWidth="1"/>
    <col min="15" max="15" width="10.42578125" style="287" bestFit="1" customWidth="1"/>
    <col min="16" max="16" width="14.5703125" style="195" bestFit="1" customWidth="1"/>
    <col min="17" max="16384" width="9.140625" style="195"/>
  </cols>
  <sheetData>
    <row r="1" spans="1:17" x14ac:dyDescent="0.2">
      <c r="A1" s="305" t="s">
        <v>46</v>
      </c>
      <c r="B1" s="304"/>
    </row>
    <row r="2" spans="1:17" x14ac:dyDescent="0.2">
      <c r="A2" s="303" t="str">
        <f>'WUTC_AW of Bellevue_SF 2018'!A1</f>
        <v>Rabanco Ltd (dba Allied Waste of Bellevue)</v>
      </c>
      <c r="B2" s="303"/>
    </row>
    <row r="3" spans="1:17" x14ac:dyDescent="0.2">
      <c r="A3" s="303"/>
      <c r="B3" s="303"/>
      <c r="O3" s="301"/>
    </row>
    <row r="4" spans="1:17" x14ac:dyDescent="0.2">
      <c r="A4" s="303"/>
      <c r="B4" s="303"/>
      <c r="O4" s="301" t="str">
        <f>+TEXT(P18,"00.0%")&amp;" of"</f>
        <v>50.0% of</v>
      </c>
    </row>
    <row r="5" spans="1:17" x14ac:dyDescent="0.2">
      <c r="B5" s="302"/>
      <c r="C5" s="300" t="s">
        <v>21</v>
      </c>
      <c r="D5" s="300" t="s">
        <v>22</v>
      </c>
      <c r="E5" s="300" t="s">
        <v>33</v>
      </c>
      <c r="F5" s="300" t="s">
        <v>23</v>
      </c>
      <c r="G5" s="300" t="s">
        <v>24</v>
      </c>
      <c r="H5" s="300" t="s">
        <v>25</v>
      </c>
      <c r="I5" s="300" t="s">
        <v>26</v>
      </c>
      <c r="J5" s="300" t="s">
        <v>27</v>
      </c>
      <c r="K5" s="300" t="s">
        <v>28</v>
      </c>
      <c r="L5" s="300" t="s">
        <v>29</v>
      </c>
      <c r="M5" s="300" t="s">
        <v>30</v>
      </c>
      <c r="O5" s="301" t="s">
        <v>30</v>
      </c>
      <c r="P5" s="300" t="s">
        <v>96</v>
      </c>
    </row>
    <row r="6" spans="1:17" ht="15.75" customHeight="1" x14ac:dyDescent="0.2">
      <c r="A6" s="298">
        <f>+'Pricing 2018'!A6</f>
        <v>42856</v>
      </c>
      <c r="B6" s="288"/>
      <c r="C6" s="291">
        <f>'Commodity Tonnages 2018'!C6*'Pricing 2018'!C6</f>
        <v>2218.6054424999998</v>
      </c>
      <c r="D6" s="297">
        <f>'Commodity Tonnages 2018'!D6*'Pricing 2018'!D6</f>
        <v>-919.08302512000012</v>
      </c>
      <c r="E6" s="297">
        <f>'Commodity Tonnages 2018'!E6*'Pricing 2018'!E6</f>
        <v>0</v>
      </c>
      <c r="F6" s="297">
        <f>'Commodity Tonnages 2018'!F6*'Pricing 2018'!F6</f>
        <v>388.11320789999996</v>
      </c>
      <c r="G6" s="297">
        <f>'Commodity Tonnages 2018'!G6*'Pricing 2018'!G6</f>
        <v>4160.5437899999997</v>
      </c>
      <c r="H6" s="297">
        <f>'Commodity Tonnages 2018'!H6*'Pricing 2018'!H6</f>
        <v>6323.4162104799998</v>
      </c>
      <c r="I6" s="297">
        <f>'Commodity Tonnages 2018'!I6*'Pricing 2018'!I6</f>
        <v>678.58980563</v>
      </c>
      <c r="J6" s="297">
        <f>'Commodity Tonnages 2018'!J6*'Pricing 2018'!J6</f>
        <v>678.58980563</v>
      </c>
      <c r="K6" s="297">
        <f>'Commodity Tonnages 2018'!K6*'Pricing 2018'!K6</f>
        <v>7725.30202224</v>
      </c>
      <c r="L6" s="297">
        <f>'Commodity Tonnages 2018'!L6*'Pricing 2018'!L6</f>
        <v>-2607.773040380006</v>
      </c>
      <c r="M6" s="296">
        <f t="shared" ref="M6:M18" si="0">SUM(C6:L6)</f>
        <v>18646.304218879992</v>
      </c>
      <c r="O6" s="98">
        <f t="shared" ref="O6:O17" si="1">M6*P6</f>
        <v>9323.1521094399959</v>
      </c>
      <c r="P6" s="339">
        <v>0.5</v>
      </c>
      <c r="Q6" s="159"/>
    </row>
    <row r="7" spans="1:17" ht="15.75" customHeight="1" x14ac:dyDescent="0.2">
      <c r="A7" s="298">
        <f>+'Pricing 2018'!A7</f>
        <v>42916</v>
      </c>
      <c r="B7" s="288"/>
      <c r="C7" s="291">
        <f>'Commodity Tonnages 2018'!C7*'Pricing 2018'!C7</f>
        <v>2591.8643955000002</v>
      </c>
      <c r="D7" s="297">
        <f>'Commodity Tonnages 2018'!D7*'Pricing 2018'!D7</f>
        <v>-437.23064320000003</v>
      </c>
      <c r="E7" s="297">
        <f>'Commodity Tonnages 2018'!E7*'Pricing 2018'!E7</f>
        <v>0</v>
      </c>
      <c r="F7" s="297">
        <f>'Commodity Tonnages 2018'!F7*'Pricing 2018'!F7</f>
        <v>440.43784620000002</v>
      </c>
      <c r="G7" s="297">
        <f>'Commodity Tonnages 2018'!G7*'Pricing 2018'!G7</f>
        <v>6409.2667470000006</v>
      </c>
      <c r="H7" s="297">
        <f>'Commodity Tonnages 2018'!H7*'Pricing 2018'!H7</f>
        <v>9808.4706934400001</v>
      </c>
      <c r="I7" s="297">
        <f>'Commodity Tonnages 2018'!I7*'Pricing 2018'!I7</f>
        <v>612.4482577</v>
      </c>
      <c r="J7" s="297">
        <f>'Commodity Tonnages 2018'!J7*'Pricing 2018'!J7</f>
        <v>612.4482577</v>
      </c>
      <c r="K7" s="297">
        <f>'Commodity Tonnages 2018'!K7*'Pricing 2018'!K7</f>
        <v>10984.269954240001</v>
      </c>
      <c r="L7" s="297">
        <f>'Commodity Tonnages 2018'!L7*'Pricing 2018'!L7</f>
        <v>-3084.010468670007</v>
      </c>
      <c r="M7" s="296">
        <f t="shared" si="0"/>
        <v>27937.965039909999</v>
      </c>
      <c r="O7" s="98">
        <f t="shared" si="1"/>
        <v>13968.982519955</v>
      </c>
      <c r="P7" s="339">
        <v>0.5</v>
      </c>
      <c r="Q7" s="159"/>
    </row>
    <row r="8" spans="1:17" ht="15.75" customHeight="1" x14ac:dyDescent="0.2">
      <c r="A8" s="298">
        <f>+'Pricing 2018'!A8</f>
        <v>42947</v>
      </c>
      <c r="B8" s="288"/>
      <c r="C8" s="291">
        <f>'Commodity Tonnages 2018'!C8*'Pricing 2018'!C8</f>
        <v>2343.4767750000001</v>
      </c>
      <c r="D8" s="297">
        <f>'Commodity Tonnages 2018'!D8*'Pricing 2018'!D8</f>
        <v>-419.1940376</v>
      </c>
      <c r="E8" s="297">
        <f>'Commodity Tonnages 2018'!E8*'Pricing 2018'!E8</f>
        <v>0</v>
      </c>
      <c r="F8" s="297">
        <f>'Commodity Tonnages 2018'!F8*'Pricing 2018'!F8</f>
        <v>400.27153649999997</v>
      </c>
      <c r="G8" s="297">
        <f>'Commodity Tonnages 2018'!G8*'Pricing 2018'!G8</f>
        <v>6893.9270400000005</v>
      </c>
      <c r="H8" s="297">
        <f>'Commodity Tonnages 2018'!H8*'Pricing 2018'!H8</f>
        <v>10785.747430399999</v>
      </c>
      <c r="I8" s="297">
        <f>'Commodity Tonnages 2018'!I8*'Pricing 2018'!I8</f>
        <v>503.70357825000002</v>
      </c>
      <c r="J8" s="297">
        <f>'Commodity Tonnages 2018'!J8*'Pricing 2018'!J8</f>
        <v>503.70357825000002</v>
      </c>
      <c r="K8" s="297">
        <f>'Commodity Tonnages 2018'!K8*'Pricing 2018'!K8</f>
        <v>10437.552318599999</v>
      </c>
      <c r="L8" s="297">
        <f>'Commodity Tonnages 2018'!L8*'Pricing 2018'!L8</f>
        <v>-2862.8517769000064</v>
      </c>
      <c r="M8" s="296">
        <f t="shared" si="0"/>
        <v>28586.336442499989</v>
      </c>
      <c r="O8" s="98">
        <f t="shared" si="1"/>
        <v>14293.168221249995</v>
      </c>
      <c r="P8" s="339">
        <v>0.5</v>
      </c>
      <c r="Q8" s="159"/>
    </row>
    <row r="9" spans="1:17" ht="15.75" customHeight="1" x14ac:dyDescent="0.2">
      <c r="A9" s="298">
        <f>+'Pricing 2018'!A9</f>
        <v>42978</v>
      </c>
      <c r="B9" s="288"/>
      <c r="C9" s="291">
        <f>'Commodity Tonnages 2018'!C9*'Pricing 2018'!C9</f>
        <v>2693.1970259999998</v>
      </c>
      <c r="D9" s="297">
        <f>'Commodity Tonnages 2018'!D9*'Pricing 2018'!D9</f>
        <v>-304.33895855999998</v>
      </c>
      <c r="E9" s="297">
        <f>'Commodity Tonnages 2018'!E9*'Pricing 2018'!E9</f>
        <v>0</v>
      </c>
      <c r="F9" s="297">
        <f>'Commodity Tonnages 2018'!F9*'Pricing 2018'!F9</f>
        <v>511.18269345000004</v>
      </c>
      <c r="G9" s="297">
        <f>'Commodity Tonnages 2018'!G9*'Pricing 2018'!G9</f>
        <v>6313.4968454999998</v>
      </c>
      <c r="H9" s="297">
        <f>'Commodity Tonnages 2018'!H9*'Pricing 2018'!H9</f>
        <v>9854.739580139998</v>
      </c>
      <c r="I9" s="297">
        <f>'Commodity Tonnages 2018'!I9*'Pricing 2018'!I9</f>
        <v>739.32764080499999</v>
      </c>
      <c r="J9" s="297">
        <f>'Commodity Tonnages 2018'!J9*'Pricing 2018'!J9</f>
        <v>739.32764080499999</v>
      </c>
      <c r="K9" s="297">
        <f>'Commodity Tonnages 2018'!K9*'Pricing 2018'!K9</f>
        <v>10300.11858018</v>
      </c>
      <c r="L9" s="297">
        <f>'Commodity Tonnages 2018'!L9*'Pricing 2018'!L9</f>
        <v>-3165.5781998100074</v>
      </c>
      <c r="M9" s="296">
        <f t="shared" si="0"/>
        <v>27681.472848509991</v>
      </c>
      <c r="O9" s="98">
        <f t="shared" si="1"/>
        <v>13840.736424254996</v>
      </c>
      <c r="P9" s="339">
        <v>0.5</v>
      </c>
      <c r="Q9" s="159"/>
    </row>
    <row r="10" spans="1:17" ht="15.75" customHeight="1" x14ac:dyDescent="0.2">
      <c r="A10" s="298">
        <f>+'Pricing 2018'!A10</f>
        <v>43008</v>
      </c>
      <c r="B10" s="288"/>
      <c r="C10" s="291">
        <f>'Commodity Tonnages 2018'!C10*'Pricing 2018'!C10</f>
        <v>2510.13432375</v>
      </c>
      <c r="D10" s="297">
        <f>'Commodity Tonnages 2018'!D10*'Pricing 2018'!D10</f>
        <v>-348.28742520000003</v>
      </c>
      <c r="E10" s="297">
        <f>'Commodity Tonnages 2018'!E10*'Pricing 2018'!E10</f>
        <v>0</v>
      </c>
      <c r="F10" s="297">
        <f>'Commodity Tonnages 2018'!F10*'Pricing 2018'!F10</f>
        <v>501.35265674999999</v>
      </c>
      <c r="G10" s="297">
        <f>'Commodity Tonnages 2018'!G10*'Pricing 2018'!G10</f>
        <v>4315.2472349999998</v>
      </c>
      <c r="H10" s="297">
        <f>'Commodity Tonnages 2018'!H10*'Pricing 2018'!H10</f>
        <v>6537.0540494999987</v>
      </c>
      <c r="I10" s="297">
        <f>'Commodity Tonnages 2018'!I10*'Pricing 2018'!I10</f>
        <v>568.38719174999994</v>
      </c>
      <c r="J10" s="297">
        <f>'Commodity Tonnages 2018'!J10*'Pricing 2018'!J10</f>
        <v>568.38719174999994</v>
      </c>
      <c r="K10" s="297">
        <f>'Commodity Tonnages 2018'!K10*'Pricing 2018'!K10</f>
        <v>6925.7932523999998</v>
      </c>
      <c r="L10" s="297">
        <f>'Commodity Tonnages 2018'!L10*'Pricing 2018'!L10</f>
        <v>-2802.593815050006</v>
      </c>
      <c r="M10" s="296">
        <f t="shared" si="0"/>
        <v>18775.47466064999</v>
      </c>
      <c r="O10" s="98">
        <f t="shared" si="1"/>
        <v>9387.7373303249951</v>
      </c>
      <c r="P10" s="339">
        <v>0.5</v>
      </c>
      <c r="Q10" s="159"/>
    </row>
    <row r="11" spans="1:17" ht="15.75" customHeight="1" x14ac:dyDescent="0.2">
      <c r="A11" s="298">
        <f>+'Pricing 2018'!A11</f>
        <v>43039</v>
      </c>
      <c r="B11" s="288"/>
      <c r="C11" s="291">
        <f>'Commodity Tonnages 2018'!C11*'Pricing 2018'!C11</f>
        <v>2355.2486182499997</v>
      </c>
      <c r="D11" s="297">
        <f>'Commodity Tonnages 2018'!D11*'Pricing 2018'!D11</f>
        <v>-497.06326383999999</v>
      </c>
      <c r="E11" s="297">
        <f>'Commodity Tonnages 2018'!E11*'Pricing 2018'!E11</f>
        <v>0</v>
      </c>
      <c r="F11" s="297">
        <f>'Commodity Tonnages 2018'!F11*'Pricing 2018'!F11</f>
        <v>401.86034789999997</v>
      </c>
      <c r="G11" s="297">
        <f>'Commodity Tonnages 2018'!G11*'Pricing 2018'!G11</f>
        <v>3767.0625135</v>
      </c>
      <c r="H11" s="297">
        <f>'Commodity Tonnages 2018'!H11*'Pricing 2018'!H11</f>
        <v>5690.0663771599993</v>
      </c>
      <c r="I11" s="297">
        <f>'Commodity Tonnages 2018'!I11*'Pricing 2018'!I11</f>
        <v>347.14302320499996</v>
      </c>
      <c r="J11" s="297">
        <f>'Commodity Tonnages 2018'!J11*'Pricing 2018'!J11</f>
        <v>347.14302320499996</v>
      </c>
      <c r="K11" s="297">
        <f>'Commodity Tonnages 2018'!K11*'Pricing 2018'!K11</f>
        <v>4665.9124769399996</v>
      </c>
      <c r="L11" s="297">
        <f>'Commodity Tonnages 2018'!L11*'Pricing 2018'!L11</f>
        <v>-2555.6558892700054</v>
      </c>
      <c r="M11" s="296">
        <f t="shared" si="0"/>
        <v>14521.717227049994</v>
      </c>
      <c r="O11" s="98">
        <f t="shared" si="1"/>
        <v>7260.8586135249971</v>
      </c>
      <c r="P11" s="339">
        <v>0.5</v>
      </c>
      <c r="Q11" s="159"/>
    </row>
    <row r="12" spans="1:17" ht="15.75" customHeight="1" x14ac:dyDescent="0.2">
      <c r="A12" s="298">
        <f>+'Pricing 2018'!A12</f>
        <v>43069</v>
      </c>
      <c r="B12" s="288"/>
      <c r="C12" s="291">
        <f>'Commodity Tonnages 2018'!C12*'Pricing 2018'!C12</f>
        <v>2921.6115795000001</v>
      </c>
      <c r="D12" s="297">
        <f>'Commodity Tonnages 2018'!D12*'Pricing 2018'!D12</f>
        <v>-177.91102888</v>
      </c>
      <c r="E12" s="297">
        <f>'Commodity Tonnages 2018'!E12*'Pricing 2018'!E12</f>
        <v>0</v>
      </c>
      <c r="F12" s="297">
        <f>'Commodity Tonnages 2018'!F12*'Pricing 2018'!F12</f>
        <v>516.50037120000002</v>
      </c>
      <c r="G12" s="297">
        <f>'Commodity Tonnages 2018'!G12*'Pricing 2018'!G12</f>
        <v>5154.2392785000011</v>
      </c>
      <c r="H12" s="297">
        <f>'Commodity Tonnages 2018'!H12*'Pricing 2018'!H12</f>
        <v>6818.3284882999997</v>
      </c>
      <c r="I12" s="297">
        <f>'Commodity Tonnages 2018'!I12*'Pricing 2018'!I12</f>
        <v>450.47149647500004</v>
      </c>
      <c r="J12" s="297">
        <f>'Commodity Tonnages 2018'!J12*'Pricing 2018'!J12</f>
        <v>450.47149647500004</v>
      </c>
      <c r="K12" s="297">
        <f>'Commodity Tonnages 2018'!K12*'Pricing 2018'!K12</f>
        <v>8157.2660571600018</v>
      </c>
      <c r="L12" s="297">
        <f>'Commodity Tonnages 2018'!L12*'Pricing 2018'!L12</f>
        <v>-3199.7376801700075</v>
      </c>
      <c r="M12" s="296">
        <f t="shared" si="0"/>
        <v>21091.240058559993</v>
      </c>
      <c r="O12" s="98">
        <f t="shared" si="1"/>
        <v>10545.620029279997</v>
      </c>
      <c r="P12" s="339">
        <v>0.5</v>
      </c>
      <c r="Q12" s="159"/>
    </row>
    <row r="13" spans="1:17" ht="15.75" customHeight="1" x14ac:dyDescent="0.2">
      <c r="A13" s="298">
        <f>+'Pricing 2018'!A13</f>
        <v>43100</v>
      </c>
      <c r="B13" s="288"/>
      <c r="C13" s="291">
        <f>'Commodity Tonnages 2018'!C13*'Pricing 2018'!C13</f>
        <v>2856.9332700000004</v>
      </c>
      <c r="D13" s="297">
        <f>'Commodity Tonnages 2018'!D13*'Pricing 2018'!D13</f>
        <v>-654.54383280000025</v>
      </c>
      <c r="E13" s="297">
        <f>'Commodity Tonnages 2018'!E13*'Pricing 2018'!E13</f>
        <v>0</v>
      </c>
      <c r="F13" s="297">
        <f>'Commodity Tonnages 2018'!F13*'Pricing 2018'!F13</f>
        <v>572.17913775000011</v>
      </c>
      <c r="G13" s="297">
        <f>'Commodity Tonnages 2018'!G13*'Pricing 2018'!G13</f>
        <v>4860.3908925000005</v>
      </c>
      <c r="H13" s="297">
        <f>'Commodity Tonnages 2018'!H13*'Pricing 2018'!H13</f>
        <v>6281.7091284000007</v>
      </c>
      <c r="I13" s="297">
        <f>'Commodity Tonnages 2018'!I13*'Pricing 2018'!I13</f>
        <v>453.96267352500007</v>
      </c>
      <c r="J13" s="297">
        <f>'Commodity Tonnages 2018'!J13*'Pricing 2018'!J13</f>
        <v>453.96267352500007</v>
      </c>
      <c r="K13" s="297">
        <f>'Commodity Tonnages 2018'!K13*'Pricing 2018'!K13</f>
        <v>7501.777974900001</v>
      </c>
      <c r="L13" s="297">
        <f>'Commodity Tonnages 2018'!L13*'Pricing 2018'!L13</f>
        <v>-3123.4375324500074</v>
      </c>
      <c r="M13" s="296">
        <f t="shared" si="0"/>
        <v>19202.934385349996</v>
      </c>
      <c r="O13" s="98">
        <f t="shared" si="1"/>
        <v>9601.4671926749979</v>
      </c>
      <c r="P13" s="339">
        <v>0.5</v>
      </c>
      <c r="Q13" s="159"/>
    </row>
    <row r="14" spans="1:17" ht="15.75" customHeight="1" x14ac:dyDescent="0.2">
      <c r="A14" s="298">
        <f>+'Pricing 2018'!A14</f>
        <v>43131</v>
      </c>
      <c r="B14" s="288"/>
      <c r="C14" s="291">
        <f>'Commodity Tonnages 2018'!C14*'Pricing 2018'!C14</f>
        <v>3317.9697314999994</v>
      </c>
      <c r="D14" s="297">
        <f>'Commodity Tonnages 2018'!D14*'Pricing 2018'!D14</f>
        <v>-770.55907344000002</v>
      </c>
      <c r="E14" s="297">
        <f>'Commodity Tonnages 2018'!E14*'Pricing 2018'!E14</f>
        <v>0</v>
      </c>
      <c r="F14" s="297">
        <f>'Commodity Tonnages 2018'!F14*'Pricing 2018'!F14</f>
        <v>741.90041639999993</v>
      </c>
      <c r="G14" s="297">
        <f>'Commodity Tonnages 2018'!G14*'Pricing 2018'!G14</f>
        <v>3389.3063099999999</v>
      </c>
      <c r="H14" s="297">
        <f>'Commodity Tonnages 2018'!H14*'Pricing 2018'!H14</f>
        <v>5645.2217772599997</v>
      </c>
      <c r="I14" s="297">
        <f>'Commodity Tonnages 2018'!I14*'Pricing 2018'!I14</f>
        <v>523.93321487999992</v>
      </c>
      <c r="J14" s="297">
        <f>'Commodity Tonnages 2018'!J14*'Pricing 2018'!J14</f>
        <v>523.93321487999992</v>
      </c>
      <c r="K14" s="297">
        <f>'Commodity Tonnages 2018'!K14*'Pricing 2018'!K14</f>
        <v>8178.2847649799996</v>
      </c>
      <c r="L14" s="297">
        <f>'Commodity Tonnages 2018'!L14*'Pricing 2018'!L14</f>
        <v>-3485.4641747700075</v>
      </c>
      <c r="M14" s="296">
        <f t="shared" si="0"/>
        <v>18064.526181689991</v>
      </c>
      <c r="O14" s="98">
        <f t="shared" si="1"/>
        <v>9032.2630908449955</v>
      </c>
      <c r="P14" s="339">
        <v>0.5</v>
      </c>
      <c r="Q14" s="159"/>
    </row>
    <row r="15" spans="1:17" ht="15.75" customHeight="1" x14ac:dyDescent="0.2">
      <c r="A15" s="298">
        <f>+'Pricing 2018'!A15</f>
        <v>43159</v>
      </c>
      <c r="B15" s="288"/>
      <c r="C15" s="291">
        <f>'Commodity Tonnages 2018'!C15*'Pricing 2018'!C15</f>
        <v>2202.3049387499996</v>
      </c>
      <c r="D15" s="297">
        <f>'Commodity Tonnages 2018'!D15*'Pricing 2018'!D15</f>
        <v>-420.81432119999994</v>
      </c>
      <c r="E15" s="297">
        <f>'Commodity Tonnages 2018'!E15*'Pricing 2018'!E15</f>
        <v>0</v>
      </c>
      <c r="F15" s="297">
        <f>'Commodity Tonnages 2018'!F15*'Pricing 2018'!F15</f>
        <v>454.60384199999999</v>
      </c>
      <c r="G15" s="297">
        <f>'Commodity Tonnages 2018'!G15*'Pricing 2018'!G15</f>
        <v>-1050.5292525</v>
      </c>
      <c r="H15" s="297">
        <f>'Commodity Tonnages 2018'!H15*'Pricing 2018'!H15</f>
        <v>-2085.5347946999996</v>
      </c>
      <c r="I15" s="297">
        <f>'Commodity Tonnages 2018'!I15*'Pricing 2018'!I15</f>
        <v>569.23792327499996</v>
      </c>
      <c r="J15" s="297">
        <f>'Commodity Tonnages 2018'!J15*'Pricing 2018'!J15</f>
        <v>569.23792327499996</v>
      </c>
      <c r="K15" s="297">
        <f>'Commodity Tonnages 2018'!K15*'Pricing 2018'!K15</f>
        <v>3323.2756787999997</v>
      </c>
      <c r="L15" s="297">
        <f>'Commodity Tonnages 2018'!L15*'Pricing 2018'!L15</f>
        <v>-2371.6097170500047</v>
      </c>
      <c r="M15" s="296">
        <f t="shared" si="0"/>
        <v>1190.1722206499949</v>
      </c>
      <c r="O15" s="98">
        <f t="shared" si="1"/>
        <v>595.08611032499743</v>
      </c>
      <c r="P15" s="339">
        <v>0.5</v>
      </c>
      <c r="Q15" s="159"/>
    </row>
    <row r="16" spans="1:17" ht="15.75" customHeight="1" x14ac:dyDescent="0.2">
      <c r="A16" s="298">
        <f>+'Pricing 2018'!A16</f>
        <v>43190</v>
      </c>
      <c r="B16" s="288"/>
      <c r="C16" s="291">
        <f>'Commodity Tonnages 2018'!C16*'Pricing 2018'!C16</f>
        <v>2294.763606</v>
      </c>
      <c r="D16" s="297">
        <f>'Commodity Tonnages 2018'!D16*'Pricing 2018'!D16</f>
        <v>-497.85465600000003</v>
      </c>
      <c r="E16" s="297">
        <f>'Commodity Tonnages 2018'!E16*'Pricing 2018'!E16</f>
        <v>0</v>
      </c>
      <c r="F16" s="297">
        <f>'Commodity Tonnages 2018'!F16*'Pricing 2018'!F16</f>
        <v>550.84088399999996</v>
      </c>
      <c r="G16" s="297">
        <f>'Commodity Tonnages 2018'!G16*'Pricing 2018'!G16</f>
        <v>-990.21826800000008</v>
      </c>
      <c r="H16" s="297">
        <f>'Commodity Tonnages 2018'!H16*'Pricing 2018'!H16</f>
        <v>-2153.64752976</v>
      </c>
      <c r="I16" s="297">
        <f>'Commodity Tonnages 2018'!I16*'Pricing 2018'!I16</f>
        <v>739.22217744</v>
      </c>
      <c r="J16" s="297">
        <f>'Commodity Tonnages 2018'!J16*'Pricing 2018'!J16</f>
        <v>739.22217744</v>
      </c>
      <c r="K16" s="297">
        <f>'Commodity Tonnages 2018'!K16*'Pricing 2018'!K16</f>
        <v>3160.7631950399996</v>
      </c>
      <c r="L16" s="297">
        <f>'Commodity Tonnages 2018'!L16*'Pricing 2018'!L16</f>
        <v>-2497.1537885600055</v>
      </c>
      <c r="M16" s="296">
        <f t="shared" si="0"/>
        <v>1345.9377975999942</v>
      </c>
      <c r="O16" s="98">
        <f t="shared" si="1"/>
        <v>672.96889879999708</v>
      </c>
      <c r="P16" s="339">
        <v>0.5</v>
      </c>
      <c r="Q16" s="159"/>
    </row>
    <row r="17" spans="1:17" ht="15.75" customHeight="1" x14ac:dyDescent="0.2">
      <c r="A17" s="298">
        <f>+'Pricing 2018'!A17</f>
        <v>43220</v>
      </c>
      <c r="B17" s="288"/>
      <c r="C17" s="291">
        <f>'Commodity Tonnages 2018'!C17*'Pricing 2018'!C17</f>
        <v>2128.3937272499998</v>
      </c>
      <c r="D17" s="297">
        <f>'Commodity Tonnages 2018'!D17*'Pricing 2018'!D17</f>
        <v>-518.52588216000004</v>
      </c>
      <c r="E17" s="297">
        <f>'Commodity Tonnages 2018'!E17*'Pricing 2018'!E17</f>
        <v>0</v>
      </c>
      <c r="F17" s="297">
        <f>'Commodity Tonnages 2018'!F17*'Pricing 2018'!F17</f>
        <v>518.02446135000002</v>
      </c>
      <c r="G17" s="297">
        <f>'Commodity Tonnages 2018'!G17*'Pricing 2018'!G17</f>
        <v>0</v>
      </c>
      <c r="H17" s="297">
        <f>'Commodity Tonnages 2018'!H17*'Pricing 2018'!H17</f>
        <v>-3050.64306128</v>
      </c>
      <c r="I17" s="297">
        <f>'Commodity Tonnages 2018'!I17*'Pricing 2018'!I17</f>
        <v>694.52931685500005</v>
      </c>
      <c r="J17" s="297">
        <f>'Commodity Tonnages 2018'!J17*'Pricing 2018'!J17</f>
        <v>694.52931685500005</v>
      </c>
      <c r="K17" s="297">
        <f>'Commodity Tonnages 2018'!K17*'Pricing 2018'!K17</f>
        <v>2943.1887823799998</v>
      </c>
      <c r="L17" s="297">
        <f>'Commodity Tonnages 2018'!L17*'Pricing 2018'!L17</f>
        <v>-2288.1265010300049</v>
      </c>
      <c r="M17" s="296">
        <f t="shared" si="0"/>
        <v>1121.3701602199944</v>
      </c>
      <c r="O17" s="98">
        <f t="shared" si="1"/>
        <v>560.68508010999722</v>
      </c>
      <c r="P17" s="339">
        <v>0.5</v>
      </c>
      <c r="Q17" s="159"/>
    </row>
    <row r="18" spans="1:17" ht="15.75" customHeight="1" x14ac:dyDescent="0.2">
      <c r="A18" s="295" t="s">
        <v>32</v>
      </c>
      <c r="B18" s="288"/>
      <c r="C18" s="294">
        <f t="shared" ref="C18:L18" si="2">SUM(C6:C17)</f>
        <v>30434.503434000002</v>
      </c>
      <c r="D18" s="293">
        <f t="shared" si="2"/>
        <v>-5965.4061480000009</v>
      </c>
      <c r="E18" s="293">
        <f t="shared" si="2"/>
        <v>0</v>
      </c>
      <c r="F18" s="294">
        <f t="shared" si="2"/>
        <v>5997.2674013999995</v>
      </c>
      <c r="G18" s="294">
        <f t="shared" si="2"/>
        <v>43222.733131500005</v>
      </c>
      <c r="H18" s="294">
        <f t="shared" si="2"/>
        <v>60454.92834934</v>
      </c>
      <c r="I18" s="294">
        <f t="shared" si="2"/>
        <v>6880.9562997899993</v>
      </c>
      <c r="J18" s="294">
        <f t="shared" si="2"/>
        <v>6880.9562997899993</v>
      </c>
      <c r="K18" s="294">
        <f t="shared" si="2"/>
        <v>84303.505057859991</v>
      </c>
      <c r="L18" s="293">
        <f t="shared" si="2"/>
        <v>-34043.992584110078</v>
      </c>
      <c r="M18" s="292">
        <f t="shared" si="0"/>
        <v>198165.45124156994</v>
      </c>
      <c r="O18" s="135">
        <f>SUM(O6:O17)</f>
        <v>99082.725620784942</v>
      </c>
      <c r="P18" s="141">
        <f>+O18/M18</f>
        <v>0.49999999999999983</v>
      </c>
    </row>
    <row r="19" spans="1:17" x14ac:dyDescent="0.2">
      <c r="A19" s="288"/>
      <c r="B19" s="288"/>
      <c r="C19" s="291"/>
      <c r="D19" s="291"/>
      <c r="E19" s="291"/>
      <c r="F19" s="291"/>
      <c r="G19" s="291"/>
      <c r="H19" s="291"/>
      <c r="I19" s="291"/>
      <c r="J19" s="291"/>
      <c r="K19" s="291"/>
      <c r="L19" s="291"/>
      <c r="M19" s="291"/>
      <c r="O19" s="80"/>
    </row>
    <row r="20" spans="1:17" x14ac:dyDescent="0.2">
      <c r="A20" s="288"/>
      <c r="B20" s="288"/>
      <c r="C20" s="288"/>
      <c r="D20" s="288"/>
      <c r="E20" s="288"/>
      <c r="F20" s="288"/>
      <c r="G20" s="288"/>
      <c r="H20" s="288"/>
      <c r="I20" s="288"/>
      <c r="J20" s="288"/>
      <c r="K20" s="288"/>
      <c r="L20" s="288"/>
      <c r="M20" s="289"/>
      <c r="O20" s="290"/>
    </row>
    <row r="21" spans="1:17" x14ac:dyDescent="0.2">
      <c r="A21" s="288"/>
      <c r="B21" s="288"/>
      <c r="C21" s="288"/>
      <c r="D21" s="288"/>
      <c r="E21" s="288"/>
      <c r="F21" s="288"/>
      <c r="G21" s="288"/>
      <c r="H21" s="288"/>
      <c r="I21" s="288"/>
      <c r="J21" s="288"/>
      <c r="K21" s="288"/>
      <c r="L21" s="288"/>
      <c r="M21" s="289"/>
      <c r="O21" s="82"/>
    </row>
    <row r="22" spans="1:17" x14ac:dyDescent="0.2">
      <c r="A22" s="288"/>
      <c r="B22" s="288"/>
      <c r="C22" s="288"/>
      <c r="D22" s="288"/>
      <c r="E22" s="288"/>
      <c r="F22" s="288"/>
      <c r="G22" s="288"/>
      <c r="H22" s="288"/>
      <c r="I22" s="288"/>
      <c r="J22" s="288"/>
      <c r="K22" s="288"/>
      <c r="L22" s="288"/>
      <c r="M22" s="289"/>
    </row>
    <row r="23" spans="1:17" x14ac:dyDescent="0.2">
      <c r="A23" s="288"/>
      <c r="B23" s="288"/>
      <c r="C23" s="288"/>
      <c r="D23" s="288"/>
      <c r="E23" s="288"/>
      <c r="F23" s="288"/>
      <c r="G23" s="288"/>
      <c r="H23" s="288"/>
      <c r="I23" s="288"/>
      <c r="J23" s="288"/>
      <c r="K23" s="288"/>
      <c r="L23" s="288"/>
      <c r="M23" s="289"/>
    </row>
    <row r="24" spans="1:17" x14ac:dyDescent="0.2">
      <c r="A24" s="288"/>
      <c r="B24" s="288"/>
      <c r="C24" s="288"/>
      <c r="D24" s="288"/>
      <c r="E24" s="288"/>
      <c r="F24" s="288"/>
      <c r="G24" s="288"/>
      <c r="H24" s="288"/>
      <c r="I24" s="288"/>
      <c r="J24" s="288"/>
      <c r="K24" s="288"/>
      <c r="L24" s="288"/>
      <c r="M24" s="289"/>
    </row>
    <row r="25" spans="1:17" x14ac:dyDescent="0.2">
      <c r="A25" s="288"/>
      <c r="B25" s="288"/>
      <c r="C25" s="288"/>
      <c r="D25" s="288"/>
      <c r="E25" s="288"/>
      <c r="F25" s="288"/>
      <c r="G25" s="288"/>
      <c r="H25" s="288"/>
      <c r="I25" s="288"/>
      <c r="J25" s="288"/>
      <c r="K25" s="288"/>
      <c r="L25" s="288"/>
      <c r="M25" s="289"/>
    </row>
    <row r="26" spans="1:17" x14ac:dyDescent="0.2">
      <c r="A26" s="288"/>
      <c r="B26" s="288"/>
      <c r="C26" s="288"/>
      <c r="D26" s="288"/>
      <c r="E26" s="288"/>
      <c r="F26" s="288"/>
      <c r="G26" s="288"/>
      <c r="H26" s="288"/>
      <c r="I26" s="288"/>
      <c r="J26" s="288"/>
      <c r="K26" s="288"/>
      <c r="L26" s="288"/>
      <c r="M26" s="289"/>
    </row>
    <row r="27" spans="1:17" x14ac:dyDescent="0.2">
      <c r="A27" s="288"/>
      <c r="B27" s="288"/>
      <c r="C27" s="288"/>
      <c r="D27" s="288"/>
      <c r="E27" s="288"/>
      <c r="F27" s="288"/>
      <c r="G27" s="288"/>
      <c r="H27" s="288"/>
      <c r="I27" s="288"/>
      <c r="J27" s="288"/>
      <c r="K27" s="288"/>
      <c r="L27" s="288"/>
      <c r="M27" s="289"/>
    </row>
    <row r="28" spans="1:17" x14ac:dyDescent="0.2">
      <c r="A28" s="288"/>
      <c r="B28" s="288"/>
      <c r="C28" s="288"/>
      <c r="D28" s="288"/>
      <c r="E28" s="288"/>
      <c r="F28" s="288"/>
      <c r="G28" s="288"/>
      <c r="H28" s="288"/>
      <c r="I28" s="288"/>
      <c r="J28" s="288"/>
      <c r="K28" s="288"/>
      <c r="L28" s="288"/>
      <c r="M28" s="288"/>
    </row>
    <row r="29" spans="1:17" x14ac:dyDescent="0.2">
      <c r="A29" s="288"/>
      <c r="B29" s="288"/>
      <c r="C29" s="288"/>
      <c r="D29" s="288"/>
      <c r="E29" s="288"/>
      <c r="F29" s="288"/>
      <c r="G29" s="288"/>
      <c r="H29" s="288"/>
      <c r="I29" s="288"/>
      <c r="J29" s="288"/>
      <c r="K29" s="288"/>
      <c r="L29" s="288"/>
      <c r="M29" s="288"/>
    </row>
    <row r="30" spans="1:17" x14ac:dyDescent="0.2">
      <c r="A30" s="288"/>
      <c r="B30" s="288"/>
      <c r="C30" s="288"/>
      <c r="D30" s="288"/>
      <c r="E30" s="288"/>
      <c r="F30" s="288"/>
      <c r="G30" s="288"/>
      <c r="H30" s="288"/>
      <c r="I30" s="288"/>
      <c r="J30" s="288"/>
      <c r="K30" s="288"/>
      <c r="L30" s="288"/>
      <c r="M30" s="288"/>
    </row>
    <row r="31" spans="1:17" x14ac:dyDescent="0.2">
      <c r="A31" s="288"/>
      <c r="B31" s="288"/>
      <c r="C31" s="288"/>
      <c r="D31" s="288"/>
      <c r="E31" s="288"/>
      <c r="F31" s="288"/>
      <c r="G31" s="288"/>
      <c r="H31" s="288"/>
      <c r="I31" s="288"/>
      <c r="J31" s="288"/>
      <c r="K31" s="288"/>
      <c r="L31" s="288"/>
      <c r="M31" s="288"/>
    </row>
    <row r="32" spans="1:17" x14ac:dyDescent="0.2">
      <c r="A32" s="288"/>
      <c r="B32" s="288"/>
      <c r="C32" s="288"/>
      <c r="D32" s="288"/>
      <c r="E32" s="288"/>
      <c r="F32" s="288"/>
      <c r="G32" s="288"/>
      <c r="H32" s="288"/>
      <c r="I32" s="288"/>
      <c r="J32" s="288"/>
      <c r="K32" s="288"/>
      <c r="L32" s="288"/>
      <c r="M32" s="288"/>
    </row>
    <row r="33" spans="1:13" x14ac:dyDescent="0.2">
      <c r="A33" s="288"/>
      <c r="B33" s="288"/>
      <c r="C33" s="288"/>
      <c r="D33" s="288"/>
      <c r="E33" s="288"/>
      <c r="F33" s="288"/>
      <c r="G33" s="288"/>
      <c r="H33" s="288"/>
      <c r="I33" s="288"/>
      <c r="J33" s="288"/>
      <c r="K33" s="288"/>
      <c r="L33" s="288"/>
      <c r="M33" s="288"/>
    </row>
    <row r="34" spans="1:13" x14ac:dyDescent="0.2">
      <c r="A34" s="288"/>
      <c r="B34" s="288"/>
      <c r="C34" s="288"/>
      <c r="D34" s="288"/>
      <c r="E34" s="288"/>
      <c r="F34" s="288"/>
      <c r="G34" s="288"/>
      <c r="H34" s="288"/>
      <c r="I34" s="288"/>
      <c r="J34" s="288"/>
      <c r="K34" s="288"/>
      <c r="L34" s="288"/>
      <c r="M34" s="288"/>
    </row>
    <row r="35" spans="1:13" x14ac:dyDescent="0.2">
      <c r="A35" s="288"/>
      <c r="B35" s="288"/>
      <c r="C35" s="288"/>
      <c r="D35" s="288"/>
      <c r="E35" s="288"/>
      <c r="F35" s="288"/>
      <c r="G35" s="288"/>
      <c r="H35" s="288"/>
      <c r="I35" s="288"/>
      <c r="J35" s="288"/>
      <c r="K35" s="288"/>
      <c r="L35" s="288"/>
      <c r="M35" s="288"/>
    </row>
    <row r="36" spans="1:13" x14ac:dyDescent="0.2">
      <c r="A36" s="288"/>
      <c r="B36" s="288"/>
      <c r="C36" s="288"/>
      <c r="D36" s="288"/>
      <c r="E36" s="288"/>
      <c r="F36" s="288"/>
      <c r="G36" s="288"/>
      <c r="H36" s="288"/>
      <c r="I36" s="288"/>
      <c r="J36" s="288"/>
      <c r="K36" s="288"/>
      <c r="L36" s="288"/>
      <c r="M36" s="288"/>
    </row>
    <row r="37" spans="1:13" x14ac:dyDescent="0.2">
      <c r="A37" s="288"/>
      <c r="B37" s="288"/>
      <c r="C37" s="288"/>
      <c r="D37" s="288"/>
      <c r="E37" s="288"/>
      <c r="F37" s="288"/>
      <c r="G37" s="288"/>
      <c r="H37" s="288"/>
      <c r="I37" s="288"/>
      <c r="J37" s="288"/>
      <c r="K37" s="288"/>
      <c r="L37" s="288"/>
      <c r="M37" s="288"/>
    </row>
    <row r="38" spans="1:13" x14ac:dyDescent="0.2">
      <c r="A38" s="288"/>
      <c r="B38" s="288"/>
      <c r="C38" s="288"/>
      <c r="D38" s="288"/>
      <c r="E38" s="288"/>
      <c r="F38" s="288"/>
      <c r="G38" s="288"/>
      <c r="H38" s="288"/>
      <c r="I38" s="288"/>
      <c r="J38" s="288"/>
      <c r="K38" s="288"/>
      <c r="L38" s="288"/>
      <c r="M38" s="288"/>
    </row>
    <row r="39" spans="1:13" x14ac:dyDescent="0.2">
      <c r="A39" s="288"/>
      <c r="B39" s="288"/>
      <c r="C39" s="288"/>
      <c r="D39" s="288"/>
      <c r="E39" s="288"/>
      <c r="F39" s="288"/>
      <c r="G39" s="288"/>
      <c r="H39" s="288"/>
      <c r="I39" s="288"/>
      <c r="J39" s="288"/>
      <c r="K39" s="288"/>
      <c r="L39" s="288"/>
      <c r="M39" s="288"/>
    </row>
    <row r="40" spans="1:13" x14ac:dyDescent="0.2">
      <c r="A40" s="288"/>
      <c r="B40" s="288"/>
      <c r="C40" s="288"/>
      <c r="D40" s="288"/>
      <c r="E40" s="288"/>
      <c r="F40" s="288"/>
      <c r="G40" s="288"/>
      <c r="H40" s="288"/>
      <c r="I40" s="288"/>
      <c r="J40" s="288"/>
      <c r="K40" s="288"/>
      <c r="L40" s="288"/>
      <c r="M40" s="288"/>
    </row>
    <row r="41" spans="1:13" x14ac:dyDescent="0.2">
      <c r="A41" s="288"/>
      <c r="B41" s="288"/>
      <c r="C41" s="288"/>
      <c r="D41" s="288"/>
      <c r="E41" s="288"/>
      <c r="F41" s="288"/>
      <c r="G41" s="288"/>
      <c r="H41" s="288"/>
      <c r="I41" s="288"/>
      <c r="J41" s="288"/>
      <c r="K41" s="288"/>
      <c r="L41" s="288"/>
      <c r="M41" s="288"/>
    </row>
    <row r="42" spans="1:13" x14ac:dyDescent="0.2">
      <c r="A42" s="288"/>
      <c r="B42" s="288"/>
      <c r="C42" s="288"/>
      <c r="D42" s="288"/>
      <c r="E42" s="288"/>
      <c r="F42" s="288"/>
      <c r="G42" s="288"/>
      <c r="H42" s="288"/>
      <c r="I42" s="288"/>
      <c r="J42" s="288"/>
      <c r="K42" s="288"/>
      <c r="L42" s="288"/>
      <c r="M42" s="288"/>
    </row>
    <row r="43" spans="1:13" x14ac:dyDescent="0.2">
      <c r="A43" s="288"/>
      <c r="B43" s="288"/>
      <c r="C43" s="288"/>
      <c r="D43" s="288"/>
      <c r="E43" s="288"/>
      <c r="F43" s="288"/>
      <c r="G43" s="288"/>
      <c r="H43" s="288"/>
      <c r="I43" s="288"/>
      <c r="J43" s="288"/>
      <c r="K43" s="288"/>
      <c r="L43" s="288"/>
      <c r="M43" s="288"/>
    </row>
    <row r="44" spans="1:13" x14ac:dyDescent="0.2">
      <c r="A44" s="288"/>
      <c r="B44" s="288"/>
      <c r="C44" s="288"/>
      <c r="D44" s="288"/>
      <c r="E44" s="288"/>
      <c r="F44" s="288"/>
      <c r="G44" s="288"/>
      <c r="H44" s="288"/>
      <c r="I44" s="288"/>
      <c r="J44" s="288"/>
      <c r="K44" s="288"/>
      <c r="L44" s="288"/>
      <c r="M44" s="288"/>
    </row>
    <row r="45" spans="1:13" x14ac:dyDescent="0.2">
      <c r="A45" s="288"/>
      <c r="B45" s="288"/>
      <c r="C45" s="288"/>
      <c r="D45" s="288"/>
      <c r="E45" s="288"/>
      <c r="F45" s="288"/>
      <c r="G45" s="288"/>
      <c r="H45" s="288"/>
      <c r="I45" s="288"/>
      <c r="J45" s="288"/>
      <c r="K45" s="288"/>
      <c r="L45" s="288"/>
      <c r="M45" s="288"/>
    </row>
    <row r="46" spans="1:13" x14ac:dyDescent="0.2">
      <c r="A46" s="288"/>
      <c r="B46" s="288"/>
      <c r="C46" s="288"/>
      <c r="D46" s="288"/>
      <c r="E46" s="288"/>
      <c r="F46" s="288"/>
      <c r="G46" s="288"/>
      <c r="H46" s="288"/>
      <c r="I46" s="288"/>
      <c r="J46" s="288"/>
      <c r="K46" s="288"/>
      <c r="L46" s="288"/>
      <c r="M46" s="288"/>
    </row>
    <row r="47" spans="1:13" x14ac:dyDescent="0.2">
      <c r="A47" s="288"/>
      <c r="B47" s="288"/>
      <c r="C47" s="288"/>
      <c r="D47" s="288"/>
      <c r="E47" s="288"/>
      <c r="F47" s="288"/>
      <c r="G47" s="288"/>
      <c r="H47" s="288"/>
      <c r="I47" s="288"/>
      <c r="J47" s="288"/>
      <c r="K47" s="288"/>
      <c r="L47" s="288"/>
      <c r="M47" s="288"/>
    </row>
    <row r="48" spans="1:13" x14ac:dyDescent="0.2">
      <c r="A48" s="288"/>
      <c r="B48" s="288"/>
      <c r="C48" s="288"/>
      <c r="D48" s="288"/>
      <c r="E48" s="288"/>
      <c r="F48" s="288"/>
      <c r="G48" s="288"/>
      <c r="H48" s="288"/>
      <c r="I48" s="288"/>
      <c r="J48" s="288"/>
      <c r="K48" s="288"/>
      <c r="L48" s="288"/>
      <c r="M48" s="288"/>
    </row>
    <row r="49" spans="1:13" x14ac:dyDescent="0.2">
      <c r="A49" s="288"/>
      <c r="B49" s="288"/>
      <c r="C49" s="288"/>
      <c r="D49" s="288"/>
      <c r="E49" s="288"/>
      <c r="F49" s="288"/>
      <c r="G49" s="288"/>
      <c r="H49" s="288"/>
      <c r="I49" s="288"/>
      <c r="J49" s="288"/>
      <c r="K49" s="288"/>
      <c r="L49" s="288"/>
      <c r="M49" s="288"/>
    </row>
    <row r="50" spans="1:13" x14ac:dyDescent="0.2">
      <c r="A50" s="288"/>
      <c r="B50" s="288"/>
      <c r="C50" s="288"/>
      <c r="D50" s="288"/>
      <c r="E50" s="288"/>
      <c r="F50" s="288"/>
      <c r="G50" s="288"/>
      <c r="H50" s="288"/>
      <c r="I50" s="288"/>
      <c r="J50" s="288"/>
      <c r="K50" s="288"/>
      <c r="L50" s="288"/>
      <c r="M50" s="288"/>
    </row>
    <row r="51" spans="1:13" x14ac:dyDescent="0.2">
      <c r="A51" s="288"/>
      <c r="B51" s="288"/>
      <c r="C51" s="288"/>
      <c r="D51" s="288"/>
      <c r="E51" s="288"/>
      <c r="F51" s="288"/>
      <c r="G51" s="288"/>
      <c r="H51" s="288"/>
      <c r="I51" s="288"/>
      <c r="J51" s="288"/>
      <c r="K51" s="288"/>
      <c r="L51" s="288"/>
      <c r="M51" s="288"/>
    </row>
    <row r="52" spans="1:13" x14ac:dyDescent="0.2">
      <c r="A52" s="288"/>
      <c r="B52" s="288"/>
      <c r="C52" s="288"/>
      <c r="D52" s="288"/>
      <c r="E52" s="288"/>
      <c r="F52" s="288"/>
      <c r="G52" s="288"/>
      <c r="H52" s="288"/>
      <c r="I52" s="288"/>
      <c r="J52" s="288"/>
      <c r="K52" s="288"/>
      <c r="L52" s="288"/>
      <c r="M52" s="288"/>
    </row>
    <row r="53" spans="1:13" x14ac:dyDescent="0.2">
      <c r="A53" s="288"/>
      <c r="B53" s="288"/>
      <c r="C53" s="288"/>
      <c r="D53" s="288"/>
      <c r="E53" s="288"/>
      <c r="F53" s="288"/>
      <c r="G53" s="288"/>
      <c r="H53" s="288"/>
      <c r="I53" s="288"/>
      <c r="J53" s="288"/>
      <c r="K53" s="288"/>
      <c r="L53" s="288"/>
      <c r="M53" s="288"/>
    </row>
    <row r="54" spans="1:13" x14ac:dyDescent="0.2">
      <c r="A54" s="288"/>
      <c r="B54" s="288"/>
      <c r="C54" s="288"/>
      <c r="D54" s="288"/>
      <c r="E54" s="288"/>
      <c r="F54" s="288"/>
      <c r="G54" s="288"/>
      <c r="H54" s="288"/>
      <c r="I54" s="288"/>
      <c r="J54" s="288"/>
      <c r="K54" s="288"/>
      <c r="L54" s="288"/>
      <c r="M54" s="288"/>
    </row>
    <row r="55" spans="1:13" x14ac:dyDescent="0.2">
      <c r="A55" s="288"/>
      <c r="B55" s="288"/>
      <c r="C55" s="288"/>
      <c r="D55" s="288"/>
      <c r="E55" s="288"/>
      <c r="F55" s="288"/>
      <c r="G55" s="288"/>
      <c r="H55" s="288"/>
      <c r="I55" s="288"/>
      <c r="J55" s="288"/>
      <c r="K55" s="288"/>
      <c r="L55" s="288"/>
      <c r="M55" s="288"/>
    </row>
    <row r="56" spans="1:13" x14ac:dyDescent="0.2">
      <c r="A56" s="288"/>
      <c r="B56" s="288"/>
      <c r="C56" s="288"/>
      <c r="D56" s="288"/>
      <c r="E56" s="288"/>
      <c r="F56" s="288"/>
      <c r="G56" s="288"/>
      <c r="H56" s="288"/>
      <c r="I56" s="288"/>
      <c r="J56" s="288"/>
      <c r="K56" s="288"/>
      <c r="L56" s="288"/>
      <c r="M56" s="288"/>
    </row>
    <row r="57" spans="1:13" x14ac:dyDescent="0.2">
      <c r="A57" s="288"/>
      <c r="B57" s="288"/>
      <c r="C57" s="288"/>
      <c r="D57" s="288"/>
      <c r="E57" s="288"/>
      <c r="F57" s="288"/>
      <c r="G57" s="288"/>
      <c r="H57" s="288"/>
      <c r="I57" s="288"/>
      <c r="J57" s="288"/>
      <c r="K57" s="288"/>
      <c r="L57" s="288"/>
      <c r="M57" s="288"/>
    </row>
    <row r="58" spans="1:13" x14ac:dyDescent="0.2">
      <c r="A58" s="288"/>
      <c r="B58" s="288"/>
      <c r="C58" s="288"/>
      <c r="D58" s="288"/>
      <c r="E58" s="288"/>
      <c r="F58" s="288"/>
      <c r="G58" s="288"/>
      <c r="H58" s="288"/>
      <c r="I58" s="288"/>
      <c r="J58" s="288"/>
      <c r="K58" s="288"/>
      <c r="L58" s="288"/>
      <c r="M58" s="288"/>
    </row>
    <row r="59" spans="1:13" x14ac:dyDescent="0.2">
      <c r="A59" s="288"/>
      <c r="B59" s="288"/>
      <c r="C59" s="288"/>
      <c r="D59" s="288"/>
      <c r="E59" s="288"/>
      <c r="F59" s="288"/>
      <c r="G59" s="288"/>
      <c r="H59" s="288"/>
      <c r="I59" s="288"/>
      <c r="J59" s="288"/>
      <c r="K59" s="288"/>
      <c r="L59" s="288"/>
      <c r="M59" s="288"/>
    </row>
    <row r="60" spans="1:13" x14ac:dyDescent="0.2">
      <c r="A60" s="288"/>
      <c r="B60" s="288"/>
      <c r="C60" s="288"/>
      <c r="D60" s="288"/>
      <c r="E60" s="288"/>
      <c r="F60" s="288"/>
      <c r="G60" s="288"/>
      <c r="H60" s="288"/>
      <c r="I60" s="288"/>
      <c r="J60" s="288"/>
      <c r="K60" s="288"/>
      <c r="L60" s="288"/>
      <c r="M60" s="288"/>
    </row>
    <row r="61" spans="1:13" x14ac:dyDescent="0.2">
      <c r="A61" s="288"/>
      <c r="B61" s="288"/>
      <c r="C61" s="288"/>
      <c r="D61" s="288"/>
      <c r="E61" s="288"/>
      <c r="F61" s="288"/>
      <c r="G61" s="288"/>
      <c r="H61" s="288"/>
      <c r="I61" s="288"/>
      <c r="J61" s="288"/>
      <c r="K61" s="288"/>
      <c r="L61" s="288"/>
      <c r="M61" s="288"/>
    </row>
    <row r="62" spans="1:13" x14ac:dyDescent="0.2">
      <c r="A62" s="288"/>
      <c r="B62" s="288"/>
      <c r="C62" s="288"/>
      <c r="D62" s="288"/>
      <c r="E62" s="288"/>
      <c r="F62" s="288"/>
      <c r="G62" s="288"/>
      <c r="H62" s="288"/>
      <c r="I62" s="288"/>
      <c r="J62" s="288"/>
      <c r="K62" s="288"/>
      <c r="L62" s="288"/>
      <c r="M62" s="288"/>
    </row>
    <row r="63" spans="1:13" x14ac:dyDescent="0.2">
      <c r="A63" s="288"/>
      <c r="B63" s="288"/>
      <c r="C63" s="288"/>
      <c r="D63" s="288"/>
      <c r="E63" s="288"/>
      <c r="F63" s="288"/>
      <c r="G63" s="288"/>
      <c r="H63" s="288"/>
      <c r="I63" s="288"/>
      <c r="J63" s="288"/>
      <c r="K63" s="288"/>
      <c r="L63" s="288"/>
      <c r="M63" s="288"/>
    </row>
    <row r="64" spans="1:13" x14ac:dyDescent="0.2">
      <c r="A64" s="288"/>
      <c r="B64" s="288"/>
      <c r="C64" s="288"/>
      <c r="D64" s="288"/>
      <c r="E64" s="288"/>
      <c r="F64" s="288"/>
      <c r="G64" s="288"/>
      <c r="H64" s="288"/>
      <c r="I64" s="288"/>
      <c r="J64" s="288"/>
      <c r="K64" s="288"/>
      <c r="L64" s="288"/>
      <c r="M64" s="288"/>
    </row>
    <row r="65" spans="1:13" x14ac:dyDescent="0.2">
      <c r="A65" s="288"/>
      <c r="B65" s="288"/>
      <c r="C65" s="288"/>
      <c r="D65" s="288"/>
      <c r="E65" s="288"/>
      <c r="F65" s="288"/>
      <c r="G65" s="288"/>
      <c r="H65" s="288"/>
      <c r="I65" s="288"/>
      <c r="J65" s="288"/>
      <c r="K65" s="288"/>
      <c r="L65" s="288"/>
      <c r="M65" s="288"/>
    </row>
    <row r="66" spans="1:13" x14ac:dyDescent="0.2">
      <c r="A66" s="288"/>
      <c r="B66" s="288"/>
      <c r="C66" s="288"/>
      <c r="D66" s="288"/>
      <c r="E66" s="288"/>
      <c r="F66" s="288"/>
      <c r="G66" s="288"/>
      <c r="H66" s="288"/>
      <c r="I66" s="288"/>
      <c r="J66" s="288"/>
      <c r="K66" s="288"/>
      <c r="L66" s="288"/>
      <c r="M66" s="288"/>
    </row>
    <row r="67" spans="1:13" x14ac:dyDescent="0.2">
      <c r="A67" s="288"/>
      <c r="B67" s="288"/>
      <c r="C67" s="288"/>
      <c r="D67" s="288"/>
      <c r="E67" s="288"/>
      <c r="F67" s="288"/>
      <c r="G67" s="288"/>
      <c r="H67" s="288"/>
      <c r="I67" s="288"/>
      <c r="J67" s="288"/>
      <c r="K67" s="288"/>
      <c r="L67" s="288"/>
      <c r="M67" s="288"/>
    </row>
    <row r="68" spans="1:13" x14ac:dyDescent="0.2">
      <c r="A68" s="288"/>
      <c r="B68" s="288"/>
      <c r="C68" s="288"/>
      <c r="D68" s="288"/>
      <c r="E68" s="288"/>
      <c r="F68" s="288"/>
      <c r="G68" s="288"/>
      <c r="H68" s="288"/>
      <c r="I68" s="288"/>
      <c r="J68" s="288"/>
      <c r="K68" s="288"/>
      <c r="L68" s="288"/>
      <c r="M68" s="288"/>
    </row>
    <row r="69" spans="1:13" x14ac:dyDescent="0.2">
      <c r="A69" s="288"/>
      <c r="B69" s="288"/>
      <c r="C69" s="288"/>
      <c r="D69" s="288"/>
      <c r="E69" s="288"/>
      <c r="F69" s="288"/>
      <c r="G69" s="288"/>
      <c r="H69" s="288"/>
      <c r="I69" s="288"/>
      <c r="J69" s="288"/>
      <c r="K69" s="288"/>
      <c r="L69" s="288"/>
      <c r="M69" s="288"/>
    </row>
    <row r="70" spans="1:13" x14ac:dyDescent="0.2">
      <c r="A70" s="288"/>
      <c r="B70" s="288"/>
      <c r="C70" s="288"/>
      <c r="D70" s="288"/>
      <c r="E70" s="288"/>
      <c r="F70" s="288"/>
      <c r="G70" s="288"/>
      <c r="H70" s="288"/>
      <c r="I70" s="288"/>
      <c r="J70" s="288"/>
      <c r="K70" s="288"/>
      <c r="L70" s="288"/>
      <c r="M70" s="288"/>
    </row>
    <row r="71" spans="1:13" x14ac:dyDescent="0.2">
      <c r="A71" s="288"/>
      <c r="B71" s="288"/>
      <c r="C71" s="288"/>
      <c r="D71" s="288"/>
      <c r="E71" s="288"/>
      <c r="F71" s="288"/>
      <c r="G71" s="288"/>
      <c r="H71" s="288"/>
      <c r="I71" s="288"/>
      <c r="J71" s="288"/>
      <c r="K71" s="288"/>
      <c r="L71" s="288"/>
      <c r="M71" s="288"/>
    </row>
    <row r="72" spans="1:13" x14ac:dyDescent="0.2">
      <c r="A72" s="288"/>
      <c r="B72" s="288"/>
      <c r="C72" s="288"/>
      <c r="D72" s="288"/>
      <c r="E72" s="288"/>
      <c r="F72" s="288"/>
      <c r="G72" s="288"/>
      <c r="H72" s="288"/>
      <c r="I72" s="288"/>
      <c r="J72" s="288"/>
      <c r="K72" s="288"/>
      <c r="L72" s="288"/>
      <c r="M72" s="288"/>
    </row>
    <row r="73" spans="1:13" x14ac:dyDescent="0.2">
      <c r="A73" s="288"/>
      <c r="B73" s="288"/>
      <c r="C73" s="288"/>
      <c r="D73" s="288"/>
      <c r="E73" s="288"/>
      <c r="F73" s="288"/>
      <c r="G73" s="288"/>
      <c r="H73" s="288"/>
      <c r="I73" s="288"/>
      <c r="J73" s="288"/>
      <c r="K73" s="288"/>
      <c r="L73" s="288"/>
      <c r="M73" s="288"/>
    </row>
    <row r="74" spans="1:13" x14ac:dyDescent="0.2">
      <c r="A74" s="288"/>
      <c r="B74" s="288"/>
      <c r="C74" s="288"/>
      <c r="D74" s="288"/>
      <c r="E74" s="288"/>
      <c r="F74" s="288"/>
      <c r="G74" s="288"/>
      <c r="H74" s="288"/>
      <c r="I74" s="288"/>
      <c r="J74" s="288"/>
      <c r="K74" s="288"/>
      <c r="L74" s="288"/>
      <c r="M74" s="288"/>
    </row>
    <row r="75" spans="1:13" x14ac:dyDescent="0.2">
      <c r="A75" s="288"/>
      <c r="B75" s="288"/>
      <c r="C75" s="288"/>
      <c r="D75" s="288"/>
      <c r="E75" s="288"/>
      <c r="F75" s="288"/>
      <c r="G75" s="288"/>
      <c r="H75" s="288"/>
      <c r="I75" s="288"/>
      <c r="J75" s="288"/>
      <c r="K75" s="288"/>
      <c r="L75" s="288"/>
      <c r="M75" s="288"/>
    </row>
    <row r="76" spans="1:13" x14ac:dyDescent="0.2">
      <c r="A76" s="288"/>
      <c r="B76" s="288"/>
      <c r="C76" s="288"/>
      <c r="D76" s="288"/>
      <c r="E76" s="288"/>
      <c r="F76" s="288"/>
      <c r="G76" s="288"/>
      <c r="H76" s="288"/>
      <c r="I76" s="288"/>
      <c r="J76" s="288"/>
      <c r="K76" s="288"/>
      <c r="L76" s="288"/>
      <c r="M76" s="288"/>
    </row>
    <row r="77" spans="1:13" x14ac:dyDescent="0.2">
      <c r="A77" s="288"/>
      <c r="B77" s="288"/>
      <c r="C77" s="288"/>
      <c r="D77" s="288"/>
      <c r="E77" s="288"/>
      <c r="F77" s="288"/>
      <c r="G77" s="288"/>
      <c r="H77" s="288"/>
      <c r="I77" s="288"/>
      <c r="J77" s="288"/>
      <c r="K77" s="288"/>
      <c r="L77" s="288"/>
      <c r="M77" s="288"/>
    </row>
    <row r="78" spans="1:13" x14ac:dyDescent="0.2">
      <c r="A78" s="288"/>
      <c r="B78" s="288"/>
      <c r="C78" s="288"/>
      <c r="D78" s="288"/>
      <c r="E78" s="288"/>
      <c r="F78" s="288"/>
      <c r="G78" s="288"/>
      <c r="H78" s="288"/>
      <c r="I78" s="288"/>
      <c r="J78" s="288"/>
      <c r="K78" s="288"/>
      <c r="L78" s="288"/>
      <c r="M78" s="288"/>
    </row>
    <row r="79" spans="1:13" x14ac:dyDescent="0.2">
      <c r="A79" s="288"/>
      <c r="B79" s="288"/>
      <c r="C79" s="288"/>
      <c r="D79" s="288"/>
      <c r="E79" s="288"/>
      <c r="F79" s="288"/>
      <c r="G79" s="288"/>
      <c r="H79" s="288"/>
      <c r="I79" s="288"/>
      <c r="J79" s="288"/>
      <c r="K79" s="288"/>
      <c r="L79" s="288"/>
      <c r="M79" s="288"/>
    </row>
    <row r="80" spans="1:13" x14ac:dyDescent="0.2">
      <c r="A80" s="288"/>
      <c r="B80" s="288"/>
      <c r="C80" s="288"/>
      <c r="D80" s="288"/>
      <c r="E80" s="288"/>
      <c r="F80" s="288"/>
      <c r="G80" s="288"/>
      <c r="H80" s="288"/>
      <c r="I80" s="288"/>
      <c r="J80" s="288"/>
      <c r="K80" s="288"/>
      <c r="L80" s="288"/>
      <c r="M80" s="288"/>
    </row>
    <row r="81" spans="1:13" x14ac:dyDescent="0.2">
      <c r="A81" s="288"/>
      <c r="B81" s="288"/>
      <c r="C81" s="288"/>
      <c r="D81" s="288"/>
      <c r="E81" s="288"/>
      <c r="F81" s="288"/>
      <c r="G81" s="288"/>
      <c r="H81" s="288"/>
      <c r="I81" s="288"/>
      <c r="J81" s="288"/>
      <c r="K81" s="288"/>
      <c r="L81" s="288"/>
      <c r="M81" s="288"/>
    </row>
    <row r="82" spans="1:13" x14ac:dyDescent="0.2">
      <c r="A82" s="288"/>
      <c r="B82" s="288"/>
      <c r="C82" s="288"/>
      <c r="D82" s="288"/>
      <c r="E82" s="288"/>
      <c r="F82" s="288"/>
      <c r="G82" s="288"/>
      <c r="H82" s="288"/>
      <c r="I82" s="288"/>
      <c r="J82" s="288"/>
      <c r="K82" s="288"/>
      <c r="L82" s="288"/>
      <c r="M82" s="288"/>
    </row>
    <row r="83" spans="1:13" x14ac:dyDescent="0.2">
      <c r="A83" s="288"/>
      <c r="B83" s="288"/>
      <c r="C83" s="288"/>
      <c r="D83" s="288"/>
      <c r="E83" s="288"/>
      <c r="F83" s="288"/>
      <c r="G83" s="288"/>
      <c r="H83" s="288"/>
      <c r="I83" s="288"/>
      <c r="J83" s="288"/>
      <c r="K83" s="288"/>
      <c r="L83" s="288"/>
      <c r="M83" s="288"/>
    </row>
    <row r="84" spans="1:13" x14ac:dyDescent="0.2">
      <c r="A84" s="288"/>
      <c r="B84" s="288"/>
      <c r="C84" s="288"/>
      <c r="D84" s="288"/>
      <c r="E84" s="288"/>
      <c r="F84" s="288"/>
      <c r="G84" s="288"/>
      <c r="H84" s="288"/>
      <c r="I84" s="288"/>
      <c r="J84" s="288"/>
      <c r="K84" s="288"/>
      <c r="L84" s="288"/>
      <c r="M84" s="288"/>
    </row>
    <row r="85" spans="1:13" x14ac:dyDescent="0.2">
      <c r="A85" s="288"/>
      <c r="B85" s="288"/>
      <c r="C85" s="288"/>
      <c r="D85" s="288"/>
      <c r="E85" s="288"/>
      <c r="F85" s="288"/>
      <c r="G85" s="288"/>
      <c r="H85" s="288"/>
      <c r="I85" s="288"/>
      <c r="J85" s="288"/>
      <c r="K85" s="288"/>
      <c r="L85" s="288"/>
      <c r="M85" s="288"/>
    </row>
    <row r="86" spans="1:13" x14ac:dyDescent="0.2">
      <c r="A86" s="288"/>
      <c r="B86" s="288"/>
      <c r="C86" s="288"/>
      <c r="D86" s="288"/>
      <c r="E86" s="288"/>
      <c r="F86" s="288"/>
      <c r="G86" s="288"/>
      <c r="H86" s="288"/>
      <c r="I86" s="288"/>
      <c r="J86" s="288"/>
      <c r="K86" s="288"/>
      <c r="L86" s="288"/>
      <c r="M86" s="288"/>
    </row>
    <row r="87" spans="1:13" x14ac:dyDescent="0.2">
      <c r="A87" s="288"/>
      <c r="B87" s="288"/>
      <c r="C87" s="288"/>
      <c r="D87" s="288"/>
      <c r="E87" s="288"/>
      <c r="F87" s="288"/>
      <c r="G87" s="288"/>
      <c r="H87" s="288"/>
      <c r="I87" s="288"/>
      <c r="J87" s="288"/>
      <c r="K87" s="288"/>
      <c r="L87" s="288"/>
      <c r="M87" s="288"/>
    </row>
    <row r="88" spans="1:13" x14ac:dyDescent="0.2">
      <c r="A88" s="288"/>
      <c r="B88" s="288"/>
      <c r="C88" s="288"/>
      <c r="D88" s="288"/>
      <c r="E88" s="288"/>
      <c r="F88" s="288"/>
      <c r="G88" s="288"/>
      <c r="H88" s="288"/>
      <c r="I88" s="288"/>
      <c r="J88" s="288"/>
      <c r="K88" s="288"/>
      <c r="L88" s="288"/>
      <c r="M88" s="288"/>
    </row>
    <row r="89" spans="1:13" x14ac:dyDescent="0.2">
      <c r="A89" s="288"/>
      <c r="B89" s="288"/>
      <c r="C89" s="288"/>
      <c r="D89" s="288"/>
      <c r="E89" s="288"/>
      <c r="F89" s="288"/>
      <c r="G89" s="288"/>
      <c r="H89" s="288"/>
      <c r="I89" s="288"/>
      <c r="J89" s="288"/>
      <c r="K89" s="288"/>
      <c r="L89" s="288"/>
      <c r="M89" s="288"/>
    </row>
    <row r="90" spans="1:13" x14ac:dyDescent="0.2">
      <c r="A90" s="288"/>
      <c r="B90" s="288"/>
      <c r="C90" s="288"/>
      <c r="D90" s="288"/>
      <c r="E90" s="288"/>
      <c r="F90" s="288"/>
      <c r="G90" s="288"/>
      <c r="H90" s="288"/>
      <c r="I90" s="288"/>
      <c r="J90" s="288"/>
      <c r="K90" s="288"/>
      <c r="L90" s="288"/>
      <c r="M90" s="288"/>
    </row>
    <row r="91" spans="1:13" x14ac:dyDescent="0.2">
      <c r="A91" s="288"/>
      <c r="B91" s="288"/>
      <c r="C91" s="288"/>
      <c r="D91" s="288"/>
      <c r="E91" s="288"/>
      <c r="F91" s="288"/>
      <c r="G91" s="288"/>
      <c r="H91" s="288"/>
      <c r="I91" s="288"/>
      <c r="J91" s="288"/>
      <c r="K91" s="288"/>
      <c r="L91" s="288"/>
      <c r="M91" s="288"/>
    </row>
    <row r="92" spans="1:13" x14ac:dyDescent="0.2">
      <c r="A92" s="288"/>
      <c r="B92" s="288"/>
      <c r="C92" s="288"/>
      <c r="D92" s="288"/>
      <c r="E92" s="288"/>
      <c r="F92" s="288"/>
      <c r="G92" s="288"/>
      <c r="H92" s="288"/>
      <c r="I92" s="288"/>
      <c r="J92" s="288"/>
      <c r="K92" s="288"/>
      <c r="L92" s="288"/>
      <c r="M92" s="288"/>
    </row>
    <row r="93" spans="1:13" x14ac:dyDescent="0.2">
      <c r="A93" s="288"/>
      <c r="B93" s="288"/>
      <c r="C93" s="288"/>
      <c r="D93" s="288"/>
      <c r="E93" s="288"/>
      <c r="F93" s="288"/>
      <c r="G93" s="288"/>
      <c r="H93" s="288"/>
      <c r="I93" s="288"/>
      <c r="J93" s="288"/>
      <c r="K93" s="288"/>
      <c r="L93" s="288"/>
      <c r="M93" s="288"/>
    </row>
    <row r="94" spans="1:13" x14ac:dyDescent="0.2">
      <c r="A94" s="288"/>
      <c r="B94" s="288"/>
      <c r="C94" s="288"/>
      <c r="D94" s="288"/>
      <c r="E94" s="288"/>
      <c r="F94" s="288"/>
      <c r="G94" s="288"/>
      <c r="H94" s="288"/>
      <c r="I94" s="288"/>
      <c r="J94" s="288"/>
      <c r="K94" s="288"/>
      <c r="L94" s="288"/>
      <c r="M94" s="288"/>
    </row>
    <row r="95" spans="1:13" x14ac:dyDescent="0.2">
      <c r="A95" s="288"/>
      <c r="B95" s="288"/>
      <c r="C95" s="288"/>
      <c r="D95" s="288"/>
      <c r="E95" s="288"/>
      <c r="F95" s="288"/>
      <c r="G95" s="288"/>
      <c r="H95" s="288"/>
      <c r="I95" s="288"/>
      <c r="J95" s="288"/>
      <c r="K95" s="288"/>
      <c r="L95" s="288"/>
      <c r="M95" s="288"/>
    </row>
    <row r="96" spans="1:13" x14ac:dyDescent="0.2">
      <c r="A96" s="288"/>
      <c r="B96" s="288"/>
      <c r="C96" s="288"/>
      <c r="D96" s="288"/>
      <c r="E96" s="288"/>
      <c r="F96" s="288"/>
      <c r="G96" s="288"/>
      <c r="H96" s="288"/>
      <c r="I96" s="288"/>
      <c r="J96" s="288"/>
      <c r="K96" s="288"/>
      <c r="L96" s="288"/>
      <c r="M96" s="288"/>
    </row>
    <row r="97" spans="1:13" x14ac:dyDescent="0.2">
      <c r="A97" s="288"/>
      <c r="B97" s="288"/>
      <c r="C97" s="288"/>
      <c r="D97" s="288"/>
      <c r="E97" s="288"/>
      <c r="F97" s="288"/>
      <c r="G97" s="288"/>
      <c r="H97" s="288"/>
      <c r="I97" s="288"/>
      <c r="J97" s="288"/>
      <c r="K97" s="288"/>
      <c r="L97" s="288"/>
      <c r="M97" s="288"/>
    </row>
    <row r="98" spans="1:13" x14ac:dyDescent="0.2">
      <c r="A98" s="288"/>
      <c r="B98" s="288"/>
      <c r="C98" s="288"/>
      <c r="D98" s="288"/>
      <c r="E98" s="288"/>
      <c r="F98" s="288"/>
      <c r="G98" s="288"/>
      <c r="H98" s="288"/>
      <c r="I98" s="288"/>
      <c r="J98" s="288"/>
      <c r="K98" s="288"/>
      <c r="L98" s="288"/>
      <c r="M98" s="288"/>
    </row>
    <row r="99" spans="1:13" x14ac:dyDescent="0.2">
      <c r="A99" s="288"/>
      <c r="B99" s="288"/>
      <c r="C99" s="288"/>
      <c r="D99" s="288"/>
      <c r="E99" s="288"/>
      <c r="F99" s="288"/>
      <c r="G99" s="288"/>
      <c r="H99" s="288"/>
      <c r="I99" s="288"/>
      <c r="J99" s="288"/>
      <c r="K99" s="288"/>
      <c r="L99" s="288"/>
      <c r="M99" s="288"/>
    </row>
    <row r="100" spans="1:13" x14ac:dyDescent="0.2">
      <c r="A100" s="288"/>
      <c r="B100" s="288"/>
      <c r="C100" s="288"/>
      <c r="D100" s="288"/>
      <c r="E100" s="288"/>
      <c r="F100" s="288"/>
      <c r="G100" s="288"/>
      <c r="H100" s="288"/>
      <c r="I100" s="288"/>
      <c r="J100" s="288"/>
      <c r="K100" s="288"/>
      <c r="L100" s="288"/>
      <c r="M100" s="288"/>
    </row>
    <row r="101" spans="1:13" x14ac:dyDescent="0.2">
      <c r="A101" s="288"/>
      <c r="B101" s="288"/>
      <c r="C101" s="288"/>
      <c r="D101" s="288"/>
      <c r="E101" s="288"/>
      <c r="F101" s="288"/>
      <c r="G101" s="288"/>
      <c r="H101" s="288"/>
      <c r="I101" s="288"/>
      <c r="J101" s="288"/>
      <c r="K101" s="288"/>
      <c r="L101" s="288"/>
      <c r="M101" s="288"/>
    </row>
    <row r="102" spans="1:13" x14ac:dyDescent="0.2">
      <c r="A102" s="288"/>
      <c r="B102" s="288"/>
      <c r="C102" s="288"/>
      <c r="D102" s="288"/>
      <c r="E102" s="288"/>
      <c r="F102" s="288"/>
      <c r="G102" s="288"/>
      <c r="H102" s="288"/>
      <c r="I102" s="288"/>
      <c r="J102" s="288"/>
      <c r="K102" s="288"/>
      <c r="L102" s="288"/>
      <c r="M102" s="288"/>
    </row>
    <row r="103" spans="1:13" x14ac:dyDescent="0.2">
      <c r="A103" s="288"/>
      <c r="B103" s="288"/>
      <c r="C103" s="288"/>
      <c r="D103" s="288"/>
      <c r="E103" s="288"/>
      <c r="F103" s="288"/>
      <c r="G103" s="288"/>
      <c r="H103" s="288"/>
      <c r="I103" s="288"/>
      <c r="J103" s="288"/>
      <c r="K103" s="288"/>
      <c r="L103" s="288"/>
      <c r="M103" s="288"/>
    </row>
    <row r="104" spans="1:13" x14ac:dyDescent="0.2">
      <c r="A104" s="288"/>
      <c r="B104" s="288"/>
      <c r="C104" s="288"/>
      <c r="D104" s="288"/>
      <c r="E104" s="288"/>
      <c r="F104" s="288"/>
      <c r="G104" s="288"/>
      <c r="H104" s="288"/>
      <c r="I104" s="288"/>
      <c r="J104" s="288"/>
      <c r="K104" s="288"/>
      <c r="L104" s="288"/>
      <c r="M104" s="288"/>
    </row>
    <row r="105" spans="1:13" x14ac:dyDescent="0.2">
      <c r="A105" s="288"/>
      <c r="B105" s="288"/>
      <c r="C105" s="288"/>
      <c r="D105" s="288"/>
      <c r="E105" s="288"/>
      <c r="F105" s="288"/>
      <c r="G105" s="288"/>
      <c r="H105" s="288"/>
      <c r="I105" s="288"/>
      <c r="J105" s="288"/>
      <c r="K105" s="288"/>
      <c r="L105" s="288"/>
      <c r="M105" s="288"/>
    </row>
    <row r="106" spans="1:13" x14ac:dyDescent="0.2">
      <c r="A106" s="288"/>
      <c r="B106" s="288"/>
      <c r="C106" s="288"/>
      <c r="D106" s="288"/>
      <c r="E106" s="288"/>
      <c r="F106" s="288"/>
      <c r="G106" s="288"/>
      <c r="H106" s="288"/>
      <c r="I106" s="288"/>
      <c r="J106" s="288"/>
      <c r="K106" s="288"/>
      <c r="L106" s="288"/>
      <c r="M106" s="288"/>
    </row>
    <row r="107" spans="1:13" x14ac:dyDescent="0.2">
      <c r="A107" s="288"/>
      <c r="B107" s="288"/>
      <c r="C107" s="288"/>
      <c r="D107" s="288"/>
      <c r="E107" s="288"/>
      <c r="F107" s="288"/>
      <c r="G107" s="288"/>
      <c r="H107" s="288"/>
      <c r="I107" s="288"/>
      <c r="J107" s="288"/>
      <c r="K107" s="288"/>
      <c r="L107" s="288"/>
      <c r="M107" s="288"/>
    </row>
    <row r="108" spans="1:13" x14ac:dyDescent="0.2">
      <c r="A108" s="288"/>
      <c r="B108" s="288"/>
      <c r="C108" s="288"/>
      <c r="D108" s="288"/>
      <c r="E108" s="288"/>
      <c r="F108" s="288"/>
      <c r="G108" s="288"/>
      <c r="H108" s="288"/>
      <c r="I108" s="288"/>
      <c r="J108" s="288"/>
      <c r="K108" s="288"/>
      <c r="L108" s="288"/>
      <c r="M108" s="288"/>
    </row>
    <row r="109" spans="1:13" x14ac:dyDescent="0.2">
      <c r="A109" s="288"/>
      <c r="B109" s="288"/>
      <c r="C109" s="288"/>
      <c r="D109" s="288"/>
      <c r="E109" s="288"/>
      <c r="F109" s="288"/>
      <c r="G109" s="288"/>
      <c r="H109" s="288"/>
      <c r="I109" s="288"/>
      <c r="J109" s="288"/>
      <c r="K109" s="288"/>
      <c r="L109" s="288"/>
      <c r="M109" s="288"/>
    </row>
    <row r="110" spans="1:13" x14ac:dyDescent="0.2">
      <c r="A110" s="288"/>
      <c r="B110" s="288"/>
      <c r="C110" s="288"/>
      <c r="D110" s="288"/>
      <c r="E110" s="288"/>
      <c r="F110" s="288"/>
      <c r="G110" s="288"/>
      <c r="H110" s="288"/>
      <c r="I110" s="288"/>
      <c r="J110" s="288"/>
      <c r="K110" s="288"/>
      <c r="L110" s="288"/>
      <c r="M110" s="288"/>
    </row>
    <row r="111" spans="1:13" x14ac:dyDescent="0.2">
      <c r="A111" s="288"/>
      <c r="B111" s="288"/>
      <c r="C111" s="288"/>
      <c r="D111" s="288"/>
      <c r="E111" s="288"/>
      <c r="F111" s="288"/>
      <c r="G111" s="288"/>
      <c r="H111" s="288"/>
      <c r="I111" s="288"/>
      <c r="J111" s="288"/>
      <c r="K111" s="288"/>
      <c r="L111" s="288"/>
      <c r="M111" s="288"/>
    </row>
    <row r="112" spans="1:13" x14ac:dyDescent="0.2">
      <c r="A112" s="288"/>
      <c r="B112" s="288"/>
      <c r="C112" s="288"/>
      <c r="D112" s="288"/>
      <c r="E112" s="288"/>
      <c r="F112" s="288"/>
      <c r="G112" s="288"/>
      <c r="H112" s="288"/>
      <c r="I112" s="288"/>
      <c r="J112" s="288"/>
      <c r="K112" s="288"/>
      <c r="L112" s="288"/>
      <c r="M112" s="288"/>
    </row>
    <row r="113" spans="1:13" x14ac:dyDescent="0.2">
      <c r="A113" s="288"/>
      <c r="B113" s="288"/>
      <c r="C113" s="288"/>
      <c r="D113" s="288"/>
      <c r="E113" s="288"/>
      <c r="F113" s="288"/>
      <c r="G113" s="288"/>
      <c r="H113" s="288"/>
      <c r="I113" s="288"/>
      <c r="J113" s="288"/>
      <c r="K113" s="288"/>
      <c r="L113" s="288"/>
      <c r="M113" s="288"/>
    </row>
    <row r="114" spans="1:13" x14ac:dyDescent="0.2">
      <c r="A114" s="288"/>
      <c r="B114" s="288"/>
      <c r="C114" s="288"/>
      <c r="D114" s="288"/>
      <c r="E114" s="288"/>
      <c r="F114" s="288"/>
      <c r="G114" s="288"/>
      <c r="H114" s="288"/>
      <c r="I114" s="288"/>
      <c r="J114" s="288"/>
      <c r="K114" s="288"/>
      <c r="L114" s="288"/>
      <c r="M114" s="288"/>
    </row>
    <row r="115" spans="1:13" x14ac:dyDescent="0.2">
      <c r="A115" s="288"/>
      <c r="B115" s="288"/>
      <c r="C115" s="288"/>
      <c r="D115" s="288"/>
      <c r="E115" s="288"/>
      <c r="F115" s="288"/>
      <c r="G115" s="288"/>
      <c r="H115" s="288"/>
      <c r="I115" s="288"/>
      <c r="J115" s="288"/>
      <c r="K115" s="288"/>
      <c r="L115" s="288"/>
      <c r="M115" s="288"/>
    </row>
    <row r="116" spans="1:13" x14ac:dyDescent="0.2">
      <c r="A116" s="288"/>
      <c r="B116" s="288"/>
      <c r="C116" s="288"/>
      <c r="D116" s="288"/>
      <c r="E116" s="288"/>
      <c r="F116" s="288"/>
      <c r="G116" s="288"/>
      <c r="H116" s="288"/>
      <c r="I116" s="288"/>
      <c r="J116" s="288"/>
      <c r="K116" s="288"/>
      <c r="L116" s="288"/>
      <c r="M116" s="288"/>
    </row>
    <row r="117" spans="1:13" x14ac:dyDescent="0.2">
      <c r="A117" s="288"/>
      <c r="B117" s="288"/>
      <c r="C117" s="288"/>
      <c r="D117" s="288"/>
      <c r="E117" s="288"/>
      <c r="F117" s="288"/>
      <c r="G117" s="288"/>
      <c r="H117" s="288"/>
      <c r="I117" s="288"/>
      <c r="J117" s="288"/>
      <c r="K117" s="288"/>
      <c r="L117" s="288"/>
      <c r="M117" s="288"/>
    </row>
    <row r="118" spans="1:13" x14ac:dyDescent="0.2">
      <c r="A118" s="288"/>
      <c r="B118" s="288"/>
      <c r="C118" s="288"/>
      <c r="D118" s="288"/>
      <c r="E118" s="288"/>
      <c r="F118" s="288"/>
      <c r="G118" s="288"/>
      <c r="H118" s="288"/>
      <c r="I118" s="288"/>
      <c r="J118" s="288"/>
      <c r="K118" s="288"/>
      <c r="L118" s="288"/>
      <c r="M118" s="288"/>
    </row>
  </sheetData>
  <pageMargins left="0.25" right="0.25" top="0.75" bottom="0.75" header="0.3" footer="0.3"/>
  <pageSetup scale="7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18"/>
  <sheetViews>
    <sheetView showGridLines="0" zoomScaleNormal="100" zoomScaleSheetLayoutView="100" workbookViewId="0">
      <selection activeCell="I36" sqref="I36"/>
    </sheetView>
  </sheetViews>
  <sheetFormatPr defaultRowHeight="12.75" x14ac:dyDescent="0.2"/>
  <cols>
    <col min="1" max="1" width="9.140625" style="195"/>
    <col min="2" max="2" width="2.5703125" style="195" customWidth="1"/>
    <col min="3" max="12" width="11.7109375" style="195" customWidth="1"/>
    <col min="13" max="13" width="2.7109375" style="195" customWidth="1"/>
    <col min="14" max="14" width="11.7109375" style="195" customWidth="1"/>
    <col min="15" max="15" width="14.85546875" style="195" bestFit="1" customWidth="1"/>
    <col min="16" max="16384" width="9.140625" style="195"/>
  </cols>
  <sheetData>
    <row r="1" spans="1:16" x14ac:dyDescent="0.2">
      <c r="A1" s="305" t="str">
        <f>"Single-Family Tonnages by Commodity ("&amp;TEXT(A6,"mmmm yyyy")&amp;" through "&amp;TEXT(A17,"mmmm yyyy")&amp;")"</f>
        <v>Single-Family Tonnages by Commodity (May 2017 through April 2018)</v>
      </c>
      <c r="B1" s="304"/>
    </row>
    <row r="2" spans="1:16" x14ac:dyDescent="0.2">
      <c r="A2" s="303" t="str">
        <f>'WUTC_AW of Bellevue_SF 2018'!A1</f>
        <v>Rabanco Ltd (dba Allied Waste of Bellevue)</v>
      </c>
      <c r="B2" s="303"/>
    </row>
    <row r="3" spans="1:16" x14ac:dyDescent="0.2">
      <c r="A3" s="303"/>
      <c r="B3" s="303"/>
    </row>
    <row r="4" spans="1:16" x14ac:dyDescent="0.2">
      <c r="A4" s="303"/>
      <c r="B4" s="303"/>
    </row>
    <row r="5" spans="1:16" x14ac:dyDescent="0.2">
      <c r="A5" s="304"/>
      <c r="B5" s="309"/>
      <c r="C5" s="300" t="s">
        <v>21</v>
      </c>
      <c r="D5" s="300" t="s">
        <v>22</v>
      </c>
      <c r="E5" s="300" t="s">
        <v>33</v>
      </c>
      <c r="F5" s="300" t="s">
        <v>23</v>
      </c>
      <c r="G5" s="300" t="s">
        <v>24</v>
      </c>
      <c r="H5" s="300" t="s">
        <v>25</v>
      </c>
      <c r="I5" s="300" t="s">
        <v>26</v>
      </c>
      <c r="J5" s="300" t="s">
        <v>27</v>
      </c>
      <c r="K5" s="300" t="s">
        <v>28</v>
      </c>
      <c r="L5" s="300" t="s">
        <v>29</v>
      </c>
      <c r="M5" s="300"/>
      <c r="N5" s="300" t="s">
        <v>30</v>
      </c>
    </row>
    <row r="6" spans="1:16" ht="15.75" customHeight="1" x14ac:dyDescent="0.2">
      <c r="A6" s="308">
        <f>'Single Family 2018'!$C$6</f>
        <v>42856</v>
      </c>
      <c r="B6" s="288" t="s">
        <v>67</v>
      </c>
      <c r="C6" s="108">
        <f>'Single Family 2018'!C32</f>
        <v>2.4505499999999998</v>
      </c>
      <c r="D6" s="109">
        <f>'Single Family 2018'!C34</f>
        <v>57.767632000000006</v>
      </c>
      <c r="E6" s="108">
        <f>'Single Family 2018'!C35</f>
        <v>0</v>
      </c>
      <c r="F6" s="108">
        <f>'Single Family 2018'!C30</f>
        <v>5.3912100000000001</v>
      </c>
      <c r="G6" s="108">
        <f>'Single Family 2018'!C27</f>
        <v>63.714300000000001</v>
      </c>
      <c r="H6" s="108">
        <f>'Single Family 2018'!C37</f>
        <v>105.144932</v>
      </c>
      <c r="I6" s="108">
        <f>'Single Family 2018'!C31/2</f>
        <v>7.3353130000000002</v>
      </c>
      <c r="J6" s="108">
        <f>'Single Family 2018'!C31/2</f>
        <v>7.3353130000000002</v>
      </c>
      <c r="K6" s="108">
        <f>'Single Family 2018'!C28</f>
        <v>58.225068</v>
      </c>
      <c r="L6" s="108">
        <f>'Single Family 2018'!C36</f>
        <v>19.375682000000044</v>
      </c>
      <c r="M6" s="306"/>
      <c r="N6" s="175">
        <f t="shared" ref="N6:N17" si="0">SUM(C6:L6)</f>
        <v>326.74000000000007</v>
      </c>
      <c r="O6" s="75"/>
      <c r="P6" s="307"/>
    </row>
    <row r="7" spans="1:16" ht="15.75" customHeight="1" x14ac:dyDescent="0.2">
      <c r="A7" s="298">
        <f t="shared" ref="A7:A17" si="1">EOMONTH(A6,1)</f>
        <v>42916</v>
      </c>
      <c r="B7" s="288" t="s">
        <v>68</v>
      </c>
      <c r="C7" s="108">
        <f>'Single Family 2018'!D32</f>
        <v>2.898075</v>
      </c>
      <c r="D7" s="109">
        <f>'Single Family 2018'!D34</f>
        <v>68.317288000000005</v>
      </c>
      <c r="E7" s="108">
        <f>'Single Family 2018'!D35</f>
        <v>0</v>
      </c>
      <c r="F7" s="108">
        <f>'Single Family 2018'!D30</f>
        <v>6.3757650000000003</v>
      </c>
      <c r="G7" s="108">
        <f>'Single Family 2018'!D27</f>
        <v>75.349950000000007</v>
      </c>
      <c r="H7" s="108">
        <f>'Single Family 2018'!D37</f>
        <v>124.346738</v>
      </c>
      <c r="I7" s="108">
        <f>'Single Family 2018'!D31/2</f>
        <v>8.6749045000000002</v>
      </c>
      <c r="J7" s="108">
        <f>'Single Family 2018'!D31/2</f>
        <v>8.6749045000000002</v>
      </c>
      <c r="K7" s="108">
        <f>'Single Family 2018'!D28</f>
        <v>68.858261999999996</v>
      </c>
      <c r="L7" s="108">
        <f>'Single Family 2018'!D36</f>
        <v>22.91411300000005</v>
      </c>
      <c r="M7" s="306"/>
      <c r="N7" s="175">
        <f t="shared" si="0"/>
        <v>386.41000000000008</v>
      </c>
      <c r="P7" s="307"/>
    </row>
    <row r="8" spans="1:16" ht="15.75" customHeight="1" x14ac:dyDescent="0.2">
      <c r="A8" s="298">
        <f t="shared" si="1"/>
        <v>42947</v>
      </c>
      <c r="B8" s="288" t="s">
        <v>69</v>
      </c>
      <c r="C8" s="108">
        <f>'Single Family 2018'!E32</f>
        <v>2.6902499999999998</v>
      </c>
      <c r="D8" s="109">
        <f>'Single Family 2018'!E34</f>
        <v>63.41816</v>
      </c>
      <c r="E8" s="108">
        <f>'Single Family 2018'!E35</f>
        <v>0</v>
      </c>
      <c r="F8" s="108">
        <f>'Single Family 2018'!E30</f>
        <v>5.9185499999999998</v>
      </c>
      <c r="G8" s="108">
        <f>'Single Family 2018'!E27</f>
        <v>69.9465</v>
      </c>
      <c r="H8" s="108">
        <f>'Single Family 2018'!E37</f>
        <v>115.42965999999998</v>
      </c>
      <c r="I8" s="108">
        <f>'Single Family 2018'!E31/2</f>
        <v>8.0528150000000007</v>
      </c>
      <c r="J8" s="108">
        <f>'Single Family 2018'!E31/2</f>
        <v>8.0528150000000007</v>
      </c>
      <c r="K8" s="108">
        <f>'Single Family 2018'!E28</f>
        <v>63.920339999999996</v>
      </c>
      <c r="L8" s="108">
        <f>'Single Family 2018'!E36</f>
        <v>21.270910000000047</v>
      </c>
      <c r="M8" s="306"/>
      <c r="N8" s="175">
        <f t="shared" si="0"/>
        <v>358.70000000000005</v>
      </c>
      <c r="P8" s="307"/>
    </row>
    <row r="9" spans="1:16" ht="15.75" customHeight="1" x14ac:dyDescent="0.2">
      <c r="A9" s="298">
        <f t="shared" si="1"/>
        <v>42978</v>
      </c>
      <c r="B9" s="288" t="s">
        <v>70</v>
      </c>
      <c r="C9" s="108">
        <f>'Single Family 2018'!F32</f>
        <v>2.9747249999999998</v>
      </c>
      <c r="D9" s="109">
        <f>'Single Family 2018'!F34</f>
        <v>70.124184</v>
      </c>
      <c r="E9" s="108">
        <f>'Single Family 2018'!F35</f>
        <v>0</v>
      </c>
      <c r="F9" s="108">
        <f>'Single Family 2018'!F30</f>
        <v>6.5443950000000006</v>
      </c>
      <c r="G9" s="108">
        <f>'Single Family 2018'!F27</f>
        <v>77.342849999999999</v>
      </c>
      <c r="H9" s="108">
        <f>'Single Family 2018'!F37</f>
        <v>127.63553399999999</v>
      </c>
      <c r="I9" s="108">
        <f>'Single Family 2018'!F31/2</f>
        <v>8.9043434999999995</v>
      </c>
      <c r="J9" s="108">
        <f>'Single Family 2018'!F31/2</f>
        <v>8.9043434999999995</v>
      </c>
      <c r="K9" s="108">
        <f>'Single Family 2018'!F28</f>
        <v>70.679466000000005</v>
      </c>
      <c r="L9" s="108">
        <f>'Single Family 2018'!F36</f>
        <v>23.520159000000053</v>
      </c>
      <c r="M9" s="306"/>
      <c r="N9" s="175">
        <f t="shared" si="0"/>
        <v>396.63</v>
      </c>
      <c r="P9" s="307"/>
    </row>
    <row r="10" spans="1:16" ht="15.75" customHeight="1" x14ac:dyDescent="0.2">
      <c r="A10" s="298">
        <f t="shared" si="1"/>
        <v>43008</v>
      </c>
      <c r="B10" s="288" t="s">
        <v>71</v>
      </c>
      <c r="C10" s="108">
        <f>'Single Family 2018'!G32</f>
        <v>2.6336249999999999</v>
      </c>
      <c r="D10" s="109">
        <f>'Single Family 2018'!G34</f>
        <v>62.083320000000001</v>
      </c>
      <c r="E10" s="108">
        <f>'Single Family 2018'!G35</f>
        <v>0</v>
      </c>
      <c r="F10" s="108">
        <f>'Single Family 2018'!G30</f>
        <v>5.7939749999999997</v>
      </c>
      <c r="G10" s="108">
        <f>'Single Family 2018'!G27</f>
        <v>68.474249999999998</v>
      </c>
      <c r="H10" s="108">
        <f>'Single Family 2018'!G37</f>
        <v>113.00006999999998</v>
      </c>
      <c r="I10" s="108">
        <f>'Single Family 2018'!G31/2</f>
        <v>7.8833174999999995</v>
      </c>
      <c r="J10" s="108">
        <f>'Single Family 2018'!G31/2</f>
        <v>7.8833174999999995</v>
      </c>
      <c r="K10" s="108">
        <f>'Single Family 2018'!G28</f>
        <v>62.574929999999995</v>
      </c>
      <c r="L10" s="108">
        <f>'Single Family 2018'!G36</f>
        <v>20.823195000000045</v>
      </c>
      <c r="M10" s="306"/>
      <c r="N10" s="175">
        <f t="shared" si="0"/>
        <v>351.15</v>
      </c>
      <c r="P10" s="307"/>
    </row>
    <row r="11" spans="1:16" ht="15.75" customHeight="1" x14ac:dyDescent="0.2">
      <c r="A11" s="298">
        <f t="shared" si="1"/>
        <v>43039</v>
      </c>
      <c r="B11" s="288" t="s">
        <v>72</v>
      </c>
      <c r="C11" s="108">
        <f>'Single Family 2018'!H32</f>
        <v>2.4015749999999998</v>
      </c>
      <c r="D11" s="109">
        <f>'Single Family 2018'!H34</f>
        <v>56.613128000000003</v>
      </c>
      <c r="E11" s="108">
        <f>'Single Family 2018'!H35</f>
        <v>0</v>
      </c>
      <c r="F11" s="108">
        <f>'Single Family 2018'!H30</f>
        <v>5.2834649999999996</v>
      </c>
      <c r="G11" s="108">
        <f>'Single Family 2018'!H27</f>
        <v>62.440950000000001</v>
      </c>
      <c r="H11" s="108">
        <f>'Single Family 2018'!H37</f>
        <v>103.04357799999998</v>
      </c>
      <c r="I11" s="108">
        <f>'Single Family 2018'!H31/2</f>
        <v>7.1887144999999997</v>
      </c>
      <c r="J11" s="108">
        <f>'Single Family 2018'!H31/2</f>
        <v>7.1887144999999997</v>
      </c>
      <c r="K11" s="108">
        <f>'Single Family 2018'!H28</f>
        <v>57.061421999999993</v>
      </c>
      <c r="L11" s="108">
        <f>'Single Family 2018'!H36</f>
        <v>18.988453000000039</v>
      </c>
      <c r="M11" s="306"/>
      <c r="N11" s="175">
        <f t="shared" si="0"/>
        <v>320.21000000000004</v>
      </c>
      <c r="P11" s="307"/>
    </row>
    <row r="12" spans="1:16" ht="15.75" customHeight="1" x14ac:dyDescent="0.2">
      <c r="A12" s="298">
        <f t="shared" si="1"/>
        <v>43069</v>
      </c>
      <c r="B12" s="288" t="s">
        <v>73</v>
      </c>
      <c r="C12" s="108">
        <f>'Single Family 2018'!I32</f>
        <v>3.0068250000000001</v>
      </c>
      <c r="D12" s="109">
        <f>'Single Family 2018'!I34</f>
        <v>70.880888000000013</v>
      </c>
      <c r="E12" s="108">
        <f>'Single Family 2018'!I35</f>
        <v>0</v>
      </c>
      <c r="F12" s="108">
        <f>'Single Family 2018'!I30</f>
        <v>6.6150150000000005</v>
      </c>
      <c r="G12" s="108">
        <f>'Single Family 2018'!I27</f>
        <v>78.177450000000007</v>
      </c>
      <c r="H12" s="108">
        <f>'Single Family 2018'!I37</f>
        <v>129.01283799999999</v>
      </c>
      <c r="I12" s="108">
        <f>'Single Family 2018'!I31/2</f>
        <v>9.000429500000001</v>
      </c>
      <c r="J12" s="108">
        <f>'Single Family 2018'!I31/2</f>
        <v>9.000429500000001</v>
      </c>
      <c r="K12" s="108">
        <f>'Single Family 2018'!I28</f>
        <v>71.44216200000001</v>
      </c>
      <c r="L12" s="108">
        <f>'Single Family 2018'!I36</f>
        <v>23.773963000000055</v>
      </c>
      <c r="M12" s="306"/>
      <c r="N12" s="175">
        <f t="shared" si="0"/>
        <v>400.91</v>
      </c>
      <c r="P12" s="307"/>
    </row>
    <row r="13" spans="1:16" ht="15.75" customHeight="1" x14ac:dyDescent="0.2">
      <c r="A13" s="298">
        <f t="shared" si="1"/>
        <v>43100</v>
      </c>
      <c r="B13" s="288" t="s">
        <v>74</v>
      </c>
      <c r="C13" s="108">
        <f>'Single Family 2018'!J32</f>
        <v>2.9351250000000002</v>
      </c>
      <c r="D13" s="109">
        <f>'Single Family 2018'!J34</f>
        <v>69.190680000000015</v>
      </c>
      <c r="E13" s="108">
        <f>'Single Family 2018'!J35</f>
        <v>0</v>
      </c>
      <c r="F13" s="108">
        <f>'Single Family 2018'!J30</f>
        <v>6.457275000000001</v>
      </c>
      <c r="G13" s="108">
        <f>'Single Family 2018'!J27</f>
        <v>76.313250000000011</v>
      </c>
      <c r="H13" s="108">
        <f>'Single Family 2018'!J37</f>
        <v>125.93643</v>
      </c>
      <c r="I13" s="108">
        <f>'Single Family 2018'!J31/2</f>
        <v>8.7858075000000007</v>
      </c>
      <c r="J13" s="108">
        <f>'Single Family 2018'!J31/2</f>
        <v>8.7858075000000007</v>
      </c>
      <c r="K13" s="108">
        <f>'Single Family 2018'!J28</f>
        <v>69.73857000000001</v>
      </c>
      <c r="L13" s="108">
        <f>'Single Family 2018'!J36</f>
        <v>23.207055000000054</v>
      </c>
      <c r="M13" s="306"/>
      <c r="N13" s="175">
        <f t="shared" si="0"/>
        <v>391.35</v>
      </c>
      <c r="P13" s="307"/>
    </row>
    <row r="14" spans="1:16" ht="15.75" customHeight="1" x14ac:dyDescent="0.2">
      <c r="A14" s="298">
        <f t="shared" si="1"/>
        <v>43131</v>
      </c>
      <c r="B14" s="288" t="s">
        <v>75</v>
      </c>
      <c r="C14" s="108">
        <f>'Single Family 2018'!K32</f>
        <v>3.2753249999999996</v>
      </c>
      <c r="D14" s="109">
        <f>'Single Family 2018'!K34</f>
        <v>77.210328000000004</v>
      </c>
      <c r="E14" s="108">
        <f>'Single Family 2018'!K35</f>
        <v>0</v>
      </c>
      <c r="F14" s="108">
        <f>'Single Family 2018'!K30</f>
        <v>7.2057149999999996</v>
      </c>
      <c r="G14" s="108">
        <f>'Single Family 2018'!K27</f>
        <v>85.158450000000002</v>
      </c>
      <c r="H14" s="108">
        <f>'Single Family 2018'!K37</f>
        <v>140.533278</v>
      </c>
      <c r="I14" s="108">
        <f>'Single Family 2018'!K31/2</f>
        <v>9.8041394999999998</v>
      </c>
      <c r="J14" s="108">
        <f>'Single Family 2018'!K31/2</f>
        <v>9.8041394999999998</v>
      </c>
      <c r="K14" s="108">
        <f>'Single Family 2018'!K28</f>
        <v>77.821721999999994</v>
      </c>
      <c r="L14" s="108">
        <f>'Single Family 2018'!K36</f>
        <v>25.896903000000055</v>
      </c>
      <c r="M14" s="306"/>
      <c r="N14" s="175">
        <f t="shared" si="0"/>
        <v>436.71000000000015</v>
      </c>
      <c r="P14" s="307"/>
    </row>
    <row r="15" spans="1:16" ht="15.75" customHeight="1" x14ac:dyDescent="0.2">
      <c r="A15" s="298">
        <f t="shared" si="1"/>
        <v>43159</v>
      </c>
      <c r="B15" s="288" t="s">
        <v>76</v>
      </c>
      <c r="C15" s="108">
        <f>'Single Family 2018'!L32</f>
        <v>2.2286249999999996</v>
      </c>
      <c r="D15" s="109">
        <f>'Single Family 2018'!L34</f>
        <v>52.536119999999997</v>
      </c>
      <c r="E15" s="108">
        <f>'Single Family 2018'!L35</f>
        <v>0</v>
      </c>
      <c r="F15" s="108">
        <f>'Single Family 2018'!L30</f>
        <v>4.9029749999999996</v>
      </c>
      <c r="G15" s="108">
        <f>'Single Family 2018'!L27</f>
        <v>57.944249999999997</v>
      </c>
      <c r="H15" s="108">
        <f>'Single Family 2018'!L37</f>
        <v>95.622869999999992</v>
      </c>
      <c r="I15" s="108">
        <f>'Single Family 2018'!L31/2</f>
        <v>6.6710174999999996</v>
      </c>
      <c r="J15" s="108">
        <f>'Single Family 2018'!L31/2</f>
        <v>6.6710174999999996</v>
      </c>
      <c r="K15" s="108">
        <f>'Single Family 2018'!L28</f>
        <v>52.952129999999997</v>
      </c>
      <c r="L15" s="108">
        <f>'Single Family 2018'!L36</f>
        <v>17.620995000000036</v>
      </c>
      <c r="M15" s="306"/>
      <c r="N15" s="175">
        <f t="shared" si="0"/>
        <v>297.15000000000003</v>
      </c>
      <c r="P15" s="307"/>
    </row>
    <row r="16" spans="1:16" ht="15.75" customHeight="1" x14ac:dyDescent="0.2">
      <c r="A16" s="298">
        <f t="shared" si="1"/>
        <v>43190</v>
      </c>
      <c r="B16" s="288" t="s">
        <v>77</v>
      </c>
      <c r="C16" s="108">
        <f>'Single Family 2018'!M32</f>
        <v>2.3466</v>
      </c>
      <c r="D16" s="109">
        <f>'Single Family 2018'!M34</f>
        <v>55.317184000000005</v>
      </c>
      <c r="E16" s="108">
        <f>'Single Family 2018'!M35</f>
        <v>0</v>
      </c>
      <c r="F16" s="108">
        <f>'Single Family 2018'!M30</f>
        <v>5.1625199999999998</v>
      </c>
      <c r="G16" s="108">
        <f>'Single Family 2018'!M27</f>
        <v>61.011600000000001</v>
      </c>
      <c r="H16" s="108">
        <f>'Single Family 2018'!M37</f>
        <v>100.68478399999999</v>
      </c>
      <c r="I16" s="108">
        <f>'Single Family 2018'!M31/2</f>
        <v>7.0241560000000005</v>
      </c>
      <c r="J16" s="108">
        <f>'Single Family 2018'!M31/2</f>
        <v>7.0241560000000005</v>
      </c>
      <c r="K16" s="108">
        <f>'Single Family 2018'!M28</f>
        <v>55.755215999999997</v>
      </c>
      <c r="L16" s="108">
        <f>'Single Family 2018'!M36</f>
        <v>18.553784000000039</v>
      </c>
      <c r="M16" s="306"/>
      <c r="N16" s="175">
        <f t="shared" si="0"/>
        <v>312.88000000000011</v>
      </c>
      <c r="P16" s="307"/>
    </row>
    <row r="17" spans="1:16" ht="15.75" customHeight="1" x14ac:dyDescent="0.2">
      <c r="A17" s="298">
        <f t="shared" si="1"/>
        <v>43220</v>
      </c>
      <c r="B17" s="288" t="s">
        <v>78</v>
      </c>
      <c r="C17" s="108">
        <f>'Single Family 2018'!N32</f>
        <v>2.1501749999999999</v>
      </c>
      <c r="D17" s="109">
        <f>'Single Family 2018'!N34</f>
        <v>50.686792000000004</v>
      </c>
      <c r="E17" s="108">
        <f>'Single Family 2018'!N35</f>
        <v>0</v>
      </c>
      <c r="F17" s="108">
        <f>'Single Family 2018'!N30</f>
        <v>4.7303850000000001</v>
      </c>
      <c r="G17" s="108">
        <f>'Single Family 2018'!N27</f>
        <v>0</v>
      </c>
      <c r="H17" s="108">
        <f>'Single Family 2018'!N37</f>
        <v>148.16139200000001</v>
      </c>
      <c r="I17" s="108">
        <f>'Single Family 2018'!N31/2</f>
        <v>6.4361905000000004</v>
      </c>
      <c r="J17" s="108">
        <f>'Single Family 2018'!N31/2</f>
        <v>6.4361905000000004</v>
      </c>
      <c r="K17" s="108">
        <f>'Single Family 2018'!N28</f>
        <v>51.088158</v>
      </c>
      <c r="L17" s="108">
        <f>'Single Family 2018'!N36</f>
        <v>17.000717000000037</v>
      </c>
      <c r="M17" s="306"/>
      <c r="N17" s="175">
        <f t="shared" si="0"/>
        <v>286.69000000000005</v>
      </c>
      <c r="P17" s="307"/>
    </row>
    <row r="18" spans="1:16" ht="15.75" customHeight="1" x14ac:dyDescent="0.2">
      <c r="A18" s="295" t="s">
        <v>32</v>
      </c>
      <c r="B18" s="288"/>
      <c r="C18" s="137">
        <f t="shared" ref="C18:L18" si="2">SUM(C6:C17)</f>
        <v>31.991474999999998</v>
      </c>
      <c r="D18" s="137">
        <f t="shared" si="2"/>
        <v>754.14570400000002</v>
      </c>
      <c r="E18" s="137">
        <f t="shared" si="2"/>
        <v>0</v>
      </c>
      <c r="F18" s="137">
        <f t="shared" si="2"/>
        <v>70.381244999999993</v>
      </c>
      <c r="G18" s="137">
        <f t="shared" si="2"/>
        <v>775.87380000000007</v>
      </c>
      <c r="H18" s="137">
        <f t="shared" si="2"/>
        <v>1428.5521039999999</v>
      </c>
      <c r="I18" s="137">
        <f t="shared" si="2"/>
        <v>95.761148500000004</v>
      </c>
      <c r="J18" s="137">
        <f t="shared" si="2"/>
        <v>95.761148500000004</v>
      </c>
      <c r="K18" s="137">
        <f t="shared" si="2"/>
        <v>760.11744600000009</v>
      </c>
      <c r="L18" s="137">
        <f t="shared" si="2"/>
        <v>252.94592900000055</v>
      </c>
      <c r="M18" s="306"/>
      <c r="N18" s="176">
        <f>SUM(N6:N17)</f>
        <v>4265.5300000000007</v>
      </c>
      <c r="O18" s="289"/>
    </row>
    <row r="19" spans="1:16" x14ac:dyDescent="0.2">
      <c r="A19" s="298"/>
      <c r="B19" s="288"/>
      <c r="C19" s="288"/>
      <c r="D19" s="288"/>
      <c r="E19" s="288"/>
      <c r="F19" s="288"/>
      <c r="G19" s="288"/>
      <c r="H19" s="288"/>
      <c r="I19" s="288"/>
      <c r="J19" s="288"/>
      <c r="K19" s="288"/>
      <c r="L19" s="288"/>
      <c r="M19" s="306"/>
      <c r="N19" s="289"/>
    </row>
    <row r="20" spans="1:16" x14ac:dyDescent="0.2">
      <c r="A20" s="305"/>
      <c r="B20" s="288"/>
      <c r="C20" s="288"/>
      <c r="D20" s="288"/>
      <c r="E20" s="288"/>
      <c r="F20" s="288"/>
      <c r="G20" s="288"/>
      <c r="H20" s="288"/>
      <c r="I20" s="288"/>
      <c r="J20" s="288"/>
      <c r="K20" s="288"/>
      <c r="L20" s="288"/>
      <c r="M20" s="306"/>
      <c r="N20" s="289"/>
    </row>
    <row r="21" spans="1:16" x14ac:dyDescent="0.2">
      <c r="A21" s="298"/>
      <c r="B21" s="288"/>
      <c r="C21" s="288"/>
      <c r="D21" s="288"/>
      <c r="E21" s="288"/>
      <c r="F21" s="288"/>
      <c r="G21" s="288"/>
      <c r="H21" s="288"/>
      <c r="I21" s="288"/>
      <c r="J21" s="288"/>
      <c r="K21" s="288"/>
      <c r="L21" s="288"/>
      <c r="M21" s="306"/>
      <c r="N21" s="289"/>
    </row>
    <row r="22" spans="1:16" x14ac:dyDescent="0.2">
      <c r="A22" s="298"/>
      <c r="B22" s="288"/>
      <c r="C22" s="288"/>
      <c r="D22" s="288"/>
      <c r="E22" s="288"/>
      <c r="F22" s="288"/>
      <c r="G22" s="288"/>
      <c r="H22" s="288"/>
      <c r="I22" s="288"/>
      <c r="J22" s="288"/>
      <c r="K22" s="288"/>
      <c r="L22" s="288"/>
      <c r="M22" s="306"/>
      <c r="N22" s="289"/>
    </row>
    <row r="23" spans="1:16" x14ac:dyDescent="0.2">
      <c r="A23" s="288"/>
      <c r="B23" s="288"/>
      <c r="C23" s="288"/>
      <c r="D23" s="288"/>
      <c r="E23" s="288"/>
      <c r="F23" s="288"/>
      <c r="G23" s="288"/>
      <c r="H23" s="288"/>
      <c r="I23" s="288"/>
      <c r="J23" s="288"/>
      <c r="K23" s="288"/>
      <c r="L23" s="288"/>
      <c r="M23" s="306"/>
      <c r="N23" s="289"/>
    </row>
    <row r="24" spans="1:16" x14ac:dyDescent="0.2">
      <c r="A24" s="288"/>
      <c r="B24" s="288"/>
      <c r="C24" s="288"/>
      <c r="D24" s="288"/>
      <c r="E24" s="288"/>
      <c r="F24" s="288"/>
      <c r="G24" s="288"/>
      <c r="H24" s="288"/>
      <c r="I24" s="288"/>
      <c r="J24" s="288"/>
      <c r="K24" s="288"/>
      <c r="L24" s="288"/>
      <c r="M24" s="306"/>
      <c r="N24" s="289"/>
    </row>
    <row r="25" spans="1:16" x14ac:dyDescent="0.2">
      <c r="A25" s="288"/>
      <c r="B25" s="288"/>
      <c r="C25" s="288"/>
      <c r="E25" s="288"/>
      <c r="F25" s="288"/>
      <c r="G25" s="288"/>
      <c r="H25" s="288"/>
      <c r="I25" s="288"/>
      <c r="J25" s="288"/>
      <c r="K25" s="288"/>
      <c r="L25" s="288"/>
      <c r="M25" s="306"/>
      <c r="N25" s="289"/>
    </row>
    <row r="26" spans="1:16" x14ac:dyDescent="0.2">
      <c r="A26" s="288"/>
      <c r="B26" s="288"/>
      <c r="C26" s="288"/>
      <c r="D26" s="288"/>
      <c r="E26" s="288"/>
      <c r="F26" s="288"/>
      <c r="G26" s="288"/>
      <c r="H26" s="288"/>
      <c r="I26" s="288"/>
      <c r="J26" s="288"/>
      <c r="K26" s="288"/>
      <c r="L26" s="288"/>
      <c r="M26" s="306"/>
      <c r="N26" s="289"/>
    </row>
    <row r="27" spans="1:16" x14ac:dyDescent="0.2">
      <c r="A27" s="288"/>
      <c r="B27" s="288"/>
      <c r="C27" s="288"/>
      <c r="D27" s="288"/>
      <c r="E27" s="288"/>
      <c r="F27" s="288"/>
      <c r="G27" s="288"/>
      <c r="H27" s="288"/>
      <c r="I27" s="288"/>
      <c r="J27" s="288"/>
      <c r="K27" s="288"/>
      <c r="L27" s="288"/>
      <c r="M27" s="306"/>
      <c r="N27" s="289"/>
    </row>
    <row r="28" spans="1:16" x14ac:dyDescent="0.2">
      <c r="A28" s="288"/>
      <c r="B28" s="288"/>
      <c r="C28" s="288"/>
      <c r="D28" s="288"/>
      <c r="E28" s="288"/>
      <c r="F28" s="288"/>
      <c r="G28" s="288"/>
      <c r="H28" s="288"/>
      <c r="I28" s="288"/>
      <c r="J28" s="288"/>
      <c r="K28" s="288"/>
      <c r="L28" s="288"/>
      <c r="M28" s="306"/>
      <c r="N28" s="288"/>
    </row>
    <row r="29" spans="1:16" x14ac:dyDescent="0.2">
      <c r="A29" s="288"/>
      <c r="B29" s="288"/>
      <c r="C29" s="288"/>
      <c r="D29" s="288"/>
      <c r="E29" s="288"/>
      <c r="F29" s="288"/>
      <c r="G29" s="288"/>
      <c r="H29" s="288"/>
      <c r="I29" s="288"/>
      <c r="J29" s="288"/>
      <c r="K29" s="288"/>
      <c r="L29" s="288"/>
      <c r="M29" s="306"/>
      <c r="N29" s="288"/>
    </row>
    <row r="30" spans="1:16" x14ac:dyDescent="0.2">
      <c r="A30" s="288"/>
      <c r="B30" s="288"/>
      <c r="C30" s="288"/>
      <c r="D30" s="288"/>
      <c r="E30" s="288"/>
      <c r="F30" s="288"/>
      <c r="G30" s="288"/>
      <c r="H30" s="288"/>
      <c r="I30" s="288"/>
      <c r="J30" s="288"/>
      <c r="K30" s="288"/>
      <c r="L30" s="288"/>
      <c r="M30" s="306"/>
      <c r="N30" s="288"/>
    </row>
    <row r="31" spans="1:16" x14ac:dyDescent="0.2">
      <c r="A31" s="288"/>
      <c r="B31" s="288"/>
      <c r="C31" s="288"/>
      <c r="D31" s="288"/>
      <c r="E31" s="288"/>
      <c r="F31" s="288"/>
      <c r="G31" s="288"/>
      <c r="H31" s="288"/>
      <c r="I31" s="288"/>
      <c r="J31" s="288"/>
      <c r="K31" s="288"/>
      <c r="L31" s="288"/>
      <c r="M31" s="306"/>
      <c r="N31" s="288"/>
    </row>
    <row r="32" spans="1:16" x14ac:dyDescent="0.2">
      <c r="A32" s="288"/>
      <c r="B32" s="288"/>
      <c r="C32" s="288"/>
      <c r="D32" s="288"/>
      <c r="E32" s="288"/>
      <c r="F32" s="288"/>
      <c r="G32" s="288"/>
      <c r="H32" s="288"/>
      <c r="I32" s="288"/>
      <c r="J32" s="288"/>
      <c r="K32" s="288"/>
      <c r="L32" s="288"/>
      <c r="M32" s="306"/>
      <c r="N32" s="288"/>
    </row>
    <row r="33" spans="1:14" x14ac:dyDescent="0.2">
      <c r="A33" s="288"/>
      <c r="B33" s="288"/>
      <c r="C33" s="288"/>
      <c r="D33" s="288"/>
      <c r="E33" s="288"/>
      <c r="F33" s="288"/>
      <c r="G33" s="288"/>
      <c r="H33" s="288"/>
      <c r="I33" s="288"/>
      <c r="J33" s="288"/>
      <c r="K33" s="288"/>
      <c r="L33" s="288"/>
      <c r="M33" s="306"/>
      <c r="N33" s="288"/>
    </row>
    <row r="34" spans="1:14" x14ac:dyDescent="0.2">
      <c r="A34" s="288"/>
      <c r="B34" s="288"/>
      <c r="C34" s="288"/>
      <c r="D34" s="288"/>
      <c r="E34" s="288"/>
      <c r="F34" s="288"/>
      <c r="G34" s="288"/>
      <c r="H34" s="288"/>
      <c r="I34" s="288"/>
      <c r="J34" s="288"/>
      <c r="K34" s="288"/>
      <c r="L34" s="288"/>
      <c r="M34" s="306"/>
      <c r="N34" s="288"/>
    </row>
    <row r="35" spans="1:14" x14ac:dyDescent="0.2">
      <c r="A35" s="288"/>
      <c r="B35" s="288"/>
      <c r="C35" s="288"/>
      <c r="D35" s="288"/>
      <c r="E35" s="288"/>
      <c r="F35" s="288"/>
      <c r="G35" s="288"/>
      <c r="H35" s="288"/>
      <c r="I35" s="288"/>
      <c r="J35" s="288"/>
      <c r="K35" s="288"/>
      <c r="L35" s="288"/>
      <c r="M35" s="306"/>
      <c r="N35" s="288"/>
    </row>
    <row r="36" spans="1:14" x14ac:dyDescent="0.2">
      <c r="A36" s="288"/>
      <c r="B36" s="288"/>
      <c r="C36" s="288"/>
      <c r="D36" s="288"/>
      <c r="E36" s="288"/>
      <c r="F36" s="288"/>
      <c r="G36" s="288"/>
      <c r="H36" s="288"/>
      <c r="I36" s="288"/>
      <c r="J36" s="288"/>
      <c r="K36" s="288"/>
      <c r="L36" s="288"/>
      <c r="M36" s="306"/>
      <c r="N36" s="288"/>
    </row>
    <row r="37" spans="1:14" x14ac:dyDescent="0.2">
      <c r="A37" s="288"/>
      <c r="B37" s="288"/>
      <c r="C37" s="288"/>
      <c r="D37" s="288"/>
      <c r="E37" s="288"/>
      <c r="F37" s="288"/>
      <c r="G37" s="288"/>
      <c r="H37" s="288"/>
      <c r="I37" s="288"/>
      <c r="J37" s="288"/>
      <c r="K37" s="288"/>
      <c r="L37" s="288"/>
      <c r="M37" s="306"/>
      <c r="N37" s="288"/>
    </row>
    <row r="38" spans="1:14" x14ac:dyDescent="0.2">
      <c r="A38" s="288"/>
      <c r="B38" s="288"/>
      <c r="C38" s="288"/>
      <c r="D38" s="288"/>
      <c r="E38" s="288"/>
      <c r="F38" s="288"/>
      <c r="G38" s="288"/>
      <c r="H38" s="288"/>
      <c r="I38" s="288"/>
      <c r="J38" s="288"/>
      <c r="K38" s="288"/>
      <c r="L38" s="288"/>
      <c r="M38" s="306"/>
      <c r="N38" s="288"/>
    </row>
    <row r="39" spans="1:14" x14ac:dyDescent="0.2">
      <c r="A39" s="288"/>
      <c r="B39" s="288"/>
      <c r="C39" s="288"/>
      <c r="D39" s="288"/>
      <c r="E39" s="288"/>
      <c r="F39" s="288"/>
      <c r="G39" s="288"/>
      <c r="H39" s="288"/>
      <c r="I39" s="288"/>
      <c r="J39" s="288"/>
      <c r="K39" s="288"/>
      <c r="L39" s="288"/>
      <c r="M39" s="288"/>
      <c r="N39" s="288"/>
    </row>
    <row r="40" spans="1:14" x14ac:dyDescent="0.2">
      <c r="A40" s="288"/>
      <c r="B40" s="288"/>
      <c r="C40" s="288"/>
      <c r="D40" s="288"/>
      <c r="E40" s="288"/>
      <c r="F40" s="288"/>
      <c r="G40" s="288"/>
      <c r="H40" s="288"/>
      <c r="I40" s="288"/>
      <c r="J40" s="288"/>
      <c r="K40" s="288"/>
      <c r="L40" s="288"/>
      <c r="M40" s="288"/>
      <c r="N40" s="288"/>
    </row>
    <row r="41" spans="1:14" x14ac:dyDescent="0.2">
      <c r="A41" s="288"/>
      <c r="B41" s="288"/>
      <c r="C41" s="288"/>
      <c r="D41" s="288"/>
      <c r="E41" s="288"/>
      <c r="F41" s="288"/>
      <c r="G41" s="288"/>
      <c r="H41" s="288"/>
      <c r="I41" s="288"/>
      <c r="J41" s="288"/>
      <c r="K41" s="288"/>
      <c r="L41" s="288"/>
      <c r="M41" s="288"/>
      <c r="N41" s="288"/>
    </row>
    <row r="42" spans="1:14" x14ac:dyDescent="0.2">
      <c r="A42" s="288"/>
      <c r="B42" s="288"/>
      <c r="C42" s="288"/>
      <c r="D42" s="288"/>
      <c r="E42" s="288"/>
      <c r="F42" s="288"/>
      <c r="G42" s="288"/>
      <c r="H42" s="288"/>
      <c r="I42" s="288"/>
      <c r="J42" s="288"/>
      <c r="K42" s="288"/>
      <c r="L42" s="288"/>
      <c r="M42" s="288"/>
      <c r="N42" s="288"/>
    </row>
    <row r="43" spans="1:14" x14ac:dyDescent="0.2">
      <c r="A43" s="288"/>
      <c r="B43" s="288"/>
      <c r="C43" s="288"/>
      <c r="D43" s="288"/>
      <c r="E43" s="288"/>
      <c r="F43" s="288"/>
      <c r="G43" s="288"/>
      <c r="H43" s="288"/>
      <c r="I43" s="288"/>
      <c r="J43" s="288"/>
      <c r="K43" s="288"/>
      <c r="L43" s="288"/>
      <c r="M43" s="288"/>
      <c r="N43" s="288"/>
    </row>
    <row r="44" spans="1:14" x14ac:dyDescent="0.2">
      <c r="A44" s="288"/>
      <c r="B44" s="288"/>
      <c r="C44" s="288"/>
      <c r="D44" s="288"/>
      <c r="E44" s="288"/>
      <c r="F44" s="288"/>
      <c r="G44" s="288"/>
      <c r="H44" s="288"/>
      <c r="I44" s="288"/>
      <c r="J44" s="288"/>
      <c r="K44" s="288"/>
      <c r="L44" s="288"/>
      <c r="M44" s="288"/>
      <c r="N44" s="288"/>
    </row>
    <row r="45" spans="1:14" x14ac:dyDescent="0.2">
      <c r="A45" s="288"/>
      <c r="B45" s="288"/>
      <c r="C45" s="288"/>
      <c r="D45" s="288"/>
      <c r="E45" s="288"/>
      <c r="F45" s="288"/>
      <c r="G45" s="288"/>
      <c r="H45" s="288"/>
      <c r="I45" s="288"/>
      <c r="J45" s="288"/>
      <c r="K45" s="288"/>
      <c r="L45" s="288"/>
      <c r="M45" s="288"/>
      <c r="N45" s="288"/>
    </row>
    <row r="46" spans="1:14" x14ac:dyDescent="0.2">
      <c r="A46" s="288"/>
      <c r="B46" s="288"/>
      <c r="C46" s="288"/>
      <c r="D46" s="288"/>
      <c r="E46" s="288"/>
      <c r="F46" s="288"/>
      <c r="G46" s="288"/>
      <c r="H46" s="288"/>
      <c r="I46" s="288"/>
      <c r="J46" s="288"/>
      <c r="K46" s="288"/>
      <c r="L46" s="288"/>
      <c r="M46" s="288"/>
      <c r="N46" s="288"/>
    </row>
    <row r="47" spans="1:14" x14ac:dyDescent="0.2">
      <c r="A47" s="288"/>
      <c r="B47" s="288"/>
      <c r="C47" s="288"/>
      <c r="D47" s="288"/>
      <c r="E47" s="288"/>
      <c r="F47" s="288"/>
      <c r="G47" s="288"/>
      <c r="H47" s="288"/>
      <c r="I47" s="288"/>
      <c r="J47" s="288"/>
      <c r="K47" s="288"/>
      <c r="L47" s="288"/>
      <c r="M47" s="288"/>
      <c r="N47" s="288"/>
    </row>
    <row r="48" spans="1:14" x14ac:dyDescent="0.2">
      <c r="A48" s="288"/>
      <c r="B48" s="288"/>
      <c r="C48" s="288"/>
      <c r="D48" s="288"/>
      <c r="E48" s="288"/>
      <c r="F48" s="288"/>
      <c r="G48" s="288"/>
      <c r="H48" s="288"/>
      <c r="I48" s="288"/>
      <c r="J48" s="288"/>
      <c r="K48" s="288"/>
      <c r="L48" s="288"/>
      <c r="M48" s="288"/>
      <c r="N48" s="288"/>
    </row>
    <row r="49" spans="1:14" x14ac:dyDescent="0.2">
      <c r="A49" s="288"/>
      <c r="B49" s="288"/>
      <c r="C49" s="288"/>
      <c r="D49" s="288"/>
      <c r="E49" s="288"/>
      <c r="F49" s="288"/>
      <c r="G49" s="288"/>
      <c r="H49" s="288"/>
      <c r="I49" s="288"/>
      <c r="J49" s="288"/>
      <c r="K49" s="288"/>
      <c r="L49" s="288"/>
      <c r="M49" s="288"/>
      <c r="N49" s="288"/>
    </row>
    <row r="50" spans="1:14" x14ac:dyDescent="0.2">
      <c r="A50" s="288"/>
      <c r="B50" s="288"/>
      <c r="C50" s="288"/>
      <c r="D50" s="288"/>
      <c r="E50" s="288"/>
      <c r="F50" s="288"/>
      <c r="G50" s="288"/>
      <c r="H50" s="288"/>
      <c r="I50" s="288"/>
      <c r="J50" s="288"/>
      <c r="K50" s="288"/>
      <c r="L50" s="288"/>
      <c r="M50" s="288"/>
      <c r="N50" s="288"/>
    </row>
    <row r="51" spans="1:14" x14ac:dyDescent="0.2">
      <c r="A51" s="288"/>
      <c r="B51" s="288"/>
      <c r="C51" s="288"/>
      <c r="D51" s="288"/>
      <c r="E51" s="288"/>
      <c r="F51" s="288"/>
      <c r="G51" s="288"/>
      <c r="H51" s="288"/>
      <c r="I51" s="288"/>
      <c r="J51" s="288"/>
      <c r="K51" s="288"/>
      <c r="L51" s="288"/>
      <c r="M51" s="288"/>
      <c r="N51" s="288"/>
    </row>
    <row r="52" spans="1:14" x14ac:dyDescent="0.2">
      <c r="A52" s="288"/>
      <c r="B52" s="288"/>
      <c r="C52" s="288"/>
      <c r="D52" s="288"/>
      <c r="E52" s="288"/>
      <c r="F52" s="288"/>
      <c r="G52" s="288"/>
      <c r="H52" s="288"/>
      <c r="I52" s="288"/>
      <c r="J52" s="288"/>
      <c r="K52" s="288"/>
      <c r="L52" s="288"/>
      <c r="M52" s="288"/>
      <c r="N52" s="288"/>
    </row>
    <row r="53" spans="1:14" x14ac:dyDescent="0.2">
      <c r="A53" s="288"/>
      <c r="B53" s="288"/>
      <c r="C53" s="288"/>
      <c r="D53" s="288"/>
      <c r="E53" s="288"/>
      <c r="F53" s="288"/>
      <c r="G53" s="288"/>
      <c r="H53" s="288"/>
      <c r="I53" s="288"/>
      <c r="J53" s="288"/>
      <c r="K53" s="288"/>
      <c r="L53" s="288"/>
      <c r="M53" s="288"/>
      <c r="N53" s="288"/>
    </row>
    <row r="54" spans="1:14" x14ac:dyDescent="0.2">
      <c r="A54" s="288"/>
      <c r="B54" s="288"/>
      <c r="C54" s="288"/>
      <c r="D54" s="288"/>
      <c r="E54" s="288"/>
      <c r="F54" s="288"/>
      <c r="G54" s="288"/>
      <c r="H54" s="288"/>
      <c r="I54" s="288"/>
      <c r="J54" s="288"/>
      <c r="K54" s="288"/>
      <c r="L54" s="288"/>
      <c r="M54" s="288"/>
      <c r="N54" s="288"/>
    </row>
    <row r="55" spans="1:14" x14ac:dyDescent="0.2">
      <c r="A55" s="288"/>
      <c r="B55" s="288"/>
      <c r="C55" s="288"/>
      <c r="D55" s="288"/>
      <c r="E55" s="288"/>
      <c r="F55" s="288"/>
      <c r="G55" s="288"/>
      <c r="H55" s="288"/>
      <c r="I55" s="288"/>
      <c r="J55" s="288"/>
      <c r="K55" s="288"/>
      <c r="L55" s="288"/>
      <c r="M55" s="288"/>
      <c r="N55" s="288"/>
    </row>
    <row r="56" spans="1:14" x14ac:dyDescent="0.2">
      <c r="A56" s="288"/>
      <c r="B56" s="288"/>
      <c r="C56" s="288"/>
      <c r="D56" s="288"/>
      <c r="E56" s="288"/>
      <c r="F56" s="288"/>
      <c r="G56" s="288"/>
      <c r="H56" s="288"/>
      <c r="I56" s="288"/>
      <c r="J56" s="288"/>
      <c r="K56" s="288"/>
      <c r="L56" s="288"/>
      <c r="M56" s="288"/>
      <c r="N56" s="288"/>
    </row>
    <row r="57" spans="1:14" x14ac:dyDescent="0.2">
      <c r="A57" s="288"/>
      <c r="B57" s="288"/>
      <c r="C57" s="288"/>
      <c r="D57" s="288"/>
      <c r="E57" s="288"/>
      <c r="F57" s="288"/>
      <c r="G57" s="288"/>
      <c r="H57" s="288"/>
      <c r="I57" s="288"/>
      <c r="J57" s="288"/>
      <c r="K57" s="288"/>
      <c r="L57" s="288"/>
      <c r="M57" s="288"/>
      <c r="N57" s="288"/>
    </row>
    <row r="58" spans="1:14" x14ac:dyDescent="0.2">
      <c r="A58" s="288"/>
      <c r="B58" s="288"/>
      <c r="C58" s="288"/>
      <c r="D58" s="288"/>
      <c r="E58" s="288"/>
      <c r="F58" s="288"/>
      <c r="G58" s="288"/>
      <c r="H58" s="288"/>
      <c r="I58" s="288"/>
      <c r="J58" s="288"/>
      <c r="K58" s="288"/>
      <c r="L58" s="288"/>
      <c r="M58" s="288"/>
      <c r="N58" s="288"/>
    </row>
    <row r="59" spans="1:14" x14ac:dyDescent="0.2">
      <c r="A59" s="288"/>
      <c r="B59" s="288"/>
      <c r="C59" s="288"/>
      <c r="D59" s="288"/>
      <c r="E59" s="288"/>
      <c r="F59" s="288"/>
      <c r="G59" s="288"/>
      <c r="H59" s="288"/>
      <c r="I59" s="288"/>
      <c r="J59" s="288"/>
      <c r="K59" s="288"/>
      <c r="L59" s="288"/>
      <c r="M59" s="288"/>
      <c r="N59" s="288"/>
    </row>
    <row r="60" spans="1:14" x14ac:dyDescent="0.2">
      <c r="A60" s="288"/>
      <c r="B60" s="288"/>
      <c r="C60" s="288"/>
      <c r="D60" s="288"/>
      <c r="E60" s="288"/>
      <c r="F60" s="288"/>
      <c r="G60" s="288"/>
      <c r="H60" s="288"/>
      <c r="I60" s="288"/>
      <c r="J60" s="288"/>
      <c r="K60" s="288"/>
      <c r="L60" s="288"/>
      <c r="M60" s="288"/>
      <c r="N60" s="288"/>
    </row>
    <row r="61" spans="1:14" x14ac:dyDescent="0.2">
      <c r="A61" s="288"/>
      <c r="B61" s="288"/>
      <c r="C61" s="288"/>
      <c r="D61" s="288"/>
      <c r="E61" s="288"/>
      <c r="F61" s="288"/>
      <c r="G61" s="288"/>
      <c r="H61" s="288"/>
      <c r="I61" s="288"/>
      <c r="J61" s="288"/>
      <c r="K61" s="288"/>
      <c r="L61" s="288"/>
      <c r="M61" s="288"/>
      <c r="N61" s="288"/>
    </row>
    <row r="62" spans="1:14" x14ac:dyDescent="0.2">
      <c r="A62" s="288"/>
      <c r="B62" s="288"/>
      <c r="C62" s="288"/>
      <c r="D62" s="288"/>
      <c r="E62" s="288"/>
      <c r="F62" s="288"/>
      <c r="G62" s="288"/>
      <c r="H62" s="288"/>
      <c r="I62" s="288"/>
      <c r="J62" s="288"/>
      <c r="K62" s="288"/>
      <c r="L62" s="288"/>
      <c r="M62" s="288"/>
      <c r="N62" s="288"/>
    </row>
    <row r="63" spans="1:14" x14ac:dyDescent="0.2">
      <c r="A63" s="288"/>
      <c r="B63" s="288"/>
      <c r="C63" s="288"/>
      <c r="D63" s="288"/>
      <c r="E63" s="288"/>
      <c r="F63" s="288"/>
      <c r="G63" s="288"/>
      <c r="H63" s="288"/>
      <c r="I63" s="288"/>
      <c r="J63" s="288"/>
      <c r="K63" s="288"/>
      <c r="L63" s="288"/>
      <c r="M63" s="288"/>
      <c r="N63" s="288"/>
    </row>
    <row r="64" spans="1:14" x14ac:dyDescent="0.2">
      <c r="A64" s="288"/>
      <c r="B64" s="288"/>
      <c r="C64" s="288"/>
      <c r="D64" s="288"/>
      <c r="E64" s="288"/>
      <c r="F64" s="288"/>
      <c r="G64" s="288"/>
      <c r="H64" s="288"/>
      <c r="I64" s="288"/>
      <c r="J64" s="288"/>
      <c r="K64" s="288"/>
      <c r="L64" s="288"/>
      <c r="M64" s="288"/>
      <c r="N64" s="288"/>
    </row>
    <row r="65" spans="1:14" x14ac:dyDescent="0.2">
      <c r="A65" s="288"/>
      <c r="B65" s="288"/>
      <c r="C65" s="288"/>
      <c r="D65" s="288"/>
      <c r="E65" s="288"/>
      <c r="F65" s="288"/>
      <c r="G65" s="288"/>
      <c r="H65" s="288"/>
      <c r="I65" s="288"/>
      <c r="J65" s="288"/>
      <c r="K65" s="288"/>
      <c r="L65" s="288"/>
      <c r="M65" s="288"/>
      <c r="N65" s="288"/>
    </row>
    <row r="66" spans="1:14" x14ac:dyDescent="0.2">
      <c r="A66" s="288"/>
      <c r="B66" s="288"/>
      <c r="C66" s="288"/>
      <c r="D66" s="288"/>
      <c r="E66" s="288"/>
      <c r="F66" s="288"/>
      <c r="G66" s="288"/>
      <c r="H66" s="288"/>
      <c r="I66" s="288"/>
      <c r="J66" s="288"/>
      <c r="K66" s="288"/>
      <c r="L66" s="288"/>
      <c r="M66" s="288"/>
      <c r="N66" s="288"/>
    </row>
    <row r="67" spans="1:14" x14ac:dyDescent="0.2">
      <c r="A67" s="288"/>
      <c r="B67" s="288"/>
      <c r="C67" s="288"/>
      <c r="D67" s="288"/>
      <c r="E67" s="288"/>
      <c r="F67" s="288"/>
      <c r="G67" s="288"/>
      <c r="H67" s="288"/>
      <c r="I67" s="288"/>
      <c r="J67" s="288"/>
      <c r="K67" s="288"/>
      <c r="L67" s="288"/>
      <c r="M67" s="288"/>
      <c r="N67" s="288"/>
    </row>
    <row r="68" spans="1:14" x14ac:dyDescent="0.2">
      <c r="A68" s="288"/>
      <c r="B68" s="288"/>
      <c r="C68" s="288"/>
      <c r="D68" s="288"/>
      <c r="E68" s="288"/>
      <c r="F68" s="288"/>
      <c r="G68" s="288"/>
      <c r="H68" s="288"/>
      <c r="I68" s="288"/>
      <c r="J68" s="288"/>
      <c r="K68" s="288"/>
      <c r="L68" s="288"/>
      <c r="M68" s="288"/>
      <c r="N68" s="288"/>
    </row>
    <row r="69" spans="1:14" x14ac:dyDescent="0.2">
      <c r="A69" s="288"/>
      <c r="B69" s="288"/>
      <c r="C69" s="288"/>
      <c r="D69" s="288"/>
      <c r="E69" s="288"/>
      <c r="F69" s="288"/>
      <c r="G69" s="288"/>
      <c r="H69" s="288"/>
      <c r="I69" s="288"/>
      <c r="J69" s="288"/>
      <c r="K69" s="288"/>
      <c r="L69" s="288"/>
      <c r="M69" s="288"/>
      <c r="N69" s="288"/>
    </row>
    <row r="70" spans="1:14" x14ac:dyDescent="0.2">
      <c r="A70" s="288"/>
      <c r="B70" s="288"/>
      <c r="C70" s="288"/>
      <c r="D70" s="288"/>
      <c r="E70" s="288"/>
      <c r="F70" s="288"/>
      <c r="G70" s="288"/>
      <c r="H70" s="288"/>
      <c r="I70" s="288"/>
      <c r="J70" s="288"/>
      <c r="K70" s="288"/>
      <c r="L70" s="288"/>
      <c r="M70" s="288"/>
      <c r="N70" s="288"/>
    </row>
    <row r="71" spans="1:14" x14ac:dyDescent="0.2">
      <c r="A71" s="288"/>
      <c r="B71" s="288"/>
      <c r="C71" s="288"/>
      <c r="D71" s="288"/>
      <c r="E71" s="288"/>
      <c r="F71" s="288"/>
      <c r="G71" s="288"/>
      <c r="H71" s="288"/>
      <c r="I71" s="288"/>
      <c r="J71" s="288"/>
      <c r="K71" s="288"/>
      <c r="L71" s="288"/>
      <c r="M71" s="288"/>
      <c r="N71" s="288"/>
    </row>
    <row r="72" spans="1:14" x14ac:dyDescent="0.2">
      <c r="A72" s="288"/>
      <c r="B72" s="288"/>
      <c r="C72" s="288"/>
      <c r="D72" s="288"/>
      <c r="E72" s="288"/>
      <c r="F72" s="288"/>
      <c r="G72" s="288"/>
      <c r="H72" s="288"/>
      <c r="I72" s="288"/>
      <c r="J72" s="288"/>
      <c r="K72" s="288"/>
      <c r="L72" s="288"/>
      <c r="M72" s="288"/>
      <c r="N72" s="288"/>
    </row>
    <row r="73" spans="1:14" x14ac:dyDescent="0.2">
      <c r="A73" s="288"/>
      <c r="B73" s="288"/>
      <c r="C73" s="288"/>
      <c r="D73" s="288"/>
      <c r="E73" s="288"/>
      <c r="F73" s="288"/>
      <c r="G73" s="288"/>
      <c r="H73" s="288"/>
      <c r="I73" s="288"/>
      <c r="J73" s="288"/>
      <c r="K73" s="288"/>
      <c r="L73" s="288"/>
      <c r="M73" s="288"/>
      <c r="N73" s="288"/>
    </row>
    <row r="74" spans="1:14" x14ac:dyDescent="0.2">
      <c r="A74" s="288"/>
      <c r="B74" s="288"/>
      <c r="C74" s="288"/>
      <c r="D74" s="288"/>
      <c r="E74" s="288"/>
      <c r="F74" s="288"/>
      <c r="G74" s="288"/>
      <c r="H74" s="288"/>
      <c r="I74" s="288"/>
      <c r="J74" s="288"/>
      <c r="K74" s="288"/>
      <c r="L74" s="288"/>
      <c r="M74" s="288"/>
      <c r="N74" s="288"/>
    </row>
    <row r="75" spans="1:14" x14ac:dyDescent="0.2">
      <c r="A75" s="288"/>
      <c r="B75" s="288"/>
      <c r="C75" s="288"/>
      <c r="D75" s="288"/>
      <c r="E75" s="288"/>
      <c r="F75" s="288"/>
      <c r="G75" s="288"/>
      <c r="H75" s="288"/>
      <c r="I75" s="288"/>
      <c r="J75" s="288"/>
      <c r="K75" s="288"/>
      <c r="L75" s="288"/>
      <c r="M75" s="288"/>
      <c r="N75" s="288"/>
    </row>
    <row r="76" spans="1:14" x14ac:dyDescent="0.2">
      <c r="A76" s="288"/>
      <c r="B76" s="288"/>
      <c r="C76" s="288"/>
      <c r="D76" s="288"/>
      <c r="E76" s="288"/>
      <c r="F76" s="288"/>
      <c r="G76" s="288"/>
      <c r="H76" s="288"/>
      <c r="I76" s="288"/>
      <c r="J76" s="288"/>
      <c r="K76" s="288"/>
      <c r="L76" s="288"/>
      <c r="M76" s="288"/>
      <c r="N76" s="288"/>
    </row>
    <row r="77" spans="1:14" x14ac:dyDescent="0.2">
      <c r="A77" s="288"/>
      <c r="B77" s="288"/>
      <c r="C77" s="288"/>
      <c r="D77" s="288"/>
      <c r="E77" s="288"/>
      <c r="F77" s="288"/>
      <c r="G77" s="288"/>
      <c r="H77" s="288"/>
      <c r="I77" s="288"/>
      <c r="J77" s="288"/>
      <c r="K77" s="288"/>
      <c r="L77" s="288"/>
      <c r="M77" s="288"/>
      <c r="N77" s="288"/>
    </row>
    <row r="78" spans="1:14" x14ac:dyDescent="0.2">
      <c r="A78" s="288"/>
      <c r="B78" s="288"/>
      <c r="C78" s="288"/>
      <c r="D78" s="288"/>
      <c r="E78" s="288"/>
      <c r="F78" s="288"/>
      <c r="G78" s="288"/>
      <c r="H78" s="288"/>
      <c r="I78" s="288"/>
      <c r="J78" s="288"/>
      <c r="K78" s="288"/>
      <c r="L78" s="288"/>
      <c r="M78" s="288"/>
      <c r="N78" s="288"/>
    </row>
    <row r="79" spans="1:14" x14ac:dyDescent="0.2">
      <c r="A79" s="288"/>
      <c r="B79" s="288"/>
      <c r="C79" s="288"/>
      <c r="D79" s="288"/>
      <c r="E79" s="288"/>
      <c r="F79" s="288"/>
      <c r="G79" s="288"/>
      <c r="H79" s="288"/>
      <c r="I79" s="288"/>
      <c r="J79" s="288"/>
      <c r="K79" s="288"/>
      <c r="L79" s="288"/>
      <c r="M79" s="288"/>
      <c r="N79" s="288"/>
    </row>
    <row r="80" spans="1:14" x14ac:dyDescent="0.2">
      <c r="A80" s="288"/>
      <c r="B80" s="288"/>
      <c r="C80" s="288"/>
      <c r="D80" s="288"/>
      <c r="E80" s="288"/>
      <c r="F80" s="288"/>
      <c r="G80" s="288"/>
      <c r="H80" s="288"/>
      <c r="I80" s="288"/>
      <c r="J80" s="288"/>
      <c r="K80" s="288"/>
      <c r="L80" s="288"/>
      <c r="M80" s="288"/>
      <c r="N80" s="288"/>
    </row>
    <row r="81" spans="1:14" x14ac:dyDescent="0.2">
      <c r="A81" s="288"/>
      <c r="B81" s="288"/>
      <c r="C81" s="288"/>
      <c r="D81" s="288"/>
      <c r="E81" s="288"/>
      <c r="F81" s="288"/>
      <c r="G81" s="288"/>
      <c r="H81" s="288"/>
      <c r="I81" s="288"/>
      <c r="J81" s="288"/>
      <c r="K81" s="288"/>
      <c r="L81" s="288"/>
      <c r="M81" s="288"/>
      <c r="N81" s="288"/>
    </row>
    <row r="82" spans="1:14" x14ac:dyDescent="0.2">
      <c r="A82" s="288"/>
      <c r="B82" s="288"/>
      <c r="C82" s="288"/>
      <c r="D82" s="288"/>
      <c r="E82" s="288"/>
      <c r="F82" s="288"/>
      <c r="G82" s="288"/>
      <c r="H82" s="288"/>
      <c r="I82" s="288"/>
      <c r="J82" s="288"/>
      <c r="K82" s="288"/>
      <c r="L82" s="288"/>
      <c r="M82" s="288"/>
      <c r="N82" s="288"/>
    </row>
    <row r="83" spans="1:14" x14ac:dyDescent="0.2">
      <c r="A83" s="288"/>
      <c r="B83" s="288"/>
      <c r="C83" s="288"/>
      <c r="D83" s="288"/>
      <c r="E83" s="288"/>
      <c r="F83" s="288"/>
      <c r="G83" s="288"/>
      <c r="H83" s="288"/>
      <c r="I83" s="288"/>
      <c r="J83" s="288"/>
      <c r="K83" s="288"/>
      <c r="L83" s="288"/>
      <c r="M83" s="288"/>
      <c r="N83" s="288"/>
    </row>
    <row r="84" spans="1:14" x14ac:dyDescent="0.2">
      <c r="A84" s="288"/>
      <c r="B84" s="288"/>
      <c r="C84" s="288"/>
      <c r="D84" s="288"/>
      <c r="E84" s="288"/>
      <c r="F84" s="288"/>
      <c r="G84" s="288"/>
      <c r="H84" s="288"/>
      <c r="I84" s="288"/>
      <c r="J84" s="288"/>
      <c r="K84" s="288"/>
      <c r="L84" s="288"/>
      <c r="M84" s="288"/>
      <c r="N84" s="288"/>
    </row>
    <row r="85" spans="1:14" x14ac:dyDescent="0.2">
      <c r="A85" s="288"/>
      <c r="B85" s="288"/>
      <c r="C85" s="288"/>
      <c r="D85" s="288"/>
      <c r="E85" s="288"/>
      <c r="F85" s="288"/>
      <c r="G85" s="288"/>
      <c r="H85" s="288"/>
      <c r="I85" s="288"/>
      <c r="J85" s="288"/>
      <c r="K85" s="288"/>
      <c r="L85" s="288"/>
      <c r="M85" s="288"/>
      <c r="N85" s="288"/>
    </row>
    <row r="86" spans="1:14" x14ac:dyDescent="0.2">
      <c r="A86" s="288"/>
      <c r="B86" s="288"/>
      <c r="C86" s="288"/>
      <c r="D86" s="288"/>
      <c r="E86" s="288"/>
      <c r="F86" s="288"/>
      <c r="G86" s="288"/>
      <c r="H86" s="288"/>
      <c r="I86" s="288"/>
      <c r="J86" s="288"/>
      <c r="K86" s="288"/>
      <c r="L86" s="288"/>
      <c r="M86" s="288"/>
      <c r="N86" s="288"/>
    </row>
    <row r="87" spans="1:14" x14ac:dyDescent="0.2">
      <c r="A87" s="288"/>
      <c r="B87" s="288"/>
      <c r="C87" s="288"/>
      <c r="D87" s="288"/>
      <c r="E87" s="288"/>
      <c r="F87" s="288"/>
      <c r="G87" s="288"/>
      <c r="H87" s="288"/>
      <c r="I87" s="288"/>
      <c r="J87" s="288"/>
      <c r="K87" s="288"/>
      <c r="L87" s="288"/>
      <c r="M87" s="288"/>
      <c r="N87" s="288"/>
    </row>
    <row r="88" spans="1:14" x14ac:dyDescent="0.2">
      <c r="A88" s="288"/>
      <c r="B88" s="288"/>
      <c r="C88" s="288"/>
      <c r="D88" s="288"/>
      <c r="E88" s="288"/>
      <c r="F88" s="288"/>
      <c r="G88" s="288"/>
      <c r="H88" s="288"/>
      <c r="I88" s="288"/>
      <c r="J88" s="288"/>
      <c r="K88" s="288"/>
      <c r="L88" s="288"/>
      <c r="M88" s="288"/>
      <c r="N88" s="288"/>
    </row>
    <row r="89" spans="1:14" x14ac:dyDescent="0.2">
      <c r="A89" s="288"/>
      <c r="B89" s="288"/>
      <c r="C89" s="288"/>
      <c r="D89" s="288"/>
      <c r="E89" s="288"/>
      <c r="F89" s="288"/>
      <c r="G89" s="288"/>
      <c r="H89" s="288"/>
      <c r="I89" s="288"/>
      <c r="J89" s="288"/>
      <c r="K89" s="288"/>
      <c r="L89" s="288"/>
      <c r="M89" s="288"/>
      <c r="N89" s="288"/>
    </row>
    <row r="90" spans="1:14" x14ac:dyDescent="0.2">
      <c r="A90" s="288"/>
      <c r="B90" s="288"/>
      <c r="C90" s="288"/>
      <c r="D90" s="288"/>
      <c r="E90" s="288"/>
      <c r="F90" s="288"/>
      <c r="G90" s="288"/>
      <c r="H90" s="288"/>
      <c r="I90" s="288"/>
      <c r="J90" s="288"/>
      <c r="K90" s="288"/>
      <c r="L90" s="288"/>
      <c r="M90" s="288"/>
      <c r="N90" s="288"/>
    </row>
    <row r="91" spans="1:14" x14ac:dyDescent="0.2">
      <c r="A91" s="288"/>
      <c r="B91" s="288"/>
      <c r="C91" s="288"/>
      <c r="D91" s="288"/>
      <c r="E91" s="288"/>
      <c r="F91" s="288"/>
      <c r="G91" s="288"/>
      <c r="H91" s="288"/>
      <c r="I91" s="288"/>
      <c r="J91" s="288"/>
      <c r="K91" s="288"/>
      <c r="L91" s="288"/>
      <c r="M91" s="288"/>
      <c r="N91" s="288"/>
    </row>
    <row r="92" spans="1:14" x14ac:dyDescent="0.2">
      <c r="A92" s="288"/>
      <c r="B92" s="288"/>
      <c r="C92" s="288"/>
      <c r="D92" s="288"/>
      <c r="E92" s="288"/>
      <c r="F92" s="288"/>
      <c r="G92" s="288"/>
      <c r="H92" s="288"/>
      <c r="I92" s="288"/>
      <c r="J92" s="288"/>
      <c r="K92" s="288"/>
      <c r="L92" s="288"/>
      <c r="M92" s="288"/>
      <c r="N92" s="288"/>
    </row>
    <row r="93" spans="1:14" x14ac:dyDescent="0.2">
      <c r="A93" s="288"/>
      <c r="B93" s="288"/>
      <c r="C93" s="288"/>
      <c r="D93" s="288"/>
      <c r="E93" s="288"/>
      <c r="F93" s="288"/>
      <c r="G93" s="288"/>
      <c r="H93" s="288"/>
      <c r="I93" s="288"/>
      <c r="J93" s="288"/>
      <c r="K93" s="288"/>
      <c r="L93" s="288"/>
      <c r="M93" s="288"/>
      <c r="N93" s="288"/>
    </row>
    <row r="94" spans="1:14" x14ac:dyDescent="0.2">
      <c r="A94" s="288"/>
      <c r="B94" s="288"/>
      <c r="C94" s="288"/>
      <c r="D94" s="288"/>
      <c r="E94" s="288"/>
      <c r="F94" s="288"/>
      <c r="G94" s="288"/>
      <c r="H94" s="288"/>
      <c r="I94" s="288"/>
      <c r="J94" s="288"/>
      <c r="K94" s="288"/>
      <c r="L94" s="288"/>
      <c r="M94" s="288"/>
      <c r="N94" s="288"/>
    </row>
    <row r="95" spans="1:14" x14ac:dyDescent="0.2">
      <c r="A95" s="288"/>
      <c r="B95" s="288"/>
      <c r="C95" s="288"/>
      <c r="D95" s="288"/>
      <c r="E95" s="288"/>
      <c r="F95" s="288"/>
      <c r="G95" s="288"/>
      <c r="H95" s="288"/>
      <c r="I95" s="288"/>
      <c r="J95" s="288"/>
      <c r="K95" s="288"/>
      <c r="L95" s="288"/>
      <c r="M95" s="288"/>
      <c r="N95" s="288"/>
    </row>
    <row r="96" spans="1:14" x14ac:dyDescent="0.2">
      <c r="A96" s="288"/>
      <c r="B96" s="288"/>
      <c r="C96" s="288"/>
      <c r="D96" s="288"/>
      <c r="E96" s="288"/>
      <c r="F96" s="288"/>
      <c r="G96" s="288"/>
      <c r="H96" s="288"/>
      <c r="I96" s="288"/>
      <c r="J96" s="288"/>
      <c r="K96" s="288"/>
      <c r="L96" s="288"/>
      <c r="M96" s="288"/>
      <c r="N96" s="288"/>
    </row>
    <row r="97" spans="1:14" x14ac:dyDescent="0.2">
      <c r="A97" s="288"/>
      <c r="B97" s="288"/>
      <c r="C97" s="288"/>
      <c r="D97" s="288"/>
      <c r="E97" s="288"/>
      <c r="F97" s="288"/>
      <c r="G97" s="288"/>
      <c r="H97" s="288"/>
      <c r="I97" s="288"/>
      <c r="J97" s="288"/>
      <c r="K97" s="288"/>
      <c r="L97" s="288"/>
      <c r="M97" s="288"/>
      <c r="N97" s="288"/>
    </row>
    <row r="98" spans="1:14" x14ac:dyDescent="0.2">
      <c r="A98" s="288"/>
      <c r="B98" s="288"/>
      <c r="C98" s="288"/>
      <c r="D98" s="288"/>
      <c r="E98" s="288"/>
      <c r="F98" s="288"/>
      <c r="G98" s="288"/>
      <c r="H98" s="288"/>
      <c r="I98" s="288"/>
      <c r="J98" s="288"/>
      <c r="K98" s="288"/>
      <c r="L98" s="288"/>
      <c r="M98" s="288"/>
      <c r="N98" s="288"/>
    </row>
    <row r="99" spans="1:14" x14ac:dyDescent="0.2">
      <c r="A99" s="288"/>
      <c r="B99" s="288"/>
      <c r="C99" s="288"/>
      <c r="D99" s="288"/>
      <c r="E99" s="288"/>
      <c r="F99" s="288"/>
      <c r="G99" s="288"/>
      <c r="H99" s="288"/>
      <c r="I99" s="288"/>
      <c r="J99" s="288"/>
      <c r="K99" s="288"/>
      <c r="L99" s="288"/>
      <c r="M99" s="288"/>
      <c r="N99" s="288"/>
    </row>
    <row r="100" spans="1:14" x14ac:dyDescent="0.2">
      <c r="A100" s="288"/>
      <c r="B100" s="288"/>
      <c r="C100" s="288"/>
      <c r="D100" s="288"/>
      <c r="E100" s="288"/>
      <c r="F100" s="288"/>
      <c r="G100" s="288"/>
      <c r="H100" s="288"/>
      <c r="I100" s="288"/>
      <c r="J100" s="288"/>
      <c r="K100" s="288"/>
      <c r="L100" s="288"/>
      <c r="M100" s="288"/>
      <c r="N100" s="288"/>
    </row>
    <row r="101" spans="1:14" x14ac:dyDescent="0.2">
      <c r="A101" s="288"/>
      <c r="B101" s="288"/>
      <c r="C101" s="288"/>
      <c r="D101" s="288"/>
      <c r="E101" s="288"/>
      <c r="F101" s="288"/>
      <c r="G101" s="288"/>
      <c r="H101" s="288"/>
      <c r="I101" s="288"/>
      <c r="J101" s="288"/>
      <c r="K101" s="288"/>
      <c r="L101" s="288"/>
      <c r="M101" s="288"/>
      <c r="N101" s="288"/>
    </row>
    <row r="102" spans="1:14" x14ac:dyDescent="0.2">
      <c r="A102" s="288"/>
      <c r="B102" s="288"/>
      <c r="C102" s="288"/>
      <c r="D102" s="288"/>
      <c r="E102" s="288"/>
      <c r="F102" s="288"/>
      <c r="G102" s="288"/>
      <c r="H102" s="288"/>
      <c r="I102" s="288"/>
      <c r="J102" s="288"/>
      <c r="K102" s="288"/>
      <c r="L102" s="288"/>
      <c r="M102" s="288"/>
      <c r="N102" s="288"/>
    </row>
    <row r="103" spans="1:14" x14ac:dyDescent="0.2">
      <c r="A103" s="288"/>
      <c r="B103" s="288"/>
      <c r="C103" s="288"/>
      <c r="D103" s="288"/>
      <c r="E103" s="288"/>
      <c r="F103" s="288"/>
      <c r="G103" s="288"/>
      <c r="H103" s="288"/>
      <c r="I103" s="288"/>
      <c r="J103" s="288"/>
      <c r="K103" s="288"/>
      <c r="L103" s="288"/>
      <c r="M103" s="288"/>
      <c r="N103" s="288"/>
    </row>
    <row r="104" spans="1:14" x14ac:dyDescent="0.2">
      <c r="A104" s="288"/>
      <c r="B104" s="288"/>
      <c r="C104" s="288"/>
      <c r="D104" s="288"/>
      <c r="E104" s="288"/>
      <c r="F104" s="288"/>
      <c r="G104" s="288"/>
      <c r="H104" s="288"/>
      <c r="I104" s="288"/>
      <c r="J104" s="288"/>
      <c r="K104" s="288"/>
      <c r="L104" s="288"/>
      <c r="M104" s="288"/>
      <c r="N104" s="288"/>
    </row>
    <row r="105" spans="1:14" x14ac:dyDescent="0.2">
      <c r="A105" s="288"/>
      <c r="B105" s="288"/>
      <c r="C105" s="288"/>
      <c r="D105" s="288"/>
      <c r="E105" s="288"/>
      <c r="F105" s="288"/>
      <c r="G105" s="288"/>
      <c r="H105" s="288"/>
      <c r="I105" s="288"/>
      <c r="J105" s="288"/>
      <c r="K105" s="288"/>
      <c r="L105" s="288"/>
      <c r="M105" s="288"/>
      <c r="N105" s="288"/>
    </row>
    <row r="106" spans="1:14" x14ac:dyDescent="0.2">
      <c r="A106" s="288"/>
      <c r="B106" s="288"/>
      <c r="C106" s="288"/>
      <c r="D106" s="288"/>
      <c r="E106" s="288"/>
      <c r="F106" s="288"/>
      <c r="G106" s="288"/>
      <c r="H106" s="288"/>
      <c r="I106" s="288"/>
      <c r="J106" s="288"/>
      <c r="K106" s="288"/>
      <c r="L106" s="288"/>
      <c r="M106" s="288"/>
      <c r="N106" s="288"/>
    </row>
    <row r="107" spans="1:14" x14ac:dyDescent="0.2">
      <c r="A107" s="288"/>
      <c r="B107" s="288"/>
      <c r="C107" s="288"/>
      <c r="D107" s="288"/>
      <c r="E107" s="288"/>
      <c r="F107" s="288"/>
      <c r="G107" s="288"/>
      <c r="H107" s="288"/>
      <c r="I107" s="288"/>
      <c r="J107" s="288"/>
      <c r="K107" s="288"/>
      <c r="L107" s="288"/>
      <c r="M107" s="288"/>
      <c r="N107" s="288"/>
    </row>
    <row r="108" spans="1:14" x14ac:dyDescent="0.2">
      <c r="A108" s="288"/>
      <c r="B108" s="288"/>
      <c r="C108" s="288"/>
      <c r="D108" s="288"/>
      <c r="E108" s="288"/>
      <c r="F108" s="288"/>
      <c r="G108" s="288"/>
      <c r="H108" s="288"/>
      <c r="I108" s="288"/>
      <c r="J108" s="288"/>
      <c r="K108" s="288"/>
      <c r="L108" s="288"/>
      <c r="M108" s="288"/>
      <c r="N108" s="288"/>
    </row>
    <row r="109" spans="1:14" x14ac:dyDescent="0.2">
      <c r="A109" s="288"/>
      <c r="B109" s="288"/>
      <c r="C109" s="288"/>
      <c r="D109" s="288"/>
      <c r="E109" s="288"/>
      <c r="F109" s="288"/>
      <c r="G109" s="288"/>
      <c r="H109" s="288"/>
      <c r="I109" s="288"/>
      <c r="J109" s="288"/>
      <c r="K109" s="288"/>
      <c r="L109" s="288"/>
      <c r="M109" s="288"/>
      <c r="N109" s="288"/>
    </row>
    <row r="110" spans="1:14" x14ac:dyDescent="0.2">
      <c r="A110" s="288"/>
      <c r="B110" s="288"/>
      <c r="C110" s="288"/>
      <c r="D110" s="288"/>
      <c r="E110" s="288"/>
      <c r="F110" s="288"/>
      <c r="G110" s="288"/>
      <c r="H110" s="288"/>
      <c r="I110" s="288"/>
      <c r="J110" s="288"/>
      <c r="K110" s="288"/>
      <c r="L110" s="288"/>
      <c r="M110" s="288"/>
      <c r="N110" s="288"/>
    </row>
    <row r="111" spans="1:14" x14ac:dyDescent="0.2">
      <c r="A111" s="288"/>
      <c r="B111" s="288"/>
      <c r="C111" s="288"/>
      <c r="D111" s="288"/>
      <c r="E111" s="288"/>
      <c r="F111" s="288"/>
      <c r="G111" s="288"/>
      <c r="H111" s="288"/>
      <c r="I111" s="288"/>
      <c r="J111" s="288"/>
      <c r="K111" s="288"/>
      <c r="L111" s="288"/>
      <c r="M111" s="288"/>
      <c r="N111" s="288"/>
    </row>
    <row r="112" spans="1:14" x14ac:dyDescent="0.2">
      <c r="A112" s="288"/>
      <c r="B112" s="288"/>
      <c r="C112" s="288"/>
      <c r="D112" s="288"/>
      <c r="E112" s="288"/>
      <c r="F112" s="288"/>
      <c r="G112" s="288"/>
      <c r="H112" s="288"/>
      <c r="I112" s="288"/>
      <c r="J112" s="288"/>
      <c r="K112" s="288"/>
      <c r="L112" s="288"/>
      <c r="M112" s="288"/>
      <c r="N112" s="288"/>
    </row>
    <row r="113" spans="1:14" x14ac:dyDescent="0.2">
      <c r="A113" s="288"/>
      <c r="B113" s="288"/>
      <c r="C113" s="288"/>
      <c r="D113" s="288"/>
      <c r="E113" s="288"/>
      <c r="F113" s="288"/>
      <c r="G113" s="288"/>
      <c r="H113" s="288"/>
      <c r="I113" s="288"/>
      <c r="J113" s="288"/>
      <c r="K113" s="288"/>
      <c r="L113" s="288"/>
      <c r="M113" s="288"/>
      <c r="N113" s="288"/>
    </row>
    <row r="114" spans="1:14" x14ac:dyDescent="0.2">
      <c r="A114" s="288"/>
      <c r="B114" s="288"/>
      <c r="C114" s="288"/>
      <c r="D114" s="288"/>
      <c r="E114" s="288"/>
      <c r="F114" s="288"/>
      <c r="G114" s="288"/>
      <c r="H114" s="288"/>
      <c r="I114" s="288"/>
      <c r="J114" s="288"/>
      <c r="K114" s="288"/>
      <c r="L114" s="288"/>
      <c r="M114" s="288"/>
      <c r="N114" s="288"/>
    </row>
    <row r="115" spans="1:14" x14ac:dyDescent="0.2">
      <c r="A115" s="288"/>
      <c r="B115" s="288"/>
      <c r="C115" s="288"/>
      <c r="D115" s="288"/>
      <c r="E115" s="288"/>
      <c r="F115" s="288"/>
      <c r="G115" s="288"/>
      <c r="H115" s="288"/>
      <c r="I115" s="288"/>
      <c r="J115" s="288"/>
      <c r="K115" s="288"/>
      <c r="L115" s="288"/>
      <c r="M115" s="288"/>
      <c r="N115" s="288"/>
    </row>
    <row r="116" spans="1:14" x14ac:dyDescent="0.2">
      <c r="A116" s="288"/>
      <c r="B116" s="288"/>
      <c r="C116" s="288"/>
      <c r="D116" s="288"/>
      <c r="E116" s="288"/>
      <c r="F116" s="288"/>
      <c r="G116" s="288"/>
      <c r="H116" s="288"/>
      <c r="I116" s="288"/>
      <c r="J116" s="288"/>
      <c r="K116" s="288"/>
      <c r="L116" s="288"/>
      <c r="M116" s="288"/>
      <c r="N116" s="288"/>
    </row>
    <row r="117" spans="1:14" x14ac:dyDescent="0.2">
      <c r="A117" s="288"/>
      <c r="B117" s="288"/>
      <c r="C117" s="288"/>
      <c r="D117" s="288"/>
      <c r="E117" s="288"/>
      <c r="F117" s="288"/>
      <c r="G117" s="288"/>
      <c r="H117" s="288"/>
      <c r="I117" s="288"/>
      <c r="J117" s="288"/>
      <c r="K117" s="288"/>
      <c r="L117" s="288"/>
      <c r="M117" s="288"/>
      <c r="N117" s="288"/>
    </row>
    <row r="118" spans="1:14" x14ac:dyDescent="0.2">
      <c r="A118" s="288"/>
      <c r="B118" s="288"/>
      <c r="C118" s="288"/>
      <c r="D118" s="288"/>
      <c r="E118" s="288"/>
      <c r="F118" s="288"/>
      <c r="G118" s="288"/>
      <c r="H118" s="288"/>
      <c r="I118" s="288"/>
      <c r="J118" s="288"/>
      <c r="K118" s="288"/>
      <c r="L118" s="288"/>
      <c r="M118" s="288"/>
      <c r="N118" s="288"/>
    </row>
  </sheetData>
  <pageMargins left="0.5" right="0.5" top="0.75" bottom="0.75" header="0.5" footer="0.5"/>
  <pageSetup scale="9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E451A032E60B848ADCA5BE86298322A" ma:contentTypeVersion="76" ma:contentTypeDescription="" ma:contentTypeScope="" ma:versionID="8e76408467d7dc16039a1cadabeb8e9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2018-12-04T08:00:00+00:00</OpenedDate>
    <SignificantOrder xmlns="dc463f71-b30c-4ab2-9473-d307f9d35888">false</SignificantOrder>
    <Date1 xmlns="dc463f71-b30c-4ab2-9473-d307f9d35888">2019-01-24T08:00:00+00:00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181020</DocketNumber>
    <DelegatedOrder xmlns="dc463f71-b30c-4ab2-9473-d307f9d35888">false</DelegatedOrder>
  </documentManagement>
</p:properti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4E30AC9-C463-4241-ABD6-424C1FA88935}">
  <ds:schemaRefs>
    <ds:schemaRef ds:uri="http://schemas.microsoft.com/sharepoint/v3/contenttype/forms"/>
  </ds:schemaRefs>
</ds:datastoreItem>
</file>

<file path=customXml/itemProps2.xml><?xml version="1.0" encoding="utf-8"?>
<ds:datastoreItem xmlns:ds="http://schemas.openxmlformats.org/officeDocument/2006/customXml" ds:itemID="{88FF9845-584D-44A6-B06B-9C9B21218FDE}"/>
</file>

<file path=customXml/itemProps3.xml><?xml version="1.0" encoding="utf-8"?>
<ds:datastoreItem xmlns:ds="http://schemas.openxmlformats.org/officeDocument/2006/customXml" ds:itemID="{0DDFEEE5-5575-4479-821E-AB32604CFAC2}">
  <ds:schemaRefs>
    <ds:schemaRef ds:uri="http://schemas.microsoft.com/office/2006/metadata/longProperties"/>
  </ds:schemaRefs>
</ds:datastoreItem>
</file>

<file path=customXml/itemProps4.xml><?xml version="1.0" encoding="utf-8"?>
<ds:datastoreItem xmlns:ds="http://schemas.openxmlformats.org/officeDocument/2006/customXml" ds:itemID="{FE1C2B64-3F06-4E91-B373-C4C7D7A27F38}">
  <ds:schemaRefs>
    <ds:schemaRef ds:uri="http://schemas.openxmlformats.org/package/2006/metadata/core-properties"/>
    <ds:schemaRef ds:uri="http://www.w3.org/XML/1998/namespace"/>
    <ds:schemaRef ds:uri="http://schemas.microsoft.com/office/2006/metadata/properties"/>
    <ds:schemaRef ds:uri="7429f450-94b4-4416-870d-2c1407281566"/>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5.xml><?xml version="1.0" encoding="utf-8"?>
<ds:datastoreItem xmlns:ds="http://schemas.openxmlformats.org/officeDocument/2006/customXml" ds:itemID="{411218D7-84F0-457A-A98B-D5A786E4B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26</vt:i4>
      </vt:variant>
    </vt:vector>
  </HeadingPairs>
  <TitlesOfParts>
    <vt:vector size="63" baseType="lpstr">
      <vt:lpstr>WUTC_LYNNWOOD_SF</vt:lpstr>
      <vt:lpstr>Staff Analysis</vt:lpstr>
      <vt:lpstr>181020 WUTC_AW Bellevue MF</vt:lpstr>
      <vt:lpstr>181020 MF Value</vt:lpstr>
      <vt:lpstr>181020 WUTC_AW Bellevue SF</vt:lpstr>
      <vt:lpstr>181020 SF Value</vt:lpstr>
      <vt:lpstr>WUTC_AW of Bellevue_SF 2018</vt:lpstr>
      <vt:lpstr>Value 2018</vt:lpstr>
      <vt:lpstr>Commodity Tonnages 2018</vt:lpstr>
      <vt:lpstr>Pricing 2018</vt:lpstr>
      <vt:lpstr>Single Family 2018</vt:lpstr>
      <vt:lpstr>WUTC_AW of Bellevue_MF 2018</vt:lpstr>
      <vt:lpstr>Value MF 2018</vt:lpstr>
      <vt:lpstr>Commodity Tonnages MF 2018</vt:lpstr>
      <vt:lpstr>Pricing MF 2018</vt:lpstr>
      <vt:lpstr>Multi_Family 2018</vt:lpstr>
      <vt:lpstr>WUTC_AW of Bellevue_MF (2)</vt:lpstr>
      <vt:lpstr>Value MF</vt:lpstr>
      <vt:lpstr>Commodity Tonnages MF</vt:lpstr>
      <vt:lpstr>Pricing MF</vt:lpstr>
      <vt:lpstr>Multi_Family (2)</vt:lpstr>
      <vt:lpstr>WUTC_AW of Bellevue_SF (2)</vt:lpstr>
      <vt:lpstr>Value (2)</vt:lpstr>
      <vt:lpstr>Commodity Tonnages (2)</vt:lpstr>
      <vt:lpstr>Pricing (2)</vt:lpstr>
      <vt:lpstr>Single Family (2)</vt:lpstr>
      <vt:lpstr>2016 Staff Summary</vt:lpstr>
      <vt:lpstr>WUTC_AW of Bellevue_SF</vt:lpstr>
      <vt:lpstr>SF Value</vt:lpstr>
      <vt:lpstr>SF Commodity Tonnages</vt:lpstr>
      <vt:lpstr>SF Pricing</vt:lpstr>
      <vt:lpstr>Single Family</vt:lpstr>
      <vt:lpstr>WUTC_AW of Bellevue_MF</vt:lpstr>
      <vt:lpstr>Value</vt:lpstr>
      <vt:lpstr>Commodity Tonnages</vt:lpstr>
      <vt:lpstr>Pricing</vt:lpstr>
      <vt:lpstr>Multi_Family</vt:lpstr>
      <vt:lpstr>Multi_Family!Print_Area</vt:lpstr>
      <vt:lpstr>'Multi_Family (2)'!Print_Area</vt:lpstr>
      <vt:lpstr>'Multi_Family 2018'!Print_Area</vt:lpstr>
      <vt:lpstr>Pricing!Print_Area</vt:lpstr>
      <vt:lpstr>'Pricing (2)'!Print_Area</vt:lpstr>
      <vt:lpstr>'Pricing 2018'!Print_Area</vt:lpstr>
      <vt:lpstr>'Pricing MF'!Print_Area</vt:lpstr>
      <vt:lpstr>'Pricing MF 2018'!Print_Area</vt:lpstr>
      <vt:lpstr>'SF Pricing'!Print_Area</vt:lpstr>
      <vt:lpstr>'Single Family'!Print_Area</vt:lpstr>
      <vt:lpstr>'Single Family (2)'!Print_Area</vt:lpstr>
      <vt:lpstr>'Single Family 2018'!Print_Area</vt:lpstr>
      <vt:lpstr>'Staff Analysis'!Print_Area</vt:lpstr>
      <vt:lpstr>'WUTC_AW of Bellevue_MF'!Print_Area</vt:lpstr>
      <vt:lpstr>'WUTC_AW of Bellevue_MF (2)'!Print_Area</vt:lpstr>
      <vt:lpstr>'WUTC_AW of Bellevue_MF 2018'!Print_Area</vt:lpstr>
      <vt:lpstr>'WUTC_AW of Bellevue_SF'!Print_Area</vt:lpstr>
      <vt:lpstr>'WUTC_AW of Bellevue_SF (2)'!Print_Area</vt:lpstr>
      <vt:lpstr>'WUTC_AW of Bellevue_SF 2018'!Print_Area</vt:lpstr>
      <vt:lpstr>WUTC_LYNNWOOD_SF!Print_Area</vt:lpstr>
      <vt:lpstr>Multi_Family!Print_Titles</vt:lpstr>
      <vt:lpstr>'Multi_Family (2)'!Print_Titles</vt:lpstr>
      <vt:lpstr>'Multi_Family 2018'!Print_Titles</vt:lpstr>
      <vt:lpstr>'Single Family'!Print_Titles</vt:lpstr>
      <vt:lpstr>'Single Family (2)'!Print_Titles</vt:lpstr>
      <vt:lpstr>'Single Family 2018'!Print_Titles</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Rabanco Eastside</dc:title>
  <dc:creator>JG00116</dc:creator>
  <cp:lastModifiedBy>Waldren, Rick</cp:lastModifiedBy>
  <cp:lastPrinted>2019-01-24T19:48:07Z</cp:lastPrinted>
  <dcterms:created xsi:type="dcterms:W3CDTF">2008-05-23T15:47:44Z</dcterms:created>
  <dcterms:modified xsi:type="dcterms:W3CDTF">2019-01-24T19:49:40Z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0x0101006E56B4D1795A2E4DB2F0B01679ED314A000E451A032E60B848ADCA5BE86298322A</vt:lpwstr>
  </property>
  <property fmtid="{D5CDD505-2E9C-101B-9397-08002B2CF9AE}" pid="3" name="_docset_NoMedatataSyncRequired">
    <vt:lpwstr>False</vt:lpwstr>
  </property>
  <property fmtid="{D5CDD505-2E9C-101B-9397-08002B2CF9AE}" pid="4" name="IsEFSEC">
    <vt:bool>false</vt:bool>
  </property>
</Properties>
</file>