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715" tabRatio="803" firstSheet="7" activeTab="15"/>
  </bookViews>
  <sheets>
    <sheet name="Power Cost Summary" sheetId="1" r:id="rId1"/>
    <sheet name="Ex A-1 Updated Actual" sheetId="2" r:id="rId2"/>
    <sheet name="Schedule_B" sheetId="3" r:id="rId3"/>
    <sheet name="Exh D 12-10" sheetId="4" r:id="rId4"/>
    <sheet name="Ex A-1 2007GRC" sheetId="5" r:id="rId5"/>
    <sheet name="Ex A-2 - 2007GRC" sheetId="6" r:id="rId6"/>
    <sheet name="Ex A-3 2007GRC" sheetId="7" r:id="rId7"/>
    <sheet name="Ex A-4 - 2007GRC" sheetId="8" r:id="rId8"/>
    <sheet name="Ex A-5 - 2007GRC" sheetId="9" r:id="rId9"/>
    <sheet name="Ex D - 2007 GRC" sheetId="10" r:id="rId10"/>
    <sheet name="Exh A-1 2009GRC" sheetId="11" r:id="rId11"/>
    <sheet name="Ex A-2 2009GRC" sheetId="12" r:id="rId12"/>
    <sheet name="Ex A-3 2009GRC" sheetId="13" r:id="rId13"/>
    <sheet name="Ex A-4 2009GRC" sheetId="14" r:id="rId14"/>
    <sheet name="Ex A-5 2009GRC" sheetId="15" r:id="rId15"/>
    <sheet name="Ex D - 2009 GRC" sheetId="16" r:id="rId16"/>
  </sheets>
  <externalReferences>
    <externalReference r:id="rId19"/>
    <externalReference r:id="rId20"/>
  </externalReferences>
  <definedNames>
    <definedName name="__123Graph_ECURRENT" localSheetId="1" hidden="1">'[2]ConsolidatingPL'!#REF!</definedName>
    <definedName name="__123Graph_ECURRENT" localSheetId="11" hidden="1">#N/A</definedName>
    <definedName name="__123Graph_ECURRENT" localSheetId="13" hidden="1">#N/A</definedName>
    <definedName name="__123Graph_ECURRENT" localSheetId="14" hidden="1">#N/A</definedName>
    <definedName name="__123Graph_ECURRENT" hidden="1">'[2]ConsolidatingPL'!#REF!</definedName>
    <definedName name="_Fill" localSheetId="4" hidden="1">#REF!</definedName>
    <definedName name="_Fill" localSheetId="1" hidden="1">#REF!</definedName>
    <definedName name="_Fill" localSheetId="5" hidden="1">#REF!</definedName>
    <definedName name="_Fill" localSheetId="11" hidden="1">#REF!</definedName>
    <definedName name="_Fill" localSheetId="6" hidden="1">#REF!</definedName>
    <definedName name="_Fill" localSheetId="12" hidden="1">#REF!</definedName>
    <definedName name="_Fill" localSheetId="7" hidden="1">#REF!</definedName>
    <definedName name="_Fill" localSheetId="13" hidden="1">#REF!</definedName>
    <definedName name="_Fill" localSheetId="8" hidden="1">#REF!</definedName>
    <definedName name="_Fill" localSheetId="14" hidden="1">#REF!</definedName>
    <definedName name="_Fill" localSheetId="10" hidden="1">#REF!</definedName>
    <definedName name="_Fill" localSheetId="3" hidden="1">#REF!</definedName>
    <definedName name="_Fill" localSheetId="0" hidden="1">#REF!</definedName>
    <definedName name="_Order1" hidden="1">255</definedName>
    <definedName name="_Order2" hidden="1">255</definedName>
    <definedName name="_xlfn.BAHTTEXT" hidden="1">#NAME?</definedName>
    <definedName name="a" localSheetId="5" hidden="1">{#N/A,#N/A,FALSE,"Coversheet";#N/A,#N/A,FALSE,"QA"}</definedName>
    <definedName name="a" localSheetId="11" hidden="1">{#N/A,#N/A,FALSE,"Coversheet";#N/A,#N/A,FALSE,"QA"}</definedName>
    <definedName name="a" localSheetId="6" hidden="1">{#N/A,#N/A,FALSE,"Coversheet";#N/A,#N/A,FALSE,"QA"}</definedName>
    <definedName name="a" localSheetId="12" hidden="1">{#N/A,#N/A,FALSE,"Coversheet";#N/A,#N/A,FALSE,"QA"}</definedName>
    <definedName name="a" localSheetId="7" hidden="1">{#N/A,#N/A,FALSE,"Coversheet";#N/A,#N/A,FALSE,"QA"}</definedName>
    <definedName name="a" localSheetId="13" hidden="1">{#N/A,#N/A,FALSE,"Coversheet";#N/A,#N/A,FALSE,"QA"}</definedName>
    <definedName name="a" localSheetId="8" hidden="1">{#N/A,#N/A,FALSE,"Coversheet";#N/A,#N/A,FALSE,"QA"}</definedName>
    <definedName name="a" localSheetId="14" hidden="1">{#N/A,#N/A,FALSE,"Coversheet";#N/A,#N/A,FALSE,"QA"}</definedName>
    <definedName name="a" localSheetId="9" hidden="1">{#N/A,#N/A,FALSE,"Coversheet";#N/A,#N/A,FALSE,"QA"}</definedName>
    <definedName name="a" localSheetId="15" hidden="1">{#N/A,#N/A,FALSE,"Coversheet";#N/A,#N/A,FALSE,"QA"}</definedName>
    <definedName name="a" localSheetId="10" hidden="1">{#N/A,#N/A,FALSE,"Coversheet";#N/A,#N/A,FALSE,"QA"}</definedName>
    <definedName name="a" localSheetId="3" hidden="1">{#N/A,#N/A,FALSE,"Coversheet";#N/A,#N/A,FALSE,"QA"}</definedName>
    <definedName name="a" localSheetId="0" hidden="1">{#N/A,#N/A,FALSE,"Coversheet";#N/A,#N/A,FALSE,"QA"}</definedName>
    <definedName name="a" localSheetId="2" hidden="1">{#N/A,#N/A,FALSE,"Coversheet";#N/A,#N/A,FALSE,"QA"}</definedName>
    <definedName name="a" hidden="1">{#N/A,#N/A,FALSE,"Coversheet";#N/A,#N/A,FALSE,"QA"}</definedName>
    <definedName name="AccessDatabase" hidden="1">"I:\COMTREL\FINICLE\TradeSummary.mdb"</definedName>
    <definedName name="b" localSheetId="4" hidden="1">{#N/A,#N/A,FALSE,"Coversheet";#N/A,#N/A,FALSE,"QA"}</definedName>
    <definedName name="b" localSheetId="1" hidden="1">{#N/A,#N/A,FALSE,"Coversheet";#N/A,#N/A,FALSE,"QA"}</definedName>
    <definedName name="b" localSheetId="5" hidden="1">{#N/A,#N/A,FALSE,"Coversheet";#N/A,#N/A,FALSE,"QA"}</definedName>
    <definedName name="b" localSheetId="11" hidden="1">{#N/A,#N/A,FALSE,"Coversheet";#N/A,#N/A,FALSE,"QA"}</definedName>
    <definedName name="b" localSheetId="6" hidden="1">{#N/A,#N/A,FALSE,"Coversheet";#N/A,#N/A,FALSE,"QA"}</definedName>
    <definedName name="b" localSheetId="12" hidden="1">{#N/A,#N/A,FALSE,"Coversheet";#N/A,#N/A,FALSE,"QA"}</definedName>
    <definedName name="b" localSheetId="7" hidden="1">{#N/A,#N/A,FALSE,"Coversheet";#N/A,#N/A,FALSE,"QA"}</definedName>
    <definedName name="b" localSheetId="13" hidden="1">{#N/A,#N/A,FALSE,"Coversheet";#N/A,#N/A,FALSE,"QA"}</definedName>
    <definedName name="b" localSheetId="8" hidden="1">{#N/A,#N/A,FALSE,"Coversheet";#N/A,#N/A,FALSE,"QA"}</definedName>
    <definedName name="b" localSheetId="14" hidden="1">{#N/A,#N/A,FALSE,"Coversheet";#N/A,#N/A,FALSE,"QA"}</definedName>
    <definedName name="b" localSheetId="9" hidden="1">{#N/A,#N/A,FALSE,"Coversheet";#N/A,#N/A,FALSE,"QA"}</definedName>
    <definedName name="b" localSheetId="15" hidden="1">{#N/A,#N/A,FALSE,"Coversheet";#N/A,#N/A,FALSE,"QA"}</definedName>
    <definedName name="b" localSheetId="10" hidden="1">{#N/A,#N/A,FALSE,"Coversheet";#N/A,#N/A,FALSE,"QA"}</definedName>
    <definedName name="b" localSheetId="3" hidden="1">{#N/A,#N/A,FALSE,"Coversheet";#N/A,#N/A,FALSE,"QA"}</definedName>
    <definedName name="b" localSheetId="0" hidden="1">{#N/A,#N/A,FALSE,"Coversheet";#N/A,#N/A,FALSE,"QA"}</definedName>
    <definedName name="b" localSheetId="2" hidden="1">{#N/A,#N/A,FALSE,"Coversheet";#N/A,#N/A,FALSE,"QA"}</definedName>
    <definedName name="b" hidden="1">{#N/A,#N/A,FALSE,"Coversheet";#N/A,#N/A,FALSE,"QA"}</definedName>
    <definedName name="CBWorkbookPriority" hidden="1">-2060790043</definedName>
    <definedName name="DELETE01" localSheetId="4" hidden="1">{#N/A,#N/A,FALSE,"Coversheet";#N/A,#N/A,FALSE,"QA"}</definedName>
    <definedName name="DELETE01" localSheetId="1" hidden="1">{#N/A,#N/A,FALSE,"Coversheet";#N/A,#N/A,FALSE,"QA"}</definedName>
    <definedName name="DELETE01" localSheetId="5" hidden="1">{#N/A,#N/A,FALSE,"Coversheet";#N/A,#N/A,FALSE,"QA"}</definedName>
    <definedName name="DELETE01" localSheetId="11" hidden="1">{#N/A,#N/A,FALSE,"Coversheet";#N/A,#N/A,FALSE,"QA"}</definedName>
    <definedName name="DELETE01" localSheetId="6" hidden="1">{#N/A,#N/A,FALSE,"Coversheet";#N/A,#N/A,FALSE,"QA"}</definedName>
    <definedName name="DELETE01" localSheetId="12" hidden="1">{#N/A,#N/A,FALSE,"Coversheet";#N/A,#N/A,FALSE,"QA"}</definedName>
    <definedName name="DELETE01" localSheetId="7" hidden="1">{#N/A,#N/A,FALSE,"Coversheet";#N/A,#N/A,FALSE,"QA"}</definedName>
    <definedName name="DELETE01" localSheetId="13" hidden="1">{#N/A,#N/A,FALSE,"Coversheet";#N/A,#N/A,FALSE,"QA"}</definedName>
    <definedName name="DELETE01" localSheetId="8" hidden="1">{#N/A,#N/A,FALSE,"Coversheet";#N/A,#N/A,FALSE,"QA"}</definedName>
    <definedName name="DELETE01" localSheetId="14" hidden="1">{#N/A,#N/A,FALSE,"Coversheet";#N/A,#N/A,FALSE,"QA"}</definedName>
    <definedName name="DELETE01" localSheetId="9" hidden="1">{#N/A,#N/A,FALSE,"Coversheet";#N/A,#N/A,FALSE,"QA"}</definedName>
    <definedName name="DELETE01" localSheetId="15" hidden="1">{#N/A,#N/A,FALSE,"Coversheet";#N/A,#N/A,FALSE,"QA"}</definedName>
    <definedName name="DELETE01" localSheetId="10" hidden="1">{#N/A,#N/A,FALSE,"Coversheet";#N/A,#N/A,FALSE,"QA"}</definedName>
    <definedName name="DELETE01" localSheetId="3" hidden="1">{#N/A,#N/A,FALSE,"Coversheet";#N/A,#N/A,FALSE,"QA"}</definedName>
    <definedName name="DELETE01" localSheetId="0" hidden="1">{#N/A,#N/A,FALSE,"Coversheet";#N/A,#N/A,FALSE,"QA"}</definedName>
    <definedName name="DELETE01" localSheetId="2" hidden="1">{#N/A,#N/A,FALSE,"Coversheet";#N/A,#N/A,FALSE,"QA"}</definedName>
    <definedName name="DELETE01" hidden="1">{#N/A,#N/A,FALSE,"Coversheet";#N/A,#N/A,FALSE,"QA"}</definedName>
    <definedName name="DELETE02" localSheetId="4" hidden="1">{#N/A,#N/A,FALSE,"Schedule F";#N/A,#N/A,FALSE,"Schedule G"}</definedName>
    <definedName name="DELETE02" localSheetId="1" hidden="1">{#N/A,#N/A,FALSE,"Schedule F";#N/A,#N/A,FALSE,"Schedule G"}</definedName>
    <definedName name="DELETE02" localSheetId="5" hidden="1">{#N/A,#N/A,FALSE,"Schedule F";#N/A,#N/A,FALSE,"Schedule G"}</definedName>
    <definedName name="DELETE02" localSheetId="11" hidden="1">{#N/A,#N/A,FALSE,"Schedule F";#N/A,#N/A,FALSE,"Schedule G"}</definedName>
    <definedName name="DELETE02" localSheetId="6" hidden="1">{#N/A,#N/A,FALSE,"Schedule F";#N/A,#N/A,FALSE,"Schedule G"}</definedName>
    <definedName name="DELETE02" localSheetId="12" hidden="1">{#N/A,#N/A,FALSE,"Schedule F";#N/A,#N/A,FALSE,"Schedule G"}</definedName>
    <definedName name="DELETE02" localSheetId="7" hidden="1">{#N/A,#N/A,FALSE,"Schedule F";#N/A,#N/A,FALSE,"Schedule G"}</definedName>
    <definedName name="DELETE02" localSheetId="13" hidden="1">{#N/A,#N/A,FALSE,"Schedule F";#N/A,#N/A,FALSE,"Schedule G"}</definedName>
    <definedName name="DELETE02" localSheetId="8" hidden="1">{#N/A,#N/A,FALSE,"Schedule F";#N/A,#N/A,FALSE,"Schedule G"}</definedName>
    <definedName name="DELETE02" localSheetId="14" hidden="1">{#N/A,#N/A,FALSE,"Schedule F";#N/A,#N/A,FALSE,"Schedule G"}</definedName>
    <definedName name="DELETE02" localSheetId="9" hidden="1">{#N/A,#N/A,FALSE,"Schedule F";#N/A,#N/A,FALSE,"Schedule G"}</definedName>
    <definedName name="DELETE02" localSheetId="15" hidden="1">{#N/A,#N/A,FALSE,"Schedule F";#N/A,#N/A,FALSE,"Schedule G"}</definedName>
    <definedName name="DELETE02" localSheetId="10" hidden="1">{#N/A,#N/A,FALSE,"Schedule F";#N/A,#N/A,FALSE,"Schedule G"}</definedName>
    <definedName name="DELETE02" localSheetId="3" hidden="1">{#N/A,#N/A,FALSE,"Schedule F";#N/A,#N/A,FALSE,"Schedule G"}</definedName>
    <definedName name="DELETE02" localSheetId="0" hidden="1">{#N/A,#N/A,FALSE,"Schedule F";#N/A,#N/A,FALSE,"Schedule G"}</definedName>
    <definedName name="DELETE02" localSheetId="2" hidden="1">{#N/A,#N/A,FALSE,"Schedule F";#N/A,#N/A,FALSE,"Schedule G"}</definedName>
    <definedName name="DELETE02" hidden="1">{#N/A,#N/A,FALSE,"Schedule F";#N/A,#N/A,FALSE,"Schedule G"}</definedName>
    <definedName name="Delete06" localSheetId="4" hidden="1">{#N/A,#N/A,FALSE,"Coversheet";#N/A,#N/A,FALSE,"QA"}</definedName>
    <definedName name="Delete06" localSheetId="1" hidden="1">{#N/A,#N/A,FALSE,"Coversheet";#N/A,#N/A,FALSE,"QA"}</definedName>
    <definedName name="Delete06" localSheetId="5" hidden="1">{#N/A,#N/A,FALSE,"Coversheet";#N/A,#N/A,FALSE,"QA"}</definedName>
    <definedName name="Delete06" localSheetId="11" hidden="1">{#N/A,#N/A,FALSE,"Coversheet";#N/A,#N/A,FALSE,"QA"}</definedName>
    <definedName name="Delete06" localSheetId="6" hidden="1">{#N/A,#N/A,FALSE,"Coversheet";#N/A,#N/A,FALSE,"QA"}</definedName>
    <definedName name="Delete06" localSheetId="12" hidden="1">{#N/A,#N/A,FALSE,"Coversheet";#N/A,#N/A,FALSE,"QA"}</definedName>
    <definedName name="Delete06" localSheetId="7" hidden="1">{#N/A,#N/A,FALSE,"Coversheet";#N/A,#N/A,FALSE,"QA"}</definedName>
    <definedName name="Delete06" localSheetId="13" hidden="1">{#N/A,#N/A,FALSE,"Coversheet";#N/A,#N/A,FALSE,"QA"}</definedName>
    <definedName name="Delete06" localSheetId="8" hidden="1">{#N/A,#N/A,FALSE,"Coversheet";#N/A,#N/A,FALSE,"QA"}</definedName>
    <definedName name="Delete06" localSheetId="14" hidden="1">{#N/A,#N/A,FALSE,"Coversheet";#N/A,#N/A,FALSE,"QA"}</definedName>
    <definedName name="Delete06" localSheetId="9" hidden="1">{#N/A,#N/A,FALSE,"Coversheet";#N/A,#N/A,FALSE,"QA"}</definedName>
    <definedName name="Delete06" localSheetId="15" hidden="1">{#N/A,#N/A,FALSE,"Coversheet";#N/A,#N/A,FALSE,"QA"}</definedName>
    <definedName name="Delete06" localSheetId="10" hidden="1">{#N/A,#N/A,FALSE,"Coversheet";#N/A,#N/A,FALSE,"QA"}</definedName>
    <definedName name="Delete06" localSheetId="3" hidden="1">{#N/A,#N/A,FALSE,"Coversheet";#N/A,#N/A,FALSE,"QA"}</definedName>
    <definedName name="Delete06" localSheetId="0" hidden="1">{#N/A,#N/A,FALSE,"Coversheet";#N/A,#N/A,FALSE,"QA"}</definedName>
    <definedName name="Delete06" localSheetId="2" hidden="1">{#N/A,#N/A,FALSE,"Coversheet";#N/A,#N/A,FALSE,"QA"}</definedName>
    <definedName name="Delete06" hidden="1">{#N/A,#N/A,FALSE,"Coversheet";#N/A,#N/A,FALSE,"QA"}</definedName>
    <definedName name="Delete09" localSheetId="4" hidden="1">{#N/A,#N/A,FALSE,"Coversheet";#N/A,#N/A,FALSE,"QA"}</definedName>
    <definedName name="Delete09" localSheetId="1" hidden="1">{#N/A,#N/A,FALSE,"Coversheet";#N/A,#N/A,FALSE,"QA"}</definedName>
    <definedName name="Delete09" localSheetId="5" hidden="1">{#N/A,#N/A,FALSE,"Coversheet";#N/A,#N/A,FALSE,"QA"}</definedName>
    <definedName name="Delete09" localSheetId="11" hidden="1">{#N/A,#N/A,FALSE,"Coversheet";#N/A,#N/A,FALSE,"QA"}</definedName>
    <definedName name="Delete09" localSheetId="6" hidden="1">{#N/A,#N/A,FALSE,"Coversheet";#N/A,#N/A,FALSE,"QA"}</definedName>
    <definedName name="Delete09" localSheetId="12" hidden="1">{#N/A,#N/A,FALSE,"Coversheet";#N/A,#N/A,FALSE,"QA"}</definedName>
    <definedName name="Delete09" localSheetId="7" hidden="1">{#N/A,#N/A,FALSE,"Coversheet";#N/A,#N/A,FALSE,"QA"}</definedName>
    <definedName name="Delete09" localSheetId="13" hidden="1">{#N/A,#N/A,FALSE,"Coversheet";#N/A,#N/A,FALSE,"QA"}</definedName>
    <definedName name="Delete09" localSheetId="8" hidden="1">{#N/A,#N/A,FALSE,"Coversheet";#N/A,#N/A,FALSE,"QA"}</definedName>
    <definedName name="Delete09" localSheetId="14" hidden="1">{#N/A,#N/A,FALSE,"Coversheet";#N/A,#N/A,FALSE,"QA"}</definedName>
    <definedName name="Delete09" localSheetId="9" hidden="1">{#N/A,#N/A,FALSE,"Coversheet";#N/A,#N/A,FALSE,"QA"}</definedName>
    <definedName name="Delete09" localSheetId="15" hidden="1">{#N/A,#N/A,FALSE,"Coversheet";#N/A,#N/A,FALSE,"QA"}</definedName>
    <definedName name="Delete09" localSheetId="10" hidden="1">{#N/A,#N/A,FALSE,"Coversheet";#N/A,#N/A,FALSE,"QA"}</definedName>
    <definedName name="Delete09" localSheetId="3" hidden="1">{#N/A,#N/A,FALSE,"Coversheet";#N/A,#N/A,FALSE,"QA"}</definedName>
    <definedName name="Delete09" localSheetId="0" hidden="1">{#N/A,#N/A,FALSE,"Coversheet";#N/A,#N/A,FALSE,"QA"}</definedName>
    <definedName name="Delete09" localSheetId="2" hidden="1">{#N/A,#N/A,FALSE,"Coversheet";#N/A,#N/A,FALSE,"QA"}</definedName>
    <definedName name="Delete09" hidden="1">{#N/A,#N/A,FALSE,"Coversheet";#N/A,#N/A,FALSE,"QA"}</definedName>
    <definedName name="Delete1" localSheetId="4" hidden="1">{#N/A,#N/A,FALSE,"Coversheet";#N/A,#N/A,FALSE,"QA"}</definedName>
    <definedName name="Delete1" localSheetId="1" hidden="1">{#N/A,#N/A,FALSE,"Coversheet";#N/A,#N/A,FALSE,"QA"}</definedName>
    <definedName name="Delete1" localSheetId="5" hidden="1">{#N/A,#N/A,FALSE,"Coversheet";#N/A,#N/A,FALSE,"QA"}</definedName>
    <definedName name="Delete1" localSheetId="11" hidden="1">{#N/A,#N/A,FALSE,"Coversheet";#N/A,#N/A,FALSE,"QA"}</definedName>
    <definedName name="Delete1" localSheetId="6" hidden="1">{#N/A,#N/A,FALSE,"Coversheet";#N/A,#N/A,FALSE,"QA"}</definedName>
    <definedName name="Delete1" localSheetId="12" hidden="1">{#N/A,#N/A,FALSE,"Coversheet";#N/A,#N/A,FALSE,"QA"}</definedName>
    <definedName name="Delete1" localSheetId="7" hidden="1">{#N/A,#N/A,FALSE,"Coversheet";#N/A,#N/A,FALSE,"QA"}</definedName>
    <definedName name="Delete1" localSheetId="13" hidden="1">{#N/A,#N/A,FALSE,"Coversheet";#N/A,#N/A,FALSE,"QA"}</definedName>
    <definedName name="Delete1" localSheetId="8" hidden="1">{#N/A,#N/A,FALSE,"Coversheet";#N/A,#N/A,FALSE,"QA"}</definedName>
    <definedName name="Delete1" localSheetId="14" hidden="1">{#N/A,#N/A,FALSE,"Coversheet";#N/A,#N/A,FALSE,"QA"}</definedName>
    <definedName name="Delete1" localSheetId="9" hidden="1">{#N/A,#N/A,FALSE,"Coversheet";#N/A,#N/A,FALSE,"QA"}</definedName>
    <definedName name="Delete1" localSheetId="15" hidden="1">{#N/A,#N/A,FALSE,"Coversheet";#N/A,#N/A,FALSE,"QA"}</definedName>
    <definedName name="Delete1" localSheetId="10" hidden="1">{#N/A,#N/A,FALSE,"Coversheet";#N/A,#N/A,FALSE,"QA"}</definedName>
    <definedName name="Delete1" localSheetId="3" hidden="1">{#N/A,#N/A,FALSE,"Coversheet";#N/A,#N/A,FALSE,"QA"}</definedName>
    <definedName name="Delete1" localSheetId="0" hidden="1">{#N/A,#N/A,FALSE,"Coversheet";#N/A,#N/A,FALSE,"QA"}</definedName>
    <definedName name="Delete1" localSheetId="2" hidden="1">{#N/A,#N/A,FALSE,"Coversheet";#N/A,#N/A,FALSE,"QA"}</definedName>
    <definedName name="Delete1" hidden="1">{#N/A,#N/A,FALSE,"Coversheet";#N/A,#N/A,FALSE,"QA"}</definedName>
    <definedName name="Delete10" localSheetId="4" hidden="1">{#N/A,#N/A,FALSE,"Schedule F";#N/A,#N/A,FALSE,"Schedule G"}</definedName>
    <definedName name="Delete10" localSheetId="1" hidden="1">{#N/A,#N/A,FALSE,"Schedule F";#N/A,#N/A,FALSE,"Schedule G"}</definedName>
    <definedName name="Delete10" localSheetId="5" hidden="1">{#N/A,#N/A,FALSE,"Schedule F";#N/A,#N/A,FALSE,"Schedule G"}</definedName>
    <definedName name="Delete10" localSheetId="11" hidden="1">{#N/A,#N/A,FALSE,"Schedule F";#N/A,#N/A,FALSE,"Schedule G"}</definedName>
    <definedName name="Delete10" localSheetId="6" hidden="1">{#N/A,#N/A,FALSE,"Schedule F";#N/A,#N/A,FALSE,"Schedule G"}</definedName>
    <definedName name="Delete10" localSheetId="12" hidden="1">{#N/A,#N/A,FALSE,"Schedule F";#N/A,#N/A,FALSE,"Schedule G"}</definedName>
    <definedName name="Delete10" localSheetId="7" hidden="1">{#N/A,#N/A,FALSE,"Schedule F";#N/A,#N/A,FALSE,"Schedule G"}</definedName>
    <definedName name="Delete10" localSheetId="13" hidden="1">{#N/A,#N/A,FALSE,"Schedule F";#N/A,#N/A,FALSE,"Schedule G"}</definedName>
    <definedName name="Delete10" localSheetId="8" hidden="1">{#N/A,#N/A,FALSE,"Schedule F";#N/A,#N/A,FALSE,"Schedule G"}</definedName>
    <definedName name="Delete10" localSheetId="14" hidden="1">{#N/A,#N/A,FALSE,"Schedule F";#N/A,#N/A,FALSE,"Schedule G"}</definedName>
    <definedName name="Delete10" localSheetId="9" hidden="1">{#N/A,#N/A,FALSE,"Schedule F";#N/A,#N/A,FALSE,"Schedule G"}</definedName>
    <definedName name="Delete10" localSheetId="15" hidden="1">{#N/A,#N/A,FALSE,"Schedule F";#N/A,#N/A,FALSE,"Schedule G"}</definedName>
    <definedName name="Delete10" localSheetId="10" hidden="1">{#N/A,#N/A,FALSE,"Schedule F";#N/A,#N/A,FALSE,"Schedule G"}</definedName>
    <definedName name="Delete10" localSheetId="3" hidden="1">{#N/A,#N/A,FALSE,"Schedule F";#N/A,#N/A,FALSE,"Schedule G"}</definedName>
    <definedName name="Delete10" localSheetId="0" hidden="1">{#N/A,#N/A,FALSE,"Schedule F";#N/A,#N/A,FALSE,"Schedule G"}</definedName>
    <definedName name="Delete10" localSheetId="2" hidden="1">{#N/A,#N/A,FALSE,"Schedule F";#N/A,#N/A,FALSE,"Schedule G"}</definedName>
    <definedName name="Delete10" hidden="1">{#N/A,#N/A,FALSE,"Schedule F";#N/A,#N/A,FALSE,"Schedule G"}</definedName>
    <definedName name="Delete21" localSheetId="4" hidden="1">{#N/A,#N/A,FALSE,"Coversheet";#N/A,#N/A,FALSE,"QA"}</definedName>
    <definedName name="Delete21" localSheetId="1" hidden="1">{#N/A,#N/A,FALSE,"Coversheet";#N/A,#N/A,FALSE,"QA"}</definedName>
    <definedName name="Delete21" localSheetId="5" hidden="1">{#N/A,#N/A,FALSE,"Coversheet";#N/A,#N/A,FALSE,"QA"}</definedName>
    <definedName name="Delete21" localSheetId="11" hidden="1">{#N/A,#N/A,FALSE,"Coversheet";#N/A,#N/A,FALSE,"QA"}</definedName>
    <definedName name="Delete21" localSheetId="6" hidden="1">{#N/A,#N/A,FALSE,"Coversheet";#N/A,#N/A,FALSE,"QA"}</definedName>
    <definedName name="Delete21" localSheetId="12" hidden="1">{#N/A,#N/A,FALSE,"Coversheet";#N/A,#N/A,FALSE,"QA"}</definedName>
    <definedName name="Delete21" localSheetId="7" hidden="1">{#N/A,#N/A,FALSE,"Coversheet";#N/A,#N/A,FALSE,"QA"}</definedName>
    <definedName name="Delete21" localSheetId="13" hidden="1">{#N/A,#N/A,FALSE,"Coversheet";#N/A,#N/A,FALSE,"QA"}</definedName>
    <definedName name="Delete21" localSheetId="8" hidden="1">{#N/A,#N/A,FALSE,"Coversheet";#N/A,#N/A,FALSE,"QA"}</definedName>
    <definedName name="Delete21" localSheetId="14" hidden="1">{#N/A,#N/A,FALSE,"Coversheet";#N/A,#N/A,FALSE,"QA"}</definedName>
    <definedName name="Delete21" localSheetId="9" hidden="1">{#N/A,#N/A,FALSE,"Coversheet";#N/A,#N/A,FALSE,"QA"}</definedName>
    <definedName name="Delete21" localSheetId="15" hidden="1">{#N/A,#N/A,FALSE,"Coversheet";#N/A,#N/A,FALSE,"QA"}</definedName>
    <definedName name="Delete21" localSheetId="10" hidden="1">{#N/A,#N/A,FALSE,"Coversheet";#N/A,#N/A,FALSE,"QA"}</definedName>
    <definedName name="Delete21" localSheetId="3" hidden="1">{#N/A,#N/A,FALSE,"Coversheet";#N/A,#N/A,FALSE,"QA"}</definedName>
    <definedName name="Delete21" localSheetId="0" hidden="1">{#N/A,#N/A,FALSE,"Coversheet";#N/A,#N/A,FALSE,"QA"}</definedName>
    <definedName name="Delete21" localSheetId="2" hidden="1">{#N/A,#N/A,FALSE,"Coversheet";#N/A,#N/A,FALSE,"QA"}</definedName>
    <definedName name="Delete21" hidden="1">{#N/A,#N/A,FALSE,"Coversheet";#N/A,#N/A,FALSE,"QA"}</definedName>
    <definedName name="DFIT" localSheetId="4" hidden="1">{#N/A,#N/A,FALSE,"Coversheet";#N/A,#N/A,FALSE,"QA"}</definedName>
    <definedName name="DFIT" localSheetId="1" hidden="1">{#N/A,#N/A,FALSE,"Coversheet";#N/A,#N/A,FALSE,"QA"}</definedName>
    <definedName name="DFIT" localSheetId="5" hidden="1">{#N/A,#N/A,FALSE,"Coversheet";#N/A,#N/A,FALSE,"QA"}</definedName>
    <definedName name="DFIT" localSheetId="11" hidden="1">{#N/A,#N/A,FALSE,"Coversheet";#N/A,#N/A,FALSE,"QA"}</definedName>
    <definedName name="DFIT" localSheetId="6" hidden="1">{#N/A,#N/A,FALSE,"Coversheet";#N/A,#N/A,FALSE,"QA"}</definedName>
    <definedName name="DFIT" localSheetId="12" hidden="1">{#N/A,#N/A,FALSE,"Coversheet";#N/A,#N/A,FALSE,"QA"}</definedName>
    <definedName name="DFIT" localSheetId="7" hidden="1">{#N/A,#N/A,FALSE,"Coversheet";#N/A,#N/A,FALSE,"QA"}</definedName>
    <definedName name="DFIT" localSheetId="13" hidden="1">{#N/A,#N/A,FALSE,"Coversheet";#N/A,#N/A,FALSE,"QA"}</definedName>
    <definedName name="DFIT" localSheetId="8" hidden="1">{#N/A,#N/A,FALSE,"Coversheet";#N/A,#N/A,FALSE,"QA"}</definedName>
    <definedName name="DFIT" localSheetId="14" hidden="1">{#N/A,#N/A,FALSE,"Coversheet";#N/A,#N/A,FALSE,"QA"}</definedName>
    <definedName name="DFIT" localSheetId="9" hidden="1">{#N/A,#N/A,FALSE,"Coversheet";#N/A,#N/A,FALSE,"QA"}</definedName>
    <definedName name="DFIT" localSheetId="15" hidden="1">{#N/A,#N/A,FALSE,"Coversheet";#N/A,#N/A,FALSE,"QA"}</definedName>
    <definedName name="DFIT" localSheetId="10" hidden="1">{#N/A,#N/A,FALSE,"Coversheet";#N/A,#N/A,FALSE,"QA"}</definedName>
    <definedName name="DFIT" localSheetId="3" hidden="1">{#N/A,#N/A,FALSE,"Coversheet";#N/A,#N/A,FALSE,"QA"}</definedName>
    <definedName name="DFIT" localSheetId="0" hidden="1">{#N/A,#N/A,FALSE,"Coversheet";#N/A,#N/A,FALSE,"QA"}</definedName>
    <definedName name="DFIT" localSheetId="2" hidden="1">{#N/A,#N/A,FALSE,"Coversheet";#N/A,#N/A,FALSE,"QA"}</definedName>
    <definedName name="DFIT" hidden="1">{#N/A,#N/A,FALSE,"Coversheet";#N/A,#N/A,FALSE,"QA"}</definedName>
    <definedName name="ee" localSheetId="5" hidden="1">{#N/A,#N/A,FALSE,"Month ";#N/A,#N/A,FALSE,"YTD";#N/A,#N/A,FALSE,"12 mo ended"}</definedName>
    <definedName name="ee" localSheetId="7" hidden="1">{#N/A,#N/A,FALSE,"Month ";#N/A,#N/A,FALSE,"YTD";#N/A,#N/A,FALSE,"12 mo ended"}</definedName>
    <definedName name="ee" localSheetId="8" hidden="1">{#N/A,#N/A,FALSE,"Month ";#N/A,#N/A,FALSE,"YTD";#N/A,#N/A,FALSE,"12 mo ended"}</definedName>
    <definedName name="ee" localSheetId="9" hidden="1">{#N/A,#N/A,FALSE,"Month ";#N/A,#N/A,FALSE,"YTD";#N/A,#N/A,FALSE,"12 mo ended"}</definedName>
    <definedName name="ee" localSheetId="15" hidden="1">{#N/A,#N/A,FALSE,"Month ";#N/A,#N/A,FALSE,"YTD";#N/A,#N/A,FALSE,"12 mo ended"}</definedName>
    <definedName name="ee" localSheetId="0" hidden="1">{#N/A,#N/A,FALSE,"Month ";#N/A,#N/A,FALSE,"YTD";#N/A,#N/A,FALSE,"12 mo ended"}</definedName>
    <definedName name="ee" localSheetId="2" hidden="1">{#N/A,#N/A,FALSE,"Month ";#N/A,#N/A,FALSE,"YTD";#N/A,#N/A,FALSE,"12 mo ended"}</definedName>
    <definedName name="ee" hidden="1">{#N/A,#N/A,FALSE,"Month ";#N/A,#N/A,FALSE,"YTD";#N/A,#N/A,FALSE,"12 mo ended"}</definedName>
    <definedName name="Estimate" localSheetId="11" hidden="1">{#N/A,#N/A,FALSE,"Summ";#N/A,#N/A,FALSE,"General"}</definedName>
    <definedName name="Estimate" localSheetId="12" hidden="1">{#N/A,#N/A,FALSE,"Summ";#N/A,#N/A,FALSE,"General"}</definedName>
    <definedName name="Estimate" localSheetId="13" hidden="1">{#N/A,#N/A,FALSE,"Summ";#N/A,#N/A,FALSE,"General"}</definedName>
    <definedName name="Estimate" localSheetId="14" hidden="1">{#N/A,#N/A,FALSE,"Summ";#N/A,#N/A,FALSE,"General"}</definedName>
    <definedName name="Estimate" localSheetId="10" hidden="1">{#N/A,#N/A,FALSE,"Summ";#N/A,#N/A,FALSE,"General"}</definedName>
    <definedName name="Estimate" localSheetId="3" hidden="1">{#N/A,#N/A,FALSE,"Summ";#N/A,#N/A,FALSE,"General"}</definedName>
    <definedName name="Estimate" hidden="1">{#N/A,#N/A,FALSE,"Summ";#N/A,#N/A,FALSE,"General"}</definedName>
    <definedName name="ex" localSheetId="11" hidden="1">{#N/A,#N/A,FALSE,"Summ";#N/A,#N/A,FALSE,"General"}</definedName>
    <definedName name="ex" localSheetId="12" hidden="1">{#N/A,#N/A,FALSE,"Summ";#N/A,#N/A,FALSE,"General"}</definedName>
    <definedName name="ex" localSheetId="13" hidden="1">{#N/A,#N/A,FALSE,"Summ";#N/A,#N/A,FALSE,"General"}</definedName>
    <definedName name="ex" localSheetId="14" hidden="1">{#N/A,#N/A,FALSE,"Summ";#N/A,#N/A,FALSE,"General"}</definedName>
    <definedName name="ex" localSheetId="10" hidden="1">{#N/A,#N/A,FALSE,"Summ";#N/A,#N/A,FALSE,"General"}</definedName>
    <definedName name="ex" localSheetId="3" hidden="1">{#N/A,#N/A,FALSE,"Summ";#N/A,#N/A,FALSE,"General"}</definedName>
    <definedName name="ex" hidden="1">{#N/A,#N/A,FALSE,"Summ";#N/A,#N/A,FALSE,"General"}</definedName>
    <definedName name="fdasfdas"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localSheetId="5" hidden="1">{#N/A,#N/A,FALSE,"Month ";#N/A,#N/A,FALSE,"YTD";#N/A,#N/A,FALSE,"12 mo ended"}</definedName>
    <definedName name="fdsafdasfdsa" localSheetId="7" hidden="1">{#N/A,#N/A,FALSE,"Month ";#N/A,#N/A,FALSE,"YTD";#N/A,#N/A,FALSE,"12 mo ended"}</definedName>
    <definedName name="fdsafdasfdsa" localSheetId="8" hidden="1">{#N/A,#N/A,FALSE,"Month ";#N/A,#N/A,FALSE,"YTD";#N/A,#N/A,FALSE,"12 mo ended"}</definedName>
    <definedName name="fdsafdasfdsa" localSheetId="9" hidden="1">{#N/A,#N/A,FALSE,"Month ";#N/A,#N/A,FALSE,"YTD";#N/A,#N/A,FALSE,"12 mo ended"}</definedName>
    <definedName name="fdsafdasfdsa" localSheetId="15" hidden="1">{#N/A,#N/A,FALSE,"Month ";#N/A,#N/A,FALSE,"YTD";#N/A,#N/A,FALSE,"12 mo ended"}</definedName>
    <definedName name="fdsafdasfdsa" localSheetId="0" hidden="1">{#N/A,#N/A,FALSE,"Month ";#N/A,#N/A,FALSE,"YTD";#N/A,#N/A,FALSE,"12 mo ended"}</definedName>
    <definedName name="fdsafdasfdsa" localSheetId="2" hidden="1">{#N/A,#N/A,FALSE,"Month ";#N/A,#N/A,FALSE,"YTD";#N/A,#N/A,FALSE,"12 mo ended"}</definedName>
    <definedName name="fdsafdasfdsa" hidden="1">{#N/A,#N/A,FALSE,"Month ";#N/A,#N/A,FALSE,"YTD";#N/A,#N/A,FALSE,"12 mo ended"}</definedName>
    <definedName name="Jane" localSheetId="11" hidden="1">{#N/A,#N/A,FALSE,"Expenditures";#N/A,#N/A,FALSE,"Property Placed In-Service";#N/A,#N/A,FALSE,"Removals";#N/A,#N/A,FALSE,"Retirements";#N/A,#N/A,FALSE,"CWIP Balances";#N/A,#N/A,FALSE,"CWIP_Expend_Ratios";#N/A,#N/A,FALSE,"CWIP_Yr_End"}</definedName>
    <definedName name="Jane" localSheetId="12" hidden="1">{#N/A,#N/A,FALSE,"Expenditures";#N/A,#N/A,FALSE,"Property Placed In-Service";#N/A,#N/A,FALSE,"Removals";#N/A,#N/A,FALSE,"Retirements";#N/A,#N/A,FALSE,"CWIP Balances";#N/A,#N/A,FALSE,"CWIP_Expend_Ratios";#N/A,#N/A,FALSE,"CWIP_Yr_End"}</definedName>
    <definedName name="Jane" localSheetId="13" hidden="1">{#N/A,#N/A,FALSE,"Expenditures";#N/A,#N/A,FALSE,"Property Placed In-Service";#N/A,#N/A,FALSE,"Removals";#N/A,#N/A,FALSE,"Retirements";#N/A,#N/A,FALSE,"CWIP Balances";#N/A,#N/A,FALSE,"CWIP_Expend_Ratios";#N/A,#N/A,FALSE,"CWIP_Yr_End"}</definedName>
    <definedName name="Jane" localSheetId="14" hidden="1">{#N/A,#N/A,FALSE,"Expenditures";#N/A,#N/A,FALSE,"Property Placed In-Service";#N/A,#N/A,FALSE,"Removals";#N/A,#N/A,FALSE,"Retirements";#N/A,#N/A,FALSE,"CWIP Balances";#N/A,#N/A,FALSE,"CWIP_Expend_Ratios";#N/A,#N/A,FALSE,"CWIP_Yr_End"}</definedName>
    <definedName name="Jane" localSheetId="10" hidden="1">{#N/A,#N/A,FALSE,"Expenditures";#N/A,#N/A,FALSE,"Property Placed In-Service";#N/A,#N/A,FALSE,"Removals";#N/A,#N/A,FALSE,"Retirements";#N/A,#N/A,FALSE,"CWIP Balances";#N/A,#N/A,FALSE,"CWIP_Expend_Ratios";#N/A,#N/A,FALSE,"CWIP_Yr_End"}</definedName>
    <definedName name="Jane" localSheetId="3" hidden="1">{#N/A,#N/A,FALSE,"Expenditures";#N/A,#N/A,FALSE,"Property Placed In-Service";#N/A,#N/A,FALSE,"Removals";#N/A,#N/A,FALSE,"Retirements";#N/A,#N/A,FALSE,"CWIP Balances";#N/A,#N/A,FALSE,"CWIP_Expend_Ratios";#N/A,#N/A,FALSE,"CWIP_Yr_End"}</definedName>
    <definedName name="Jane" hidden="1">{#N/A,#N/A,FALSE,"Expenditures";#N/A,#N/A,FALSE,"Property Placed In-Service";#N/A,#N/A,FALSE,"Removals";#N/A,#N/A,FALSE,"Retirements";#N/A,#N/A,FALSE,"CWIP Balances";#N/A,#N/A,FALSE,"CWIP_Expend_Ratios";#N/A,#N/A,FALSE,"CWIP_Yr_End"}</definedName>
    <definedName name="k"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localSheetId="5" hidden="1">{#N/A,#N/A,FALSE,"Coversheet";#N/A,#N/A,FALSE,"QA"}</definedName>
    <definedName name="lookup" localSheetId="7" hidden="1">{#N/A,#N/A,FALSE,"Coversheet";#N/A,#N/A,FALSE,"QA"}</definedName>
    <definedName name="lookup" localSheetId="8" hidden="1">{#N/A,#N/A,FALSE,"Coversheet";#N/A,#N/A,FALSE,"QA"}</definedName>
    <definedName name="lookup" localSheetId="9" hidden="1">{#N/A,#N/A,FALSE,"Coversheet";#N/A,#N/A,FALSE,"QA"}</definedName>
    <definedName name="lookup" localSheetId="15" hidden="1">{#N/A,#N/A,FALSE,"Coversheet";#N/A,#N/A,FALSE,"QA"}</definedName>
    <definedName name="lookup" localSheetId="0" hidden="1">{#N/A,#N/A,FALSE,"Coversheet";#N/A,#N/A,FALSE,"QA"}</definedName>
    <definedName name="lookup" localSheetId="2" hidden="1">{#N/A,#N/A,FALSE,"Coversheet";#N/A,#N/A,FALSE,"QA"}</definedName>
    <definedName name="lookup" hidden="1">{#N/A,#N/A,FALSE,"Coversheet";#N/A,#N/A,FALSE,"QA"}</definedName>
    <definedName name="Miller" localSheetId="11" hidden="1">{#N/A,#N/A,FALSE,"Expenditures";#N/A,#N/A,FALSE,"Property Placed In-Service";#N/A,#N/A,FALSE,"CWIP Balances"}</definedName>
    <definedName name="Miller" localSheetId="12" hidden="1">{#N/A,#N/A,FALSE,"Expenditures";#N/A,#N/A,FALSE,"Property Placed In-Service";#N/A,#N/A,FALSE,"CWIP Balances"}</definedName>
    <definedName name="Miller" localSheetId="13" hidden="1">{#N/A,#N/A,FALSE,"Expenditures";#N/A,#N/A,FALSE,"Property Placed In-Service";#N/A,#N/A,FALSE,"CWIP Balances"}</definedName>
    <definedName name="Miller" localSheetId="14" hidden="1">{#N/A,#N/A,FALSE,"Expenditures";#N/A,#N/A,FALSE,"Property Placed In-Service";#N/A,#N/A,FALSE,"CWIP Balances"}</definedName>
    <definedName name="Miller" localSheetId="10" hidden="1">{#N/A,#N/A,FALSE,"Expenditures";#N/A,#N/A,FALSE,"Property Placed In-Service";#N/A,#N/A,FALSE,"CWIP Balances"}</definedName>
    <definedName name="Miller" localSheetId="3" hidden="1">{#N/A,#N/A,FALSE,"Expenditures";#N/A,#N/A,FALSE,"Property Placed In-Service";#N/A,#N/A,FALSE,"CWIP Balances"}</definedName>
    <definedName name="Miller" hidden="1">{#N/A,#N/A,FALSE,"Expenditures";#N/A,#N/A,FALSE,"Property Placed In-Service";#N/A,#N/A,FALSE,"CWIP Balances"}</definedName>
    <definedName name="new" localSheetId="11" hidden="1">{#N/A,#N/A,FALSE,"Summ";#N/A,#N/A,FALSE,"General"}</definedName>
    <definedName name="new" localSheetId="12" hidden="1">{#N/A,#N/A,FALSE,"Summ";#N/A,#N/A,FALSE,"General"}</definedName>
    <definedName name="new" localSheetId="13" hidden="1">{#N/A,#N/A,FALSE,"Summ";#N/A,#N/A,FALSE,"General"}</definedName>
    <definedName name="new" localSheetId="14" hidden="1">{#N/A,#N/A,FALSE,"Summ";#N/A,#N/A,FALSE,"General"}</definedName>
    <definedName name="new" localSheetId="10" hidden="1">{#N/A,#N/A,FALSE,"Summ";#N/A,#N/A,FALSE,"General"}</definedName>
    <definedName name="new" localSheetId="3" hidden="1">{#N/A,#N/A,FALSE,"Summ";#N/A,#N/A,FALSE,"General"}</definedName>
    <definedName name="new" hidden="1">{#N/A,#N/A,FALSE,"Summ";#N/A,#N/A,FALSE,"General"}</definedName>
    <definedName name="p"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7"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8"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4">'Ex A-1 2007GRC'!$A$1:$L$50</definedName>
    <definedName name="_xlnm.Print_Area" localSheetId="1">'Ex A-1 Updated Actual'!$A$1:$G$54</definedName>
    <definedName name="_xlnm.Print_Titles" localSheetId="15">'Ex D - 2009 GRC'!$1:$11</definedName>
    <definedName name="_xlnm.Print_Titles" localSheetId="3">'Exh D 12-10'!$1:$9</definedName>
    <definedName name="qqq" localSheetId="11" hidden="1">{#N/A,#N/A,FALSE,"schA"}</definedName>
    <definedName name="qqq" localSheetId="12" hidden="1">{#N/A,#N/A,FALSE,"schA"}</definedName>
    <definedName name="qqq" localSheetId="13" hidden="1">{#N/A,#N/A,FALSE,"schA"}</definedName>
    <definedName name="qqq" localSheetId="14" hidden="1">{#N/A,#N/A,FALSE,"schA"}</definedName>
    <definedName name="qqq" localSheetId="10" hidden="1">{#N/A,#N/A,FALSE,"schA"}</definedName>
    <definedName name="qqq" localSheetId="3" hidden="1">{#N/A,#N/A,FALSE,"schA"}</definedName>
    <definedName name="qqq" hidden="1">{#N/A,#N/A,FALSE,"schA"}</definedName>
    <definedName name="six" localSheetId="11" hidden="1">{#N/A,#N/A,FALSE,"Drill Sites";"WP 212",#N/A,FALSE,"MWAG EOR";"WP 213",#N/A,FALSE,"MWAG EOR";#N/A,#N/A,FALSE,"Misc. Facility";#N/A,#N/A,FALSE,"WWTP"}</definedName>
    <definedName name="six" localSheetId="12" hidden="1">{#N/A,#N/A,FALSE,"Drill Sites";"WP 212",#N/A,FALSE,"MWAG EOR";"WP 213",#N/A,FALSE,"MWAG EOR";#N/A,#N/A,FALSE,"Misc. Facility";#N/A,#N/A,FALSE,"WWTP"}</definedName>
    <definedName name="six" localSheetId="13" hidden="1">{#N/A,#N/A,FALSE,"Drill Sites";"WP 212",#N/A,FALSE,"MWAG EOR";"WP 213",#N/A,FALSE,"MWAG EOR";#N/A,#N/A,FALSE,"Misc. Facility";#N/A,#N/A,FALSE,"WWTP"}</definedName>
    <definedName name="six" localSheetId="14" hidden="1">{#N/A,#N/A,FALSE,"Drill Sites";"WP 212",#N/A,FALSE,"MWAG EOR";"WP 213",#N/A,FALSE,"MWAG EOR";#N/A,#N/A,FALSE,"Misc. Facility";#N/A,#N/A,FALSE,"WWTP"}</definedName>
    <definedName name="six" localSheetId="10" hidden="1">{#N/A,#N/A,FALSE,"Drill Sites";"WP 212",#N/A,FALSE,"MWAG EOR";"WP 213",#N/A,FALSE,"MWAG EOR";#N/A,#N/A,FALSE,"Misc. Facility";#N/A,#N/A,FALSE,"WWTP"}</definedName>
    <definedName name="six" localSheetId="3" hidden="1">{#N/A,#N/A,FALSE,"Drill Sites";"WP 212",#N/A,FALSE,"MWAG EOR";"WP 213",#N/A,FALSE,"MWAG EOR";#N/A,#N/A,FALSE,"Misc. Facility";#N/A,#N/A,FALSE,"WWTP"}</definedName>
    <definedName name="six" hidden="1">{#N/A,#N/A,FALSE,"Drill Sites";"WP 212",#N/A,FALSE,"MWAG EOR";"WP 213",#N/A,FALSE,"MWAG EOR";#N/A,#N/A,FALSE,"Misc. Facility";#N/A,#N/A,FALSE,"WWTP"}</definedName>
    <definedName name="six6" localSheetId="11" hidden="1">{#N/A,#N/A,FALSE,"CRPT";#N/A,#N/A,FALSE,"TREND";#N/A,#N/A,FALSE,"%Curve"}</definedName>
    <definedName name="six6" localSheetId="12" hidden="1">{#N/A,#N/A,FALSE,"CRPT";#N/A,#N/A,FALSE,"TREND";#N/A,#N/A,FALSE,"%Curve"}</definedName>
    <definedName name="six6" localSheetId="13" hidden="1">{#N/A,#N/A,FALSE,"CRPT";#N/A,#N/A,FALSE,"TREND";#N/A,#N/A,FALSE,"%Curve"}</definedName>
    <definedName name="six6" localSheetId="14" hidden="1">{#N/A,#N/A,FALSE,"CRPT";#N/A,#N/A,FALSE,"TREND";#N/A,#N/A,FALSE,"%Curve"}</definedName>
    <definedName name="six6" localSheetId="10" hidden="1">{#N/A,#N/A,FALSE,"CRPT";#N/A,#N/A,FALSE,"TREND";#N/A,#N/A,FALSE,"%Curve"}</definedName>
    <definedName name="six6" localSheetId="3" hidden="1">{#N/A,#N/A,FALSE,"CRPT";#N/A,#N/A,FALSE,"TREND";#N/A,#N/A,FALSE,"%Curve"}</definedName>
    <definedName name="six6" hidden="1">{#N/A,#N/A,FALSE,"CRPT";#N/A,#N/A,FALSE,"TREND";#N/A,#N/A,FALSE,"%Curve"}</definedName>
    <definedName name="t" localSheetId="11" hidden="1">{#N/A,#N/A,FALSE,"CESTSUM";#N/A,#N/A,FALSE,"est sum A";#N/A,#N/A,FALSE,"est detail A"}</definedName>
    <definedName name="t" localSheetId="12" hidden="1">{#N/A,#N/A,FALSE,"CESTSUM";#N/A,#N/A,FALSE,"est sum A";#N/A,#N/A,FALSE,"est detail A"}</definedName>
    <definedName name="t" localSheetId="13" hidden="1">{#N/A,#N/A,FALSE,"CESTSUM";#N/A,#N/A,FALSE,"est sum A";#N/A,#N/A,FALSE,"est detail A"}</definedName>
    <definedName name="t" localSheetId="14" hidden="1">{#N/A,#N/A,FALSE,"CESTSUM";#N/A,#N/A,FALSE,"est sum A";#N/A,#N/A,FALSE,"est detail A"}</definedName>
    <definedName name="t" localSheetId="10" hidden="1">{#N/A,#N/A,FALSE,"CESTSUM";#N/A,#N/A,FALSE,"est sum A";#N/A,#N/A,FALSE,"est detail A"}</definedName>
    <definedName name="t" localSheetId="3" hidden="1">{#N/A,#N/A,FALSE,"CESTSUM";#N/A,#N/A,FALSE,"est sum A";#N/A,#N/A,FALSE,"est detail A"}</definedName>
    <definedName name="t" hidden="1">{#N/A,#N/A,FALSE,"CESTSUM";#N/A,#N/A,FALSE,"est sum A";#N/A,#N/A,FALSE,"est detail A"}</definedName>
    <definedName name="TEMP" localSheetId="11" hidden="1">{#N/A,#N/A,FALSE,"Summ";#N/A,#N/A,FALSE,"General"}</definedName>
    <definedName name="TEMP" localSheetId="12" hidden="1">{#N/A,#N/A,FALSE,"Summ";#N/A,#N/A,FALSE,"General"}</definedName>
    <definedName name="TEMP" localSheetId="13" hidden="1">{#N/A,#N/A,FALSE,"Summ";#N/A,#N/A,FALSE,"General"}</definedName>
    <definedName name="TEMP" localSheetId="14" hidden="1">{#N/A,#N/A,FALSE,"Summ";#N/A,#N/A,FALSE,"General"}</definedName>
    <definedName name="TEMP" localSheetId="10" hidden="1">{#N/A,#N/A,FALSE,"Summ";#N/A,#N/A,FALSE,"General"}</definedName>
    <definedName name="TEMP" localSheetId="3" hidden="1">{#N/A,#N/A,FALSE,"Summ";#N/A,#N/A,FALSE,"General"}</definedName>
    <definedName name="TEMP" hidden="1">{#N/A,#N/A,FALSE,"Summ";#N/A,#N/A,FALSE,"General"}</definedName>
    <definedName name="Temp1" localSheetId="11" hidden="1">{#N/A,#N/A,FALSE,"CESTSUM";#N/A,#N/A,FALSE,"est sum A";#N/A,#N/A,FALSE,"est detail A"}</definedName>
    <definedName name="Temp1" localSheetId="12" hidden="1">{#N/A,#N/A,FALSE,"CESTSUM";#N/A,#N/A,FALSE,"est sum A";#N/A,#N/A,FALSE,"est detail A"}</definedName>
    <definedName name="Temp1" localSheetId="13" hidden="1">{#N/A,#N/A,FALSE,"CESTSUM";#N/A,#N/A,FALSE,"est sum A";#N/A,#N/A,FALSE,"est detail A"}</definedName>
    <definedName name="Temp1" localSheetId="14" hidden="1">{#N/A,#N/A,FALSE,"CESTSUM";#N/A,#N/A,FALSE,"est sum A";#N/A,#N/A,FALSE,"est detail A"}</definedName>
    <definedName name="Temp1" localSheetId="10" hidden="1">{#N/A,#N/A,FALSE,"CESTSUM";#N/A,#N/A,FALSE,"est sum A";#N/A,#N/A,FALSE,"est detail A"}</definedName>
    <definedName name="Temp1" localSheetId="3" hidden="1">{#N/A,#N/A,FALSE,"CESTSUM";#N/A,#N/A,FALSE,"est sum A";#N/A,#N/A,FALSE,"est detail A"}</definedName>
    <definedName name="Temp1" hidden="1">{#N/A,#N/A,FALSE,"CESTSUM";#N/A,#N/A,FALSE,"est sum A";#N/A,#N/A,FALSE,"est detail A"}</definedName>
    <definedName name="u" localSheetId="11" hidden="1">{#N/A,#N/A,FALSE,"Summ";#N/A,#N/A,FALSE,"General"}</definedName>
    <definedName name="u" localSheetId="12" hidden="1">{#N/A,#N/A,FALSE,"Summ";#N/A,#N/A,FALSE,"General"}</definedName>
    <definedName name="u" localSheetId="13" hidden="1">{#N/A,#N/A,FALSE,"Summ";#N/A,#N/A,FALSE,"General"}</definedName>
    <definedName name="u" localSheetId="14" hidden="1">{#N/A,#N/A,FALSE,"Summ";#N/A,#N/A,FALSE,"General"}</definedName>
    <definedName name="u" localSheetId="10" hidden="1">{#N/A,#N/A,FALSE,"Summ";#N/A,#N/A,FALSE,"General"}</definedName>
    <definedName name="u" localSheetId="3" hidden="1">{#N/A,#N/A,FALSE,"Summ";#N/A,#N/A,FALSE,"General"}</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localSheetId="11" hidden="1">{#N/A,#N/A,FALSE,"Coversheet";#N/A,#N/A,FALSE,"QA"}</definedName>
    <definedName name="v" localSheetId="12" hidden="1">{#N/A,#N/A,FALSE,"Coversheet";#N/A,#N/A,FALSE,"QA"}</definedName>
    <definedName name="v" localSheetId="13" hidden="1">{#N/A,#N/A,FALSE,"Coversheet";#N/A,#N/A,FALSE,"QA"}</definedName>
    <definedName name="v" localSheetId="14" hidden="1">{#N/A,#N/A,FALSE,"Coversheet";#N/A,#N/A,FALSE,"QA"}</definedName>
    <definedName name="v" localSheetId="3" hidden="1">{#N/A,#N/A,FALSE,"Coversheet";#N/A,#N/A,FALSE,"QA"}</definedName>
    <definedName name="v" hidden="1">{#N/A,#N/A,FALSE,"Coversheet";#N/A,#N/A,FALSE,"QA"}</definedName>
    <definedName name="w" localSheetId="11" hidden="1">{#N/A,#N/A,FALSE,"Schedule F";#N/A,#N/A,FALSE,"Schedule G"}</definedName>
    <definedName name="w" localSheetId="12" hidden="1">{#N/A,#N/A,FALSE,"Schedule F";#N/A,#N/A,FALSE,"Schedule G"}</definedName>
    <definedName name="w" localSheetId="13" hidden="1">{#N/A,#N/A,FALSE,"Schedule F";#N/A,#N/A,FALSE,"Schedule G"}</definedName>
    <definedName name="w" localSheetId="14" hidden="1">{#N/A,#N/A,FALSE,"Schedule F";#N/A,#N/A,FALSE,"Schedule G"}</definedName>
    <definedName name="w" localSheetId="3" hidden="1">{#N/A,#N/A,FALSE,"Schedule F";#N/A,#N/A,FALSE,"Schedule G"}</definedName>
    <definedName name="w" hidden="1">{#N/A,#N/A,FALSE,"Schedule F";#N/A,#N/A,FALSE,"Schedule G"}</definedName>
    <definedName name="we" localSheetId="5" hidden="1">{#N/A,#N/A,FALSE,"Pg 6b CustCount_Gas";#N/A,#N/A,FALSE,"QA";#N/A,#N/A,FALSE,"Report";#N/A,#N/A,FALSE,"forecast"}</definedName>
    <definedName name="we" localSheetId="7" hidden="1">{#N/A,#N/A,FALSE,"Pg 6b CustCount_Gas";#N/A,#N/A,FALSE,"QA";#N/A,#N/A,FALSE,"Report";#N/A,#N/A,FALSE,"forecast"}</definedName>
    <definedName name="we" localSheetId="8" hidden="1">{#N/A,#N/A,FALSE,"Pg 6b CustCount_Gas";#N/A,#N/A,FALSE,"QA";#N/A,#N/A,FALSE,"Report";#N/A,#N/A,FALSE,"forecast"}</definedName>
    <definedName name="we" localSheetId="9" hidden="1">{#N/A,#N/A,FALSE,"Pg 6b CustCount_Gas";#N/A,#N/A,FALSE,"QA";#N/A,#N/A,FALSE,"Report";#N/A,#N/A,FALSE,"forecast"}</definedName>
    <definedName name="we" localSheetId="15" hidden="1">{#N/A,#N/A,FALSE,"Pg 6b CustCount_Gas";#N/A,#N/A,FALSE,"QA";#N/A,#N/A,FALSE,"Report";#N/A,#N/A,FALSE,"forecast"}</definedName>
    <definedName name="we" localSheetId="0" hidden="1">{#N/A,#N/A,FALSE,"Pg 6b CustCount_Gas";#N/A,#N/A,FALSE,"QA";#N/A,#N/A,FALSE,"Report";#N/A,#N/A,FALSE,"forecast"}</definedName>
    <definedName name="we" localSheetId="2" hidden="1">{#N/A,#N/A,FALSE,"Pg 6b CustCount_Gas";#N/A,#N/A,FALSE,"QA";#N/A,#N/A,FALSE,"Report";#N/A,#N/A,FALSE,"forecast"}</definedName>
    <definedName name="we" hidden="1">{#N/A,#N/A,FALSE,"Pg 6b CustCount_Gas";#N/A,#N/A,FALSE,"QA";#N/A,#N/A,FALSE,"Report";#N/A,#N/A,FALSE,"forecast"}</definedName>
    <definedName name="WH" localSheetId="5" hidden="1">{#N/A,#N/A,FALSE,"Coversheet";#N/A,#N/A,FALSE,"QA"}</definedName>
    <definedName name="WH" localSheetId="7" hidden="1">{#N/A,#N/A,FALSE,"Coversheet";#N/A,#N/A,FALSE,"QA"}</definedName>
    <definedName name="WH" localSheetId="8" hidden="1">{#N/A,#N/A,FALSE,"Coversheet";#N/A,#N/A,FALSE,"QA"}</definedName>
    <definedName name="WH" localSheetId="9" hidden="1">{#N/A,#N/A,FALSE,"Coversheet";#N/A,#N/A,FALSE,"QA"}</definedName>
    <definedName name="WH" localSheetId="15" hidden="1">{#N/A,#N/A,FALSE,"Coversheet";#N/A,#N/A,FALSE,"QA"}</definedName>
    <definedName name="WH" localSheetId="0" hidden="1">{#N/A,#N/A,FALSE,"Coversheet";#N/A,#N/A,FALSE,"QA"}</definedName>
    <definedName name="WH" localSheetId="2" hidden="1">{#N/A,#N/A,FALSE,"Coversheet";#N/A,#N/A,FALSE,"QA"}</definedName>
    <definedName name="WH" hidden="1">{#N/A,#N/A,FALSE,"Coversheet";#N/A,#N/A,FALSE,"QA"}</definedName>
    <definedName name="wrn.1._.Bi._.Monthly._.CR." localSheetId="11" hidden="1">{#N/A,#N/A,FALSE,"Drill Sites";"WP 212",#N/A,FALSE,"MWAG EOR";"WP 213",#N/A,FALSE,"MWAG EOR";#N/A,#N/A,FALSE,"Misc. Facility";#N/A,#N/A,FALSE,"WWTP"}</definedName>
    <definedName name="wrn.1._.Bi._.Monthly._.CR." localSheetId="12" hidden="1">{#N/A,#N/A,FALSE,"Drill Sites";"WP 212",#N/A,FALSE,"MWAG EOR";"WP 213",#N/A,FALSE,"MWAG EOR";#N/A,#N/A,FALSE,"Misc. Facility";#N/A,#N/A,FALSE,"WWTP"}</definedName>
    <definedName name="wrn.1._.Bi._.Monthly._.CR." localSheetId="13" hidden="1">{#N/A,#N/A,FALSE,"Drill Sites";"WP 212",#N/A,FALSE,"MWAG EOR";"WP 213",#N/A,FALSE,"MWAG EOR";#N/A,#N/A,FALSE,"Misc. Facility";#N/A,#N/A,FALSE,"WWTP"}</definedName>
    <definedName name="wrn.1._.Bi._.Monthly._.CR." localSheetId="14" hidden="1">{#N/A,#N/A,FALSE,"Drill Sites";"WP 212",#N/A,FALSE,"MWAG EOR";"WP 213",#N/A,FALSE,"MWAG EOR";#N/A,#N/A,FALSE,"Misc. Facility";#N/A,#N/A,FALSE,"WWTP"}</definedName>
    <definedName name="wrn.1._.Bi._.Monthly._.CR." localSheetId="10" hidden="1">{#N/A,#N/A,FALSE,"Drill Sites";"WP 212",#N/A,FALSE,"MWAG EOR";"WP 213",#N/A,FALSE,"MWAG EOR";#N/A,#N/A,FALSE,"Misc. Facility";#N/A,#N/A,FALSE,"WWTP"}</definedName>
    <definedName name="wrn.1._.Bi._.Monthly._.CR." localSheetId="3" hidden="1">{#N/A,#N/A,FALSE,"Drill Sites";"WP 212",#N/A,FALSE,"MWAG EOR";"WP 213",#N/A,FALSE,"MWAG EOR";#N/A,#N/A,FALSE,"Misc. Facility";#N/A,#N/A,FALSE,"WWTP"}</definedName>
    <definedName name="wrn.1._.Bi._.Monthly._.CR." hidden="1">{#N/A,#N/A,FALSE,"Drill Sites";"WP 212",#N/A,FALSE,"MWAG EOR";"WP 213",#N/A,FALSE,"MWAG EOR";#N/A,#N/A,FALSE,"Misc. Facility";#N/A,#N/A,FALSE,"WWTP"}</definedName>
    <definedName name="wrn.AAI." localSheetId="11" hidden="1">{#N/A,#N/A,FALSE,"CRPT";#N/A,#N/A,FALSE,"TREND";#N/A,#N/A,FALSE,"%Curve"}</definedName>
    <definedName name="wrn.AAI." localSheetId="12" hidden="1">{#N/A,#N/A,FALSE,"CRPT";#N/A,#N/A,FALSE,"TREND";#N/A,#N/A,FALSE,"%Curve"}</definedName>
    <definedName name="wrn.AAI." localSheetId="13" hidden="1">{#N/A,#N/A,FALSE,"CRPT";#N/A,#N/A,FALSE,"TREND";#N/A,#N/A,FALSE,"%Curve"}</definedName>
    <definedName name="wrn.AAI." localSheetId="14" hidden="1">{#N/A,#N/A,FALSE,"CRPT";#N/A,#N/A,FALSE,"TREND";#N/A,#N/A,FALSE,"%Curve"}</definedName>
    <definedName name="wrn.AAI." localSheetId="10" hidden="1">{#N/A,#N/A,FALSE,"CRPT";#N/A,#N/A,FALSE,"TREND";#N/A,#N/A,FALSE,"%Curve"}</definedName>
    <definedName name="wrn.AAI." localSheetId="3" hidden="1">{#N/A,#N/A,FALSE,"CRPT";#N/A,#N/A,FALSE,"TREND";#N/A,#N/A,FALSE,"%Curve"}</definedName>
    <definedName name="wrn.AAI." hidden="1">{#N/A,#N/A,FALSE,"CRPT";#N/A,#N/A,FALSE,"TREND";#N/A,#N/A,FALSE,"%Curve"}</definedName>
    <definedName name="wrn.AAI._.Report." localSheetId="11" hidden="1">{#N/A,#N/A,FALSE,"CRPT";#N/A,#N/A,FALSE,"TREND";#N/A,#N/A,FALSE,"% CURVE"}</definedName>
    <definedName name="wrn.AAI._.Report." localSheetId="12" hidden="1">{#N/A,#N/A,FALSE,"CRPT";#N/A,#N/A,FALSE,"TREND";#N/A,#N/A,FALSE,"% CURVE"}</definedName>
    <definedName name="wrn.AAI._.Report." localSheetId="13" hidden="1">{#N/A,#N/A,FALSE,"CRPT";#N/A,#N/A,FALSE,"TREND";#N/A,#N/A,FALSE,"% CURVE"}</definedName>
    <definedName name="wrn.AAI._.Report." localSheetId="14" hidden="1">{#N/A,#N/A,FALSE,"CRPT";#N/A,#N/A,FALSE,"TREND";#N/A,#N/A,FALSE,"% CURVE"}</definedName>
    <definedName name="wrn.AAI._.Report." localSheetId="10" hidden="1">{#N/A,#N/A,FALSE,"CRPT";#N/A,#N/A,FALSE,"TREND";#N/A,#N/A,FALSE,"% CURVE"}</definedName>
    <definedName name="wrn.AAI._.Report." localSheetId="3" hidden="1">{#N/A,#N/A,FALSE,"CRPT";#N/A,#N/A,FALSE,"TREND";#N/A,#N/A,FALSE,"% CURVE"}</definedName>
    <definedName name="wrn.AAI._.Report." hidden="1">{#N/A,#N/A,FALSE,"CRPT";#N/A,#N/A,FALSE,"TREND";#N/A,#N/A,FALSE,"% CURVE"}</definedName>
    <definedName name="wrn.Anvil." localSheetId="11" hidden="1">{#N/A,#N/A,FALSE,"CRPT";#N/A,#N/A,FALSE,"PCS ";#N/A,#N/A,FALSE,"TREND";#N/A,#N/A,FALSE,"% CURVE";#N/A,#N/A,FALSE,"FWICALC";#N/A,#N/A,FALSE,"CONTINGENCY";#N/A,#N/A,FALSE,"7616 Fab";#N/A,#N/A,FALSE,"7616 NSK"}</definedName>
    <definedName name="wrn.Anvil." localSheetId="12" hidden="1">{#N/A,#N/A,FALSE,"CRPT";#N/A,#N/A,FALSE,"PCS ";#N/A,#N/A,FALSE,"TREND";#N/A,#N/A,FALSE,"% CURVE";#N/A,#N/A,FALSE,"FWICALC";#N/A,#N/A,FALSE,"CONTINGENCY";#N/A,#N/A,FALSE,"7616 Fab";#N/A,#N/A,FALSE,"7616 NSK"}</definedName>
    <definedName name="wrn.Anvil." localSheetId="13" hidden="1">{#N/A,#N/A,FALSE,"CRPT";#N/A,#N/A,FALSE,"PCS ";#N/A,#N/A,FALSE,"TREND";#N/A,#N/A,FALSE,"% CURVE";#N/A,#N/A,FALSE,"FWICALC";#N/A,#N/A,FALSE,"CONTINGENCY";#N/A,#N/A,FALSE,"7616 Fab";#N/A,#N/A,FALSE,"7616 NSK"}</definedName>
    <definedName name="wrn.Anvil." localSheetId="14" hidden="1">{#N/A,#N/A,FALSE,"CRPT";#N/A,#N/A,FALSE,"PCS ";#N/A,#N/A,FALSE,"TREND";#N/A,#N/A,FALSE,"% CURVE";#N/A,#N/A,FALSE,"FWICALC";#N/A,#N/A,FALSE,"CONTINGENCY";#N/A,#N/A,FALSE,"7616 Fab";#N/A,#N/A,FALSE,"7616 NSK"}</definedName>
    <definedName name="wrn.Anvil." localSheetId="10" hidden="1">{#N/A,#N/A,FALSE,"CRPT";#N/A,#N/A,FALSE,"PCS ";#N/A,#N/A,FALSE,"TREND";#N/A,#N/A,FALSE,"% CURVE";#N/A,#N/A,FALSE,"FWICALC";#N/A,#N/A,FALSE,"CONTINGENCY";#N/A,#N/A,FALSE,"7616 Fab";#N/A,#N/A,FALSE,"7616 NSK"}</definedName>
    <definedName name="wrn.Anvil." localSheetId="3" hidden="1">{#N/A,#N/A,FALSE,"CRPT";#N/A,#N/A,FALSE,"PCS ";#N/A,#N/A,FALSE,"TREND";#N/A,#N/A,FALSE,"% CURVE";#N/A,#N/A,FALSE,"FWICALC";#N/A,#N/A,FALSE,"CONTINGENCY";#N/A,#N/A,FALSE,"7616 Fab";#N/A,#N/A,FALSE,"7616 NSK"}</definedName>
    <definedName name="wrn.Anvil." hidden="1">{#N/A,#N/A,FALSE,"CRPT";#N/A,#N/A,FALSE,"PCS ";#N/A,#N/A,FALSE,"TREND";#N/A,#N/A,FALSE,"% CURVE";#N/A,#N/A,FALSE,"FWICALC";#N/A,#N/A,FALSE,"CONTINGENCY";#N/A,#N/A,FALSE,"7616 Fab";#N/A,#N/A,FALSE,"7616 NSK"}</definedName>
    <definedName name="wrn.Customer._.Counts._.Electric." localSheetId="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6"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7"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8"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4"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4" hidden="1">{#N/A,#N/A,FALSE,"Pg 6b CustCount_Gas";#N/A,#N/A,FALSE,"QA";#N/A,#N/A,FALSE,"Report";#N/A,#N/A,FALSE,"forecast"}</definedName>
    <definedName name="wrn.Customer._.Counts._.Gas." localSheetId="1" hidden="1">{#N/A,#N/A,FALSE,"Pg 6b CustCount_Gas";#N/A,#N/A,FALSE,"QA";#N/A,#N/A,FALSE,"Report";#N/A,#N/A,FALSE,"forecast"}</definedName>
    <definedName name="wrn.Customer._.Counts._.Gas." localSheetId="5" hidden="1">{#N/A,#N/A,FALSE,"Pg 6b CustCount_Gas";#N/A,#N/A,FALSE,"QA";#N/A,#N/A,FALSE,"Report";#N/A,#N/A,FALSE,"forecast"}</definedName>
    <definedName name="wrn.Customer._.Counts._.Gas." localSheetId="11" hidden="1">{#N/A,#N/A,FALSE,"Pg 6b CustCount_Gas";#N/A,#N/A,FALSE,"QA";#N/A,#N/A,FALSE,"Report";#N/A,#N/A,FALSE,"forecast"}</definedName>
    <definedName name="wrn.Customer._.Counts._.Gas." localSheetId="6" hidden="1">{#N/A,#N/A,FALSE,"Pg 6b CustCount_Gas";#N/A,#N/A,FALSE,"QA";#N/A,#N/A,FALSE,"Report";#N/A,#N/A,FALSE,"forecast"}</definedName>
    <definedName name="wrn.Customer._.Counts._.Gas." localSheetId="12" hidden="1">{#N/A,#N/A,FALSE,"Pg 6b CustCount_Gas";#N/A,#N/A,FALSE,"QA";#N/A,#N/A,FALSE,"Report";#N/A,#N/A,FALSE,"forecast"}</definedName>
    <definedName name="wrn.Customer._.Counts._.Gas." localSheetId="7" hidden="1">{#N/A,#N/A,FALSE,"Pg 6b CustCount_Gas";#N/A,#N/A,FALSE,"QA";#N/A,#N/A,FALSE,"Report";#N/A,#N/A,FALSE,"forecast"}</definedName>
    <definedName name="wrn.Customer._.Counts._.Gas." localSheetId="13" hidden="1">{#N/A,#N/A,FALSE,"Pg 6b CustCount_Gas";#N/A,#N/A,FALSE,"QA";#N/A,#N/A,FALSE,"Report";#N/A,#N/A,FALSE,"forecast"}</definedName>
    <definedName name="wrn.Customer._.Counts._.Gas." localSheetId="8" hidden="1">{#N/A,#N/A,FALSE,"Pg 6b CustCount_Gas";#N/A,#N/A,FALSE,"QA";#N/A,#N/A,FALSE,"Report";#N/A,#N/A,FALSE,"forecast"}</definedName>
    <definedName name="wrn.Customer._.Counts._.Gas." localSheetId="14" hidden="1">{#N/A,#N/A,FALSE,"Pg 6b CustCount_Gas";#N/A,#N/A,FALSE,"QA";#N/A,#N/A,FALSE,"Report";#N/A,#N/A,FALSE,"forecast"}</definedName>
    <definedName name="wrn.Customer._.Counts._.Gas." localSheetId="9" hidden="1">{#N/A,#N/A,FALSE,"Pg 6b CustCount_Gas";#N/A,#N/A,FALSE,"QA";#N/A,#N/A,FALSE,"Report";#N/A,#N/A,FALSE,"forecast"}</definedName>
    <definedName name="wrn.Customer._.Counts._.Gas." localSheetId="15" hidden="1">{#N/A,#N/A,FALSE,"Pg 6b CustCount_Gas";#N/A,#N/A,FALSE,"QA";#N/A,#N/A,FALSE,"Report";#N/A,#N/A,FALSE,"forecast"}</definedName>
    <definedName name="wrn.Customer._.Counts._.Gas." localSheetId="10" hidden="1">{#N/A,#N/A,FALSE,"Pg 6b CustCount_Gas";#N/A,#N/A,FALSE,"QA";#N/A,#N/A,FALSE,"Report";#N/A,#N/A,FALSE,"forecast"}</definedName>
    <definedName name="wrn.Customer._.Counts._.Gas." localSheetId="3" hidden="1">{#N/A,#N/A,FALSE,"Pg 6b CustCount_Gas";#N/A,#N/A,FALSE,"QA";#N/A,#N/A,FALSE,"Report";#N/A,#N/A,FALSE,"forecast"}</definedName>
    <definedName name="wrn.Customer._.Counts._.Gas." localSheetId="0" hidden="1">{#N/A,#N/A,FALSE,"Pg 6b CustCount_Gas";#N/A,#N/A,FALSE,"QA";#N/A,#N/A,FALSE,"Report";#N/A,#N/A,FALSE,"forecast"}</definedName>
    <definedName name="wrn.Customer._.Counts._.Gas." localSheetId="2" hidden="1">{#N/A,#N/A,FALSE,"Pg 6b CustCount_Gas";#N/A,#N/A,FALSE,"QA";#N/A,#N/A,FALSE,"Report";#N/A,#N/A,FALSE,"forecast"}</definedName>
    <definedName name="wrn.Customer._.Counts._.Gas." hidden="1">{#N/A,#N/A,FALSE,"Pg 6b CustCount_Gas";#N/A,#N/A,FALSE,"QA";#N/A,#N/A,FALSE,"Report";#N/A,#N/A,FALSE,"forecast"}</definedName>
    <definedName name="wrn.ECR." localSheetId="11" hidden="1">{#N/A,#N/A,FALSE,"schA"}</definedName>
    <definedName name="wrn.ECR." localSheetId="12" hidden="1">{#N/A,#N/A,FALSE,"schA"}</definedName>
    <definedName name="wrn.ECR." localSheetId="13" hidden="1">{#N/A,#N/A,FALSE,"schA"}</definedName>
    <definedName name="wrn.ECR." localSheetId="14" hidden="1">{#N/A,#N/A,FALSE,"schA"}</definedName>
    <definedName name="wrn.ECR." localSheetId="10" hidden="1">{#N/A,#N/A,FALSE,"schA"}</definedName>
    <definedName name="wrn.ECR." localSheetId="3" hidden="1">{#N/A,#N/A,FALSE,"schA"}</definedName>
    <definedName name="wrn.ECR." hidden="1">{#N/A,#N/A,FALSE,"schA"}</definedName>
    <definedName name="wrn.ESTIMATE." localSheetId="11" hidden="1">{#N/A,#N/A,FALSE,"CESTSUM";#N/A,#N/A,FALSE,"est sum A";#N/A,#N/A,FALSE,"est detail A"}</definedName>
    <definedName name="wrn.ESTIMATE." localSheetId="12" hidden="1">{#N/A,#N/A,FALSE,"CESTSUM";#N/A,#N/A,FALSE,"est sum A";#N/A,#N/A,FALSE,"est detail A"}</definedName>
    <definedName name="wrn.ESTIMATE." localSheetId="13" hidden="1">{#N/A,#N/A,FALSE,"CESTSUM";#N/A,#N/A,FALSE,"est sum A";#N/A,#N/A,FALSE,"est detail A"}</definedName>
    <definedName name="wrn.ESTIMATE." localSheetId="14" hidden="1">{#N/A,#N/A,FALSE,"CESTSUM";#N/A,#N/A,FALSE,"est sum A";#N/A,#N/A,FALSE,"est detail A"}</definedName>
    <definedName name="wrn.ESTIMATE." localSheetId="10" hidden="1">{#N/A,#N/A,FALSE,"CESTSUM";#N/A,#N/A,FALSE,"est sum A";#N/A,#N/A,FALSE,"est detail A"}</definedName>
    <definedName name="wrn.ESTIMATE." localSheetId="3" hidden="1">{#N/A,#N/A,FALSE,"CESTSUM";#N/A,#N/A,FALSE,"est sum A";#N/A,#N/A,FALSE,"est detail A"}</definedName>
    <definedName name="wrn.ESTIMATE." hidden="1">{#N/A,#N/A,FALSE,"CESTSUM";#N/A,#N/A,FALSE,"est sum A";#N/A,#N/A,FALSE,"est detail A"}</definedName>
    <definedName name="wrn.Fundamental." localSheetId="4" hidden="1">{#N/A,#N/A,TRUE,"CoverPage";#N/A,#N/A,TRUE,"Gas";#N/A,#N/A,TRUE,"Power";#N/A,#N/A,TRUE,"Historical DJ Mthly Prices"}</definedName>
    <definedName name="wrn.Fundamental." localSheetId="1" hidden="1">{#N/A,#N/A,TRUE,"CoverPage";#N/A,#N/A,TRUE,"Gas";#N/A,#N/A,TRUE,"Power";#N/A,#N/A,TRUE,"Historical DJ Mthly Prices"}</definedName>
    <definedName name="wrn.Fundamental." localSheetId="5" hidden="1">{#N/A,#N/A,TRUE,"CoverPage";#N/A,#N/A,TRUE,"Gas";#N/A,#N/A,TRUE,"Power";#N/A,#N/A,TRUE,"Historical DJ Mthly Prices"}</definedName>
    <definedName name="wrn.Fundamental." localSheetId="11" hidden="1">{#N/A,#N/A,TRUE,"CoverPage";#N/A,#N/A,TRUE,"Gas";#N/A,#N/A,TRUE,"Power";#N/A,#N/A,TRUE,"Historical DJ Mthly Prices"}</definedName>
    <definedName name="wrn.Fundamental." localSheetId="6" hidden="1">{#N/A,#N/A,TRUE,"CoverPage";#N/A,#N/A,TRUE,"Gas";#N/A,#N/A,TRUE,"Power";#N/A,#N/A,TRUE,"Historical DJ Mthly Prices"}</definedName>
    <definedName name="wrn.Fundamental." localSheetId="12" hidden="1">{#N/A,#N/A,TRUE,"CoverPage";#N/A,#N/A,TRUE,"Gas";#N/A,#N/A,TRUE,"Power";#N/A,#N/A,TRUE,"Historical DJ Mthly Prices"}</definedName>
    <definedName name="wrn.Fundamental." localSheetId="7" hidden="1">{#N/A,#N/A,TRUE,"CoverPage";#N/A,#N/A,TRUE,"Gas";#N/A,#N/A,TRUE,"Power";#N/A,#N/A,TRUE,"Historical DJ Mthly Prices"}</definedName>
    <definedName name="wrn.Fundamental." localSheetId="13" hidden="1">{#N/A,#N/A,TRUE,"CoverPage";#N/A,#N/A,TRUE,"Gas";#N/A,#N/A,TRUE,"Power";#N/A,#N/A,TRUE,"Historical DJ Mthly Prices"}</definedName>
    <definedName name="wrn.Fundamental." localSheetId="8" hidden="1">{#N/A,#N/A,TRUE,"CoverPage";#N/A,#N/A,TRUE,"Gas";#N/A,#N/A,TRUE,"Power";#N/A,#N/A,TRUE,"Historical DJ Mthly Prices"}</definedName>
    <definedName name="wrn.Fundamental." localSheetId="14" hidden="1">{#N/A,#N/A,TRUE,"CoverPage";#N/A,#N/A,TRUE,"Gas";#N/A,#N/A,TRUE,"Power";#N/A,#N/A,TRUE,"Historical DJ Mthly Prices"}</definedName>
    <definedName name="wrn.Fundamental." localSheetId="9" hidden="1">{#N/A,#N/A,TRUE,"CoverPage";#N/A,#N/A,TRUE,"Gas";#N/A,#N/A,TRUE,"Power";#N/A,#N/A,TRUE,"Historical DJ Mthly Prices"}</definedName>
    <definedName name="wrn.Fundamental." localSheetId="15" hidden="1">{#N/A,#N/A,TRUE,"CoverPage";#N/A,#N/A,TRUE,"Gas";#N/A,#N/A,TRUE,"Power";#N/A,#N/A,TRUE,"Historical DJ Mthly Prices"}</definedName>
    <definedName name="wrn.Fundamental." localSheetId="10" hidden="1">{#N/A,#N/A,TRUE,"CoverPage";#N/A,#N/A,TRUE,"Gas";#N/A,#N/A,TRUE,"Power";#N/A,#N/A,TRUE,"Historical DJ Mthly Prices"}</definedName>
    <definedName name="wrn.Fundamental." localSheetId="3" hidden="1">{#N/A,#N/A,TRUE,"CoverPage";#N/A,#N/A,TRUE,"Gas";#N/A,#N/A,TRUE,"Power";#N/A,#N/A,TRUE,"Historical DJ Mthly Prices"}</definedName>
    <definedName name="wrn.Fundamental." localSheetId="0" hidden="1">{#N/A,#N/A,TRUE,"CoverPage";#N/A,#N/A,TRUE,"Gas";#N/A,#N/A,TRUE,"Power";#N/A,#N/A,TRUE,"Historical DJ Mthly Prices"}</definedName>
    <definedName name="wrn.Fundamental." localSheetId="2" hidden="1">{#N/A,#N/A,TRUE,"CoverPage";#N/A,#N/A,TRUE,"Gas";#N/A,#N/A,TRUE,"Power";#N/A,#N/A,TRUE,"Historical DJ Mthly Prices"}</definedName>
    <definedName name="wrn.Fundamental." hidden="1">{#N/A,#N/A,TRUE,"CoverPage";#N/A,#N/A,TRUE,"Gas";#N/A,#N/A,TRUE,"Power";#N/A,#N/A,TRUE,"Historical DJ Mthly Prices"}</definedName>
    <definedName name="wrn.IEO." localSheetId="11" hidden="1">{#N/A,#N/A,FALSE,"SUMMARY";#N/A,#N/A,FALSE,"AE7616";#N/A,#N/A,FALSE,"AE7617";#N/A,#N/A,FALSE,"AE7618";#N/A,#N/A,FALSE,"AE7619"}</definedName>
    <definedName name="wrn.IEO." localSheetId="12" hidden="1">{#N/A,#N/A,FALSE,"SUMMARY";#N/A,#N/A,FALSE,"AE7616";#N/A,#N/A,FALSE,"AE7617";#N/A,#N/A,FALSE,"AE7618";#N/A,#N/A,FALSE,"AE7619"}</definedName>
    <definedName name="wrn.IEO." localSheetId="13" hidden="1">{#N/A,#N/A,FALSE,"SUMMARY";#N/A,#N/A,FALSE,"AE7616";#N/A,#N/A,FALSE,"AE7617";#N/A,#N/A,FALSE,"AE7618";#N/A,#N/A,FALSE,"AE7619"}</definedName>
    <definedName name="wrn.IEO." localSheetId="14" hidden="1">{#N/A,#N/A,FALSE,"SUMMARY";#N/A,#N/A,FALSE,"AE7616";#N/A,#N/A,FALSE,"AE7617";#N/A,#N/A,FALSE,"AE7618";#N/A,#N/A,FALSE,"AE7619"}</definedName>
    <definedName name="wrn.IEO." localSheetId="10" hidden="1">{#N/A,#N/A,FALSE,"SUMMARY";#N/A,#N/A,FALSE,"AE7616";#N/A,#N/A,FALSE,"AE7617";#N/A,#N/A,FALSE,"AE7618";#N/A,#N/A,FALSE,"AE7619"}</definedName>
    <definedName name="wrn.IEO." localSheetId="3" hidden="1">{#N/A,#N/A,FALSE,"SUMMARY";#N/A,#N/A,FALSE,"AE7616";#N/A,#N/A,FALSE,"AE7617";#N/A,#N/A,FALSE,"AE7618";#N/A,#N/A,FALSE,"AE7619"}</definedName>
    <definedName name="wrn.IEO." hidden="1">{#N/A,#N/A,FALSE,"SUMMARY";#N/A,#N/A,FALSE,"AE7616";#N/A,#N/A,FALSE,"AE7617";#N/A,#N/A,FALSE,"AE7618";#N/A,#N/A,FALSE,"AE7619"}</definedName>
    <definedName name="wrn.Incentive._.Overhead." localSheetId="4" hidden="1">{#N/A,#N/A,FALSE,"Coversheet";#N/A,#N/A,FALSE,"QA"}</definedName>
    <definedName name="wrn.Incentive._.Overhead." localSheetId="1" hidden="1">{#N/A,#N/A,FALSE,"Coversheet";#N/A,#N/A,FALSE,"QA"}</definedName>
    <definedName name="wrn.Incentive._.Overhead." localSheetId="5" hidden="1">{#N/A,#N/A,FALSE,"Coversheet";#N/A,#N/A,FALSE,"QA"}</definedName>
    <definedName name="wrn.Incentive._.Overhead." localSheetId="11" hidden="1">{#N/A,#N/A,FALSE,"Coversheet";#N/A,#N/A,FALSE,"QA"}</definedName>
    <definedName name="wrn.Incentive._.Overhead." localSheetId="6" hidden="1">{#N/A,#N/A,FALSE,"Coversheet";#N/A,#N/A,FALSE,"QA"}</definedName>
    <definedName name="wrn.Incentive._.Overhead." localSheetId="12" hidden="1">{#N/A,#N/A,FALSE,"Coversheet";#N/A,#N/A,FALSE,"QA"}</definedName>
    <definedName name="wrn.Incentive._.Overhead." localSheetId="7" hidden="1">{#N/A,#N/A,FALSE,"Coversheet";#N/A,#N/A,FALSE,"QA"}</definedName>
    <definedName name="wrn.Incentive._.Overhead." localSheetId="13" hidden="1">{#N/A,#N/A,FALSE,"Coversheet";#N/A,#N/A,FALSE,"QA"}</definedName>
    <definedName name="wrn.Incentive._.Overhead." localSheetId="8" hidden="1">{#N/A,#N/A,FALSE,"Coversheet";#N/A,#N/A,FALSE,"QA"}</definedName>
    <definedName name="wrn.Incentive._.Overhead." localSheetId="14" hidden="1">{#N/A,#N/A,FALSE,"Coversheet";#N/A,#N/A,FALSE,"QA"}</definedName>
    <definedName name="wrn.Incentive._.Overhead." localSheetId="9" hidden="1">{#N/A,#N/A,FALSE,"Coversheet";#N/A,#N/A,FALSE,"QA"}</definedName>
    <definedName name="wrn.Incentive._.Overhead." localSheetId="15" hidden="1">{#N/A,#N/A,FALSE,"Coversheet";#N/A,#N/A,FALSE,"QA"}</definedName>
    <definedName name="wrn.Incentive._.Overhead." localSheetId="10" hidden="1">{#N/A,#N/A,FALSE,"Coversheet";#N/A,#N/A,FALSE,"QA"}</definedName>
    <definedName name="wrn.Incentive._.Overhead." localSheetId="3" hidden="1">{#N/A,#N/A,FALSE,"Coversheet";#N/A,#N/A,FALSE,"QA"}</definedName>
    <definedName name="wrn.Incentive._.Overhead." localSheetId="0" hidden="1">{#N/A,#N/A,FALSE,"Coversheet";#N/A,#N/A,FALSE,"QA"}</definedName>
    <definedName name="wrn.Incentive._.Overhead." localSheetId="2" hidden="1">{#N/A,#N/A,FALSE,"Coversheet";#N/A,#N/A,FALSE,"QA"}</definedName>
    <definedName name="wrn.Incentive._.Overhead." hidden="1">{#N/A,#N/A,FALSE,"Coversheet";#N/A,#N/A,FALSE,"QA"}</definedName>
    <definedName name="wrn.limit_reports." localSheetId="4" hidden="1">{#N/A,#N/A,FALSE,"Schedule F";#N/A,#N/A,FALSE,"Schedule G"}</definedName>
    <definedName name="wrn.limit_reports." localSheetId="1" hidden="1">{#N/A,#N/A,FALSE,"Schedule F";#N/A,#N/A,FALSE,"Schedule G"}</definedName>
    <definedName name="wrn.limit_reports." localSheetId="5" hidden="1">{#N/A,#N/A,FALSE,"Schedule F";#N/A,#N/A,FALSE,"Schedule G"}</definedName>
    <definedName name="wrn.limit_reports." localSheetId="11" hidden="1">{#N/A,#N/A,FALSE,"Schedule F";#N/A,#N/A,FALSE,"Schedule G"}</definedName>
    <definedName name="wrn.limit_reports." localSheetId="6" hidden="1">{#N/A,#N/A,FALSE,"Schedule F";#N/A,#N/A,FALSE,"Schedule G"}</definedName>
    <definedName name="wrn.limit_reports." localSheetId="12" hidden="1">{#N/A,#N/A,FALSE,"Schedule F";#N/A,#N/A,FALSE,"Schedule G"}</definedName>
    <definedName name="wrn.limit_reports." localSheetId="7" hidden="1">{#N/A,#N/A,FALSE,"Schedule F";#N/A,#N/A,FALSE,"Schedule G"}</definedName>
    <definedName name="wrn.limit_reports." localSheetId="13" hidden="1">{#N/A,#N/A,FALSE,"Schedule F";#N/A,#N/A,FALSE,"Schedule G"}</definedName>
    <definedName name="wrn.limit_reports." localSheetId="8" hidden="1">{#N/A,#N/A,FALSE,"Schedule F";#N/A,#N/A,FALSE,"Schedule G"}</definedName>
    <definedName name="wrn.limit_reports." localSheetId="14" hidden="1">{#N/A,#N/A,FALSE,"Schedule F";#N/A,#N/A,FALSE,"Schedule G"}</definedName>
    <definedName name="wrn.limit_reports." localSheetId="9" hidden="1">{#N/A,#N/A,FALSE,"Schedule F";#N/A,#N/A,FALSE,"Schedule G"}</definedName>
    <definedName name="wrn.limit_reports." localSheetId="15" hidden="1">{#N/A,#N/A,FALSE,"Schedule F";#N/A,#N/A,FALSE,"Schedule G"}</definedName>
    <definedName name="wrn.limit_reports." localSheetId="10" hidden="1">{#N/A,#N/A,FALSE,"Schedule F";#N/A,#N/A,FALSE,"Schedule G"}</definedName>
    <definedName name="wrn.limit_reports." localSheetId="3" hidden="1">{#N/A,#N/A,FALSE,"Schedule F";#N/A,#N/A,FALSE,"Schedule G"}</definedName>
    <definedName name="wrn.limit_reports." localSheetId="0" hidden="1">{#N/A,#N/A,FALSE,"Schedule F";#N/A,#N/A,FALSE,"Schedule G"}</definedName>
    <definedName name="wrn.limit_reports." localSheetId="2" hidden="1">{#N/A,#N/A,FALSE,"Schedule F";#N/A,#N/A,FALSE,"Schedule G"}</definedName>
    <definedName name="wrn.limit_reports." hidden="1">{#N/A,#N/A,FALSE,"Schedule F";#N/A,#N/A,FALSE,"Schedule G"}</definedName>
    <definedName name="wrn.MARGIN_WO_QTR." localSheetId="4" hidden="1">{#N/A,#N/A,FALSE,"Month ";#N/A,#N/A,FALSE,"YTD";#N/A,#N/A,FALSE,"12 mo ended"}</definedName>
    <definedName name="wrn.MARGIN_WO_QTR." localSheetId="1" hidden="1">{#N/A,#N/A,FALSE,"Month ";#N/A,#N/A,FALSE,"YTD";#N/A,#N/A,FALSE,"12 mo ended"}</definedName>
    <definedName name="wrn.MARGIN_WO_QTR." localSheetId="5" hidden="1">{#N/A,#N/A,FALSE,"Month ";#N/A,#N/A,FALSE,"YTD";#N/A,#N/A,FALSE,"12 mo ended"}</definedName>
    <definedName name="wrn.MARGIN_WO_QTR." localSheetId="11" hidden="1">{#N/A,#N/A,FALSE,"Month ";#N/A,#N/A,FALSE,"YTD";#N/A,#N/A,FALSE,"12 mo ended"}</definedName>
    <definedName name="wrn.MARGIN_WO_QTR." localSheetId="6" hidden="1">{#N/A,#N/A,FALSE,"Month ";#N/A,#N/A,FALSE,"YTD";#N/A,#N/A,FALSE,"12 mo ended"}</definedName>
    <definedName name="wrn.MARGIN_WO_QTR." localSheetId="12" hidden="1">{#N/A,#N/A,FALSE,"Month ";#N/A,#N/A,FALSE,"YTD";#N/A,#N/A,FALSE,"12 mo ended"}</definedName>
    <definedName name="wrn.MARGIN_WO_QTR." localSheetId="7" hidden="1">{#N/A,#N/A,FALSE,"Month ";#N/A,#N/A,FALSE,"YTD";#N/A,#N/A,FALSE,"12 mo ended"}</definedName>
    <definedName name="wrn.MARGIN_WO_QTR." localSheetId="13" hidden="1">{#N/A,#N/A,FALSE,"Month ";#N/A,#N/A,FALSE,"YTD";#N/A,#N/A,FALSE,"12 mo ended"}</definedName>
    <definedName name="wrn.MARGIN_WO_QTR." localSheetId="8" hidden="1">{#N/A,#N/A,FALSE,"Month ";#N/A,#N/A,FALSE,"YTD";#N/A,#N/A,FALSE,"12 mo ended"}</definedName>
    <definedName name="wrn.MARGIN_WO_QTR." localSheetId="14" hidden="1">{#N/A,#N/A,FALSE,"Month ";#N/A,#N/A,FALSE,"YTD";#N/A,#N/A,FALSE,"12 mo ended"}</definedName>
    <definedName name="wrn.MARGIN_WO_QTR." localSheetId="9" hidden="1">{#N/A,#N/A,FALSE,"Month ";#N/A,#N/A,FALSE,"YTD";#N/A,#N/A,FALSE,"12 mo ended"}</definedName>
    <definedName name="wrn.MARGIN_WO_QTR." localSheetId="15" hidden="1">{#N/A,#N/A,FALSE,"Month ";#N/A,#N/A,FALSE,"YTD";#N/A,#N/A,FALSE,"12 mo ended"}</definedName>
    <definedName name="wrn.MARGIN_WO_QTR." localSheetId="10" hidden="1">{#N/A,#N/A,FALSE,"Month ";#N/A,#N/A,FALSE,"YTD";#N/A,#N/A,FALSE,"12 mo ended"}</definedName>
    <definedName name="wrn.MARGIN_WO_QTR." localSheetId="3" hidden="1">{#N/A,#N/A,FALSE,"Month ";#N/A,#N/A,FALSE,"YTD";#N/A,#N/A,FALSE,"12 mo ended"}</definedName>
    <definedName name="wrn.MARGIN_WO_QTR." localSheetId="0" hidden="1">{#N/A,#N/A,FALSE,"Month ";#N/A,#N/A,FALSE,"YTD";#N/A,#N/A,FALSE,"12 mo ended"}</definedName>
    <definedName name="wrn.MARGIN_WO_QTR." localSheetId="2" hidden="1">{#N/A,#N/A,FALSE,"Month ";#N/A,#N/A,FALSE,"YTD";#N/A,#N/A,FALSE,"12 mo ended"}</definedName>
    <definedName name="wrn.MARGIN_WO_QTR." hidden="1">{#N/A,#N/A,FALSE,"Month ";#N/A,#N/A,FALSE,"YTD";#N/A,#N/A,FALSE,"12 mo ended"}</definedName>
    <definedName name="wrn.Municipal._.Reports." localSheetId="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6"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7"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8"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4"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9"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5"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0"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2"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localSheetId="11" hidden="1">{#N/A,#N/A,FALSE,"BASE";#N/A,#N/A,FALSE,"LOOPS";#N/A,#N/A,FALSE,"PLC"}</definedName>
    <definedName name="wrn.Project._.Services." localSheetId="12" hidden="1">{#N/A,#N/A,FALSE,"BASE";#N/A,#N/A,FALSE,"LOOPS";#N/A,#N/A,FALSE,"PLC"}</definedName>
    <definedName name="wrn.Project._.Services." localSheetId="13" hidden="1">{#N/A,#N/A,FALSE,"BASE";#N/A,#N/A,FALSE,"LOOPS";#N/A,#N/A,FALSE,"PLC"}</definedName>
    <definedName name="wrn.Project._.Services." localSheetId="14" hidden="1">{#N/A,#N/A,FALSE,"BASE";#N/A,#N/A,FALSE,"LOOPS";#N/A,#N/A,FALSE,"PLC"}</definedName>
    <definedName name="wrn.Project._.Services." localSheetId="10" hidden="1">{#N/A,#N/A,FALSE,"BASE";#N/A,#N/A,FALSE,"LOOPS";#N/A,#N/A,FALSE,"PLC"}</definedName>
    <definedName name="wrn.Project._.Services." localSheetId="3" hidden="1">{#N/A,#N/A,FALSE,"BASE";#N/A,#N/A,FALSE,"LOOPS";#N/A,#N/A,FALSE,"PLC"}</definedName>
    <definedName name="wrn.Project._.Services." hidden="1">{#N/A,#N/A,FALSE,"BASE";#N/A,#N/A,FALSE,"LOOPS";#N/A,#N/A,FALSE,"PLC"}</definedName>
    <definedName name="wrn.SCHEDULE." localSheetId="11" hidden="1">{#N/A,#N/A,FALSE,"7617 Fab";#N/A,#N/A,FALSE,"7617 NSK"}</definedName>
    <definedName name="wrn.SCHEDULE." localSheetId="12" hidden="1">{#N/A,#N/A,FALSE,"7617 Fab";#N/A,#N/A,FALSE,"7617 NSK"}</definedName>
    <definedName name="wrn.SCHEDULE." localSheetId="13" hidden="1">{#N/A,#N/A,FALSE,"7617 Fab";#N/A,#N/A,FALSE,"7617 NSK"}</definedName>
    <definedName name="wrn.SCHEDULE." localSheetId="14" hidden="1">{#N/A,#N/A,FALSE,"7617 Fab";#N/A,#N/A,FALSE,"7617 NSK"}</definedName>
    <definedName name="wrn.SCHEDULE." localSheetId="10" hidden="1">{#N/A,#N/A,FALSE,"7617 Fab";#N/A,#N/A,FALSE,"7617 NSK"}</definedName>
    <definedName name="wrn.SCHEDULE." localSheetId="3" hidden="1">{#N/A,#N/A,FALSE,"7617 Fab";#N/A,#N/A,FALSE,"7617 NSK"}</definedName>
    <definedName name="wrn.SCHEDULE." hidden="1">{#N/A,#N/A,FALSE,"7617 Fab";#N/A,#N/A,FALSE,"7617 NSK"}</definedName>
    <definedName name="wrn.SLB." localSheetId="11" hidden="1">{#N/A,#N/A,FALSE,"SUMMARY";#N/A,#N/A,FALSE,"AE7616";#N/A,#N/A,FALSE,"AE7617";#N/A,#N/A,FALSE,"AE7618";#N/A,#N/A,FALSE,"AE7619";#N/A,#N/A,FALSE,"Target Materials"}</definedName>
    <definedName name="wrn.SLB." localSheetId="12" hidden="1">{#N/A,#N/A,FALSE,"SUMMARY";#N/A,#N/A,FALSE,"AE7616";#N/A,#N/A,FALSE,"AE7617";#N/A,#N/A,FALSE,"AE7618";#N/A,#N/A,FALSE,"AE7619";#N/A,#N/A,FALSE,"Target Materials"}</definedName>
    <definedName name="wrn.SLB." localSheetId="13" hidden="1">{#N/A,#N/A,FALSE,"SUMMARY";#N/A,#N/A,FALSE,"AE7616";#N/A,#N/A,FALSE,"AE7617";#N/A,#N/A,FALSE,"AE7618";#N/A,#N/A,FALSE,"AE7619";#N/A,#N/A,FALSE,"Target Materials"}</definedName>
    <definedName name="wrn.SLB." localSheetId="14" hidden="1">{#N/A,#N/A,FALSE,"SUMMARY";#N/A,#N/A,FALSE,"AE7616";#N/A,#N/A,FALSE,"AE7617";#N/A,#N/A,FALSE,"AE7618";#N/A,#N/A,FALSE,"AE7619";#N/A,#N/A,FALSE,"Target Materials"}</definedName>
    <definedName name="wrn.SLB." localSheetId="10" hidden="1">{#N/A,#N/A,FALSE,"SUMMARY";#N/A,#N/A,FALSE,"AE7616";#N/A,#N/A,FALSE,"AE7617";#N/A,#N/A,FALSE,"AE7618";#N/A,#N/A,FALSE,"AE7619";#N/A,#N/A,FALSE,"Target Materials"}</definedName>
    <definedName name="wrn.SLB." localSheetId="3" hidden="1">{#N/A,#N/A,FALSE,"SUMMARY";#N/A,#N/A,FALSE,"AE7616";#N/A,#N/A,FALSE,"AE7617";#N/A,#N/A,FALSE,"AE7618";#N/A,#N/A,FALSE,"AE7619";#N/A,#N/A,FALSE,"Target Materials"}</definedName>
    <definedName name="wrn.SLB." hidden="1">{#N/A,#N/A,FALSE,"SUMMARY";#N/A,#N/A,FALSE,"AE7616";#N/A,#N/A,FALSE,"AE7617";#N/A,#N/A,FALSE,"AE7618";#N/A,#N/A,FALSE,"AE7619";#N/A,#N/A,FALSE,"Target Materials"}</definedName>
    <definedName name="wrn.Small._.Tools._.Overhead." localSheetId="4" hidden="1">{#N/A,#N/A,FALSE,"2002 Small Tool OH";#N/A,#N/A,FALSE,"QA"}</definedName>
    <definedName name="wrn.Small._.Tools._.Overhead." localSheetId="1" hidden="1">{#N/A,#N/A,FALSE,"2002 Small Tool OH";#N/A,#N/A,FALSE,"QA"}</definedName>
    <definedName name="wrn.Small._.Tools._.Overhead." localSheetId="5" hidden="1">{#N/A,#N/A,FALSE,"2002 Small Tool OH";#N/A,#N/A,FALSE,"QA"}</definedName>
    <definedName name="wrn.Small._.Tools._.Overhead." localSheetId="11" hidden="1">{#N/A,#N/A,FALSE,"2002 Small Tool OH";#N/A,#N/A,FALSE,"QA"}</definedName>
    <definedName name="wrn.Small._.Tools._.Overhead." localSheetId="6" hidden="1">{#N/A,#N/A,FALSE,"2002 Small Tool OH";#N/A,#N/A,FALSE,"QA"}</definedName>
    <definedName name="wrn.Small._.Tools._.Overhead." localSheetId="12" hidden="1">{#N/A,#N/A,FALSE,"2002 Small Tool OH";#N/A,#N/A,FALSE,"QA"}</definedName>
    <definedName name="wrn.Small._.Tools._.Overhead." localSheetId="7" hidden="1">{#N/A,#N/A,FALSE,"2002 Small Tool OH";#N/A,#N/A,FALSE,"QA"}</definedName>
    <definedName name="wrn.Small._.Tools._.Overhead." localSheetId="13" hidden="1">{#N/A,#N/A,FALSE,"2002 Small Tool OH";#N/A,#N/A,FALSE,"QA"}</definedName>
    <definedName name="wrn.Small._.Tools._.Overhead." localSheetId="8" hidden="1">{#N/A,#N/A,FALSE,"2002 Small Tool OH";#N/A,#N/A,FALSE,"QA"}</definedName>
    <definedName name="wrn.Small._.Tools._.Overhead." localSheetId="14" hidden="1">{#N/A,#N/A,FALSE,"2002 Small Tool OH";#N/A,#N/A,FALSE,"QA"}</definedName>
    <definedName name="wrn.Small._.Tools._.Overhead." localSheetId="9" hidden="1">{#N/A,#N/A,FALSE,"2002 Small Tool OH";#N/A,#N/A,FALSE,"QA"}</definedName>
    <definedName name="wrn.Small._.Tools._.Overhead." localSheetId="15" hidden="1">{#N/A,#N/A,FALSE,"2002 Small Tool OH";#N/A,#N/A,FALSE,"QA"}</definedName>
    <definedName name="wrn.Small._.Tools._.Overhead." localSheetId="10" hidden="1">{#N/A,#N/A,FALSE,"2002 Small Tool OH";#N/A,#N/A,FALSE,"QA"}</definedName>
    <definedName name="wrn.Small._.Tools._.Overhead." localSheetId="3" hidden="1">{#N/A,#N/A,FALSE,"2002 Small Tool OH";#N/A,#N/A,FALSE,"QA"}</definedName>
    <definedName name="wrn.Small._.Tools._.Overhead." localSheetId="0" hidden="1">{#N/A,#N/A,FALSE,"2002 Small Tool OH";#N/A,#N/A,FALSE,"QA"}</definedName>
    <definedName name="wrn.Small._.Tools._.Overhead." localSheetId="2" hidden="1">{#N/A,#N/A,FALSE,"2002 Small Tool OH";#N/A,#N/A,FALSE,"QA"}</definedName>
    <definedName name="wrn.Small._.Tools._.Overhead." hidden="1">{#N/A,#N/A,FALSE,"2002 Small Tool OH";#N/A,#N/A,FALSE,"QA"}</definedName>
    <definedName name="wrn.Summary." localSheetId="11" hidden="1">{#N/A,#N/A,FALSE,"Summ";#N/A,#N/A,FALSE,"General"}</definedName>
    <definedName name="wrn.Summary." localSheetId="12" hidden="1">{#N/A,#N/A,FALSE,"Summ";#N/A,#N/A,FALSE,"General"}</definedName>
    <definedName name="wrn.Summary." localSheetId="13" hidden="1">{#N/A,#N/A,FALSE,"Summ";#N/A,#N/A,FALSE,"General"}</definedName>
    <definedName name="wrn.Summary." localSheetId="14" hidden="1">{#N/A,#N/A,FALSE,"Summ";#N/A,#N/A,FALSE,"General"}</definedName>
    <definedName name="wrn.Summary." localSheetId="10" hidden="1">{#N/A,#N/A,FALSE,"Summ";#N/A,#N/A,FALSE,"General"}</definedName>
    <definedName name="wrn.Summary." localSheetId="3" hidden="1">{#N/A,#N/A,FALSE,"Summ";#N/A,#N/A,FALSE,"General"}</definedName>
    <definedName name="wrn.Summary." hidden="1">{#N/A,#N/A,FALSE,"Summ";#N/A,#N/A,FALSE,"General"}</definedName>
    <definedName name="wrn.USIM_Data." localSheetId="11"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2"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4"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10"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localSheetId="3"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localSheetId="11" hidden="1">{#N/A,#N/A,FALSE,"Expenditures";#N/A,#N/A,FALSE,"Property Placed In-Service";#N/A,#N/A,FALSE,"Removals";#N/A,#N/A,FALSE,"Retirements";#N/A,#N/A,FALSE,"CWIP Balances";#N/A,#N/A,FALSE,"CWIP_Expend_Ratios";#N/A,#N/A,FALSE,"CWIP_Yr_End"}</definedName>
    <definedName name="wrn.USIM_Data_Abbrev." localSheetId="12" hidden="1">{#N/A,#N/A,FALSE,"Expenditures";#N/A,#N/A,FALSE,"Property Placed In-Service";#N/A,#N/A,FALSE,"Removals";#N/A,#N/A,FALSE,"Retirements";#N/A,#N/A,FALSE,"CWIP Balances";#N/A,#N/A,FALSE,"CWIP_Expend_Ratios";#N/A,#N/A,FALSE,"CWIP_Yr_End"}</definedName>
    <definedName name="wrn.USIM_Data_Abbrev." localSheetId="13" hidden="1">{#N/A,#N/A,FALSE,"Expenditures";#N/A,#N/A,FALSE,"Property Placed In-Service";#N/A,#N/A,FALSE,"Removals";#N/A,#N/A,FALSE,"Retirements";#N/A,#N/A,FALSE,"CWIP Balances";#N/A,#N/A,FALSE,"CWIP_Expend_Ratios";#N/A,#N/A,FALSE,"CWIP_Yr_End"}</definedName>
    <definedName name="wrn.USIM_Data_Abbrev." localSheetId="14" hidden="1">{#N/A,#N/A,FALSE,"Expenditures";#N/A,#N/A,FALSE,"Property Placed In-Service";#N/A,#N/A,FALSE,"Removals";#N/A,#N/A,FALSE,"Retirements";#N/A,#N/A,FALSE,"CWIP Balances";#N/A,#N/A,FALSE,"CWIP_Expend_Ratios";#N/A,#N/A,FALSE,"CWIP_Yr_End"}</definedName>
    <definedName name="wrn.USIM_Data_Abbrev." localSheetId="10" hidden="1">{#N/A,#N/A,FALSE,"Expenditures";#N/A,#N/A,FALSE,"Property Placed In-Service";#N/A,#N/A,FALSE,"Removals";#N/A,#N/A,FALSE,"Retirements";#N/A,#N/A,FALSE,"CWIP Balances";#N/A,#N/A,FALSE,"CWIP_Expend_Ratios";#N/A,#N/A,FALSE,"CWIP_Yr_End"}</definedName>
    <definedName name="wrn.USIM_Data_Abbrev." localSheetId="3" hidden="1">{#N/A,#N/A,FALSE,"Expenditures";#N/A,#N/A,FALSE,"Property Placed In-Service";#N/A,#N/A,FALSE,"Removals";#N/A,#N/A,FALSE,"Retirements";#N/A,#N/A,FALSE,"CWIP Balances";#N/A,#N/A,FALSE,"CWIP_Expend_Ratios";#N/A,#N/A,FALSE,"CWIP_Yr_End"}</definedName>
    <definedName name="wrn.USIM_Data_Abbrev." hidden="1">{#N/A,#N/A,FALSE,"Expenditures";#N/A,#N/A,FALSE,"Property Placed In-Service";#N/A,#N/A,FALSE,"Removals";#N/A,#N/A,FALSE,"Retirements";#N/A,#N/A,FALSE,"CWIP Balances";#N/A,#N/A,FALSE,"CWIP_Expend_Ratios";#N/A,#N/A,FALSE,"CWIP_Yr_End"}</definedName>
    <definedName name="wrn.USIM_Data_Abbrev3." localSheetId="11" hidden="1">{#N/A,#N/A,FALSE,"Expenditures";#N/A,#N/A,FALSE,"Property Placed In-Service";#N/A,#N/A,FALSE,"CWIP Balances"}</definedName>
    <definedName name="wrn.USIM_Data_Abbrev3." localSheetId="12" hidden="1">{#N/A,#N/A,FALSE,"Expenditures";#N/A,#N/A,FALSE,"Property Placed In-Service";#N/A,#N/A,FALSE,"CWIP Balances"}</definedName>
    <definedName name="wrn.USIM_Data_Abbrev3." localSheetId="13" hidden="1">{#N/A,#N/A,FALSE,"Expenditures";#N/A,#N/A,FALSE,"Property Placed In-Service";#N/A,#N/A,FALSE,"CWIP Balances"}</definedName>
    <definedName name="wrn.USIM_Data_Abbrev3." localSheetId="14" hidden="1">{#N/A,#N/A,FALSE,"Expenditures";#N/A,#N/A,FALSE,"Property Placed In-Service";#N/A,#N/A,FALSE,"CWIP Balances"}</definedName>
    <definedName name="wrn.USIM_Data_Abbrev3." localSheetId="10" hidden="1">{#N/A,#N/A,FALSE,"Expenditures";#N/A,#N/A,FALSE,"Property Placed In-Service";#N/A,#N/A,FALSE,"CWIP Balances"}</definedName>
    <definedName name="wrn.USIM_Data_Abbrev3." localSheetId="3" hidden="1">{#N/A,#N/A,FALSE,"Expenditures";#N/A,#N/A,FALSE,"Property Placed In-Service";#N/A,#N/A,FALSE,"CWIP Balances"}</definedName>
    <definedName name="wrn.USIM_Data_Abbrev3." hidden="1">{#N/A,#N/A,FALSE,"Expenditures";#N/A,#N/A,FALSE,"Property Placed In-Service";#N/A,#N/A,FALSE,"CWIP Balances"}</definedName>
    <definedName name="www" localSheetId="11" hidden="1">{#N/A,#N/A,FALSE,"schA"}</definedName>
    <definedName name="www" localSheetId="12" hidden="1">{#N/A,#N/A,FALSE,"schA"}</definedName>
    <definedName name="www" localSheetId="13" hidden="1">{#N/A,#N/A,FALSE,"schA"}</definedName>
    <definedName name="www" localSheetId="14" hidden="1">{#N/A,#N/A,FALSE,"schA"}</definedName>
    <definedName name="www" localSheetId="10" hidden="1">{#N/A,#N/A,FALSE,"schA"}</definedName>
    <definedName name="www" localSheetId="3" hidden="1">{#N/A,#N/A,FALSE,"schA"}</definedName>
    <definedName name="www" hidden="1">{#N/A,#N/A,FALSE,"schA"}</definedName>
    <definedName name="www1" localSheetId="11" hidden="1">{#N/A,#N/A,FALSE,"schA"}</definedName>
    <definedName name="www1" localSheetId="12" hidden="1">{#N/A,#N/A,FALSE,"schA"}</definedName>
    <definedName name="www1" localSheetId="13" hidden="1">{#N/A,#N/A,FALSE,"schA"}</definedName>
    <definedName name="www1" localSheetId="14" hidden="1">{#N/A,#N/A,FALSE,"schA"}</definedName>
    <definedName name="www1" localSheetId="10" hidden="1">{#N/A,#N/A,FALSE,"schA"}</definedName>
    <definedName name="www1" localSheetId="3" hidden="1">{#N/A,#N/A,FALSE,"schA"}</definedName>
    <definedName name="www1" hidden="1">{#N/A,#N/A,FALSE,"schA"}</definedName>
    <definedName name="x" localSheetId="11" hidden="1">{#N/A,#N/A,FALSE,"Coversheet";#N/A,#N/A,FALSE,"QA"}</definedName>
    <definedName name="x" localSheetId="12" hidden="1">{#N/A,#N/A,FALSE,"Coversheet";#N/A,#N/A,FALSE,"QA"}</definedName>
    <definedName name="x" localSheetId="13" hidden="1">{#N/A,#N/A,FALSE,"Coversheet";#N/A,#N/A,FALSE,"QA"}</definedName>
    <definedName name="x" localSheetId="14" hidden="1">{#N/A,#N/A,FALSE,"Coversheet";#N/A,#N/A,FALSE,"QA"}</definedName>
    <definedName name="x" localSheetId="3" hidden="1">{#N/A,#N/A,FALSE,"Coversheet";#N/A,#N/A,FALSE,"QA"}</definedName>
    <definedName name="x" hidden="1">{#N/A,#N/A,FALSE,"Coversheet";#N/A,#N/A,FALSE,"QA"}</definedName>
    <definedName name="y" localSheetId="5"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7"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8"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9"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5"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0"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2"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z" localSheetId="11" hidden="1">{#N/A,#N/A,FALSE,"Coversheet";#N/A,#N/A,FALSE,"QA"}</definedName>
    <definedName name="z" localSheetId="12" hidden="1">{#N/A,#N/A,FALSE,"Coversheet";#N/A,#N/A,FALSE,"QA"}</definedName>
    <definedName name="z" localSheetId="13" hidden="1">{#N/A,#N/A,FALSE,"Coversheet";#N/A,#N/A,FALSE,"QA"}</definedName>
    <definedName name="z" localSheetId="14" hidden="1">{#N/A,#N/A,FALSE,"Coversheet";#N/A,#N/A,FALSE,"QA"}</definedName>
    <definedName name="z" localSheetId="3" hidden="1">{#N/A,#N/A,FALSE,"Coversheet";#N/A,#N/A,FALSE,"QA"}</definedName>
    <definedName name="z" hidden="1">{#N/A,#N/A,FALSE,"Coversheet";#N/A,#N/A,FALSE,"QA"}</definedName>
    <definedName name="Z_03B5CB54_D950_4809_9BFA_B5E91687BDB2_.wvu.Cols" localSheetId="9" hidden="1">'Ex D - 2007 GRC'!#REF!</definedName>
    <definedName name="Z_03B5CB54_D950_4809_9BFA_B5E91687BDB2_.wvu.Cols" localSheetId="3" hidden="1">'Exh D 12-10'!#REF!</definedName>
    <definedName name="Z_03B5CB54_D950_4809_9BFA_B5E91687BDB2_.wvu.PrintArea" localSheetId="5" hidden="1">'Ex A-2 - 2007GRC'!$A$4:$F$49</definedName>
    <definedName name="Z_03B5CB54_D950_4809_9BFA_B5E91687BDB2_.wvu.PrintArea" localSheetId="11" hidden="1">'Ex A-2 2009GRC'!$A$4:$E$46</definedName>
    <definedName name="Z_03B5CB54_D950_4809_9BFA_B5E91687BDB2_.wvu.PrintArea" localSheetId="9" hidden="1">'Ex D - 2007 GRC'!$A$1:$M$25</definedName>
    <definedName name="Z_03B5CB54_D950_4809_9BFA_B5E91687BDB2_.wvu.PrintArea" localSheetId="3" hidden="1">'Exh D 12-10'!$A$1:$N$26</definedName>
    <definedName name="Z_067119CC_1C61_43DB_B4BB_54397DC63A91_.wvu.PrintArea" localSheetId="4" hidden="1">'Ex A-1 2007GRC'!$A$4:$H$56</definedName>
    <definedName name="Z_067119CC_1C61_43DB_B4BB_54397DC63A91_.wvu.PrintArea" localSheetId="1" hidden="1">'Ex A-1 Updated Actual'!$A$5:$H$58</definedName>
    <definedName name="Z_067119CC_1C61_43DB_B4BB_54397DC63A91_.wvu.PrintArea" localSheetId="10" hidden="1">'Exh A-1 2009GRC'!$A$4:$J$52</definedName>
    <definedName name="Z_08940AE3_2B39_4679_8F23_53091628DE22_.wvu.Cols" localSheetId="6" hidden="1">'Ex A-3 2007GRC'!$E:$O</definedName>
    <definedName name="Z_08940AE3_2B39_4679_8F23_53091628DE22_.wvu.Cols" localSheetId="12" hidden="1">'Ex A-3 2009GRC'!#REF!</definedName>
    <definedName name="Z_08940AE3_2B39_4679_8F23_53091628DE22_.wvu.PrintArea" localSheetId="6" hidden="1">'Ex A-3 2007GRC'!$A$1:$S$66</definedName>
    <definedName name="Z_08940AE3_2B39_4679_8F23_53091628DE22_.wvu.PrintArea" localSheetId="12" hidden="1">'Ex A-3 2009GRC'!$A$1:$H$66</definedName>
    <definedName name="Z_0F2CC7FB_658B_4076_B2F4_70F2E8A73C62_.wvu.Cols" localSheetId="6" hidden="1">'Ex A-3 2007GRC'!$E:$O</definedName>
    <definedName name="Z_0F2CC7FB_658B_4076_B2F4_70F2E8A73C62_.wvu.Cols" localSheetId="12" hidden="1">'Ex A-3 2009GRC'!#REF!</definedName>
    <definedName name="Z_0F2CC7FB_658B_4076_B2F4_70F2E8A73C62_.wvu.PrintArea" localSheetId="6" hidden="1">'Ex A-3 2007GRC'!$A$1:$S$66</definedName>
    <definedName name="Z_0F2CC7FB_658B_4076_B2F4_70F2E8A73C62_.wvu.PrintArea" localSheetId="12" hidden="1">'Ex A-3 2009GRC'!$A$1:$H$66</definedName>
    <definedName name="Z_109A6FD5_7A38_487C_9B51_9E942A2A6DF7_.wvu.Cols" localSheetId="9" hidden="1">'Ex D - 2007 GRC'!#REF!</definedName>
    <definedName name="Z_109A6FD5_7A38_487C_9B51_9E942A2A6DF7_.wvu.Cols" localSheetId="3" hidden="1">'Exh D 12-10'!#REF!</definedName>
    <definedName name="Z_109A6FD5_7A38_487C_9B51_9E942A2A6DF7_.wvu.PrintArea" localSheetId="9" hidden="1">'Ex D - 2007 GRC'!$A$1:$M$25</definedName>
    <definedName name="Z_109A6FD5_7A38_487C_9B51_9E942A2A6DF7_.wvu.PrintArea" localSheetId="3" hidden="1">'Exh D 12-10'!$A$1:$N$26</definedName>
    <definedName name="Z_124C812C_4A2C_4F7A_9C51_0C1396FF6214_.wvu.Cols" localSheetId="6" hidden="1">'Ex A-3 2007GRC'!$E:$O</definedName>
    <definedName name="Z_124C812C_4A2C_4F7A_9C51_0C1396FF6214_.wvu.Cols" localSheetId="12" hidden="1">'Ex A-3 2009GRC'!#REF!</definedName>
    <definedName name="Z_124C812C_4A2C_4F7A_9C51_0C1396FF6214_.wvu.PrintArea" localSheetId="6" hidden="1">'Ex A-3 2007GRC'!$A$1:$S$66</definedName>
    <definedName name="Z_124C812C_4A2C_4F7A_9C51_0C1396FF6214_.wvu.PrintArea" localSheetId="12" hidden="1">'Ex A-3 2009GRC'!$A$1:$H$66</definedName>
    <definedName name="Z_14262664_129C_4E9B_8245_4B43AF19E33A_.wvu.PrintArea" localSheetId="4" hidden="1">'Ex A-1 2007GRC'!$A$4:$H$56</definedName>
    <definedName name="Z_14262664_129C_4E9B_8245_4B43AF19E33A_.wvu.PrintArea" localSheetId="1" hidden="1">'Ex A-1 Updated Actual'!$A$5:$H$58</definedName>
    <definedName name="Z_14262664_129C_4E9B_8245_4B43AF19E33A_.wvu.PrintArea" localSheetId="10" hidden="1">'Exh A-1 2009GRC'!$A$4:$J$52</definedName>
    <definedName name="Z_17768135_68BF_4539_94C0_50ED7816A698_.wvu.PrintArea" localSheetId="4" hidden="1">'Ex A-1 2007GRC'!$A$4:$H$56</definedName>
    <definedName name="Z_17768135_68BF_4539_94C0_50ED7816A698_.wvu.PrintArea" localSheetId="1" hidden="1">'Ex A-1 Updated Actual'!$A$5:$H$58</definedName>
    <definedName name="Z_17768135_68BF_4539_94C0_50ED7816A698_.wvu.PrintArea" localSheetId="10" hidden="1">'Exh A-1 2009GRC'!$A$4:$J$52</definedName>
    <definedName name="Z_1E64D771_8C52_4EFE_8F0D_67326F432767_.wvu.PrintArea" localSheetId="4" hidden="1">'Ex A-1 2007GRC'!$A$4:$H$56</definedName>
    <definedName name="Z_1E64D771_8C52_4EFE_8F0D_67326F432767_.wvu.PrintArea" localSheetId="1" hidden="1">'Ex A-1 Updated Actual'!$A$5:$H$58</definedName>
    <definedName name="Z_1E64D771_8C52_4EFE_8F0D_67326F432767_.wvu.PrintArea" localSheetId="10" hidden="1">'Exh A-1 2009GRC'!$A$4:$J$52</definedName>
    <definedName name="Z_2396DC2C_402A_4916_91F9_9FDB5C342408_.wvu.Cols" localSheetId="9" hidden="1">'Ex D - 2007 GRC'!#REF!</definedName>
    <definedName name="Z_2396DC2C_402A_4916_91F9_9FDB5C342408_.wvu.Cols" localSheetId="3" hidden="1">'Exh D 12-10'!#REF!</definedName>
    <definedName name="Z_2396DC2C_402A_4916_91F9_9FDB5C342408_.wvu.PrintArea" localSheetId="5" hidden="1">'Ex A-2 - 2007GRC'!$A$4:$F$49</definedName>
    <definedName name="Z_2396DC2C_402A_4916_91F9_9FDB5C342408_.wvu.PrintArea" localSheetId="11" hidden="1">'Ex A-2 2009GRC'!$A$4:$E$46</definedName>
    <definedName name="Z_2396DC2C_402A_4916_91F9_9FDB5C342408_.wvu.PrintArea" localSheetId="9" hidden="1">'Ex D - 2007 GRC'!$A$1:$M$25</definedName>
    <definedName name="Z_2396DC2C_402A_4916_91F9_9FDB5C342408_.wvu.PrintArea" localSheetId="3" hidden="1">'Exh D 12-10'!$A$1:$N$26</definedName>
    <definedName name="Z_28C5A156_92F3_4234_9C7A_A32D75F798CC_.wvu.PrintArea" localSheetId="4" hidden="1">'Ex A-1 2007GRC'!$A$4:$H$56</definedName>
    <definedName name="Z_28C5A156_92F3_4234_9C7A_A32D75F798CC_.wvu.PrintArea" localSheetId="1" hidden="1">'Ex A-1 Updated Actual'!$A$5:$H$58</definedName>
    <definedName name="Z_28C5A156_92F3_4234_9C7A_A32D75F798CC_.wvu.PrintArea" localSheetId="10" hidden="1">'Exh A-1 2009GRC'!$A$4:$J$52</definedName>
    <definedName name="Z_2DBDF3D7_BA4D_404D_AE4B_DFD7008C0411_.wvu.PrintArea" localSheetId="4" hidden="1">'Ex A-1 2007GRC'!$A$4:$H$56</definedName>
    <definedName name="Z_2DBDF3D7_BA4D_404D_AE4B_DFD7008C0411_.wvu.PrintArea" localSheetId="1" hidden="1">'Ex A-1 Updated Actual'!$A$5:$H$58</definedName>
    <definedName name="Z_2DBDF3D7_BA4D_404D_AE4B_DFD7008C0411_.wvu.PrintArea" localSheetId="10" hidden="1">'Exh A-1 2009GRC'!$A$4:$J$52</definedName>
    <definedName name="Z_30171EF4_8F5E_4A73_A7BD_AC361852ECC0_.wvu.Cols" localSheetId="9" hidden="1">'Ex D - 2007 GRC'!#REF!</definedName>
    <definedName name="Z_30171EF4_8F5E_4A73_A7BD_AC361852ECC0_.wvu.Cols" localSheetId="3" hidden="1">'Exh D 12-10'!#REF!</definedName>
    <definedName name="Z_30171EF4_8F5E_4A73_A7BD_AC361852ECC0_.wvu.PrintArea" localSheetId="9" hidden="1">'Ex D - 2007 GRC'!$A$1:$M$25</definedName>
    <definedName name="Z_30171EF4_8F5E_4A73_A7BD_AC361852ECC0_.wvu.PrintArea" localSheetId="3" hidden="1">'Exh D 12-10'!$A$1:$N$26</definedName>
    <definedName name="Z_323B199E_96B9_4DC6_8637_E126F9BA7C08_.wvu.Cols" localSheetId="9" hidden="1">'Ex D - 2007 GRC'!#REF!</definedName>
    <definedName name="Z_323B199E_96B9_4DC6_8637_E126F9BA7C08_.wvu.Cols" localSheetId="3" hidden="1">'Exh D 12-10'!#REF!</definedName>
    <definedName name="Z_323B199E_96B9_4DC6_8637_E126F9BA7C08_.wvu.PrintArea" localSheetId="9" hidden="1">'Ex D - 2007 GRC'!$A$1:$M$25</definedName>
    <definedName name="Z_323B199E_96B9_4DC6_8637_E126F9BA7C08_.wvu.PrintArea" localSheetId="3" hidden="1">'Exh D 12-10'!$A$1:$N$26</definedName>
    <definedName name="Z_33B41F79_FD24_4F36_8296_4697334AAAA8_.wvu.Cols" localSheetId="6" hidden="1">'Ex A-3 2007GRC'!$E:$O</definedName>
    <definedName name="Z_33B41F79_FD24_4F36_8296_4697334AAAA8_.wvu.Cols" localSheetId="12" hidden="1">'Ex A-3 2009GRC'!#REF!</definedName>
    <definedName name="Z_360E262E_5544_471B_8912_5783F5DDE4E1_.wvu.Cols" localSheetId="6" hidden="1">'Ex A-3 2007GRC'!$E:$O</definedName>
    <definedName name="Z_360E262E_5544_471B_8912_5783F5DDE4E1_.wvu.Cols" localSheetId="12" hidden="1">'Ex A-3 2009GRC'!#REF!</definedName>
    <definedName name="Z_360E262E_5544_471B_8912_5783F5DDE4E1_.wvu.PrintArea" localSheetId="6" hidden="1">'Ex A-3 2007GRC'!$A$1:$S$66</definedName>
    <definedName name="Z_360E262E_5544_471B_8912_5783F5DDE4E1_.wvu.PrintArea" localSheetId="12" hidden="1">'Ex A-3 2009GRC'!$A$1:$H$66</definedName>
    <definedName name="Z_3797879C_3298_4122_A12D_3DFD0284FBDD_.wvu.PrintArea" localSheetId="4" hidden="1">'Ex A-1 2007GRC'!$A$4:$H$56</definedName>
    <definedName name="Z_3797879C_3298_4122_A12D_3DFD0284FBDD_.wvu.PrintArea" localSheetId="1" hidden="1">'Ex A-1 Updated Actual'!$A$5:$H$58</definedName>
    <definedName name="Z_3797879C_3298_4122_A12D_3DFD0284FBDD_.wvu.PrintArea" localSheetId="10" hidden="1">'Exh A-1 2009GRC'!$A$4:$J$52</definedName>
    <definedName name="Z_3834E606_B28A_4696_9192_7BDA898195A1_.wvu.PrintArea" localSheetId="4" hidden="1">'Ex A-1 2007GRC'!$A$4:$H$56</definedName>
    <definedName name="Z_3834E606_B28A_4696_9192_7BDA898195A1_.wvu.PrintArea" localSheetId="1" hidden="1">'Ex A-1 Updated Actual'!$A$5:$H$58</definedName>
    <definedName name="Z_3834E606_B28A_4696_9192_7BDA898195A1_.wvu.PrintArea" localSheetId="10" hidden="1">'Exh A-1 2009GRC'!$A$4:$J$52</definedName>
    <definedName name="Z_3DB8EC99_BD55_4ABF_B71E_F70797B0173C_.wvu.PrintArea" localSheetId="4" hidden="1">'Ex A-1 2007GRC'!$A$4:$H$56</definedName>
    <definedName name="Z_3DB8EC99_BD55_4ABF_B71E_F70797B0173C_.wvu.PrintArea" localSheetId="1" hidden="1">'Ex A-1 Updated Actual'!$A$5:$H$58</definedName>
    <definedName name="Z_3DB8EC99_BD55_4ABF_B71E_F70797B0173C_.wvu.PrintArea" localSheetId="10" hidden="1">'Exh A-1 2009GRC'!$A$4:$J$52</definedName>
    <definedName name="Z_40B7FB48_DAE3_4682_852F_AC0650D2BE14_.wvu.PrintArea" localSheetId="4" hidden="1">'Ex A-1 2007GRC'!$A$4:$H$56</definedName>
    <definedName name="Z_40B7FB48_DAE3_4682_852F_AC0650D2BE14_.wvu.PrintArea" localSheetId="1" hidden="1">'Ex A-1 Updated Actual'!$A$5:$H$58</definedName>
    <definedName name="Z_40B7FB48_DAE3_4682_852F_AC0650D2BE14_.wvu.PrintArea" localSheetId="10" hidden="1">'Exh A-1 2009GRC'!$A$4:$J$52</definedName>
    <definedName name="Z_41713566_6DDC_4C14_8259_D9C15B9E45DD_.wvu.PrintArea" localSheetId="4" hidden="1">'Ex A-1 2007GRC'!$A$4:$H$56</definedName>
    <definedName name="Z_41713566_6DDC_4C14_8259_D9C15B9E45DD_.wvu.PrintArea" localSheetId="1" hidden="1">'Ex A-1 Updated Actual'!$A$5:$H$58</definedName>
    <definedName name="Z_41713566_6DDC_4C14_8259_D9C15B9E45DD_.wvu.PrintArea" localSheetId="10" hidden="1">'Exh A-1 2009GRC'!$A$4:$J$52</definedName>
    <definedName name="Z_423F2953_9177_4482_AE78_C7C47BA8995B_.wvu.PrintArea" localSheetId="4" hidden="1">'Ex A-1 2007GRC'!$A$4:$H$56</definedName>
    <definedName name="Z_423F2953_9177_4482_AE78_C7C47BA8995B_.wvu.PrintArea" localSheetId="1" hidden="1">'Ex A-1 Updated Actual'!$A$5:$H$58</definedName>
    <definedName name="Z_423F2953_9177_4482_AE78_C7C47BA8995B_.wvu.PrintArea" localSheetId="10" hidden="1">'Exh A-1 2009GRC'!$A$4:$J$52</definedName>
    <definedName name="Z_46E5C546_9AEA_4E06_B017_805B7E255C92_.wvu.PrintArea" localSheetId="4" hidden="1">'Ex A-1 2007GRC'!$A$4:$H$56</definedName>
    <definedName name="Z_46E5C546_9AEA_4E06_B017_805B7E255C92_.wvu.PrintArea" localSheetId="1" hidden="1">'Ex A-1 Updated Actual'!$A$5:$H$58</definedName>
    <definedName name="Z_46E5C546_9AEA_4E06_B017_805B7E255C92_.wvu.PrintArea" localSheetId="10" hidden="1">'Exh A-1 2009GRC'!$A$4:$J$52</definedName>
    <definedName name="Z_481D4E2E_20D4_45AB_AA2C_B34407716074_.wvu.Cols" localSheetId="9" hidden="1">'Ex D - 2007 GRC'!#REF!</definedName>
    <definedName name="Z_481D4E2E_20D4_45AB_AA2C_B34407716074_.wvu.Cols" localSheetId="3" hidden="1">'Exh D 12-10'!#REF!</definedName>
    <definedName name="Z_481D4E2E_20D4_45AB_AA2C_B34407716074_.wvu.PrintArea" localSheetId="9" hidden="1">'Ex D - 2007 GRC'!$A$1:$M$25</definedName>
    <definedName name="Z_481D4E2E_20D4_45AB_AA2C_B34407716074_.wvu.PrintArea" localSheetId="3" hidden="1">'Exh D 12-10'!$A$1:$N$26</definedName>
    <definedName name="Z_4840C72E_33E7_45CF_A897_030BC56F6B90_.wvu.PrintArea" localSheetId="4" hidden="1">'Ex A-1 2007GRC'!$A$4:$H$56</definedName>
    <definedName name="Z_4840C72E_33E7_45CF_A897_030BC56F6B90_.wvu.PrintArea" localSheetId="1" hidden="1">'Ex A-1 Updated Actual'!$A$5:$H$58</definedName>
    <definedName name="Z_4840C72E_33E7_45CF_A897_030BC56F6B90_.wvu.PrintArea" localSheetId="10" hidden="1">'Exh A-1 2009GRC'!$A$4:$J$52</definedName>
    <definedName name="Z_4E622CCD_D944_4FAF_AA88_B1B0E08B47FA_.wvu.Cols" localSheetId="6" hidden="1">'Ex A-3 2007GRC'!$E:$O</definedName>
    <definedName name="Z_4E622CCD_D944_4FAF_AA88_B1B0E08B47FA_.wvu.Cols" localSheetId="12" hidden="1">'Ex A-3 2009GRC'!#REF!</definedName>
    <definedName name="Z_4E622CCD_D944_4FAF_AA88_B1B0E08B47FA_.wvu.PrintArea" localSheetId="6" hidden="1">'Ex A-3 2007GRC'!$A$1:$S$66</definedName>
    <definedName name="Z_4E622CCD_D944_4FAF_AA88_B1B0E08B47FA_.wvu.PrintArea" localSheetId="12" hidden="1">'Ex A-3 2009GRC'!$A$1:$H$66</definedName>
    <definedName name="Z_5E49DE5F_0FCC_425D_A4A9_9AE99BAB6770_.wvu.Cols" localSheetId="6" hidden="1">'Ex A-3 2007GRC'!$E:$O</definedName>
    <definedName name="Z_5E49DE5F_0FCC_425D_A4A9_9AE99BAB6770_.wvu.Cols" localSheetId="12" hidden="1">'Ex A-3 2009GRC'!#REF!</definedName>
    <definedName name="Z_605C023E_A5C7_400F_9AAA_827B8FDB13A8_.wvu.PrintArea" localSheetId="4" hidden="1">'Ex A-1 2007GRC'!$A$4:$H$56</definedName>
    <definedName name="Z_605C023E_A5C7_400F_9AAA_827B8FDB13A8_.wvu.PrintArea" localSheetId="1" hidden="1">'Ex A-1 Updated Actual'!$A$5:$H$58</definedName>
    <definedName name="Z_605C023E_A5C7_400F_9AAA_827B8FDB13A8_.wvu.PrintArea" localSheetId="10" hidden="1">'Exh A-1 2009GRC'!$A$4:$J$52</definedName>
    <definedName name="Z_62EE4FB2_B9F8_4C5D_BC5C_181361F6DD86_.wvu.PrintArea" localSheetId="4" hidden="1">'Ex A-1 2007GRC'!$A$4:$H$56</definedName>
    <definedName name="Z_62EE4FB2_B9F8_4C5D_BC5C_181361F6DD86_.wvu.PrintArea" localSheetId="1" hidden="1">'Ex A-1 Updated Actual'!$A$5:$H$58</definedName>
    <definedName name="Z_62EE4FB2_B9F8_4C5D_BC5C_181361F6DD86_.wvu.PrintArea" localSheetId="10" hidden="1">'Exh A-1 2009GRC'!$A$4:$J$52</definedName>
    <definedName name="Z_663C3115_7A87_49DA_9260_EF1A41B87728_.wvu.Cols" localSheetId="9" hidden="1">'Ex D - 2007 GRC'!#REF!</definedName>
    <definedName name="Z_663C3115_7A87_49DA_9260_EF1A41B87728_.wvu.Cols" localSheetId="3" hidden="1">'Exh D 12-10'!#REF!</definedName>
    <definedName name="Z_663C3115_7A87_49DA_9260_EF1A41B87728_.wvu.PrintArea" localSheetId="9" hidden="1">'Ex D - 2007 GRC'!$A$1:$M$25</definedName>
    <definedName name="Z_663C3115_7A87_49DA_9260_EF1A41B87728_.wvu.PrintArea" localSheetId="3" hidden="1">'Exh D 12-10'!$A$1:$N$26</definedName>
    <definedName name="Z_6BE2AA00_D0CA_4793_8091_7BAABD0B030C_.wvu.Cols" localSheetId="9" hidden="1">'Ex D - 2007 GRC'!#REF!</definedName>
    <definedName name="Z_6BE2AA00_D0CA_4793_8091_7BAABD0B030C_.wvu.Cols" localSheetId="3" hidden="1">'Exh D 12-10'!#REF!</definedName>
    <definedName name="Z_6BE2AA00_D0CA_4793_8091_7BAABD0B030C_.wvu.PrintArea" localSheetId="5" hidden="1">'Ex A-2 - 2007GRC'!$A$4:$F$49</definedName>
    <definedName name="Z_6BE2AA00_D0CA_4793_8091_7BAABD0B030C_.wvu.PrintArea" localSheetId="11" hidden="1">'Ex A-2 2009GRC'!$A$4:$E$46</definedName>
    <definedName name="Z_6BE2AA00_D0CA_4793_8091_7BAABD0B030C_.wvu.PrintArea" localSheetId="9" hidden="1">'Ex D - 2007 GRC'!$A$1:$M$25</definedName>
    <definedName name="Z_6BE2AA00_D0CA_4793_8091_7BAABD0B030C_.wvu.PrintArea" localSheetId="3" hidden="1">'Exh D 12-10'!$A$1:$N$26</definedName>
    <definedName name="Z_6C054A84_7F92_45EC_B53F_EAC86C7019C4_.wvu.Cols" localSheetId="9" hidden="1">'Ex D - 2007 GRC'!#REF!</definedName>
    <definedName name="Z_6C054A84_7F92_45EC_B53F_EAC86C7019C4_.wvu.Cols" localSheetId="3" hidden="1">'Exh D 12-10'!#REF!</definedName>
    <definedName name="Z_6C054A84_7F92_45EC_B53F_EAC86C7019C4_.wvu.PrintArea" localSheetId="5" hidden="1">'Ex A-2 - 2007GRC'!$A$4:$F$49</definedName>
    <definedName name="Z_6C054A84_7F92_45EC_B53F_EAC86C7019C4_.wvu.PrintArea" localSheetId="11" hidden="1">'Ex A-2 2009GRC'!$A$4:$E$46</definedName>
    <definedName name="Z_6C054A84_7F92_45EC_B53F_EAC86C7019C4_.wvu.PrintArea" localSheetId="9" hidden="1">'Ex D - 2007 GRC'!$A$1:$M$25</definedName>
    <definedName name="Z_6C054A84_7F92_45EC_B53F_EAC86C7019C4_.wvu.PrintArea" localSheetId="3" hidden="1">'Exh D 12-10'!$A$1:$N$26</definedName>
    <definedName name="Z_6CCD15FF_0E65_46C3_9881_A9AD5C3EA28A_.wvu.Cols" localSheetId="9" hidden="1">'Ex D - 2007 GRC'!#REF!</definedName>
    <definedName name="Z_6CCD15FF_0E65_46C3_9881_A9AD5C3EA28A_.wvu.Cols" localSheetId="3" hidden="1">'Exh D 12-10'!#REF!</definedName>
    <definedName name="Z_6CCD15FF_0E65_46C3_9881_A9AD5C3EA28A_.wvu.PrintArea" localSheetId="5" hidden="1">'Ex A-2 - 2007GRC'!$A$4:$F$49</definedName>
    <definedName name="Z_6CCD15FF_0E65_46C3_9881_A9AD5C3EA28A_.wvu.PrintArea" localSheetId="11" hidden="1">'Ex A-2 2009GRC'!$A$4:$E$46</definedName>
    <definedName name="Z_6CCD15FF_0E65_46C3_9881_A9AD5C3EA28A_.wvu.PrintArea" localSheetId="9" hidden="1">'Ex D - 2007 GRC'!$A$1:$M$25</definedName>
    <definedName name="Z_6CCD15FF_0E65_46C3_9881_A9AD5C3EA28A_.wvu.PrintArea" localSheetId="3" hidden="1">'Exh D 12-10'!$A$1:$N$26</definedName>
    <definedName name="Z_71BE80D5_D2E9_4DE2_BCB0_6CDBFC730EEB_.wvu.Cols" localSheetId="6" hidden="1">'Ex A-3 2007GRC'!$E:$O</definedName>
    <definedName name="Z_71BE80D5_D2E9_4DE2_BCB0_6CDBFC730EEB_.wvu.Cols" localSheetId="12" hidden="1">'Ex A-3 2009GRC'!#REF!</definedName>
    <definedName name="Z_72FEDAE6_5818_4398_BD73_F68F64A87D77_.wvu.Cols" localSheetId="6" hidden="1">'Ex A-3 2007GRC'!$E:$O</definedName>
    <definedName name="Z_72FEDAE6_5818_4398_BD73_F68F64A87D77_.wvu.Cols" localSheetId="12" hidden="1">'Ex A-3 2009GRC'!#REF!</definedName>
    <definedName name="Z_73DC5D62_B5F7_4FF1_B828_872B4B4D393C_.wvu.Cols" localSheetId="6" hidden="1">'Ex A-3 2007GRC'!$E:$O</definedName>
    <definedName name="Z_73DC5D62_B5F7_4FF1_B828_872B4B4D393C_.wvu.Cols" localSheetId="12" hidden="1">'Ex A-3 2009GRC'!#REF!</definedName>
    <definedName name="Z_7765C09D_9D61_4D8B_A0C4_7C6D784C2592_.wvu.Cols" localSheetId="9" hidden="1">'Ex D - 2007 GRC'!#REF!</definedName>
    <definedName name="Z_7765C09D_9D61_4D8B_A0C4_7C6D784C2592_.wvu.Cols" localSheetId="3" hidden="1">'Exh D 12-10'!#REF!</definedName>
    <definedName name="Z_7765C09D_9D61_4D8B_A0C4_7C6D784C2592_.wvu.PrintArea" localSheetId="5" hidden="1">'Ex A-2 - 2007GRC'!$A$4:$F$49</definedName>
    <definedName name="Z_7765C09D_9D61_4D8B_A0C4_7C6D784C2592_.wvu.PrintArea" localSheetId="11" hidden="1">'Ex A-2 2009GRC'!$A$4:$E$46</definedName>
    <definedName name="Z_7765C09D_9D61_4D8B_A0C4_7C6D784C2592_.wvu.PrintArea" localSheetId="9" hidden="1">'Ex D - 2007 GRC'!$A$1:$M$25</definedName>
    <definedName name="Z_7765C09D_9D61_4D8B_A0C4_7C6D784C2592_.wvu.PrintArea" localSheetId="3" hidden="1">'Exh D 12-10'!$A$1:$N$26</definedName>
    <definedName name="Z_79762E65_90C4_47A1_86F2_E82D4A20979F_.wvu.Cols" localSheetId="6" hidden="1">'Ex A-3 2007GRC'!$E:$O</definedName>
    <definedName name="Z_79762E65_90C4_47A1_86F2_E82D4A20979F_.wvu.Cols" localSheetId="12" hidden="1">'Ex A-3 2009GRC'!#REF!</definedName>
    <definedName name="Z_7B9E46E5_DE40_4DE3_A131_6EB2A495D794_.wvu.Cols" localSheetId="9" hidden="1">'Ex D - 2007 GRC'!#REF!</definedName>
    <definedName name="Z_7B9E46E5_DE40_4DE3_A131_6EB2A495D794_.wvu.Cols" localSheetId="3" hidden="1">'Exh D 12-10'!#REF!</definedName>
    <definedName name="Z_7B9E46E5_DE40_4DE3_A131_6EB2A495D794_.wvu.PrintArea" localSheetId="9" hidden="1">'Ex D - 2007 GRC'!$A$1:$M$25</definedName>
    <definedName name="Z_7B9E46E5_DE40_4DE3_A131_6EB2A495D794_.wvu.PrintArea" localSheetId="3" hidden="1">'Exh D 12-10'!$A$1:$N$26</definedName>
    <definedName name="Z_7BA69DB9_9629_48D1_B18D_D9C903A40CAC_.wvu.Cols" localSheetId="6" hidden="1">'Ex A-3 2007GRC'!$E:$O</definedName>
    <definedName name="Z_7BA69DB9_9629_48D1_B18D_D9C903A40CAC_.wvu.Cols" localSheetId="12" hidden="1">'Ex A-3 2009GRC'!#REF!</definedName>
    <definedName name="Z_7BB893A1_9453_4866_8DE0_1A73FD3D4375_.wvu.Cols" localSheetId="6" hidden="1">'Ex A-3 2007GRC'!$E:$O</definedName>
    <definedName name="Z_7BB893A1_9453_4866_8DE0_1A73FD3D4375_.wvu.Cols" localSheetId="12" hidden="1">'Ex A-3 2009GRC'!#REF!</definedName>
    <definedName name="Z_813D7A4F_EDF6_49ED_B8FD_B74D0B9276AB_.wvu.PrintArea" localSheetId="4" hidden="1">'Ex A-1 2007GRC'!$A$4:$H$56</definedName>
    <definedName name="Z_813D7A4F_EDF6_49ED_B8FD_B74D0B9276AB_.wvu.PrintArea" localSheetId="1" hidden="1">'Ex A-1 Updated Actual'!$A$5:$H$58</definedName>
    <definedName name="Z_813D7A4F_EDF6_49ED_B8FD_B74D0B9276AB_.wvu.PrintArea" localSheetId="10" hidden="1">'Exh A-1 2009GRC'!$A$4:$J$52</definedName>
    <definedName name="Z_83C2B01C_2BB7_44E8_9FCB_52B0216AB579_.wvu.Cols" localSheetId="6" hidden="1">'Ex A-3 2007GRC'!$E:$O</definedName>
    <definedName name="Z_83C2B01C_2BB7_44E8_9FCB_52B0216AB579_.wvu.Cols" localSheetId="12" hidden="1">'Ex A-3 2009GRC'!#REF!</definedName>
    <definedName name="Z_84213CFC_D8F9_4E4C_B010_08EF5E3F8AD7_.wvu.Cols" localSheetId="9" hidden="1">'Ex D - 2007 GRC'!#REF!</definedName>
    <definedName name="Z_84213CFC_D8F9_4E4C_B010_08EF5E3F8AD7_.wvu.Cols" localSheetId="3" hidden="1">'Exh D 12-10'!#REF!</definedName>
    <definedName name="Z_84213CFC_D8F9_4E4C_B010_08EF5E3F8AD7_.wvu.PrintArea" localSheetId="5" hidden="1">'Ex A-2 - 2007GRC'!$A$4:$F$49</definedName>
    <definedName name="Z_84213CFC_D8F9_4E4C_B010_08EF5E3F8AD7_.wvu.PrintArea" localSheetId="11" hidden="1">'Ex A-2 2009GRC'!$A$4:$E$46</definedName>
    <definedName name="Z_84213CFC_D8F9_4E4C_B010_08EF5E3F8AD7_.wvu.PrintArea" localSheetId="9" hidden="1">'Ex D - 2007 GRC'!$A$1:$M$25</definedName>
    <definedName name="Z_84213CFC_D8F9_4E4C_B010_08EF5E3F8AD7_.wvu.PrintArea" localSheetId="3" hidden="1">'Exh D 12-10'!$A$1:$N$26</definedName>
    <definedName name="Z_88A240CE_F5A6_4995_A526_0E22BADCFF6D_.wvu.PrintArea" localSheetId="4" hidden="1">'Ex A-1 2007GRC'!$A$4:$H$56</definedName>
    <definedName name="Z_88A240CE_F5A6_4995_A526_0E22BADCFF6D_.wvu.PrintArea" localSheetId="1" hidden="1">'Ex A-1 Updated Actual'!$A$5:$H$58</definedName>
    <definedName name="Z_88A240CE_F5A6_4995_A526_0E22BADCFF6D_.wvu.PrintArea" localSheetId="10" hidden="1">'Exh A-1 2009GRC'!$A$4:$J$52</definedName>
    <definedName name="Z_8920654A_B782_40BF_9A51_A43F20A27C02_.wvu.PrintArea" localSheetId="4" hidden="1">'Ex A-1 2007GRC'!$A$4:$H$56</definedName>
    <definedName name="Z_8920654A_B782_40BF_9A51_A43F20A27C02_.wvu.PrintArea" localSheetId="1" hidden="1">'Ex A-1 Updated Actual'!$A$5:$H$58</definedName>
    <definedName name="Z_8920654A_B782_40BF_9A51_A43F20A27C02_.wvu.PrintArea" localSheetId="10" hidden="1">'Exh A-1 2009GRC'!$A$4:$J$52</definedName>
    <definedName name="Z_8E7EA697_A1C1_4FA5_9CC7_93304413A154_.wvu.PrintArea" localSheetId="4" hidden="1">'Ex A-1 2007GRC'!$A$4:$H$56</definedName>
    <definedName name="Z_8E7EA697_A1C1_4FA5_9CC7_93304413A154_.wvu.PrintArea" localSheetId="1" hidden="1">'Ex A-1 Updated Actual'!$A$5:$H$58</definedName>
    <definedName name="Z_8E7EA697_A1C1_4FA5_9CC7_93304413A154_.wvu.PrintArea" localSheetId="10" hidden="1">'Exh A-1 2009GRC'!$A$4:$J$52</definedName>
    <definedName name="Z_9425E5FD_17DF_4683_9D8C_95E099A01E16_.wvu.Cols" localSheetId="6" hidden="1">'Ex A-3 2007GRC'!$E:$O</definedName>
    <definedName name="Z_9425E5FD_17DF_4683_9D8C_95E099A01E16_.wvu.Cols" localSheetId="12" hidden="1">'Ex A-3 2009GRC'!#REF!</definedName>
    <definedName name="Z_9425E5FD_17DF_4683_9D8C_95E099A01E16_.wvu.PrintArea" localSheetId="6" hidden="1">'Ex A-3 2007GRC'!$A$1:$S$66</definedName>
    <definedName name="Z_9425E5FD_17DF_4683_9D8C_95E099A01E16_.wvu.PrintArea" localSheetId="12" hidden="1">'Ex A-3 2009GRC'!$A$1:$H$66</definedName>
    <definedName name="Z_990691EF_FF43_4000_BCD8_6862D2BAD44A_.wvu.PrintArea" localSheetId="4" hidden="1">'Ex A-1 2007GRC'!$A$4:$H$56</definedName>
    <definedName name="Z_990691EF_FF43_4000_BCD8_6862D2BAD44A_.wvu.PrintArea" localSheetId="1" hidden="1">'Ex A-1 Updated Actual'!$A$5:$H$58</definedName>
    <definedName name="Z_990691EF_FF43_4000_BCD8_6862D2BAD44A_.wvu.PrintArea" localSheetId="10" hidden="1">'Exh A-1 2009GRC'!$A$4:$J$52</definedName>
    <definedName name="Z_9DB1448B_0B06_4897_A7CD_BCAC8E925C6E_.wvu.Cols" localSheetId="6" hidden="1">'Ex A-3 2007GRC'!$E:$O</definedName>
    <definedName name="Z_9DB1448B_0B06_4897_A7CD_BCAC8E925C6E_.wvu.Cols" localSheetId="12" hidden="1">'Ex A-3 2009GRC'!#REF!</definedName>
    <definedName name="Z_9EDECD17_2FEA_43EF_915A_B991229DF9B6_.wvu.Cols" localSheetId="6" hidden="1">'Ex A-3 2007GRC'!$E:$O</definedName>
    <definedName name="Z_9EDECD17_2FEA_43EF_915A_B991229DF9B6_.wvu.Cols" localSheetId="12" hidden="1">'Ex A-3 2009GRC'!#REF!</definedName>
    <definedName name="Z_9EDECD17_2FEA_43EF_915A_B991229DF9B6_.wvu.PrintArea" localSheetId="6" hidden="1">'Ex A-3 2007GRC'!$A$1:$S$66</definedName>
    <definedName name="Z_9EDECD17_2FEA_43EF_915A_B991229DF9B6_.wvu.PrintArea" localSheetId="12" hidden="1">'Ex A-3 2009GRC'!$A$1:$H$66</definedName>
    <definedName name="Z_A1FA6151_E2D3_4099_BB8D_6C3F74D8C23B_.wvu.Cols" localSheetId="6" hidden="1">'Ex A-3 2007GRC'!$E:$O</definedName>
    <definedName name="Z_A1FA6151_E2D3_4099_BB8D_6C3F74D8C23B_.wvu.Cols" localSheetId="12" hidden="1">'Ex A-3 2009GRC'!#REF!</definedName>
    <definedName name="Z_A3FBC4C2_6ECB_480C_89DD_35506B048870_.wvu.PrintArea" localSheetId="4" hidden="1">'Ex A-1 2007GRC'!$A$4:$H$56</definedName>
    <definedName name="Z_A3FBC4C2_6ECB_480C_89DD_35506B048870_.wvu.PrintArea" localSheetId="1" hidden="1">'Ex A-1 Updated Actual'!$A$5:$H$58</definedName>
    <definedName name="Z_A3FBC4C2_6ECB_480C_89DD_35506B048870_.wvu.PrintArea" localSheetId="10" hidden="1">'Exh A-1 2009GRC'!$A$4:$J$52</definedName>
    <definedName name="Z_A5386FC6_060C_4FF8_9754_8F41ED24E370_.wvu.Cols" localSheetId="9" hidden="1">'Ex D - 2007 GRC'!#REF!</definedName>
    <definedName name="Z_A5386FC6_060C_4FF8_9754_8F41ED24E370_.wvu.Cols" localSheetId="3" hidden="1">'Exh D 12-10'!#REF!</definedName>
    <definedName name="Z_A5386FC6_060C_4FF8_9754_8F41ED24E370_.wvu.PrintArea" localSheetId="9" hidden="1">'Ex D - 2007 GRC'!$A$1:$M$25</definedName>
    <definedName name="Z_A5386FC6_060C_4FF8_9754_8F41ED24E370_.wvu.PrintArea" localSheetId="3" hidden="1">'Exh D 12-10'!$A$1:$N$26</definedName>
    <definedName name="Z_A68D84AC_3459_4B1A_A82C_09666110CF77_.wvu.Cols" localSheetId="9" hidden="1">'Ex D - 2007 GRC'!#REF!</definedName>
    <definedName name="Z_A68D84AC_3459_4B1A_A82C_09666110CF77_.wvu.Cols" localSheetId="3" hidden="1">'Exh D 12-10'!#REF!</definedName>
    <definedName name="Z_A68D84AC_3459_4B1A_A82C_09666110CF77_.wvu.PrintArea" localSheetId="9" hidden="1">'Ex D - 2007 GRC'!$A$1:$M$25</definedName>
    <definedName name="Z_A68D84AC_3459_4B1A_A82C_09666110CF77_.wvu.PrintArea" localSheetId="3" hidden="1">'Exh D 12-10'!$A$1:$N$26</definedName>
    <definedName name="Z_ACABE5FC_E604_45C9_ACB7_53C863CA19F6_.wvu.PrintArea" localSheetId="4" hidden="1">'Ex A-1 2007GRC'!$A$4:$H$56</definedName>
    <definedName name="Z_ACABE5FC_E604_45C9_ACB7_53C863CA19F6_.wvu.PrintArea" localSheetId="1" hidden="1">'Ex A-1 Updated Actual'!$A$5:$H$58</definedName>
    <definedName name="Z_ACABE5FC_E604_45C9_ACB7_53C863CA19F6_.wvu.PrintArea" localSheetId="10" hidden="1">'Exh A-1 2009GRC'!$A$4:$J$52</definedName>
    <definedName name="Z_AD88DA1E_4535_4A0F_86F8_39D7812ED88C_.wvu.Cols" localSheetId="9" hidden="1">'Ex D - 2007 GRC'!#REF!</definedName>
    <definedName name="Z_AD88DA1E_4535_4A0F_86F8_39D7812ED88C_.wvu.Cols" localSheetId="3" hidden="1">'Exh D 12-10'!#REF!</definedName>
    <definedName name="Z_AD88DA1E_4535_4A0F_86F8_39D7812ED88C_.wvu.PrintArea" localSheetId="9" hidden="1">'Ex D - 2007 GRC'!$A$1:$M$25</definedName>
    <definedName name="Z_AD88DA1E_4535_4A0F_86F8_39D7812ED88C_.wvu.PrintArea" localSheetId="3" hidden="1">'Exh D 12-10'!$A$1:$N$26</definedName>
    <definedName name="Z_B1F8DC23_D716_49D3_B2ED_6AD79DCC127D_.wvu.Cols" localSheetId="9" hidden="1">'Ex D - 2007 GRC'!#REF!</definedName>
    <definedName name="Z_B1F8DC23_D716_49D3_B2ED_6AD79DCC127D_.wvu.Cols" localSheetId="3" hidden="1">'Exh D 12-10'!#REF!</definedName>
    <definedName name="Z_B1F8DC23_D716_49D3_B2ED_6AD79DCC127D_.wvu.PrintArea" localSheetId="9" hidden="1">'Ex D - 2007 GRC'!$A$1:$M$25</definedName>
    <definedName name="Z_B1F8DC23_D716_49D3_B2ED_6AD79DCC127D_.wvu.PrintArea" localSheetId="3" hidden="1">'Exh D 12-10'!$A$1:$N$26</definedName>
    <definedName name="Z_B645129D_C5C8_4408_A211_8D284ED241D4_.wvu.Cols" localSheetId="9" hidden="1">'Ex D - 2007 GRC'!#REF!</definedName>
    <definedName name="Z_B645129D_C5C8_4408_A211_8D284ED241D4_.wvu.Cols" localSheetId="3" hidden="1">'Exh D 12-10'!#REF!</definedName>
    <definedName name="Z_B645129D_C5C8_4408_A211_8D284ED241D4_.wvu.PrintArea" localSheetId="9" hidden="1">'Ex D - 2007 GRC'!$A$1:$M$25</definedName>
    <definedName name="Z_B645129D_C5C8_4408_A211_8D284ED241D4_.wvu.PrintArea" localSheetId="3" hidden="1">'Exh D 12-10'!$A$1:$N$26</definedName>
    <definedName name="Z_BA39091D_C7FC_45D0_82A3_5E4EAAFABA5A_.wvu.PrintArea" localSheetId="4" hidden="1">'Ex A-1 2007GRC'!$A$4:$H$56</definedName>
    <definedName name="Z_BA39091D_C7FC_45D0_82A3_5E4EAAFABA5A_.wvu.PrintArea" localSheetId="1" hidden="1">'Ex A-1 Updated Actual'!$A$5:$H$58</definedName>
    <definedName name="Z_BA39091D_C7FC_45D0_82A3_5E4EAAFABA5A_.wvu.PrintArea" localSheetId="10" hidden="1">'Exh A-1 2009GRC'!$A$4:$J$52</definedName>
    <definedName name="Z_BBEC464C_25F9_4835_BB05_13062D5DEAC1_.wvu.PrintArea" localSheetId="4" hidden="1">'Ex A-1 2007GRC'!$A$4:$H$56</definedName>
    <definedName name="Z_BBEC464C_25F9_4835_BB05_13062D5DEAC1_.wvu.PrintArea" localSheetId="1" hidden="1">'Ex A-1 Updated Actual'!$A$5:$H$58</definedName>
    <definedName name="Z_BBEC464C_25F9_4835_BB05_13062D5DEAC1_.wvu.PrintArea" localSheetId="10" hidden="1">'Exh A-1 2009GRC'!$A$4:$J$52</definedName>
    <definedName name="Z_BFF4269F_5159_4FE7_8C1B_7EF258D66D6C_.wvu.Cols" localSheetId="9" hidden="1">'Ex D - 2007 GRC'!#REF!</definedName>
    <definedName name="Z_BFF4269F_5159_4FE7_8C1B_7EF258D66D6C_.wvu.Cols" localSheetId="3" hidden="1">'Exh D 12-10'!#REF!</definedName>
    <definedName name="Z_BFF4269F_5159_4FE7_8C1B_7EF258D66D6C_.wvu.PrintArea" localSheetId="5" hidden="1">'Ex A-2 - 2007GRC'!$A$4:$F$49</definedName>
    <definedName name="Z_BFF4269F_5159_4FE7_8C1B_7EF258D66D6C_.wvu.PrintArea" localSheetId="11" hidden="1">'Ex A-2 2009GRC'!$A$4:$E$46</definedName>
    <definedName name="Z_BFF4269F_5159_4FE7_8C1B_7EF258D66D6C_.wvu.PrintArea" localSheetId="9" hidden="1">'Ex D - 2007 GRC'!$A$1:$M$25</definedName>
    <definedName name="Z_BFF4269F_5159_4FE7_8C1B_7EF258D66D6C_.wvu.PrintArea" localSheetId="3" hidden="1">'Exh D 12-10'!$A$1:$N$26</definedName>
    <definedName name="Z_C3CE34FF_D7D7_4ECF_B6E1_4700E3130E94_.wvu.PrintArea" localSheetId="4" hidden="1">'Ex A-1 2007GRC'!$A$4:$H$56</definedName>
    <definedName name="Z_C3CE34FF_D7D7_4ECF_B6E1_4700E3130E94_.wvu.PrintArea" localSheetId="1" hidden="1">'Ex A-1 Updated Actual'!$A$5:$H$58</definedName>
    <definedName name="Z_C3CE34FF_D7D7_4ECF_B6E1_4700E3130E94_.wvu.PrintArea" localSheetId="10" hidden="1">'Exh A-1 2009GRC'!$A$4:$J$52</definedName>
    <definedName name="Z_C4883C13_F396_4F7E_A779_FD99A50836F3_.wvu.Cols" localSheetId="9" hidden="1">'Ex D - 2007 GRC'!#REF!</definedName>
    <definedName name="Z_C4883C13_F396_4F7E_A779_FD99A50836F3_.wvu.Cols" localSheetId="3" hidden="1">'Exh D 12-10'!#REF!</definedName>
    <definedName name="Z_C4883C13_F396_4F7E_A779_FD99A50836F3_.wvu.PrintArea" localSheetId="5" hidden="1">'Ex A-2 - 2007GRC'!$A$4:$F$49</definedName>
    <definedName name="Z_C4883C13_F396_4F7E_A779_FD99A50836F3_.wvu.PrintArea" localSheetId="11" hidden="1">'Ex A-2 2009GRC'!$A$4:$E$46</definedName>
    <definedName name="Z_C4883C13_F396_4F7E_A779_FD99A50836F3_.wvu.PrintArea" localSheetId="9" hidden="1">'Ex D - 2007 GRC'!$A$1:$M$25</definedName>
    <definedName name="Z_C4883C13_F396_4F7E_A779_FD99A50836F3_.wvu.PrintArea" localSheetId="3" hidden="1">'Exh D 12-10'!$A$1:$N$26</definedName>
    <definedName name="Z_C63704F0_44AC_4DFF_9CE1_040677F2E727_.wvu.Cols" localSheetId="6" hidden="1">'Ex A-3 2007GRC'!$E:$O</definedName>
    <definedName name="Z_C63704F0_44AC_4DFF_9CE1_040677F2E727_.wvu.Cols" localSheetId="12" hidden="1">'Ex A-3 2009GRC'!#REF!</definedName>
    <definedName name="Z_C63704F0_44AC_4DFF_9CE1_040677F2E727_.wvu.PrintArea" localSheetId="6" hidden="1">'Ex A-3 2007GRC'!$A$1:$S$66</definedName>
    <definedName name="Z_C63704F0_44AC_4DFF_9CE1_040677F2E727_.wvu.PrintArea" localSheetId="12" hidden="1">'Ex A-3 2009GRC'!$A$1:$H$66</definedName>
    <definedName name="Z_CD5012F4_E6A6_495E_BF90_5F6D9EE7AF29_.wvu.PrintArea" localSheetId="4" hidden="1">'Ex A-1 2007GRC'!$A$4:$H$56</definedName>
    <definedName name="Z_CD5012F4_E6A6_495E_BF90_5F6D9EE7AF29_.wvu.PrintArea" localSheetId="1" hidden="1">'Ex A-1 Updated Actual'!$A$5:$H$58</definedName>
    <definedName name="Z_CD5012F4_E6A6_495E_BF90_5F6D9EE7AF29_.wvu.PrintArea" localSheetId="10" hidden="1">'Exh A-1 2009GRC'!$A$4:$J$52</definedName>
    <definedName name="Z_D034A8AA_A968_4D12_B6AF_09F53E5CD513_.wvu.PrintArea" localSheetId="4" hidden="1">'Ex A-1 2007GRC'!$A$4:$H$56</definedName>
    <definedName name="Z_D034A8AA_A968_4D12_B6AF_09F53E5CD513_.wvu.PrintArea" localSheetId="1" hidden="1">'Ex A-1 Updated Actual'!$A$5:$H$58</definedName>
    <definedName name="Z_D034A8AA_A968_4D12_B6AF_09F53E5CD513_.wvu.PrintArea" localSheetId="10" hidden="1">'Exh A-1 2009GRC'!$A$4:$J$52</definedName>
    <definedName name="Z_D15D6F26_DA6E_456D_B7F5_850E9F3039F7_.wvu.Cols" localSheetId="9" hidden="1">'Ex D - 2007 GRC'!#REF!</definedName>
    <definedName name="Z_D15D6F26_DA6E_456D_B7F5_850E9F3039F7_.wvu.Cols" localSheetId="3" hidden="1">'Exh D 12-10'!#REF!</definedName>
    <definedName name="Z_D15D6F26_DA6E_456D_B7F5_850E9F3039F7_.wvu.PrintArea" localSheetId="9" hidden="1">'Ex D - 2007 GRC'!$A$1:$M$25</definedName>
    <definedName name="Z_D15D6F26_DA6E_456D_B7F5_850E9F3039F7_.wvu.PrintArea" localSheetId="3" hidden="1">'Exh D 12-10'!$A$1:$N$26</definedName>
    <definedName name="Z_D358E58B_5EA6_4EB2_8562_4D9FEBA8EA54_.wvu.PrintArea" localSheetId="4" hidden="1">'Ex A-1 2007GRC'!$A$4:$H$56</definedName>
    <definedName name="Z_D358E58B_5EA6_4EB2_8562_4D9FEBA8EA54_.wvu.PrintArea" localSheetId="1" hidden="1">'Ex A-1 Updated Actual'!$A$5:$H$58</definedName>
    <definedName name="Z_D358E58B_5EA6_4EB2_8562_4D9FEBA8EA54_.wvu.PrintArea" localSheetId="10" hidden="1">'Exh A-1 2009GRC'!$A$4:$J$52</definedName>
    <definedName name="Z_D564613F_7CF3_40DE_8CDA_0C25C1F35855_.wvu.PrintArea" localSheetId="4" hidden="1">'Ex A-1 2007GRC'!$A$4:$H$56</definedName>
    <definedName name="Z_D564613F_7CF3_40DE_8CDA_0C25C1F35855_.wvu.PrintArea" localSheetId="1" hidden="1">'Ex A-1 Updated Actual'!$A$5:$H$58</definedName>
    <definedName name="Z_D564613F_7CF3_40DE_8CDA_0C25C1F35855_.wvu.PrintArea" localSheetId="10" hidden="1">'Exh A-1 2009GRC'!$A$4:$J$52</definedName>
    <definedName name="Z_D86EDF48_CDEA_4A90_8E1A_7F0B5E967DBE_.wvu.Cols" localSheetId="6" hidden="1">'Ex A-3 2007GRC'!$E:$O</definedName>
    <definedName name="Z_D86EDF48_CDEA_4A90_8E1A_7F0B5E967DBE_.wvu.Cols" localSheetId="12" hidden="1">'Ex A-3 2009GRC'!#REF!</definedName>
    <definedName name="Z_DA82D128_5452_45C5_914D_4ECF8FABD1C5_.wvu.Cols" localSheetId="9" hidden="1">'Ex D - 2007 GRC'!#REF!</definedName>
    <definedName name="Z_DA82D128_5452_45C5_914D_4ECF8FABD1C5_.wvu.Cols" localSheetId="3" hidden="1">'Exh D 12-10'!#REF!</definedName>
    <definedName name="Z_DA82D128_5452_45C5_914D_4ECF8FABD1C5_.wvu.PrintArea" localSheetId="9" hidden="1">'Ex D - 2007 GRC'!$A$1:$M$25</definedName>
    <definedName name="Z_DA82D128_5452_45C5_914D_4ECF8FABD1C5_.wvu.PrintArea" localSheetId="3" hidden="1">'Exh D 12-10'!$A$1:$N$26</definedName>
    <definedName name="Z_DD70B4E1_CC64_4568_BFD6_83390A7B0268_.wvu.PrintArea" localSheetId="4" hidden="1">'Ex A-1 2007GRC'!$A$4:$H$56</definedName>
    <definedName name="Z_DD70B4E1_CC64_4568_BFD6_83390A7B0268_.wvu.PrintArea" localSheetId="1" hidden="1">'Ex A-1 Updated Actual'!$A$5:$H$58</definedName>
    <definedName name="Z_DD70B4E1_CC64_4568_BFD6_83390A7B0268_.wvu.PrintArea" localSheetId="10" hidden="1">'Exh A-1 2009GRC'!$A$4:$J$52</definedName>
    <definedName name="Z_DF4E3B04_E442_43A1_A47D_E26F6CE7F11C_.wvu.PrintArea" localSheetId="4" hidden="1">'Ex A-1 2007GRC'!$A$4:$H$56</definedName>
    <definedName name="Z_DF4E3B04_E442_43A1_A47D_E26F6CE7F11C_.wvu.PrintArea" localSheetId="1" hidden="1">'Ex A-1 Updated Actual'!$A$5:$H$58</definedName>
    <definedName name="Z_DF4E3B04_E442_43A1_A47D_E26F6CE7F11C_.wvu.PrintArea" localSheetId="10" hidden="1">'Exh A-1 2009GRC'!$A$4:$J$52</definedName>
    <definedName name="Z_E289851B_405E_4A98_8191_445F20CA287E_.wvu.Cols" localSheetId="9" hidden="1">'Ex D - 2007 GRC'!#REF!</definedName>
    <definedName name="Z_E289851B_405E_4A98_8191_445F20CA287E_.wvu.Cols" localSheetId="3" hidden="1">'Exh D 12-10'!#REF!</definedName>
    <definedName name="Z_E289851B_405E_4A98_8191_445F20CA287E_.wvu.PrintArea" localSheetId="9" hidden="1">'Ex D - 2007 GRC'!$A$1:$M$25</definedName>
    <definedName name="Z_E289851B_405E_4A98_8191_445F20CA287E_.wvu.PrintArea" localSheetId="3" hidden="1">'Exh D 12-10'!$A$1:$N$26</definedName>
    <definedName name="Z_E2C26153_D457_4603_B564_60CFADB5026B_.wvu.PrintArea" localSheetId="4" hidden="1">'Ex A-1 2007GRC'!$A$4:$H$56</definedName>
    <definedName name="Z_E2C26153_D457_4603_B564_60CFADB5026B_.wvu.PrintArea" localSheetId="1" hidden="1">'Ex A-1 Updated Actual'!$A$5:$H$58</definedName>
    <definedName name="Z_E2C26153_D457_4603_B564_60CFADB5026B_.wvu.PrintArea" localSheetId="10" hidden="1">'Exh A-1 2009GRC'!$A$4:$J$52</definedName>
    <definedName name="Z_E4F9A0CE_47D0_4F72_86F1_E5F20B9A3104_.wvu.Cols" localSheetId="6" hidden="1">'Ex A-3 2007GRC'!$E:$O</definedName>
    <definedName name="Z_E4F9A0CE_47D0_4F72_86F1_E5F20B9A3104_.wvu.Cols" localSheetId="12" hidden="1">'Ex A-3 2009GRC'!#REF!</definedName>
    <definedName name="Z_E98B4028_3602_46AA_8C00_41FD8ABF8836_.wvu.PrintArea" localSheetId="4" hidden="1">'Ex A-1 2007GRC'!$A$4:$H$56</definedName>
    <definedName name="Z_E98B4028_3602_46AA_8C00_41FD8ABF8836_.wvu.PrintArea" localSheetId="1" hidden="1">'Ex A-1 Updated Actual'!$A$5:$H$58</definedName>
    <definedName name="Z_E98B4028_3602_46AA_8C00_41FD8ABF8836_.wvu.PrintArea" localSheetId="10" hidden="1">'Exh A-1 2009GRC'!$A$4:$J$52</definedName>
    <definedName name="Z_EDF3DC03_FBB9_4397_9335_6FA548B9B5CD_.wvu.PrintArea" localSheetId="4" hidden="1">'Ex A-1 2007GRC'!$A$4:$H$56</definedName>
    <definedName name="Z_EDF3DC03_FBB9_4397_9335_6FA548B9B5CD_.wvu.PrintArea" localSheetId="1" hidden="1">'Ex A-1 Updated Actual'!$A$5:$H$58</definedName>
    <definedName name="Z_EDF3DC03_FBB9_4397_9335_6FA548B9B5CD_.wvu.PrintArea" localSheetId="10" hidden="1">'Exh A-1 2009GRC'!$A$4:$J$52</definedName>
    <definedName name="Z_EE559E07_5B41_4877_A4D7_2B8A63F8CFFE_.wvu.Cols" localSheetId="9" hidden="1">'Ex D - 2007 GRC'!#REF!</definedName>
    <definedName name="Z_EE559E07_5B41_4877_A4D7_2B8A63F8CFFE_.wvu.Cols" localSheetId="3" hidden="1">'Exh D 12-10'!#REF!</definedName>
    <definedName name="Z_EE559E07_5B41_4877_A4D7_2B8A63F8CFFE_.wvu.PrintArea" localSheetId="9" hidden="1">'Ex D - 2007 GRC'!$A$1:$M$25</definedName>
    <definedName name="Z_EE559E07_5B41_4877_A4D7_2B8A63F8CFFE_.wvu.PrintArea" localSheetId="3" hidden="1">'Exh D 12-10'!$A$1:$N$26</definedName>
    <definedName name="Z_F2FA841B_253A_4182_A288_13748E201B99_.wvu.Cols" localSheetId="6" hidden="1">'Ex A-3 2007GRC'!$E:$O</definedName>
    <definedName name="Z_F2FA841B_253A_4182_A288_13748E201B99_.wvu.Cols" localSheetId="12" hidden="1">'Ex A-3 2009GRC'!#REF!</definedName>
    <definedName name="Z_F2FA841B_253A_4182_A288_13748E201B99_.wvu.PrintArea" localSheetId="6" hidden="1">'Ex A-3 2007GRC'!$A$104:$P$112</definedName>
    <definedName name="Z_F2FA841B_253A_4182_A288_13748E201B99_.wvu.PrintArea" localSheetId="12" hidden="1">'Ex A-3 2009GRC'!$A$104:$E$112</definedName>
    <definedName name="Z_F531E925_9E0B_409C_9EAA_ADCDD51D6BA7_.wvu.PrintArea" localSheetId="4" hidden="1">'Ex A-1 2007GRC'!$A$4:$H$56</definedName>
    <definedName name="Z_F531E925_9E0B_409C_9EAA_ADCDD51D6BA7_.wvu.PrintArea" localSheetId="1" hidden="1">'Ex A-1 Updated Actual'!$A$5:$H$58</definedName>
    <definedName name="Z_F531E925_9E0B_409C_9EAA_ADCDD51D6BA7_.wvu.PrintArea" localSheetId="10" hidden="1">'Exh A-1 2009GRC'!$A$4:$J$52</definedName>
    <definedName name="Z_F985D028_064A_46CA_9D34_E4E9B88A9B3C_.wvu.PrintArea" localSheetId="4" hidden="1">'Ex A-1 2007GRC'!$A$4:$H$56</definedName>
    <definedName name="Z_F985D028_064A_46CA_9D34_E4E9B88A9B3C_.wvu.PrintArea" localSheetId="1" hidden="1">'Ex A-1 Updated Actual'!$A$5:$H$58</definedName>
    <definedName name="Z_F985D028_064A_46CA_9D34_E4E9B88A9B3C_.wvu.PrintArea" localSheetId="10" hidden="1">'Exh A-1 2009GRC'!$A$4:$J$52</definedName>
    <definedName name="Z_FA8E6920_4213_45BA_ADAB_F0B62DF69468_.wvu.Cols" localSheetId="6" hidden="1">'Ex A-3 2007GRC'!$E:$O</definedName>
    <definedName name="Z_FA8E6920_4213_45BA_ADAB_F0B62DF69468_.wvu.Cols" localSheetId="12" hidden="1">'Ex A-3 2009GRC'!#REF!</definedName>
    <definedName name="Z_FEFCE477_944B_4DAC_AD75_686CC83D0F0B_.wvu.PrintArea" localSheetId="4" hidden="1">'Ex A-1 2007GRC'!$A$4:$H$56</definedName>
    <definedName name="Z_FEFCE477_944B_4DAC_AD75_686CC83D0F0B_.wvu.PrintArea" localSheetId="1" hidden="1">'Ex A-1 Updated Actual'!$A$5:$H$58</definedName>
    <definedName name="Z_FEFCE477_944B_4DAC_AD75_686CC83D0F0B_.wvu.PrintArea" localSheetId="10" hidden="1">'Exh A-1 2009GRC'!$A$4:$J$52</definedName>
  </definedNames>
  <calcPr fullCalcOnLoad="1"/>
</workbook>
</file>

<file path=xl/comments4.xml><?xml version="1.0" encoding="utf-8"?>
<comments xmlns="http://schemas.openxmlformats.org/spreadsheetml/2006/main">
  <authors>
    <author>akello</author>
  </authors>
  <commentList>
    <comment ref="B40" authorId="0">
      <text>
        <r>
          <rPr>
            <b/>
            <sz val="8"/>
            <rFont val="Tahoma"/>
            <family val="2"/>
          </rPr>
          <t>akello:</t>
        </r>
        <r>
          <rPr>
            <sz val="8"/>
            <rFont val="Tahoma"/>
            <family val="2"/>
          </rPr>
          <t xml:space="preserve">
15 years amort starting April 8, 2010 - April 7,2025
</t>
        </r>
      </text>
    </comment>
  </commentList>
</comments>
</file>

<file path=xl/sharedStrings.xml><?xml version="1.0" encoding="utf-8"?>
<sst xmlns="http://schemas.openxmlformats.org/spreadsheetml/2006/main" count="1559" uniqueCount="608">
  <si>
    <t>Regulatory Assets (Return on RB portion only)</t>
  </si>
  <si>
    <t>Less Firm Wholesale</t>
  </si>
  <si>
    <t>Docket No. UE-090704</t>
  </si>
  <si>
    <t>Compliance Filing</t>
  </si>
  <si>
    <t>PCA Exhibits</t>
  </si>
  <si>
    <t>BASE</t>
  </si>
  <si>
    <t>TOTAL</t>
  </si>
  <si>
    <t>Page 1 of 12</t>
  </si>
  <si>
    <t>Per Month for Schedule B</t>
  </si>
  <si>
    <t>BASELINE RATE</t>
  </si>
  <si>
    <t>Deferred Taxes - AMA 12/31/2008</t>
  </si>
  <si>
    <t>2007 Dec
In Thousands</t>
  </si>
  <si>
    <t>2008 Dec
In Thousands</t>
  </si>
  <si>
    <t xml:space="preserve">   Wild Horse Expn Amortization</t>
  </si>
  <si>
    <t xml:space="preserve">   Mint Farm Amortization</t>
  </si>
  <si>
    <t>2009 GRC</t>
  </si>
  <si>
    <t>7.00%&amp;6.90%</t>
  </si>
  <si>
    <t>G/L Accts #18220061</t>
  </si>
  <si>
    <t>White River DFIT</t>
  </si>
  <si>
    <t>G/L Accts #28300651</t>
  </si>
  <si>
    <t xml:space="preserve">Freddy 1-Def Asset </t>
  </si>
  <si>
    <t>PP Exp-Planned Maj. Maint.</t>
  </si>
  <si>
    <t>G/L Accts # 18600831, #18231001 Orders #51218007, #51318019, #55360053, #55460076</t>
  </si>
  <si>
    <t xml:space="preserve">Goldendale -Def Asset </t>
  </si>
  <si>
    <t xml:space="preserve">Sumas -Def Asset </t>
  </si>
  <si>
    <t>of return on these assets in Exhibit D for purposes of calculating the PCA deferral beginning 4/8/2010 is appropriate.</t>
  </si>
  <si>
    <t>Hydro and Other Pwr.</t>
  </si>
  <si>
    <t>447-Sales to Others</t>
  </si>
  <si>
    <t>456-Subaccounts 00012 &amp; 00018 and 00035 &amp; 00036</t>
  </si>
  <si>
    <t>Tenaska Disallowance (prior month adj)</t>
  </si>
  <si>
    <t xml:space="preserve">Tenaska Disallowance (current month adj)  </t>
  </si>
  <si>
    <t>Baseline Power Cost</t>
  </si>
  <si>
    <t>G/L Accts #18230071, #18230081, and #28300431 and Order #55500007</t>
  </si>
  <si>
    <t>G/L Accts #18230381, 391, #28300541 and #28300551 and Order #40730041</t>
  </si>
  <si>
    <t>G/L Accts #25400171 and #19000561 and Order #55500017</t>
  </si>
  <si>
    <t>Description</t>
  </si>
  <si>
    <t>501-Steam Fuel</t>
  </si>
  <si>
    <t>14a</t>
  </si>
  <si>
    <t>557-Other Power Exp</t>
  </si>
  <si>
    <t>547-Fuel</t>
  </si>
  <si>
    <t>565-Wheeling</t>
  </si>
  <si>
    <t>Power Cost in Rates with Revenue Sensitive</t>
  </si>
  <si>
    <t>Items (the adjusted baseline)</t>
  </si>
  <si>
    <t>Production</t>
  </si>
  <si>
    <t>Factor</t>
  </si>
  <si>
    <t>Rate Year</t>
  </si>
  <si>
    <t>Ref</t>
  </si>
  <si>
    <t>Asset Amort</t>
  </si>
  <si>
    <t>Difference</t>
  </si>
  <si>
    <r>
      <t xml:space="preserve">AMA Ratebase </t>
    </r>
    <r>
      <rPr>
        <b/>
        <sz val="6"/>
        <rFont val="Arial"/>
        <family val="2"/>
      </rPr>
      <t>as of</t>
    </r>
  </si>
  <si>
    <t>A.T. %</t>
  </si>
  <si>
    <t>Amount</t>
  </si>
  <si>
    <t>Dec 2010</t>
  </si>
  <si>
    <t>White River Plant Costs</t>
  </si>
  <si>
    <t>net of</t>
  </si>
  <si>
    <t>AA &amp; ADFIT</t>
  </si>
  <si>
    <t>(Note 1)</t>
  </si>
  <si>
    <t>G/L Accts #18230001 and #28300451 and Order #55500423</t>
  </si>
  <si>
    <t>PCA #9</t>
  </si>
  <si>
    <t>555-Purchased power</t>
  </si>
  <si>
    <t>Before Rev.</t>
  </si>
  <si>
    <t>11/1/08 - 4/7/10</t>
  </si>
  <si>
    <t xml:space="preserve">4/7/10 - </t>
  </si>
  <si>
    <t>Nov 1'08 - Apr 7'10</t>
  </si>
  <si>
    <t>Apr 8'10</t>
  </si>
  <si>
    <t>New resource pricing adj-Qualco</t>
  </si>
  <si>
    <t>New resource pricing adj-Farm Pwr Rexville</t>
  </si>
  <si>
    <t>After Rev.</t>
  </si>
  <si>
    <t>Sensitive Items</t>
  </si>
  <si>
    <t>PCA Off-set</t>
  </si>
  <si>
    <t>Adjusted Gross PCA</t>
  </si>
  <si>
    <t>Adjusted Gross PCA - Contra</t>
  </si>
  <si>
    <t>Cumulative PCA Off-set</t>
  </si>
  <si>
    <t>Cumulative Adjusted Gross PCA</t>
  </si>
  <si>
    <t>Cumulative Adjusted Gross PCA Contra</t>
  </si>
  <si>
    <t>15a</t>
  </si>
  <si>
    <t>White River Amortization</t>
  </si>
  <si>
    <r>
      <t>Note (1)</t>
    </r>
    <r>
      <rPr>
        <sz val="10"/>
        <rFont val="Arial"/>
        <family val="2"/>
      </rPr>
      <t xml:space="preserve">  </t>
    </r>
    <r>
      <rPr>
        <sz val="10"/>
        <rFont val="Arial"/>
        <family val="2"/>
      </rPr>
      <t>Amounts in these columns are net of accumulated amortization AND the associated Deferred FIT liabilitiy / asset.</t>
    </r>
  </si>
  <si>
    <t>(Annualized)</t>
  </si>
  <si>
    <t xml:space="preserve">Test Year </t>
  </si>
  <si>
    <t>Test Yr</t>
  </si>
  <si>
    <t>Regulatory Asset Recovery (on Row 3)</t>
  </si>
  <si>
    <t>Fixed Asset Recovery Other (on Row 4)</t>
  </si>
  <si>
    <t>Fixed Asset Recovery-Prod Factored (on Row 5)</t>
  </si>
  <si>
    <t>15b</t>
  </si>
  <si>
    <t>Property Insurance</t>
  </si>
  <si>
    <t>15c</t>
  </si>
  <si>
    <t>Montana Electric Energy Tax</t>
  </si>
  <si>
    <t>15d</t>
  </si>
  <si>
    <t>Payroll Taxes on Production Wages</t>
  </si>
  <si>
    <t>Test Year DELIVERED Load (MWH's)</t>
  </si>
  <si>
    <t>(a) PSE received a refund in October 2009 related to tax on Tenaska displacement charges from November 2005 - September 2009.   The taxes had been included in the Tenaska purchase power amounts so now must be removed from purchase power costs by month in the PCA.  In addition the refund also affected the Prudence Adjustment on Sched X so those amounts were revised by month also.  And the refund affected the Tenaska Diallowance in 2009 so adjusted those amounts also.</t>
  </si>
  <si>
    <t>Total allowable costs</t>
  </si>
  <si>
    <t>Goldendale Amortization</t>
  </si>
  <si>
    <t>positive is potential customer surcharge, negative is potential cust credit</t>
  </si>
  <si>
    <t>Page 1 of 10</t>
  </si>
  <si>
    <t>Hedging Line of Credit</t>
  </si>
  <si>
    <t>45600012,18,80,81,130</t>
  </si>
  <si>
    <t>Exhibit A-3 Colstrip Fixed Costs</t>
  </si>
  <si>
    <t>Revenue Requirement for Colstrip</t>
  </si>
  <si>
    <t>Plant</t>
  </si>
  <si>
    <t>Accumulated Depreciation</t>
  </si>
  <si>
    <t xml:space="preserve">  Net Plant</t>
  </si>
  <si>
    <t>Rate of Return (net of Tax)</t>
  </si>
  <si>
    <t>Revenue Requirement after tax</t>
  </si>
  <si>
    <t>(Line 6 X Line 7)</t>
  </si>
  <si>
    <t>Plant Revenue Requirement</t>
  </si>
  <si>
    <t>(Adjusted for Federal Tax) (Line 8 X (1 - 35%))</t>
  </si>
  <si>
    <t>Expenses</t>
  </si>
  <si>
    <t>Total Revenue Requirement</t>
  </si>
  <si>
    <t>(before revenue sensitive items)</t>
  </si>
  <si>
    <t>Support for Revenue Requirement - Ratebase</t>
  </si>
  <si>
    <t>FERC</t>
  </si>
  <si>
    <t>DESCRIPTION</t>
  </si>
  <si>
    <t>G/L Accts #18230231, #18230371, Orders #56500011 and #56500021</t>
  </si>
  <si>
    <t>Goldendale Fixed Cost Deferral</t>
  </si>
  <si>
    <t>Hopkins Ridge Mitigation Credit</t>
  </si>
  <si>
    <t xml:space="preserve">New resource pricing adj-Credit Suisse PPA </t>
  </si>
  <si>
    <t>13 MONTH AMA</t>
  </si>
  <si>
    <t>ANNUITY RATE</t>
  </si>
  <si>
    <t>ANNUALIZED DEPRECIATION</t>
  </si>
  <si>
    <t>COLSTRIP #1</t>
  </si>
  <si>
    <t>E311</t>
  </si>
  <si>
    <t>Structures &amp; Improvements</t>
  </si>
  <si>
    <t>E312</t>
  </si>
  <si>
    <t>Boiler Plant Equipment</t>
  </si>
  <si>
    <t>E314</t>
  </si>
  <si>
    <t>Turbo Generating Units</t>
  </si>
  <si>
    <t>E315</t>
  </si>
  <si>
    <t>Accessory Electric Equipment</t>
  </si>
  <si>
    <t>E316</t>
  </si>
  <si>
    <t>Misc. Power Plant Equipment</t>
  </si>
  <si>
    <t xml:space="preserve">     TOTAL</t>
  </si>
  <si>
    <t>COLSTRIP #2</t>
  </si>
  <si>
    <t>COLSTRIP 1 &amp; 2 COMMON</t>
  </si>
  <si>
    <t>E317</t>
  </si>
  <si>
    <t>Asset Retirement Obligation</t>
  </si>
  <si>
    <t>COLSTRIP 3</t>
  </si>
  <si>
    <t>COLSTRIP 4</t>
  </si>
  <si>
    <t>COLSTRIP 3 &amp; 4 COMMON</t>
  </si>
  <si>
    <t>COLSTRIP 1-4 COMMON</t>
  </si>
  <si>
    <t>Misc. Power Plant Equip.</t>
  </si>
  <si>
    <t>Subtotal before Colstrip FERC Adjustments (Line 63 + 65)</t>
  </si>
  <si>
    <t xml:space="preserve"> ARO - Electric Colstrip 1-4 (Acct: 23001021 - 1031) Adj (AMA is Net of Accum. Amort.)</t>
  </si>
  <si>
    <t xml:space="preserve"> Colstrip Common FERC Adj. (AMA is Net of Accum. Amort.)</t>
  </si>
  <si>
    <t xml:space="preserve"> Colstrip Def Depr FERC Adj. (AMA is Net of Accum. Amort.)</t>
  </si>
  <si>
    <t>Docket Numbers UE-072300, et al</t>
  </si>
  <si>
    <t>Regulatory Assets (Variable)</t>
  </si>
  <si>
    <t>12 Months</t>
  </si>
  <si>
    <t xml:space="preserve">Rate Disallowances for March Point 2 &amp; Tenaska </t>
  </si>
  <si>
    <t>Payroll Overheads - Worker's Comp</t>
  </si>
  <si>
    <t>Depreciation &amp; Amort -Production (FERC 403)</t>
  </si>
  <si>
    <t>Amortization-Production Reg Assets</t>
  </si>
  <si>
    <t xml:space="preserve">  Subtotal &amp; Baseline Rate</t>
  </si>
  <si>
    <t>CABOT</t>
  </si>
  <si>
    <t>TENASKA</t>
  </si>
  <si>
    <t>WHITE RIVER PLANT COSTS</t>
  </si>
  <si>
    <t>WHITE RIVER RELICENSING &amp; CWIP</t>
  </si>
  <si>
    <t>CANWEST</t>
  </si>
  <si>
    <t>HOPKINS RIDGE PREPAID TRANSMISSION</t>
  </si>
  <si>
    <t>Deferred Taxes - AMA 9/30/2007</t>
  </si>
  <si>
    <t>A-3 Page 1</t>
  </si>
  <si>
    <t>2006 Sep</t>
  </si>
  <si>
    <t>2006 Oct</t>
  </si>
  <si>
    <t>2006 Nov</t>
  </si>
  <si>
    <t>2006 Dec</t>
  </si>
  <si>
    <t>2007 Jan</t>
  </si>
  <si>
    <t>2007 Feb</t>
  </si>
  <si>
    <t>2007 Mar</t>
  </si>
  <si>
    <t>2007 Apr</t>
  </si>
  <si>
    <t>2007 May</t>
  </si>
  <si>
    <t>2007 Jun</t>
  </si>
  <si>
    <t>2007 Jul</t>
  </si>
  <si>
    <t>2007 Aug</t>
  </si>
  <si>
    <t>2007 Sep</t>
  </si>
  <si>
    <t>AMA ACUMM. DEPR.</t>
  </si>
  <si>
    <t>A-3 Page 2</t>
  </si>
  <si>
    <t>Subtotal for the test year</t>
  </si>
  <si>
    <t>Adjustment to the rate year</t>
  </si>
  <si>
    <t>CONFIDENTIAL per WUTC Docket Nos. UE-072300 and UG-072301</t>
  </si>
  <si>
    <t>Totals</t>
  </si>
  <si>
    <t>Support for Revenue Requirement - Expenses</t>
  </si>
  <si>
    <t>Amount before</t>
  </si>
  <si>
    <t>Order</t>
  </si>
  <si>
    <t>Prod. Adj.</t>
  </si>
  <si>
    <t>Colstrip 1&amp;2 - Supv &amp; Eng'g - Steam Ope</t>
  </si>
  <si>
    <t>Colstrip 3&amp;4 - Supv &amp; Eng'g - Steam Ope</t>
  </si>
  <si>
    <t>Colstrip 1&amp;2 - Steam Exp - Steam Gen Op</t>
  </si>
  <si>
    <t>Colstrip 3&amp;4 - Steam Exp - Steam Gen Op</t>
  </si>
  <si>
    <t>Colstrip 1&amp;2 - Electric Exp - Steam Gen</t>
  </si>
  <si>
    <t>Colstrip 3&amp;4 - Electric Exp - Steam Gen</t>
  </si>
  <si>
    <t>Colstrip 1&amp;2 - Misc Stm Pwr - Steam Gen</t>
  </si>
  <si>
    <t>Colstrip 3&amp;4 - Misc Stm Pwr - Steam Gen</t>
  </si>
  <si>
    <t>Colstrip 1&amp;2 - Rents - Steam Gen Oper</t>
  </si>
  <si>
    <t>Colstrip 3&amp;4 - Rents - Steam Gen Oper</t>
  </si>
  <si>
    <t>Colstrip 1&amp;2 - Supv &amp; Eng'g - Steam Gen</t>
  </si>
  <si>
    <t>Colstrip 3&amp;4 - Supv &amp; Eng'g - Steam Gen</t>
  </si>
  <si>
    <t>Colstrip 1&amp;2 - Structures - Steam Gen M</t>
  </si>
  <si>
    <t>Colstrip 3&amp;4 - Structures - Steam Gen M</t>
  </si>
  <si>
    <t>Colstrip 1&amp;2 - Boiler Plant - Steam Gen</t>
  </si>
  <si>
    <t>Colstrip 3&amp;4 - Boiler Plant - Steam Gen</t>
  </si>
  <si>
    <t>Colstrip 1&amp;2 - Electric Plant - Steam G</t>
  </si>
  <si>
    <t>Colstrip 3&amp;4 - Electric Plant - Steam G</t>
  </si>
  <si>
    <t xml:space="preserve">    Freddy 1-Prepaid Major Maint-Amort-51218007, 51318019, 55360053, 55460076</t>
  </si>
  <si>
    <r>
      <t>Fixed &amp; Interest Cost on Hedging Facility</t>
    </r>
    <r>
      <rPr>
        <sz val="8"/>
        <rFont val="Arial"/>
        <family val="2"/>
      </rPr>
      <t xml:space="preserve"> 42806051, 43100071, 41900031</t>
    </r>
  </si>
  <si>
    <t>G/L Accts # 18231031, 16500741, Order #5XX (Prod O&amp;M)</t>
  </si>
  <si>
    <t>G/L Accts # 18231041, #16500711, #23200301</t>
  </si>
  <si>
    <t>Colstrip 1&amp;2 -Misc Steam Plt -Steam Gen</t>
  </si>
  <si>
    <t>Colstrip 3&amp;4 -Misc Steam Plt -Steam Gen</t>
  </si>
  <si>
    <t>Subtotal on Orders</t>
  </si>
  <si>
    <t>Property Taxes-Montana</t>
  </si>
  <si>
    <t>Electric Energy Tax</t>
  </si>
  <si>
    <t>White River Relicensing</t>
  </si>
  <si>
    <t>G/L Accts #18230641, 691, #18236021, 31, 41, 51, 61, 71, 91, 6101,  #18230971, #19000021 and #28300011</t>
  </si>
  <si>
    <t>Hopkins Ridge Prepaid Transm</t>
  </si>
  <si>
    <t>FB Energy Capacity Payment - UE-082013</t>
  </si>
  <si>
    <t>G/L Accts #25300601 and #19000151 and Order #54700005</t>
  </si>
  <si>
    <t>Mint Farm Deferral (Note 2)</t>
  </si>
  <si>
    <t>G/L Accts #18600351, 361, 371, #18235521 and Orders #40740061,# 40730051, #41900026, 28 and #55500136</t>
  </si>
  <si>
    <t>WHE Deferral (Note 2)</t>
  </si>
  <si>
    <t>G/L Accts #18600611&amp;621&amp;631, and 18235531 Orders #40740071, #40730061 #41900037&amp;39, #55500093&amp;139</t>
  </si>
  <si>
    <t>G/L Accts # 19000711, # 25302121, #25400191 and Order #54700010</t>
  </si>
  <si>
    <t>G/L Accts # 18600841, #18231011 Order #55362083 &amp;553002864</t>
  </si>
  <si>
    <t>G/L Accts # 18600541, 18231021 Order #55300948, #55363078, #553002862</t>
  </si>
  <si>
    <t xml:space="preserve">Mint Farm -Def Asset </t>
  </si>
  <si>
    <r>
      <t xml:space="preserve">Note (2)  </t>
    </r>
    <r>
      <rPr>
        <sz val="10"/>
        <rFont val="Arial"/>
        <family val="2"/>
      </rPr>
      <t>Return on ratebase was being recognized and deferred on these regulatory assets up until 4/7/2010.  Therefore, recognition</t>
    </r>
  </si>
  <si>
    <t>G/L Accts #18220011, #21, #31, #41 and #51 and Order #40700015, portion of #28200121</t>
  </si>
  <si>
    <t>BNP Capacity - UE-100503 (Note 3)</t>
  </si>
  <si>
    <t>PP Exp-Planned Maj. Maint. (Note 3)</t>
  </si>
  <si>
    <t>Sumas HGP Inspection Prepaid Maintenance</t>
  </si>
  <si>
    <r>
      <t xml:space="preserve">Note (3)  </t>
    </r>
    <r>
      <rPr>
        <sz val="10"/>
        <rFont val="Arial"/>
        <family val="2"/>
      </rPr>
      <t>The monthly return amount are only for applicable months for the rate year.</t>
    </r>
  </si>
  <si>
    <t>403xxxxx</t>
  </si>
  <si>
    <t>Depreciation</t>
  </si>
  <si>
    <t>New resource pricing adjustment - Sumas (Aug - Oct'08)</t>
  </si>
  <si>
    <t>Contract price adjustment - discontinued Jan 13, 2007</t>
  </si>
  <si>
    <t>Subject to PCA Sharing</t>
  </si>
  <si>
    <t>Row</t>
  </si>
  <si>
    <t>TOTAL PCA Yr</t>
  </si>
  <si>
    <t>Monthly Total</t>
  </si>
  <si>
    <t>Return on Fixed RB</t>
  </si>
  <si>
    <t xml:space="preserve">Other Fixed Costs </t>
  </si>
  <si>
    <t>Subtotal Fixed Costs</t>
  </si>
  <si>
    <t>Total Variable Component Actual</t>
  </si>
  <si>
    <t>Steam Oper. Fuel</t>
  </si>
  <si>
    <t>Other Pwr Gen Fuel</t>
  </si>
  <si>
    <t>Other Elec Revenues</t>
  </si>
  <si>
    <t>Purchase Power</t>
  </si>
  <si>
    <t>Sales to Other Util</t>
  </si>
  <si>
    <t>Wheeling</t>
  </si>
  <si>
    <t>Transmission Revenue</t>
  </si>
  <si>
    <t>SUBTOTAL before Adjustments</t>
  </si>
  <si>
    <t>Adjustments:</t>
  </si>
  <si>
    <t>Prudence from UE-921262</t>
  </si>
  <si>
    <t>Colstrip availability adjustment</t>
  </si>
  <si>
    <t>Subtotal Adjustments</t>
  </si>
  <si>
    <t>Imbalance for Sharing</t>
  </si>
  <si>
    <t>Gross PCA</t>
  </si>
  <si>
    <t>Gross PCA Contra</t>
  </si>
  <si>
    <t>Company</t>
  </si>
  <si>
    <t>Balance</t>
  </si>
  <si>
    <t>Month</t>
  </si>
  <si>
    <t>UE-011570</t>
  </si>
  <si>
    <t>Monthly</t>
  </si>
  <si>
    <t>Interest</t>
  </si>
  <si>
    <t>Period</t>
  </si>
  <si>
    <t>$</t>
  </si>
  <si>
    <t xml:space="preserve"> </t>
  </si>
  <si>
    <t>Tenaska</t>
  </si>
  <si>
    <t>BEP</t>
  </si>
  <si>
    <t>From</t>
  </si>
  <si>
    <t>To</t>
  </si>
  <si>
    <t>Transmission Rate Base (Fixed)</t>
  </si>
  <si>
    <t>Production Rate Base (Fixed)</t>
  </si>
  <si>
    <t>Net of tax rate of return</t>
  </si>
  <si>
    <t>$/MWh</t>
  </si>
  <si>
    <t>(c)</t>
  </si>
  <si>
    <t>(a)</t>
  </si>
  <si>
    <t>Variable Transmission Income</t>
  </si>
  <si>
    <t>Transmission Exp - 500KV</t>
  </si>
  <si>
    <t>(b)</t>
  </si>
  <si>
    <t>Revenue Sensitive Items</t>
  </si>
  <si>
    <t xml:space="preserve">sum of (a) = Fixed Rate Component </t>
  </si>
  <si>
    <t>(b) = Power Cost Rate</t>
  </si>
  <si>
    <t>sum of (c) = Variable Power Rate Component</t>
  </si>
  <si>
    <t>PCA Period</t>
  </si>
  <si>
    <t>Derived from Original PCA Exhibit B</t>
  </si>
  <si>
    <t>PCA period delivered load (Kwh)</t>
  </si>
  <si>
    <t xml:space="preserve">    Mnt Farm- Prepaid Major Maint - Amort</t>
  </si>
  <si>
    <t xml:space="preserve">    Sumas- Prepaid Major Maint - Amort</t>
  </si>
  <si>
    <t xml:space="preserve">    Goldendale-Prepaid Major Maint-Amort</t>
  </si>
  <si>
    <t>Exhibit A-1 Power Cost Rate</t>
  </si>
  <si>
    <t xml:space="preserve"> &lt;-- includes Firm Wholesale</t>
  </si>
  <si>
    <t>ROW</t>
  </si>
  <si>
    <t>Schedule B:  Monthly Power Costs -- PCA PERIOD 9</t>
  </si>
  <si>
    <t>Cumulative</t>
  </si>
  <si>
    <t>Baseline</t>
  </si>
  <si>
    <t>Depreciation-Transmission</t>
  </si>
  <si>
    <t>Property Taxes-Production</t>
  </si>
  <si>
    <t>Property Taxes-Transmission</t>
  </si>
  <si>
    <t>Return</t>
  </si>
  <si>
    <t>Pre Tax</t>
  </si>
  <si>
    <t>Actual</t>
  </si>
  <si>
    <t>Cumulative Gross PCA</t>
  </si>
  <si>
    <t>Cumulative Gross PCA Contra</t>
  </si>
  <si>
    <t>Note:  This schedule was derived from original PCA collaborative exhibit B</t>
  </si>
  <si>
    <t>Subtotal Variable Components</t>
  </si>
  <si>
    <t>to Date</t>
  </si>
  <si>
    <t>FERC Acct.</t>
  </si>
  <si>
    <t>CWA Sales Proceeds</t>
  </si>
  <si>
    <t>POWER COST ADJUSTMENT SUMMARY</t>
  </si>
  <si>
    <t>12 mo end 6.30.03</t>
  </si>
  <si>
    <t>12 mo end 6.30.04</t>
  </si>
  <si>
    <t>12 mo end 6.30.05</t>
  </si>
  <si>
    <t>12 mo end 6.30.06</t>
  </si>
  <si>
    <t>6 mo end 12.31.06</t>
  </si>
  <si>
    <t>12 mo end 12.31.07</t>
  </si>
  <si>
    <t>12 mo end 12.31.08</t>
  </si>
  <si>
    <t>12 mo end 12.31.09</t>
  </si>
  <si>
    <t>PCA Period One</t>
  </si>
  <si>
    <t>PCA Period Two</t>
  </si>
  <si>
    <t>PCA Period Three</t>
  </si>
  <si>
    <t>PCA Period Four</t>
  </si>
  <si>
    <t>PCA Period Five</t>
  </si>
  <si>
    <t>PCA Period Six</t>
  </si>
  <si>
    <t>PCA Period Seven</t>
  </si>
  <si>
    <t>PCA Period Eight</t>
  </si>
  <si>
    <t>PCA Periods</t>
  </si>
  <si>
    <t>Power Costs</t>
  </si>
  <si>
    <t>Wholesale Customers</t>
  </si>
  <si>
    <t xml:space="preserve">       Total Cost Over Baseline</t>
  </si>
  <si>
    <t/>
  </si>
  <si>
    <t>Allocation of Power Costs</t>
  </si>
  <si>
    <t>Customers</t>
  </si>
  <si>
    <t xml:space="preserve">     Total Cost Allocated</t>
  </si>
  <si>
    <t>Customer Share Including Interest</t>
  </si>
  <si>
    <t xml:space="preserve">Customer Share </t>
  </si>
  <si>
    <t xml:space="preserve">     Total Customer Share Including Interest</t>
  </si>
  <si>
    <t>12 mo end 12.31.10</t>
  </si>
  <si>
    <t>PCA Period Nine</t>
  </si>
  <si>
    <t>Exhibit A-1 Power Cost Rate:  1/1/2010 - 4/7/2010</t>
  </si>
  <si>
    <t>Exhibit A-2 Transmission Rate Base</t>
  </si>
  <si>
    <t>AMA Accum</t>
  </si>
  <si>
    <t>Annualized</t>
  </si>
  <si>
    <t>AMA 9/30/2007</t>
  </si>
  <si>
    <t>Deprec/Amort</t>
  </si>
  <si>
    <t>Net</t>
  </si>
  <si>
    <t>TRANS - COLSTRIP 1 &amp; 2</t>
  </si>
  <si>
    <t>E350</t>
  </si>
  <si>
    <t>100428</t>
  </si>
  <si>
    <t>Land and Land Rights</t>
  </si>
  <si>
    <t>E351</t>
  </si>
  <si>
    <t>100127</t>
  </si>
  <si>
    <t>Easements</t>
  </si>
  <si>
    <t>E353</t>
  </si>
  <si>
    <t>100136</t>
  </si>
  <si>
    <t>Station Equipment</t>
  </si>
  <si>
    <t>E354</t>
  </si>
  <si>
    <t>100145</t>
  </si>
  <si>
    <t>Towers &amp; Fixtures</t>
  </si>
  <si>
    <t>E355</t>
  </si>
  <si>
    <t>100149</t>
  </si>
  <si>
    <t>Poles &amp; Fixtures</t>
  </si>
  <si>
    <t>E356</t>
  </si>
  <si>
    <t>100157</t>
  </si>
  <si>
    <t>OH Conductors &amp; Devices</t>
  </si>
  <si>
    <t>E359</t>
  </si>
  <si>
    <t>100170</t>
  </si>
  <si>
    <t>Roads &amp; Trails</t>
  </si>
  <si>
    <t>TOTAL COLSTRIP 1&amp;2 TRANSMISSION</t>
  </si>
  <si>
    <t>TRANS - COLSTRIP 3 &amp; 4</t>
  </si>
  <si>
    <t>100128</t>
  </si>
  <si>
    <t>E352</t>
  </si>
  <si>
    <t>100132</t>
  </si>
  <si>
    <t>100137</t>
  </si>
  <si>
    <t>100146</t>
  </si>
  <si>
    <t>100150</t>
  </si>
  <si>
    <t>100158</t>
  </si>
  <si>
    <t>100171</t>
  </si>
  <si>
    <t>TOTAL COLSTRIP 3&amp;4 TRANSMISSION</t>
  </si>
  <si>
    <t>TRANS - 3RD NW-SW INTERTIE</t>
  </si>
  <si>
    <t>100430</t>
  </si>
  <si>
    <t>100134</t>
  </si>
  <si>
    <t>100143</t>
  </si>
  <si>
    <t>100147</t>
  </si>
  <si>
    <t>100649</t>
  </si>
  <si>
    <t>100164</t>
  </si>
  <si>
    <t>100437</t>
  </si>
  <si>
    <t>100174</t>
  </si>
  <si>
    <t>TOTAL 3RD NW-SW INTERTIE</t>
  </si>
  <si>
    <t>TRANS - NORTHERN INTERTIE</t>
  </si>
  <si>
    <t>100881</t>
  </si>
  <si>
    <t>100879</t>
  </si>
  <si>
    <t>Towers &amp; Fixtures-Whatcom</t>
  </si>
  <si>
    <t>100878</t>
  </si>
  <si>
    <t>Poles &amp; Fixtures-Whatcom</t>
  </si>
  <si>
    <t>100877</t>
  </si>
  <si>
    <t>OH Conductors &amp; Devices-Whatcom</t>
  </si>
  <si>
    <t>100647</t>
  </si>
  <si>
    <t>Poles &amp; Fixtures-Skagit</t>
  </si>
  <si>
    <t>100648</t>
  </si>
  <si>
    <t>OH Conductors &amp; Devices-Skagit</t>
  </si>
  <si>
    <t>TOTAL NORTHERN INTERTIE</t>
  </si>
  <si>
    <t>Total Transmission</t>
  </si>
  <si>
    <t>Accumulated Depreciation (AMA)</t>
  </si>
  <si>
    <t>Deferred Taxes (AMA)</t>
  </si>
  <si>
    <t xml:space="preserve">Transmission portion of: </t>
  </si>
  <si>
    <t>Colstrip Common FERC Adj, net of accum amort</t>
  </si>
  <si>
    <t>Colstrip Def Depr FERC Adj, net of accum amort</t>
  </si>
  <si>
    <t>Total Transmission Rate Base</t>
  </si>
  <si>
    <t>CABOT BUYOUT</t>
  </si>
  <si>
    <t>TENASKA (AMORT OF AFPC PORTION)</t>
  </si>
  <si>
    <t>FOR THE TWELVE MONTHS ENDED DECEMBER 31, 2008</t>
  </si>
  <si>
    <t>AMORTIZATION</t>
  </si>
  <si>
    <t>TOTAL OPERATING EXPENSES</t>
  </si>
  <si>
    <t>AMA 12/31/2008</t>
  </si>
  <si>
    <t>Exhibit A-1 Power Cost Rate Updated :  1/1/2010 - 12/31/2010</t>
  </si>
  <si>
    <t>PCA MECHANISM ANNUAL REPORT - PCA 9</t>
  </si>
  <si>
    <t>TWELVE MONTHS ENDED DECEMBER 31, 2010</t>
  </si>
  <si>
    <t>Blended net of tax rate of return (6.90% for 268 days and 7.00% for 97 days)</t>
  </si>
  <si>
    <t xml:space="preserve">Commission Disallowances for March Point 2 &amp; Tenaska </t>
  </si>
  <si>
    <t>Other Fixed Costs-557 Other Power Expense</t>
  </si>
  <si>
    <t>Other Fixed Costs-Transmission 500KV</t>
  </si>
  <si>
    <t xml:space="preserve">Other Fixed Costs- Hydro and Other Power </t>
  </si>
  <si>
    <t>Other Fixed Costs-Depreciation Production FERC 403</t>
  </si>
  <si>
    <t>Other Fixed Costs- Depreciation Transmission</t>
  </si>
  <si>
    <t>Other Fixed Costs- Property Taxes Production</t>
  </si>
  <si>
    <t>Other Fixed Costs- Property Taxes Transmission</t>
  </si>
  <si>
    <t>Other Fixed Costs</t>
  </si>
  <si>
    <t>New Resource Pricing Adjustment</t>
  </si>
  <si>
    <t>6.90% &amp; 7.00%</t>
  </si>
  <si>
    <t>REVISED*</t>
  </si>
  <si>
    <t>*Revised for BPA Loss Return Settlement Agreement from PCA 1 - PCA 8 and Colstrip reclamation dispute settlement PCA 6.</t>
  </si>
  <si>
    <t>Regulatory Assets (Variable) (Note 1)</t>
  </si>
  <si>
    <t xml:space="preserve">Transmission Rate Base (Fixed) </t>
  </si>
  <si>
    <t>(Note 1)  Regulatory Assets and Liabilities are detailed on Exhibit D (JHS-3)</t>
  </si>
  <si>
    <t>12 Months Ended Dec 2010</t>
  </si>
  <si>
    <t xml:space="preserve">PCA Period 9  </t>
  </si>
  <si>
    <t>PUGET SOUND ENERGY</t>
  </si>
  <si>
    <t>Exhibit A-4 Production Adjustment</t>
  </si>
  <si>
    <t>PRODUCTION ADJUSTMENT</t>
  </si>
  <si>
    <t>GENERAL RATE INCREASE</t>
  </si>
  <si>
    <t>LINE</t>
  </si>
  <si>
    <t>PROFORMA</t>
  </si>
  <si>
    <t>PRODUCTION</t>
  </si>
  <si>
    <t>FIT</t>
  </si>
  <si>
    <t>NO.</t>
  </si>
  <si>
    <t>AND RESTATED</t>
  </si>
  <si>
    <t>O&amp;M ON PRODUCTION PROPERTY</t>
  </si>
  <si>
    <t>PRODUCTION WAGE INCREASE:</t>
  </si>
  <si>
    <t>PURCHASED POWER</t>
  </si>
  <si>
    <t>OTHER POWER SUPPLY</t>
  </si>
  <si>
    <t>TOTAL PRODUCTION WAGE INCREASE</t>
  </si>
  <si>
    <t>ADMIN &amp; GENERAL EXPENSES</t>
  </si>
  <si>
    <t>PAYROLL OVERHEADS</t>
  </si>
  <si>
    <t>PROPERTY INSURANCE</t>
  </si>
  <si>
    <t>TOTAL ADMIN &amp; GENERAL EXPENSES</t>
  </si>
  <si>
    <t>DEPRECIATION / AMORTIZATION:</t>
  </si>
  <si>
    <t>DEPRECIATION</t>
  </si>
  <si>
    <t>TOTAL DEPRECIATION AND AMORTIZATION (FERC 403)</t>
  </si>
  <si>
    <t>TAXES OTHER-PRODUCTION PROPERTY:</t>
  </si>
  <si>
    <t xml:space="preserve"> PROPERTY TAXES - WASHINGTON</t>
  </si>
  <si>
    <t xml:space="preserve"> PROPERTY TAXES - MONTANA</t>
  </si>
  <si>
    <t xml:space="preserve"> ELECTRIC ENERGY TAX</t>
  </si>
  <si>
    <t xml:space="preserve"> PAYROLL TAXES</t>
  </si>
  <si>
    <t>TOTAL TAXES OTHER</t>
  </si>
  <si>
    <t>O&amp;M ON REGULATORY ASSETS:</t>
  </si>
  <si>
    <t>HOPKINS RIDGE INFILL MITIGATION CREDIT</t>
  </si>
  <si>
    <t>GOLDENDALE FIXED COST DEFERRAL (NEW)</t>
  </si>
  <si>
    <t>TOTAL ADJUSTMENT TO O&amp;M ON REGULATORY ASSETS</t>
  </si>
  <si>
    <t>INCREASE(DECREASE) EXPENSE</t>
  </si>
  <si>
    <t xml:space="preserve">INCREASE(DECREASE) FIT </t>
  </si>
  <si>
    <t>INCREASE(DECREASE) NOI</t>
  </si>
  <si>
    <t>PRODUCTION PROPERTY RATE BASE:</t>
  </si>
  <si>
    <t>DEPRECIABLE PRODUCTION PROPERTY</t>
  </si>
  <si>
    <t>LESS PRODUCTION PROPERTY ACCUM DEPR.</t>
  </si>
  <si>
    <t>NON-DEPRECIABLE PRODUCTION PROPERTY</t>
  </si>
  <si>
    <t>LESS PRODUCTION PROPERTY ACCUM AMORT.</t>
  </si>
  <si>
    <t>COLSTRIP COMMON FERC ADJUSTMENT</t>
  </si>
  <si>
    <t>COLSTRIP DEFERRED DEPRECIATION FERC ADJ.</t>
  </si>
  <si>
    <t>ENCOGEN ACQUISITION ADJUSTMENT</t>
  </si>
  <si>
    <t>NET PRODUCTION PROPERTY</t>
  </si>
  <si>
    <t>DEDUCT:</t>
  </si>
  <si>
    <t>LIBR. DEPREC. PRE 1981 (EOP)</t>
  </si>
  <si>
    <t>LIBR. DEPREC. POST 1980 (EOP)</t>
  </si>
  <si>
    <t>OTHER DEF. TAXES (EOP)</t>
  </si>
  <si>
    <t>SUBTOTAL</t>
  </si>
  <si>
    <t>ADJUSTMENT TO PRODUCTION RATE BASE</t>
  </si>
  <si>
    <t>REGULATORY ASSETS RATE BASE:</t>
  </si>
  <si>
    <t>ADJUSTMENT TO REGULATORY ASSETS RATE BASE</t>
  </si>
  <si>
    <t>TOTAL ADJUSTMENT TO RATEBASE (LINE 56 + LINE 67)</t>
  </si>
  <si>
    <t>Exhibit A-5 Power Costs</t>
  </si>
  <si>
    <t>POWER COSTS</t>
  </si>
  <si>
    <t>INCREASE</t>
  </si>
  <si>
    <t>ACTUAL</t>
  </si>
  <si>
    <t>(DECREASE)</t>
  </si>
  <si>
    <t>SALES FOR RESALE</t>
  </si>
  <si>
    <t>PURCHASES/SALES OF NON-CORE GAS</t>
  </si>
  <si>
    <t>WHEELING FOR OTHERS</t>
  </si>
  <si>
    <t>TOTAL OPERATING REVENUES</t>
  </si>
  <si>
    <t>FUEL</t>
  </si>
  <si>
    <t>PURCHASED AND INTERCHANGED</t>
  </si>
  <si>
    <t>HEDGING</t>
  </si>
  <si>
    <t>RATE DISALLOWANCES FOR MARCH POINT 2 AND TENASKA</t>
  </si>
  <si>
    <t>SUBTOTAL PURCHASED AND INTERCHANGED</t>
  </si>
  <si>
    <t>WHEELING</t>
  </si>
  <si>
    <t>SCH. 94 - RES./FARM CREDIT</t>
  </si>
  <si>
    <t>TOTAL PRODUCTION EXPENSES</t>
  </si>
  <si>
    <t>HYDRO AND OTHER POWER</t>
  </si>
  <si>
    <t xml:space="preserve">TRANS. EXP. INCL. 500KV O&amp;M </t>
  </si>
  <si>
    <t>INCREASE (DECREASE) INCOME</t>
  </si>
  <si>
    <t>INCREASE (DECREASE) FIT @</t>
  </si>
  <si>
    <t>INCREASE (DECREASE) NOI</t>
  </si>
  <si>
    <t>PRODUCTION WAGE INCREASE AND INCENTIVE:</t>
  </si>
  <si>
    <t>AMORTIZATION (OTHER THAN REGULATORY ASSETS/LIAB)</t>
  </si>
  <si>
    <t>WILD HORSE EXPANSION AND MINT FARM</t>
  </si>
  <si>
    <t>PRODUCTION O&amp;M</t>
  </si>
  <si>
    <t>TOTAL NEW PLANT</t>
  </si>
  <si>
    <t xml:space="preserve">    GOLDENDALE FIXED COSTS DEFERRAL</t>
  </si>
  <si>
    <t xml:space="preserve">    COLSTRIP SETTLEMENT - UE-080900</t>
  </si>
  <si>
    <t xml:space="preserve">    WESTCOAST PIPELINE CAPACITY - UE-082013</t>
  </si>
  <si>
    <t xml:space="preserve">    MINT FARM DEFERRAL</t>
  </si>
  <si>
    <t xml:space="preserve">    OVER-RECOVERY MAJOR MAINTENANCE</t>
  </si>
  <si>
    <t xml:space="preserve">    WILD HORSE EXPANSION DEFERRAL</t>
  </si>
  <si>
    <t>TOTAL AMORTIZATION OF REG ASSETS/LIABS</t>
  </si>
  <si>
    <t>TENASKA FLOW THRU</t>
  </si>
  <si>
    <t>TOTAL REGULATORY AMORT (LINE 46 + LINE 48)</t>
  </si>
  <si>
    <t>NON-DEPRECIABLE PRODUCTION PROPERTY (Baker, Whitehorn)</t>
  </si>
  <si>
    <t>LESS PRODUCTION PROPERTY ACCUM AMORT. (Baker, Whitehorn)</t>
  </si>
  <si>
    <t>ENCOGEN AND OTHER ACQUISITION ADJUSTMENTS</t>
  </si>
  <si>
    <t xml:space="preserve">    ACCUMULATED AMORTIZATION ON ACQUISTION ADJ</t>
  </si>
  <si>
    <t xml:space="preserve">    OTHER DEF. TAXES (AMA)</t>
  </si>
  <si>
    <t xml:space="preserve">    PROCEED FROM THE SALE OF WHITE RIVER</t>
  </si>
  <si>
    <t xml:space="preserve">    GOLDENDALE FIXED COST DEFERRAL (NEW)</t>
  </si>
  <si>
    <t xml:space="preserve">    OVER-RECOVERY MAINTENANCE</t>
  </si>
  <si>
    <t>TOTAL ADJUSTMENT TO RATEBASE (LINE 73 + LINE 91)</t>
  </si>
  <si>
    <t xml:space="preserve">    Sumas- Hot Gas Path Inspection</t>
  </si>
  <si>
    <t>Docket Number UE-090704</t>
  </si>
  <si>
    <t>Authorized After-tax Rate of Return</t>
  </si>
  <si>
    <t>Exhibit D:  Regulatory Assets and Liabilities net of Accumulated Amortization and Deferred Taxes</t>
  </si>
  <si>
    <t>2007 GRC</t>
  </si>
  <si>
    <t>thru 4/7/2010</t>
  </si>
  <si>
    <t>FOR THE TWELVE MONTHS ENDED SEPTEMBER 30, 2007</t>
  </si>
  <si>
    <t>after 4/7/2010</t>
  </si>
  <si>
    <t>Exhibit D:  Regulatory Assets and Liabilities net of Accumulated Amortization and Deferred Taxes (PCA Periods)</t>
  </si>
  <si>
    <t>2007 GRC - UE-072300</t>
  </si>
  <si>
    <t>12 Months Ended December 31</t>
  </si>
  <si>
    <t>AMA Ratebase</t>
  </si>
  <si>
    <t>Cabot Buyout</t>
  </si>
  <si>
    <t>G/L Accts #18230171 and #28300461 and Order #54756012</t>
  </si>
  <si>
    <t>Dec 2009</t>
  </si>
  <si>
    <t>G/L Accts #18230071 and #18230081 and Order #55500007</t>
  </si>
  <si>
    <t>G/L Accts #18230641, #18236021, 6031, 6041, 6051, 6061, 6071,  #18230691, #19000021 and #28300011</t>
  </si>
  <si>
    <t>G/L Accts #18220011, #18220021, #18220031, #18220041 and #18220051 and Order #40700015</t>
  </si>
  <si>
    <t>Canwest Liability</t>
  </si>
  <si>
    <t>G/L Accts #25400021, #14300061 and #19000451 and Order #547 / #456</t>
  </si>
  <si>
    <t>G/L Acct #18230231and #18230371 and Order #56500011</t>
  </si>
  <si>
    <t>AMA Ratebase as of</t>
  </si>
  <si>
    <t>PCA #8</t>
  </si>
  <si>
    <t>Exhibit D:  Regulatory Assets and Liabilities net of Accumulated Amortization and</t>
  </si>
  <si>
    <t>Deferred Taxes (PCA Periods)</t>
  </si>
  <si>
    <t>Compliance Filing - 2009 GRC - WUTC Docket No. UE-090704</t>
  </si>
  <si>
    <t>Case</t>
  </si>
  <si>
    <t>Docket</t>
  </si>
  <si>
    <t>Effective Date</t>
  </si>
  <si>
    <t>Days in 2010</t>
  </si>
  <si>
    <t>Rate</t>
  </si>
  <si>
    <t>per UE-072300</t>
  </si>
  <si>
    <t>per UE-090704</t>
  </si>
  <si>
    <t>Balance net of</t>
  </si>
  <si>
    <t>(Note 2)</t>
  </si>
  <si>
    <t>G/L Accts #18230171, #19000121, and #28300461 and Order #54756012</t>
  </si>
  <si>
    <t>Dec 2007</t>
  </si>
  <si>
    <t>7.01%&amp;7.06%</t>
  </si>
  <si>
    <t>Dec 2008</t>
  </si>
  <si>
    <t>7.06%&amp;7.00%</t>
  </si>
  <si>
    <t>Dec 2011</t>
  </si>
  <si>
    <t>Dec 2012</t>
  </si>
  <si>
    <t>Dec 2013</t>
  </si>
  <si>
    <t>Dec 2014</t>
  </si>
  <si>
    <t>Dec 2015</t>
  </si>
  <si>
    <t>Dec 2016</t>
  </si>
  <si>
    <t>Dec 2017</t>
  </si>
  <si>
    <t>Dec 2018</t>
  </si>
  <si>
    <t>G/L Accts #18230641, 691, #18236021, 6031, 6041, 6051, 6061, 6071,  #18230971, #19000021 and #28300011</t>
  </si>
  <si>
    <t>CWA Sales Proceeds (Note 3)</t>
  </si>
  <si>
    <t>G/L Accts #18220061, #28300651</t>
  </si>
  <si>
    <t>not in rates</t>
  </si>
  <si>
    <t>Westcoast Capacity - UE-082013 (Note 3)</t>
  </si>
  <si>
    <t>G/L Accts #25300601 and #19000151</t>
  </si>
  <si>
    <t>Mint Farm Deferral (Note 4)</t>
  </si>
  <si>
    <t>G/L Accts #18600351, #18600361, #18600371 and Orders #40740061, #41900026, #41900028 and #55500136</t>
  </si>
  <si>
    <t>WHE Deferral (Note 4)</t>
  </si>
  <si>
    <t>G/L Accts #18600611&amp;621&amp;631, #25300631, Orders #40740071, #41900037&amp;39, #55500093&amp;139</t>
  </si>
  <si>
    <t>PCA #6</t>
  </si>
  <si>
    <t>PCA #7</t>
  </si>
  <si>
    <t>PCA #10</t>
  </si>
  <si>
    <t>PCA #11</t>
  </si>
  <si>
    <t>the associated DFIT balances.</t>
  </si>
  <si>
    <t>regulatory approval for their proposed accounting treatment was not obtained until the 2009 GRC.  They have</t>
  </si>
  <si>
    <t>been presented here as if they were placed in Exhibit D coincident with new rates on 4/8/2010 which is reflective of the</t>
  </si>
  <si>
    <t>information contained in the 2009 GRC filing.  However, true-ups will be posted in April 2010 (PCA 9) to reflect what the return</t>
  </si>
  <si>
    <t xml:space="preserve">on and of these assets would have been had they been reflected in the PCA calculation beginning with the </t>
  </si>
  <si>
    <t>month that the underlying transactions occurred.  Truing up in April 2010 rather than recalculating the prior PCA deferrals is</t>
  </si>
  <si>
    <t>allowed as each of the adjustments is less than $1 million.</t>
  </si>
  <si>
    <r>
      <t>Note (1)</t>
    </r>
    <r>
      <rPr>
        <sz val="9.9"/>
        <rFont val="Arial"/>
        <family val="2"/>
      </rPr>
      <t xml:space="preserve">  Amounts in these columns are net of accumulated amortization AND the associated DFIT liabilitiy / asset.</t>
    </r>
  </si>
  <si>
    <r>
      <t xml:space="preserve">Note (2)  </t>
    </r>
    <r>
      <rPr>
        <sz val="9.9"/>
        <rFont val="Arial"/>
        <family val="2"/>
      </rPr>
      <t>Amounts in these columns include amortization on the regulatory asset or liability only.  They do not include the turn around of</t>
    </r>
  </si>
  <si>
    <r>
      <t xml:space="preserve">Note (3)  </t>
    </r>
    <r>
      <rPr>
        <sz val="9.9"/>
        <rFont val="Arial"/>
        <family val="2"/>
      </rPr>
      <t>Although the transactions which gave rise to these regulatory liabilities occurred prior to the beginning of the rate year,</t>
    </r>
  </si>
  <si>
    <r>
      <t xml:space="preserve">Note (4)  </t>
    </r>
    <r>
      <rPr>
        <sz val="9.9"/>
        <rFont val="Arial"/>
        <family val="2"/>
      </rPr>
      <t>Return on ratebase was being recognized and deferred on these regulatory assets up until 4/7/2010.  Therefore, recognition</t>
    </r>
  </si>
</sst>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000_);_(* \(#,##0.0000000\);_(* &quot;-&quot;??_);_(@_)"/>
    <numFmt numFmtId="166" formatCode="_(&quot;$&quot;* #,##0.0_);_(&quot;$&quot;* \(#,##0.0\);_(&quot;$&quot;* &quot;-&quot;??_);_(@_)"/>
    <numFmt numFmtId="167" formatCode="_(&quot;$&quot;* #,##0_);_(&quot;$&quot;* \(#,##0\);_(&quot;$&quot;* &quot;-&quot;??_);_(@_)"/>
    <numFmt numFmtId="168" formatCode="_(* #,##0.000_);_(* \(#,##0.000\);_(* &quot;-&quot;??_);_(@_)"/>
    <numFmt numFmtId="169" formatCode="_(&quot;$&quot;* #,##0.000_);_(&quot;$&quot;* \(#,##0.000\);_(&quot;$&quot;* &quot;-&quot;??_);_(@_)"/>
    <numFmt numFmtId="170" formatCode="0.0%"/>
    <numFmt numFmtId="171" formatCode="0_);\(0\)"/>
    <numFmt numFmtId="172" formatCode="&quot;$&quot;#,##0.000_);\(&quot;$&quot;#,##0.000\)"/>
    <numFmt numFmtId="173" formatCode="#,##0.0"/>
    <numFmt numFmtId="174" formatCode="0.00000"/>
    <numFmt numFmtId="175" formatCode="mm/dd/yy"/>
    <numFmt numFmtId="176" formatCode="&quot;$&quot;#,##0.000000_);\(&quot;$&quot;#,##0.000000\)"/>
    <numFmt numFmtId="177" formatCode="0\ &quot; HR&quot;"/>
    <numFmt numFmtId="178" formatCode="0.000000"/>
    <numFmt numFmtId="179" formatCode="m/yy"/>
    <numFmt numFmtId="180" formatCode="_(* #,##0.0_);_(* \(#,##0.0\);_(* &quot;-&quot;_);_(@_)"/>
    <numFmt numFmtId="181" formatCode="mmm\ yyyy"/>
    <numFmt numFmtId="182" formatCode="_(* #,##0.00000_);_(* \(#,##0.00000\);_(* &quot;-&quot;??_);_(@_)"/>
    <numFmt numFmtId="183" formatCode="_(* ###0_);_(* \(###0\);_(* &quot;-&quot;_);_(@_)"/>
    <numFmt numFmtId="184" formatCode="0.00000%"/>
    <numFmt numFmtId="185" formatCode="&quot;$&quot;#,##0.000"/>
    <numFmt numFmtId="186" formatCode="d\.mmm\.yy"/>
    <numFmt numFmtId="187" formatCode="[$-409]mmm\-yy;@"/>
    <numFmt numFmtId="188" formatCode="0.0000000"/>
    <numFmt numFmtId="189" formatCode="_([$€-2]* #,##0.00_);_([$€-2]* \(#,##0.00\);_([$€-2]* &quot;-&quot;??_)"/>
    <numFmt numFmtId="190" formatCode="0.000000%"/>
    <numFmt numFmtId="191" formatCode="_(&quot;$&quot;* #,##0.000_);_(&quot;$&quot;* \(#,##0.000\);_(&quot;$&quot;* &quot;-&quot;???_);_(@_)"/>
    <numFmt numFmtId="192" formatCode="#,##0.0000"/>
    <numFmt numFmtId="193" formatCode="#."/>
    <numFmt numFmtId="194" formatCode="_(&quot;$&quot;* #,##0.0000_);_(&quot;$&quot;* \(#,##0.0000\);_(&quot;$&quot;* &quot;-&quot;????_);_(@_)"/>
    <numFmt numFmtId="195" formatCode="&quot;$&quot;#,##0.00"/>
    <numFmt numFmtId="196" formatCode="0.0000%"/>
    <numFmt numFmtId="197" formatCode="&quot;$&quot;#,##0;\-&quot;$&quot;#,##0"/>
    <numFmt numFmtId="198" formatCode="0000000"/>
    <numFmt numFmtId="199" formatCode="[$-409]d\-mmm\-yy;@"/>
    <numFmt numFmtId="200" formatCode="#,##0.000"/>
    <numFmt numFmtId="201" formatCode="0.0"/>
    <numFmt numFmtId="202" formatCode="_(&quot;$&quot;* #,##0.000000_);_(&quot;$&quot;* \(#,##0.000000\);_(&quot;$&quot;* &quot;-&quot;??????_);_(@_)"/>
    <numFmt numFmtId="203" formatCode="_(* #,##0.00000_);_(* \(#,##0.00000\);_(* &quot;-&quot;_);_(@_)"/>
    <numFmt numFmtId="204" formatCode="0.000"/>
    <numFmt numFmtId="205" formatCode="mmm\-yyyy"/>
    <numFmt numFmtId="206" formatCode="0.000%"/>
    <numFmt numFmtId="207" formatCode="mm/dd/yy;@"/>
    <numFmt numFmtId="208" formatCode="0.000000000"/>
    <numFmt numFmtId="209" formatCode="[$-409]mmmm\ d\,\ yyyy;@"/>
    <numFmt numFmtId="210" formatCode="mm/yy"/>
    <numFmt numFmtId="211" formatCode="_(* #,##0.0_);_(* \(#,##0.0\);_(* &quot;-&quot;??_);_(@_)"/>
    <numFmt numFmtId="212" formatCode="_(* #,##0.0_);_(* \(#,##0.0\);_(* &quot;-&quot;?_);_(@_)"/>
    <numFmt numFmtId="213" formatCode="[$-409]dddd\,\ mmmm\ dd\,\ yyyy"/>
    <numFmt numFmtId="214" formatCode="&quot;$&quot;#,##0.000_);[Red]\(&quot;$&quot;#,##0.000\)"/>
    <numFmt numFmtId="215" formatCode="_(* #,##0.000_);_(* \(#,##0.000\);_(* &quot;-&quot;???_);_(@_)"/>
    <numFmt numFmtId="216" formatCode="&quot;$&quot;#,##0.0_);[Red]\(&quot;$&quot;#,##0.0\)"/>
    <numFmt numFmtId="217" formatCode="_(* #,##0.0000_);_(* \(#,##0.0000\);_(* &quot;-&quot;????_);_(@_)"/>
    <numFmt numFmtId="218" formatCode="_(* #,##0.000_);_(* \(#,##0.000\);_(* &quot;-&quot;????_);_(@_)"/>
    <numFmt numFmtId="219" formatCode="_(* #,##0.00_);_(* \(#,##0.00\);_(* &quot;-&quot;????_);_(@_)"/>
    <numFmt numFmtId="220" formatCode="_(* #,##0.0_);_(* \(#,##0.0\);_(* &quot;-&quot;????_);_(@_)"/>
    <numFmt numFmtId="221" formatCode="_(* #,##0.00000_);_(* \(#,##0.00000\);_(* &quot;-&quot;?????_);_(@_)"/>
    <numFmt numFmtId="222" formatCode="#,##0.0000000"/>
    <numFmt numFmtId="223" formatCode="_(* #,##0.0000000_);_(* \(#,##0.0000000\);_(* &quot;-&quot;???????_);_(@_)"/>
    <numFmt numFmtId="224" formatCode="#,##0;\(#,##0\)"/>
    <numFmt numFmtId="225" formatCode="_(* #,##0.0000_);_(* \(#,##0.0000\);_(* &quot;-&quot;_);_(@_)"/>
  </numFmts>
  <fonts count="88">
    <font>
      <sz val="10"/>
      <name val="Arial"/>
      <family val="0"/>
    </font>
    <font>
      <b/>
      <sz val="14"/>
      <name val="Arial"/>
      <family val="2"/>
    </font>
    <font>
      <b/>
      <sz val="12"/>
      <name val="Arial"/>
      <family val="2"/>
    </font>
    <font>
      <b/>
      <sz val="10"/>
      <name val="Arial"/>
      <family val="2"/>
    </font>
    <font>
      <sz val="10"/>
      <color indexed="10"/>
      <name val="Arial"/>
      <family val="2"/>
    </font>
    <font>
      <sz val="10"/>
      <color indexed="12"/>
      <name val="Arial"/>
      <family val="2"/>
    </font>
    <font>
      <b/>
      <u val="single"/>
      <sz val="10"/>
      <name val="Arial"/>
      <family val="2"/>
    </font>
    <font>
      <sz val="8"/>
      <name val="Arial"/>
      <family val="2"/>
    </font>
    <font>
      <b/>
      <sz val="8"/>
      <name val="Arial"/>
      <family val="2"/>
    </font>
    <font>
      <b/>
      <sz val="10"/>
      <color indexed="10"/>
      <name val="Arial"/>
      <family val="2"/>
    </font>
    <font>
      <sz val="12"/>
      <name val="Arial"/>
      <family val="2"/>
    </font>
    <font>
      <u val="singleAccounting"/>
      <sz val="10"/>
      <name val="Arial"/>
      <family val="2"/>
    </font>
    <font>
      <sz val="9"/>
      <name val="Arial"/>
      <family val="2"/>
    </font>
    <font>
      <u val="single"/>
      <sz val="9"/>
      <name val="Arial"/>
      <family val="2"/>
    </font>
    <font>
      <u val="single"/>
      <sz val="10"/>
      <color indexed="36"/>
      <name val="Arial"/>
      <family val="2"/>
    </font>
    <font>
      <u val="single"/>
      <sz val="10"/>
      <color indexed="12"/>
      <name val="Arial"/>
      <family val="2"/>
    </font>
    <font>
      <sz val="8"/>
      <name val="Helv"/>
      <family val="0"/>
    </font>
    <font>
      <b/>
      <sz val="9"/>
      <name val="Arial"/>
      <family val="2"/>
    </font>
    <font>
      <b/>
      <u val="single"/>
      <sz val="11"/>
      <name val="Arial"/>
      <family val="2"/>
    </font>
    <font>
      <b/>
      <sz val="6"/>
      <name val="Arial"/>
      <family val="2"/>
    </font>
    <font>
      <b/>
      <i/>
      <sz val="10"/>
      <name val="Arial"/>
      <family val="2"/>
    </font>
    <font>
      <i/>
      <sz val="10"/>
      <name val="Arial"/>
      <family val="2"/>
    </font>
    <font>
      <sz val="10"/>
      <name val="Helv"/>
      <family val="0"/>
    </font>
    <font>
      <sz val="11"/>
      <name val="univers (E1)"/>
      <family val="0"/>
    </font>
    <font>
      <sz val="12"/>
      <color indexed="24"/>
      <name val="Arial"/>
      <family val="2"/>
    </font>
    <font>
      <sz val="10"/>
      <name val="MS Sans Serif"/>
      <family val="2"/>
    </font>
    <font>
      <b/>
      <sz val="10"/>
      <name val="MS Sans Serif"/>
      <family val="2"/>
    </font>
    <font>
      <b/>
      <sz val="10"/>
      <name val="Times New Roman"/>
      <family val="1"/>
    </font>
    <font>
      <sz val="10"/>
      <color indexed="8"/>
      <name val="MS Sans Serif"/>
      <family val="2"/>
    </font>
    <font>
      <sz val="10"/>
      <name val="MS Serif"/>
      <family val="1"/>
    </font>
    <font>
      <sz val="10"/>
      <name val="Courier"/>
      <family val="3"/>
    </font>
    <font>
      <sz val="7"/>
      <name val="Small Fonts"/>
      <family val="2"/>
    </font>
    <font>
      <b/>
      <sz val="8"/>
      <color indexed="8"/>
      <name val="Helv"/>
      <family val="0"/>
    </font>
    <font>
      <b/>
      <sz val="14"/>
      <color indexed="56"/>
      <name val="Arial"/>
      <family val="2"/>
    </font>
    <font>
      <b/>
      <sz val="8"/>
      <color indexed="8"/>
      <name val="Arial"/>
      <family val="2"/>
    </font>
    <font>
      <b/>
      <sz val="10"/>
      <color indexed="8"/>
      <name val="Arial"/>
      <family val="2"/>
    </font>
    <font>
      <sz val="10"/>
      <color indexed="8"/>
      <name val="Arial"/>
      <family val="2"/>
    </font>
    <font>
      <sz val="8"/>
      <name val="Tahoma"/>
      <family val="2"/>
    </font>
    <font>
      <sz val="12"/>
      <name val="TIMES"/>
      <family val="0"/>
    </font>
    <font>
      <sz val="1"/>
      <color indexed="16"/>
      <name val="Courier"/>
      <family val="3"/>
    </font>
    <font>
      <b/>
      <sz val="12"/>
      <color indexed="20"/>
      <name val="Arial"/>
      <family val="2"/>
    </font>
    <font>
      <sz val="12"/>
      <color indexed="10"/>
      <name val="Arial"/>
      <family val="2"/>
    </font>
    <font>
      <sz val="12"/>
      <color indexed="10"/>
      <name val="TIMES"/>
      <family val="0"/>
    </font>
    <font>
      <b/>
      <sz val="12"/>
      <color indexed="56"/>
      <name val="Arial"/>
      <family val="2"/>
    </font>
    <font>
      <u val="single"/>
      <sz val="10"/>
      <name val="Arial"/>
      <family val="2"/>
    </font>
    <font>
      <b/>
      <i/>
      <sz val="10"/>
      <name val="Times New Roman"/>
      <family val="1"/>
    </font>
    <font>
      <sz val="10"/>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8"/>
      <name val="Tahoma"/>
      <family val="2"/>
    </font>
    <font>
      <sz val="12"/>
      <name val="Times New Roman"/>
      <family val="1"/>
    </font>
    <font>
      <b/>
      <sz val="11"/>
      <color indexed="52"/>
      <name val="Calibri"/>
      <family val="2"/>
    </font>
    <font>
      <sz val="10"/>
      <color indexed="24"/>
      <name val="Arial"/>
      <family val="2"/>
    </font>
    <font>
      <b/>
      <sz val="15"/>
      <color indexed="56"/>
      <name val="Calibri"/>
      <family val="2"/>
    </font>
    <font>
      <b/>
      <sz val="13"/>
      <color indexed="56"/>
      <name val="Calibri"/>
      <family val="2"/>
    </font>
    <font>
      <sz val="10"/>
      <name val="Geneva"/>
      <family val="0"/>
    </font>
    <font>
      <b/>
      <sz val="11"/>
      <color indexed="8"/>
      <name val="Calibri"/>
      <family val="2"/>
    </font>
    <font>
      <sz val="10"/>
      <color indexed="39"/>
      <name val="Arial"/>
      <family val="2"/>
    </font>
    <font>
      <b/>
      <sz val="12"/>
      <color indexed="8"/>
      <name val="Arial"/>
      <family val="2"/>
    </font>
    <font>
      <b/>
      <sz val="8"/>
      <color indexed="62"/>
      <name val="Arial"/>
      <family val="2"/>
    </font>
    <font>
      <b/>
      <sz val="18"/>
      <color indexed="62"/>
      <name val="Arial"/>
      <family val="2"/>
    </font>
    <font>
      <b/>
      <sz val="8"/>
      <color indexed="10"/>
      <name val="Helv"/>
      <family val="0"/>
    </font>
    <font>
      <b/>
      <sz val="8"/>
      <color indexed="10"/>
      <name val="Arial"/>
      <family val="2"/>
    </font>
    <font>
      <b/>
      <sz val="20"/>
      <name val="Arial"/>
      <family val="2"/>
    </font>
    <font>
      <u val="single"/>
      <sz val="12"/>
      <name val="Arial"/>
      <family val="2"/>
    </font>
    <font>
      <b/>
      <sz val="12"/>
      <name val="Times New Roman"/>
      <family val="1"/>
    </font>
    <font>
      <sz val="6"/>
      <name val="Arial"/>
      <family val="2"/>
    </font>
    <font>
      <b/>
      <u val="single"/>
      <sz val="10"/>
      <name val="Times New Roman"/>
      <family val="1"/>
    </font>
    <font>
      <sz val="10"/>
      <color indexed="8"/>
      <name val="Times New Roman"/>
      <family val="1"/>
    </font>
    <font>
      <u val="single"/>
      <sz val="10"/>
      <name val="Times New Roman"/>
      <family val="1"/>
    </font>
    <font>
      <b/>
      <sz val="9"/>
      <color indexed="12"/>
      <name val="Arial"/>
      <family val="2"/>
    </font>
    <font>
      <sz val="12"/>
      <color indexed="62"/>
      <name val="Arial"/>
      <family val="2"/>
    </font>
    <font>
      <b/>
      <sz val="14"/>
      <color indexed="10"/>
      <name val="Arial"/>
      <family val="2"/>
    </font>
    <font>
      <b/>
      <sz val="9.9"/>
      <name val="Arial"/>
      <family val="2"/>
    </font>
    <font>
      <sz val="9.9"/>
      <name val="Arial"/>
      <family val="2"/>
    </font>
    <font>
      <sz val="9.9"/>
      <color indexed="8"/>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mediumGray">
        <fgColor indexed="22"/>
      </patternFill>
    </fill>
    <fill>
      <patternFill patternType="solid">
        <fgColor indexed="31"/>
        <bgColor indexed="64"/>
      </patternFill>
    </fill>
    <fill>
      <patternFill patternType="solid">
        <fgColor indexed="50"/>
        <bgColor indexed="64"/>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gray0625">
        <fgColor indexed="8"/>
      </patternFill>
    </fill>
    <fill>
      <patternFill patternType="gray125">
        <fgColor indexed="8"/>
      </patternFill>
    </fill>
  </fills>
  <borders count="5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style="hair"/>
      <right style="hair"/>
      <top style="hair"/>
      <bottom style="hair"/>
    </border>
    <border>
      <left>
        <color indexed="63"/>
      </left>
      <right>
        <color indexed="63"/>
      </right>
      <top>
        <color indexed="63"/>
      </top>
      <bottom style="double">
        <color indexed="52"/>
      </bottom>
    </border>
    <border>
      <left>
        <color indexed="63"/>
      </left>
      <right style="hair"/>
      <top>
        <color indexed="63"/>
      </top>
      <bottom style="thin"/>
    </border>
    <border>
      <left>
        <color indexed="63"/>
      </left>
      <right style="hair"/>
      <top>
        <color indexed="63"/>
      </top>
      <bottom>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style="double"/>
      <bottom>
        <color indexed="63"/>
      </bottom>
    </border>
    <border>
      <left>
        <color indexed="63"/>
      </left>
      <right>
        <color indexed="63"/>
      </right>
      <top style="thin">
        <color indexed="62"/>
      </top>
      <bottom style="double">
        <color indexed="62"/>
      </bottom>
    </border>
    <border>
      <left>
        <color indexed="63"/>
      </left>
      <right>
        <color indexed="63"/>
      </right>
      <top style="double">
        <color indexed="8"/>
      </top>
      <bottom>
        <color indexed="63"/>
      </bottom>
    </border>
    <border>
      <left style="hair"/>
      <right>
        <color indexed="63"/>
      </right>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hair"/>
      <right>
        <color indexed="63"/>
      </right>
      <top style="hair"/>
      <bottom>
        <color indexed="63"/>
      </bottom>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ck"/>
      <right style="thick"/>
      <top style="thick"/>
      <bottom style="thick"/>
    </border>
    <border>
      <left style="hair"/>
      <right style="hair"/>
      <top style="hair"/>
      <bottom>
        <color indexed="63"/>
      </bottom>
    </border>
    <border>
      <left style="hair"/>
      <right>
        <color indexed="63"/>
      </right>
      <top>
        <color indexed="63"/>
      </top>
      <bottom style="hair"/>
    </border>
    <border>
      <left style="hair"/>
      <right style="hair"/>
      <top>
        <color indexed="63"/>
      </top>
      <bottom>
        <color indexed="63"/>
      </bottom>
    </border>
    <border>
      <left style="hair"/>
      <right style="hair"/>
      <top>
        <color indexed="63"/>
      </top>
      <bottom style="hair"/>
    </border>
    <border>
      <left>
        <color indexed="63"/>
      </left>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hair"/>
      <bottom>
        <color indexed="63"/>
      </bottom>
    </border>
    <border>
      <left style="medium"/>
      <right style="medium"/>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double"/>
    </border>
    <border>
      <left>
        <color indexed="63"/>
      </left>
      <right>
        <color indexed="63"/>
      </right>
      <top style="thin"/>
      <bottom style="medium"/>
    </border>
    <border>
      <left style="thin"/>
      <right>
        <color indexed="63"/>
      </right>
      <top style="thin"/>
      <bottom style="thin"/>
    </border>
    <border>
      <left>
        <color indexed="63"/>
      </left>
      <right style="hair"/>
      <top>
        <color indexed="63"/>
      </top>
      <bottom style="hair"/>
    </border>
  </borders>
  <cellStyleXfs count="1532">
    <xf numFmtId="178" fontId="0" fillId="0" borderId="0">
      <alignment horizontal="lef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182" fontId="0" fillId="0" borderId="0">
      <alignment horizontal="left" wrapText="1"/>
      <protection/>
    </xf>
    <xf numFmtId="182" fontId="0" fillId="0" borderId="0">
      <alignment horizontal="left" wrapText="1"/>
      <protection/>
    </xf>
    <xf numFmtId="0" fontId="0" fillId="0" borderId="0">
      <alignment/>
      <protection/>
    </xf>
    <xf numFmtId="0" fontId="0" fillId="0" borderId="0">
      <alignment/>
      <protection/>
    </xf>
    <xf numFmtId="0" fontId="0" fillId="0" borderId="0">
      <alignment/>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0" fontId="0" fillId="0" borderId="0">
      <alignment/>
      <protection/>
    </xf>
    <xf numFmtId="178" fontId="0" fillId="0" borderId="0">
      <alignment horizontal="left" wrapText="1"/>
      <protection/>
    </xf>
    <xf numFmtId="188"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2" fontId="0" fillId="0" borderId="0">
      <alignment horizontal="left" wrapText="1"/>
      <protection/>
    </xf>
    <xf numFmtId="0" fontId="0" fillId="0" borderId="0">
      <alignment/>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0" fontId="0" fillId="0" borderId="0">
      <alignment/>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0" fontId="62" fillId="0" borderId="0">
      <alignment/>
      <protection/>
    </xf>
    <xf numFmtId="0" fontId="62" fillId="0" borderId="0">
      <alignment/>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0" fontId="62" fillId="0" borderId="0">
      <alignment/>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0" fontId="62" fillId="0" borderId="0">
      <alignment/>
      <protection/>
    </xf>
    <xf numFmtId="0" fontId="62" fillId="0" borderId="0">
      <alignment/>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82"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8"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0" fontId="62" fillId="0" borderId="0">
      <alignment/>
      <protection/>
    </xf>
    <xf numFmtId="0" fontId="62" fillId="0" borderId="0">
      <alignment/>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178" fontId="0" fillId="0" borderId="0">
      <alignment horizontal="left" wrapText="1"/>
      <protection/>
    </xf>
    <xf numFmtId="0" fontId="0" fillId="0" borderId="0">
      <alignment/>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182" fontId="0" fillId="0" borderId="0">
      <alignment horizontal="left" wrapText="1"/>
      <protection/>
    </xf>
    <xf numFmtId="0" fontId="62" fillId="0" borderId="0">
      <alignment/>
      <protection/>
    </xf>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5"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8"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9" fillId="12"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49" fillId="19" borderId="0" applyNumberFormat="0" applyBorder="0" applyAlignment="0" applyProtection="0"/>
    <xf numFmtId="0" fontId="50" fillId="3" borderId="0" applyNumberFormat="0" applyBorder="0" applyAlignment="0" applyProtection="0"/>
    <xf numFmtId="0" fontId="50" fillId="3" borderId="0" applyNumberFormat="0" applyBorder="0" applyAlignment="0" applyProtection="0"/>
    <xf numFmtId="186" fontId="28" fillId="0" borderId="0" applyFill="0" applyBorder="0" applyAlignment="0">
      <protection/>
    </xf>
    <xf numFmtId="41" fontId="0" fillId="20" borderId="0">
      <alignment/>
      <protection/>
    </xf>
    <xf numFmtId="0" fontId="63" fillId="21" borderId="1" applyNumberFormat="0" applyAlignment="0" applyProtection="0"/>
    <xf numFmtId="0" fontId="51" fillId="22" borderId="2" applyNumberFormat="0" applyAlignment="0" applyProtection="0"/>
    <xf numFmtId="0" fontId="51" fillId="22" borderId="2" applyNumberFormat="0" applyAlignment="0" applyProtection="0"/>
    <xf numFmtId="41" fontId="0" fillId="21" borderId="0">
      <alignmen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4" fontId="23"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2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 fontId="23" fillId="0" borderId="0" applyFont="0" applyFill="0" applyBorder="0" applyAlignment="0" applyProtection="0"/>
    <xf numFmtId="43" fontId="0" fillId="0" borderId="0" applyFont="0" applyFill="0" applyBorder="0" applyAlignment="0" applyProtection="0"/>
    <xf numFmtId="3" fontId="24" fillId="0" borderId="0" applyFont="0" applyFill="0" applyBorder="0" applyAlignment="0" applyProtection="0"/>
    <xf numFmtId="0" fontId="22" fillId="0" borderId="0">
      <alignment/>
      <protection/>
    </xf>
    <xf numFmtId="0" fontId="22" fillId="0" borderId="0">
      <alignment/>
      <protection/>
    </xf>
    <xf numFmtId="0" fontId="38" fillId="0" borderId="0">
      <alignment/>
      <protection/>
    </xf>
    <xf numFmtId="3" fontId="64" fillId="0" borderId="0" applyFont="0" applyFill="0" applyBorder="0" applyAlignment="0" applyProtection="0"/>
    <xf numFmtId="3" fontId="64" fillId="0" borderId="0" applyFont="0" applyFill="0" applyBorder="0" applyAlignment="0" applyProtection="0"/>
    <xf numFmtId="3" fontId="64" fillId="0" borderId="0" applyFont="0" applyFill="0" applyBorder="0" applyAlignment="0" applyProtection="0"/>
    <xf numFmtId="193" fontId="39" fillId="0" borderId="0">
      <alignment/>
      <protection locked="0"/>
    </xf>
    <xf numFmtId="0" fontId="38" fillId="0" borderId="0">
      <alignment/>
      <protection/>
    </xf>
    <xf numFmtId="0" fontId="29" fillId="0" borderId="0" applyNumberFormat="0" applyAlignment="0">
      <protection/>
    </xf>
    <xf numFmtId="0" fontId="30" fillId="0" borderId="0" applyNumberFormat="0" applyAlignment="0">
      <protection/>
    </xf>
    <xf numFmtId="0" fontId="22" fillId="0" borderId="0">
      <alignment/>
      <protection/>
    </xf>
    <xf numFmtId="0" fontId="38" fillId="0" borderId="0">
      <alignment/>
      <protection/>
    </xf>
    <xf numFmtId="0" fontId="22" fillId="0" borderId="0">
      <alignment/>
      <protection/>
    </xf>
    <xf numFmtId="0" fontId="38" fillId="0" borderId="0">
      <alignment/>
      <protection/>
    </xf>
    <xf numFmtId="44" fontId="0" fillId="0" borderId="0" applyFont="0" applyFill="0" applyBorder="0" applyAlignment="0" applyProtection="0"/>
    <xf numFmtId="42" fontId="0" fillId="0" borderId="0" applyFont="0" applyFill="0" applyBorder="0" applyAlignment="0" applyProtection="0"/>
    <xf numFmtId="8" fontId="2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2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2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2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23"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3" fontId="0" fillId="0" borderId="0" applyFont="0" applyFill="0" applyBorder="0" applyAlignment="0" applyProtection="0"/>
    <xf numFmtId="0" fontId="2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178" fontId="0" fillId="0" borderId="0">
      <alignment/>
      <protection/>
    </xf>
    <xf numFmtId="189" fontId="0" fillId="0" borderId="0" applyFon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2" fontId="24" fillId="0" borderId="0" applyFont="0" applyFill="0" applyBorder="0" applyAlignment="0" applyProtection="0"/>
    <xf numFmtId="0" fontId="22" fillId="0" borderId="0">
      <alignment/>
      <protection/>
    </xf>
    <xf numFmtId="0" fontId="14" fillId="0" borderId="0" applyNumberFormat="0" applyFill="0" applyBorder="0" applyAlignment="0" applyProtection="0"/>
    <xf numFmtId="0" fontId="53" fillId="4" borderId="0" applyNumberFormat="0" applyBorder="0" applyAlignment="0" applyProtection="0"/>
    <xf numFmtId="0" fontId="53" fillId="4" borderId="0" applyNumberFormat="0" applyBorder="0" applyAlignment="0" applyProtection="0"/>
    <xf numFmtId="38" fontId="7" fillId="21" borderId="0" applyNumberFormat="0" applyBorder="0" applyAlignment="0" applyProtection="0"/>
    <xf numFmtId="38" fontId="7" fillId="21" borderId="0" applyNumberFormat="0" applyBorder="0" applyAlignment="0" applyProtection="0"/>
    <xf numFmtId="38" fontId="7" fillId="21" borderId="0" applyNumberFormat="0" applyBorder="0" applyAlignment="0" applyProtection="0"/>
    <xf numFmtId="38" fontId="7" fillId="21" borderId="0" applyNumberFormat="0" applyBorder="0" applyAlignment="0" applyProtection="0"/>
    <xf numFmtId="38" fontId="7" fillId="21" borderId="0" applyNumberFormat="0" applyBorder="0" applyAlignment="0" applyProtection="0"/>
    <xf numFmtId="0" fontId="2" fillId="0" borderId="3" applyNumberFormat="0" applyAlignment="0" applyProtection="0"/>
    <xf numFmtId="0" fontId="2" fillId="0" borderId="4">
      <alignment horizontal="left"/>
      <protection/>
    </xf>
    <xf numFmtId="0" fontId="24" fillId="0" borderId="0" applyNumberFormat="0" applyFill="0" applyBorder="0" applyAlignment="0" applyProtection="0"/>
    <xf numFmtId="0" fontId="65" fillId="0" borderId="5" applyNumberFormat="0" applyFill="0" applyAlignment="0" applyProtection="0"/>
    <xf numFmtId="0" fontId="24" fillId="0" borderId="0" applyNumberFormat="0" applyFill="0" applyBorder="0" applyAlignment="0" applyProtection="0"/>
    <xf numFmtId="0" fontId="66" fillId="0" borderId="6" applyNumberFormat="0" applyFill="0" applyAlignment="0" applyProtection="0"/>
    <xf numFmtId="0" fontId="54" fillId="0" borderId="7"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38" fontId="8" fillId="0" borderId="0">
      <alignment/>
      <protection/>
    </xf>
    <xf numFmtId="40" fontId="8" fillId="0" borderId="0">
      <alignment/>
      <protection/>
    </xf>
    <xf numFmtId="0" fontId="15" fillId="0" borderId="0" applyNumberFormat="0" applyFill="0" applyBorder="0" applyAlignment="0" applyProtection="0"/>
    <xf numFmtId="0" fontId="55" fillId="7" borderId="1" applyNumberFormat="0" applyAlignment="0" applyProtection="0"/>
    <xf numFmtId="10" fontId="7" fillId="20" borderId="8" applyNumberFormat="0" applyBorder="0" applyAlignment="0" applyProtection="0"/>
    <xf numFmtId="10" fontId="7" fillId="20" borderId="8" applyNumberFormat="0" applyBorder="0" applyAlignment="0" applyProtection="0"/>
    <xf numFmtId="10" fontId="7" fillId="20" borderId="8" applyNumberFormat="0" applyBorder="0" applyAlignment="0" applyProtection="0"/>
    <xf numFmtId="10" fontId="7" fillId="20" borderId="8" applyNumberFormat="0" applyBorder="0" applyAlignment="0" applyProtection="0"/>
    <xf numFmtId="10" fontId="7" fillId="20" borderId="8" applyNumberFormat="0" applyBorder="0" applyAlignment="0" applyProtection="0"/>
    <xf numFmtId="0" fontId="55" fillId="7" borderId="1" applyNumberFormat="0" applyAlignment="0" applyProtection="0"/>
    <xf numFmtId="41" fontId="5" fillId="23" borderId="9">
      <alignment horizontal="left"/>
      <protection locked="0"/>
    </xf>
    <xf numFmtId="10" fontId="5" fillId="23" borderId="9">
      <alignment horizontal="right"/>
      <protection locked="0"/>
    </xf>
    <xf numFmtId="41" fontId="5" fillId="23" borderId="9">
      <alignment horizontal="left"/>
      <protection locked="0"/>
    </xf>
    <xf numFmtId="0" fontId="7" fillId="21" borderId="0">
      <alignment/>
      <protection/>
    </xf>
    <xf numFmtId="3" fontId="40" fillId="0" borderId="0" applyFill="0" applyBorder="0" applyAlignment="0" applyProtection="0"/>
    <xf numFmtId="0" fontId="56" fillId="0" borderId="10" applyNumberFormat="0" applyFill="0" applyAlignment="0" applyProtection="0"/>
    <xf numFmtId="0" fontId="56" fillId="0" borderId="10" applyNumberFormat="0" applyFill="0" applyAlignment="0" applyProtection="0"/>
    <xf numFmtId="44" fontId="3" fillId="0" borderId="11" applyNumberFormat="0" applyFont="0" applyAlignment="0">
      <protection/>
    </xf>
    <xf numFmtId="44" fontId="3" fillId="0" borderId="11" applyNumberFormat="0" applyFont="0" applyAlignment="0">
      <protection/>
    </xf>
    <xf numFmtId="44" fontId="3" fillId="0" borderId="11" applyNumberFormat="0" applyFont="0" applyAlignment="0">
      <protection/>
    </xf>
    <xf numFmtId="44" fontId="3" fillId="0" borderId="11" applyNumberFormat="0" applyFont="0" applyAlignment="0">
      <protection/>
    </xf>
    <xf numFmtId="44" fontId="3" fillId="0" borderId="11" applyNumberFormat="0" applyFont="0" applyAlignment="0">
      <protection/>
    </xf>
    <xf numFmtId="44" fontId="3" fillId="0" borderId="12" applyNumberFormat="0" applyFont="0" applyAlignment="0">
      <protection/>
    </xf>
    <xf numFmtId="44" fontId="3" fillId="0" borderId="12" applyNumberFormat="0" applyFont="0" applyAlignment="0">
      <protection/>
    </xf>
    <xf numFmtId="44" fontId="3" fillId="0" borderId="12" applyNumberFormat="0" applyFont="0" applyAlignment="0">
      <protection/>
    </xf>
    <xf numFmtId="44" fontId="3" fillId="0" borderId="12" applyNumberFormat="0" applyFont="0" applyAlignment="0">
      <protection/>
    </xf>
    <xf numFmtId="44" fontId="3" fillId="0" borderId="12" applyNumberFormat="0" applyFont="0" applyAlignment="0">
      <protection/>
    </xf>
    <xf numFmtId="0" fontId="57" fillId="23" borderId="0" applyNumberFormat="0" applyBorder="0" applyAlignment="0" applyProtection="0"/>
    <xf numFmtId="0" fontId="57" fillId="23" borderId="0" applyNumberFormat="0" applyBorder="0" applyAlignment="0" applyProtection="0"/>
    <xf numFmtId="37" fontId="31" fillId="0" borderId="0">
      <alignment/>
      <protection/>
    </xf>
    <xf numFmtId="177" fontId="0" fillId="0" borderId="0">
      <alignment/>
      <protection/>
    </xf>
    <xf numFmtId="197" fontId="0" fillId="0" borderId="0">
      <alignment/>
      <protection/>
    </xf>
    <xf numFmtId="197" fontId="0" fillId="0" borderId="0">
      <alignment/>
      <protection/>
    </xf>
    <xf numFmtId="197" fontId="0" fillId="0" borderId="0">
      <alignment/>
      <protection/>
    </xf>
    <xf numFmtId="0" fontId="0" fillId="0" borderId="0">
      <alignment/>
      <protection/>
    </xf>
    <xf numFmtId="198" fontId="67" fillId="0" borderId="0">
      <alignment/>
      <protection/>
    </xf>
    <xf numFmtId="37" fontId="0"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78" fontId="0" fillId="0" borderId="0">
      <alignment horizontal="left" wrapText="1"/>
      <protection/>
    </xf>
    <xf numFmtId="0" fontId="0" fillId="0" borderId="0">
      <alignment/>
      <protection/>
    </xf>
    <xf numFmtId="197" fontId="16" fillId="0" borderId="0">
      <alignment horizontal="left" wrapText="1"/>
      <protection/>
    </xf>
    <xf numFmtId="197" fontId="16" fillId="0" borderId="0">
      <alignment horizontal="left" wrapText="1"/>
      <protection/>
    </xf>
    <xf numFmtId="197" fontId="16" fillId="0" borderId="0">
      <alignment horizontal="left" wrapText="1"/>
      <protection/>
    </xf>
    <xf numFmtId="197" fontId="16" fillId="0" borderId="0">
      <alignment horizontal="left" wrapText="1"/>
      <protection/>
    </xf>
    <xf numFmtId="197" fontId="16" fillId="0" borderId="0">
      <alignment horizontal="left" wrapText="1"/>
      <protection/>
    </xf>
    <xf numFmtId="197" fontId="16" fillId="0" borderId="0">
      <alignment horizontal="left" wrapText="1"/>
      <protection/>
    </xf>
    <xf numFmtId="197" fontId="16"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6" fontId="0" fillId="0" borderId="0">
      <alignment horizontal="left" wrapText="1"/>
      <protection/>
    </xf>
    <xf numFmtId="184" fontId="16" fillId="0" borderId="0">
      <alignment horizontal="left" wrapText="1"/>
      <protection/>
    </xf>
    <xf numFmtId="0" fontId="48" fillId="0" borderId="0">
      <alignment/>
      <protection/>
    </xf>
    <xf numFmtId="0" fontId="0" fillId="0" borderId="0">
      <alignment/>
      <protection/>
    </xf>
    <xf numFmtId="0" fontId="48" fillId="0" borderId="0">
      <alignment/>
      <protection/>
    </xf>
    <xf numFmtId="167" fontId="0" fillId="0" borderId="0">
      <alignment horizontal="left" wrapText="1"/>
      <protection/>
    </xf>
    <xf numFmtId="0" fontId="0" fillId="0" borderId="0">
      <alignment/>
      <protection/>
    </xf>
    <xf numFmtId="0" fontId="0" fillId="0" borderId="0">
      <alignment/>
      <protection/>
    </xf>
    <xf numFmtId="188" fontId="16" fillId="0" borderId="0">
      <alignment horizontal="left" wrapText="1"/>
      <protection/>
    </xf>
    <xf numFmtId="169" fontId="0" fillId="0" borderId="0">
      <alignment horizontal="left" wrapText="1"/>
      <protection/>
    </xf>
    <xf numFmtId="167" fontId="0" fillId="0" borderId="0">
      <alignment horizontal="left" wrapText="1"/>
      <protection/>
    </xf>
    <xf numFmtId="0" fontId="0" fillId="0" borderId="0">
      <alignment/>
      <protection/>
    </xf>
    <xf numFmtId="0" fontId="0" fillId="0" borderId="0">
      <alignment/>
      <protection/>
    </xf>
    <xf numFmtId="0" fontId="0" fillId="0" borderId="0">
      <alignment/>
      <protection/>
    </xf>
    <xf numFmtId="188" fontId="16" fillId="0" borderId="0">
      <alignment horizontal="left" wrapText="1"/>
      <protection/>
    </xf>
    <xf numFmtId="188" fontId="16" fillId="0" borderId="0">
      <alignment horizontal="left" wrapText="1"/>
      <protection/>
    </xf>
    <xf numFmtId="178" fontId="0" fillId="0" borderId="0">
      <alignment horizontal="left" wrapText="1"/>
      <protection/>
    </xf>
    <xf numFmtId="188" fontId="16" fillId="0" borderId="0">
      <alignment horizontal="left" wrapText="1"/>
      <protection/>
    </xf>
    <xf numFmtId="188" fontId="16" fillId="0" borderId="0">
      <alignment horizontal="left" wrapText="1"/>
      <protection/>
    </xf>
    <xf numFmtId="178" fontId="0" fillId="0" borderId="0">
      <alignment horizontal="left" wrapText="1"/>
      <protection/>
    </xf>
    <xf numFmtId="0" fontId="16" fillId="0" borderId="0">
      <alignment horizontal="left" wrapText="1"/>
      <protection/>
    </xf>
    <xf numFmtId="0" fontId="0" fillId="0" borderId="0">
      <alignment/>
      <protection/>
    </xf>
    <xf numFmtId="178" fontId="0" fillId="0" borderId="0">
      <alignment horizontal="left" wrapText="1"/>
      <protection/>
    </xf>
    <xf numFmtId="178" fontId="16" fillId="0" borderId="0">
      <alignment horizontal="left" wrapText="1"/>
      <protection/>
    </xf>
    <xf numFmtId="0" fontId="0" fillId="0" borderId="0">
      <alignment/>
      <protection/>
    </xf>
    <xf numFmtId="178" fontId="16" fillId="0" borderId="0">
      <alignment horizontal="left" wrapText="1"/>
      <protection/>
    </xf>
    <xf numFmtId="0" fontId="0" fillId="0" borderId="0">
      <alignment/>
      <protection/>
    </xf>
    <xf numFmtId="0" fontId="0" fillId="0" borderId="0">
      <alignment/>
      <protection/>
    </xf>
    <xf numFmtId="178" fontId="0" fillId="0" borderId="0">
      <alignment horizontal="left" wrapText="1"/>
      <protection/>
    </xf>
    <xf numFmtId="0" fontId="0" fillId="0" borderId="0">
      <alignment horizontal="left" wrapText="1"/>
      <protection/>
    </xf>
    <xf numFmtId="179" fontId="0" fillId="0" borderId="0">
      <alignment horizontal="left" wrapText="1"/>
      <protection/>
    </xf>
    <xf numFmtId="0" fontId="0" fillId="0" borderId="0">
      <alignment/>
      <protection/>
    </xf>
    <xf numFmtId="0" fontId="0" fillId="0" borderId="0">
      <alignment/>
      <protection/>
    </xf>
    <xf numFmtId="0" fontId="0" fillId="0" borderId="0">
      <alignment/>
      <protection/>
    </xf>
    <xf numFmtId="178" fontId="16" fillId="0" borderId="0">
      <alignment horizontal="left" wrapText="1"/>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24" borderId="13" applyNumberFormat="0" applyFont="0" applyAlignment="0" applyProtection="0"/>
    <xf numFmtId="0" fontId="48" fillId="24" borderId="13" applyNumberFormat="0" applyFont="0" applyAlignment="0" applyProtection="0"/>
    <xf numFmtId="0" fontId="48" fillId="24" borderId="13" applyNumberFormat="0" applyFont="0" applyAlignment="0" applyProtection="0"/>
    <xf numFmtId="0" fontId="48" fillId="24" borderId="13" applyNumberFormat="0" applyFont="0" applyAlignment="0" applyProtection="0"/>
    <xf numFmtId="0" fontId="48" fillId="24" borderId="13" applyNumberFormat="0" applyFont="0" applyAlignment="0" applyProtection="0"/>
    <xf numFmtId="0" fontId="48" fillId="24" borderId="13" applyNumberFormat="0" applyFont="0" applyAlignment="0" applyProtection="0"/>
    <xf numFmtId="0" fontId="48" fillId="24" borderId="13" applyNumberFormat="0" applyFont="0" applyAlignment="0" applyProtection="0"/>
    <xf numFmtId="0" fontId="48" fillId="24" borderId="13" applyNumberFormat="0" applyFont="0" applyAlignment="0" applyProtection="0"/>
    <xf numFmtId="0" fontId="48" fillId="24" borderId="13" applyNumberFormat="0" applyFont="0" applyAlignment="0" applyProtection="0"/>
    <xf numFmtId="0" fontId="48" fillId="24" borderId="13" applyNumberFormat="0" applyFont="0" applyAlignment="0" applyProtection="0"/>
    <xf numFmtId="0" fontId="58" fillId="21" borderId="14" applyNumberFormat="0" applyAlignment="0" applyProtection="0"/>
    <xf numFmtId="0" fontId="58" fillId="21" borderId="14" applyNumberFormat="0" applyAlignment="0" applyProtection="0"/>
    <xf numFmtId="0" fontId="22" fillId="0" borderId="0">
      <alignment/>
      <protection/>
    </xf>
    <xf numFmtId="0" fontId="22" fillId="0" borderId="0">
      <alignment/>
      <protection/>
    </xf>
    <xf numFmtId="0" fontId="38" fillId="0" borderId="0">
      <alignment/>
      <protection/>
    </xf>
    <xf numFmtId="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48" fillId="0" borderId="0" applyFont="0" applyFill="0" applyBorder="0" applyAlignment="0" applyProtection="0"/>
    <xf numFmtId="41" fontId="0" fillId="25" borderId="9">
      <alignment/>
      <protection/>
    </xf>
    <xf numFmtId="0" fontId="25" fillId="0" borderId="0" applyNumberFormat="0" applyFont="0" applyFill="0" applyBorder="0" applyAlignment="0" applyProtection="0"/>
    <xf numFmtId="15" fontId="25" fillId="0" borderId="0" applyFont="0" applyFill="0" applyBorder="0" applyAlignment="0" applyProtection="0"/>
    <xf numFmtId="4" fontId="25" fillId="0" borderId="0" applyFont="0" applyFill="0" applyBorder="0" applyAlignment="0" applyProtection="0"/>
    <xf numFmtId="0" fontId="26" fillId="0" borderId="15">
      <alignment horizontal="center"/>
      <protection/>
    </xf>
    <xf numFmtId="3" fontId="25" fillId="0" borderId="0" applyFont="0" applyFill="0" applyBorder="0" applyAlignment="0" applyProtection="0"/>
    <xf numFmtId="0" fontId="25" fillId="26" borderId="0" applyNumberFormat="0" applyFont="0" applyBorder="0" applyAlignment="0" applyProtection="0"/>
    <xf numFmtId="0" fontId="38" fillId="0" borderId="0">
      <alignment/>
      <protection/>
    </xf>
    <xf numFmtId="3" fontId="41" fillId="0" borderId="0" applyFill="0" applyBorder="0" applyAlignment="0" applyProtection="0"/>
    <xf numFmtId="0" fontId="42" fillId="0" borderId="0">
      <alignment/>
      <protection/>
    </xf>
    <xf numFmtId="3" fontId="41" fillId="0" borderId="0" applyFill="0" applyBorder="0" applyAlignment="0" applyProtection="0"/>
    <xf numFmtId="42" fontId="0" fillId="20" borderId="0">
      <alignment/>
      <protection/>
    </xf>
    <xf numFmtId="42" fontId="0" fillId="20" borderId="16">
      <alignment vertical="center"/>
      <protection/>
    </xf>
    <xf numFmtId="0" fontId="3" fillId="20" borderId="17" applyNumberFormat="0">
      <alignment horizontal="center" vertical="center" wrapText="1"/>
      <protection/>
    </xf>
    <xf numFmtId="10" fontId="0" fillId="20" borderId="0">
      <alignment/>
      <protection/>
    </xf>
    <xf numFmtId="194" fontId="0" fillId="20" borderId="0">
      <alignment/>
      <protection/>
    </xf>
    <xf numFmtId="42" fontId="0" fillId="20" borderId="0">
      <alignment/>
      <protection/>
    </xf>
    <xf numFmtId="164" fontId="8" fillId="0" borderId="0" applyBorder="0" applyAlignment="0">
      <protection/>
    </xf>
    <xf numFmtId="42" fontId="0" fillId="20" borderId="18">
      <alignment horizontal="left"/>
      <protection/>
    </xf>
    <xf numFmtId="194" fontId="21" fillId="20" borderId="18">
      <alignment horizontal="left"/>
      <protection/>
    </xf>
    <xf numFmtId="164" fontId="8" fillId="0" borderId="0" applyBorder="0" applyAlignment="0">
      <protection/>
    </xf>
    <xf numFmtId="14" fontId="16" fillId="0" borderId="0" applyNumberFormat="0" applyFill="0" applyBorder="0" applyAlignment="0" applyProtection="0"/>
    <xf numFmtId="180" fontId="0" fillId="0" borderId="0" applyFont="0" applyFill="0" applyAlignment="0">
      <protection/>
    </xf>
    <xf numFmtId="4" fontId="36" fillId="23" borderId="14" applyNumberFormat="0" applyProtection="0">
      <alignment vertical="center"/>
    </xf>
    <xf numFmtId="4" fontId="69" fillId="23" borderId="14" applyNumberFormat="0" applyProtection="0">
      <alignment vertical="center"/>
    </xf>
    <xf numFmtId="4" fontId="36" fillId="23" borderId="14" applyNumberFormat="0" applyProtection="0">
      <alignment horizontal="left" vertical="center" indent="1"/>
    </xf>
    <xf numFmtId="4" fontId="36" fillId="23" borderId="14" applyNumberFormat="0" applyProtection="0">
      <alignment horizontal="left" vertical="center" indent="1"/>
    </xf>
    <xf numFmtId="0" fontId="0" fillId="27" borderId="0" applyNumberFormat="0" applyProtection="0">
      <alignment horizontal="left" vertical="center" indent="1"/>
    </xf>
    <xf numFmtId="4" fontId="36" fillId="3" borderId="14" applyNumberFormat="0" applyProtection="0">
      <alignment horizontal="right" vertical="center"/>
    </xf>
    <xf numFmtId="4" fontId="36" fillId="9" borderId="14" applyNumberFormat="0" applyProtection="0">
      <alignment horizontal="right" vertical="center"/>
    </xf>
    <xf numFmtId="4" fontId="36" fillId="17" borderId="14" applyNumberFormat="0" applyProtection="0">
      <alignment horizontal="right" vertical="center"/>
    </xf>
    <xf numFmtId="4" fontId="36" fillId="11" borderId="14" applyNumberFormat="0" applyProtection="0">
      <alignment horizontal="right" vertical="center"/>
    </xf>
    <xf numFmtId="4" fontId="36" fillId="15" borderId="14" applyNumberFormat="0" applyProtection="0">
      <alignment horizontal="right" vertical="center"/>
    </xf>
    <xf numFmtId="4" fontId="36" fillId="19" borderId="14" applyNumberFormat="0" applyProtection="0">
      <alignment horizontal="right" vertical="center"/>
    </xf>
    <xf numFmtId="4" fontId="36" fillId="18" borderId="14" applyNumberFormat="0" applyProtection="0">
      <alignment horizontal="right" vertical="center"/>
    </xf>
    <xf numFmtId="4" fontId="36" fillId="28" borderId="14" applyNumberFormat="0" applyProtection="0">
      <alignment horizontal="right" vertical="center"/>
    </xf>
    <xf numFmtId="4" fontId="36" fillId="10" borderId="14" applyNumberFormat="0" applyProtection="0">
      <alignment horizontal="right" vertical="center"/>
    </xf>
    <xf numFmtId="4" fontId="35" fillId="29" borderId="0" applyNumberFormat="0" applyProtection="0">
      <alignment horizontal="left" vertical="center" indent="1"/>
    </xf>
    <xf numFmtId="4" fontId="36" fillId="30" borderId="0" applyNumberFormat="0" applyProtection="0">
      <alignment horizontal="left" vertical="center" indent="1"/>
    </xf>
    <xf numFmtId="4" fontId="70" fillId="31" borderId="0" applyNumberFormat="0" applyProtection="0">
      <alignment horizontal="left" vertical="center" indent="1"/>
    </xf>
    <xf numFmtId="0" fontId="0" fillId="2" borderId="14" applyNumberFormat="0" applyProtection="0">
      <alignment horizontal="left" vertical="center" indent="1"/>
    </xf>
    <xf numFmtId="4" fontId="71" fillId="0" borderId="0" applyNumberFormat="0" applyProtection="0">
      <alignment horizontal="left" vertical="center" indent="1"/>
    </xf>
    <xf numFmtId="4" fontId="71" fillId="0" borderId="0" applyNumberFormat="0" applyProtection="0">
      <alignment horizontal="left" vertical="center" indent="1"/>
    </xf>
    <xf numFmtId="0" fontId="0" fillId="32" borderId="14" applyNumberFormat="0" applyProtection="0">
      <alignment horizontal="left" vertical="center" indent="1"/>
    </xf>
    <xf numFmtId="0" fontId="0" fillId="32" borderId="14" applyNumberFormat="0" applyProtection="0">
      <alignment horizontal="left" vertical="center" indent="1"/>
    </xf>
    <xf numFmtId="0" fontId="0" fillId="22" borderId="14" applyNumberFormat="0" applyProtection="0">
      <alignment horizontal="left" vertical="center" indent="1"/>
    </xf>
    <xf numFmtId="0" fontId="0" fillId="22" borderId="14" applyNumberFormat="0" applyProtection="0">
      <alignment horizontal="left" vertical="center" indent="1"/>
    </xf>
    <xf numFmtId="0" fontId="0" fillId="21" borderId="14" applyNumberFormat="0" applyProtection="0">
      <alignment horizontal="left" vertical="center" indent="1"/>
    </xf>
    <xf numFmtId="0" fontId="0" fillId="21" borderId="14" applyNumberFormat="0" applyProtection="0">
      <alignment horizontal="left" vertical="center" indent="1"/>
    </xf>
    <xf numFmtId="0" fontId="0" fillId="2" borderId="14" applyNumberFormat="0" applyProtection="0">
      <alignment horizontal="left" vertical="center" indent="1"/>
    </xf>
    <xf numFmtId="0" fontId="0" fillId="2" borderId="14" applyNumberFormat="0" applyProtection="0">
      <alignment horizontal="left" vertical="center" indent="1"/>
    </xf>
    <xf numFmtId="4" fontId="36" fillId="24" borderId="14" applyNumberFormat="0" applyProtection="0">
      <alignment vertical="center"/>
    </xf>
    <xf numFmtId="4" fontId="69" fillId="24" borderId="14" applyNumberFormat="0" applyProtection="0">
      <alignment vertical="center"/>
    </xf>
    <xf numFmtId="4" fontId="36" fillId="24" borderId="14" applyNumberFormat="0" applyProtection="0">
      <alignment horizontal="left" vertical="center" indent="1"/>
    </xf>
    <xf numFmtId="4" fontId="36" fillId="24" borderId="14" applyNumberFormat="0" applyProtection="0">
      <alignment horizontal="left" vertical="center" indent="1"/>
    </xf>
    <xf numFmtId="4" fontId="36" fillId="30" borderId="14" applyNumberFormat="0" applyProtection="0">
      <alignment horizontal="right" vertical="center"/>
    </xf>
    <xf numFmtId="4" fontId="69" fillId="30" borderId="14" applyNumberFormat="0" applyProtection="0">
      <alignment horizontal="right" vertical="center"/>
    </xf>
    <xf numFmtId="0" fontId="0" fillId="2" borderId="14" applyNumberFormat="0" applyProtection="0">
      <alignment horizontal="left" vertical="center" indent="1"/>
    </xf>
    <xf numFmtId="0" fontId="0" fillId="2" borderId="14" applyNumberFormat="0" applyProtection="0">
      <alignment horizontal="left" vertical="center" indent="1"/>
    </xf>
    <xf numFmtId="0" fontId="72" fillId="0" borderId="0" applyNumberFormat="0" applyProtection="0">
      <alignment horizontal="left" indent="5"/>
    </xf>
    <xf numFmtId="4" fontId="4" fillId="30" borderId="14" applyNumberFormat="0" applyProtection="0">
      <alignment horizontal="right" vertical="center"/>
    </xf>
    <xf numFmtId="39" fontId="0" fillId="33" borderId="0">
      <alignment/>
      <protection/>
    </xf>
    <xf numFmtId="38" fontId="7" fillId="0" borderId="19">
      <alignment/>
      <protection/>
    </xf>
    <xf numFmtId="38" fontId="7" fillId="0" borderId="19">
      <alignment/>
      <protection/>
    </xf>
    <xf numFmtId="38" fontId="7" fillId="0" borderId="19">
      <alignment/>
      <protection/>
    </xf>
    <xf numFmtId="38" fontId="7" fillId="0" borderId="19">
      <alignment/>
      <protection/>
    </xf>
    <xf numFmtId="38" fontId="7" fillId="0" borderId="19">
      <alignment/>
      <protection/>
    </xf>
    <xf numFmtId="38" fontId="8" fillId="0" borderId="18">
      <alignment/>
      <protection/>
    </xf>
    <xf numFmtId="39" fontId="16" fillId="34" borderId="0">
      <alignment/>
      <protection/>
    </xf>
    <xf numFmtId="178" fontId="0" fillId="0" borderId="0">
      <alignment horizontal="left" wrapText="1"/>
      <protection/>
    </xf>
    <xf numFmtId="182" fontId="0" fillId="0" borderId="0">
      <alignment horizontal="left" wrapText="1"/>
      <protection/>
    </xf>
    <xf numFmtId="178" fontId="0" fillId="0" borderId="0">
      <alignment horizontal="left" wrapText="1"/>
      <protection/>
    </xf>
    <xf numFmtId="184" fontId="0" fillId="0" borderId="0">
      <alignment horizontal="left" wrapText="1"/>
      <protection/>
    </xf>
    <xf numFmtId="170" fontId="0" fillId="0" borderId="0">
      <alignment horizontal="left" wrapText="1"/>
      <protection/>
    </xf>
    <xf numFmtId="178" fontId="0" fillId="0" borderId="0">
      <alignment horizontal="left" wrapText="1"/>
      <protection/>
    </xf>
    <xf numFmtId="169" fontId="0" fillId="0" borderId="0">
      <alignment horizontal="left" wrapText="1"/>
      <protection/>
    </xf>
    <xf numFmtId="184" fontId="0" fillId="0" borderId="0">
      <alignment horizontal="left" wrapText="1"/>
      <protection/>
    </xf>
    <xf numFmtId="184" fontId="0" fillId="0" borderId="0">
      <alignment horizontal="left" wrapText="1"/>
      <protection/>
    </xf>
    <xf numFmtId="184" fontId="0" fillId="0" borderId="0">
      <alignment horizontal="left" wrapText="1"/>
      <protection/>
    </xf>
    <xf numFmtId="184" fontId="0" fillId="0" borderId="0">
      <alignment horizontal="left" wrapText="1"/>
      <protection/>
    </xf>
    <xf numFmtId="170" fontId="0" fillId="0" borderId="0">
      <alignment horizontal="left" wrapText="1"/>
      <protection/>
    </xf>
    <xf numFmtId="199" fontId="0" fillId="0" borderId="0">
      <alignment horizontal="left" wrapText="1"/>
      <protection/>
    </xf>
    <xf numFmtId="40" fontId="32" fillId="0" borderId="0" applyBorder="0">
      <alignment horizontal="right"/>
      <protection/>
    </xf>
    <xf numFmtId="41" fontId="20" fillId="20" borderId="0">
      <alignment horizontal="left"/>
      <protection/>
    </xf>
    <xf numFmtId="0" fontId="59" fillId="0" borderId="0" applyNumberFormat="0" applyFill="0" applyBorder="0" applyAlignment="0" applyProtection="0"/>
    <xf numFmtId="0" fontId="59" fillId="0" borderId="0" applyNumberFormat="0" applyFill="0" applyBorder="0" applyAlignment="0" applyProtection="0"/>
    <xf numFmtId="195" fontId="43" fillId="20" borderId="0">
      <alignment horizontal="left" vertical="center"/>
      <protection/>
    </xf>
    <xf numFmtId="0" fontId="3" fillId="20" borderId="0">
      <alignment horizontal="left" wrapText="1"/>
      <protection/>
    </xf>
    <xf numFmtId="0" fontId="33" fillId="0" borderId="0">
      <alignment horizontal="left" vertical="center"/>
      <protection/>
    </xf>
    <xf numFmtId="0" fontId="24" fillId="0" borderId="20" applyNumberFormat="0" applyFont="0" applyFill="0" applyAlignment="0" applyProtection="0"/>
    <xf numFmtId="0" fontId="68" fillId="0" borderId="21" applyNumberFormat="0" applyFill="0" applyAlignment="0" applyProtection="0"/>
    <xf numFmtId="0" fontId="38" fillId="0" borderId="22">
      <alignment/>
      <protection/>
    </xf>
    <xf numFmtId="0" fontId="60" fillId="0" borderId="0" applyNumberFormat="0" applyFill="0" applyBorder="0" applyAlignment="0" applyProtection="0"/>
    <xf numFmtId="0" fontId="60" fillId="0" borderId="0" applyNumberFormat="0" applyFill="0" applyBorder="0" applyAlignment="0" applyProtection="0"/>
  </cellStyleXfs>
  <cellXfs count="1052">
    <xf numFmtId="0" fontId="0" fillId="0" borderId="0" xfId="0" applyNumberFormat="1" applyAlignment="1">
      <alignment/>
    </xf>
    <xf numFmtId="0" fontId="1" fillId="0" borderId="0" xfId="0" applyNumberFormat="1" applyFont="1" applyAlignment="1">
      <alignment horizontal="left"/>
    </xf>
    <xf numFmtId="0" fontId="3" fillId="0" borderId="0" xfId="0" applyNumberFormat="1" applyFont="1" applyAlignment="1">
      <alignment/>
    </xf>
    <xf numFmtId="0" fontId="0" fillId="0" borderId="0" xfId="0" applyNumberFormat="1" applyFill="1" applyAlignment="1">
      <alignment/>
    </xf>
    <xf numFmtId="0" fontId="0" fillId="0" borderId="0" xfId="0" applyNumberFormat="1" applyFill="1" applyAlignment="1">
      <alignment horizontal="center"/>
    </xf>
    <xf numFmtId="43" fontId="0" fillId="0" borderId="0" xfId="1187" applyFill="1" applyAlignment="1">
      <alignment/>
    </xf>
    <xf numFmtId="0" fontId="3" fillId="0" borderId="0" xfId="0" applyNumberFormat="1" applyFont="1" applyFill="1" applyBorder="1" applyAlignment="1">
      <alignment horizontal="centerContinuous"/>
    </xf>
    <xf numFmtId="0" fontId="0" fillId="0" borderId="0" xfId="0" applyNumberFormat="1" applyFill="1" applyBorder="1" applyAlignment="1">
      <alignment/>
    </xf>
    <xf numFmtId="164" fontId="0" fillId="0" borderId="0" xfId="1187" applyNumberFormat="1" applyFill="1" applyAlignment="1">
      <alignment/>
    </xf>
    <xf numFmtId="0" fontId="0" fillId="0" borderId="0" xfId="0" applyNumberFormat="1" applyFont="1" applyAlignment="1">
      <alignment/>
    </xf>
    <xf numFmtId="0" fontId="0" fillId="0" borderId="0" xfId="0" applyNumberFormat="1" applyFont="1" applyFill="1" applyAlignment="1">
      <alignment/>
    </xf>
    <xf numFmtId="167" fontId="0" fillId="0" borderId="0" xfId="1245" applyNumberFormat="1" applyFill="1" applyBorder="1" applyAlignment="1">
      <alignment/>
    </xf>
    <xf numFmtId="167" fontId="0" fillId="0" borderId="0" xfId="1245" applyNumberFormat="1" applyFont="1" applyFill="1" applyBorder="1" applyAlignment="1">
      <alignment/>
    </xf>
    <xf numFmtId="167" fontId="5" fillId="0" borderId="0" xfId="1245" applyNumberFormat="1" applyFont="1" applyFill="1" applyBorder="1" applyAlignment="1">
      <alignment/>
    </xf>
    <xf numFmtId="167" fontId="0" fillId="0" borderId="0" xfId="1245" applyNumberFormat="1" applyFont="1" applyFill="1" applyBorder="1" applyAlignment="1">
      <alignment/>
    </xf>
    <xf numFmtId="164" fontId="0" fillId="0" borderId="0" xfId="1187" applyNumberFormat="1" applyFont="1" applyFill="1" applyBorder="1" applyAlignment="1">
      <alignment/>
    </xf>
    <xf numFmtId="164" fontId="0" fillId="0" borderId="17" xfId="1187" applyNumberFormat="1" applyFont="1" applyFill="1" applyBorder="1" applyAlignment="1">
      <alignment/>
    </xf>
    <xf numFmtId="167" fontId="0" fillId="0" borderId="0" xfId="0" applyNumberFormat="1" applyFill="1" applyAlignment="1">
      <alignment/>
    </xf>
    <xf numFmtId="167" fontId="0" fillId="0" borderId="17" xfId="1245" applyNumberFormat="1" applyFill="1" applyBorder="1" applyAlignment="1">
      <alignment/>
    </xf>
    <xf numFmtId="0" fontId="3" fillId="0" borderId="0" xfId="0" applyNumberFormat="1" applyFont="1" applyFill="1" applyAlignment="1">
      <alignment/>
    </xf>
    <xf numFmtId="0" fontId="0" fillId="0" borderId="0" xfId="0" applyNumberFormat="1" applyFill="1" applyBorder="1" applyAlignment="1">
      <alignment horizontal="center"/>
    </xf>
    <xf numFmtId="43" fontId="0" fillId="0" borderId="0" xfId="1187" applyFill="1" applyBorder="1" applyAlignment="1">
      <alignment/>
    </xf>
    <xf numFmtId="43" fontId="0" fillId="0" borderId="17" xfId="1187" applyFill="1" applyBorder="1" applyAlignment="1">
      <alignment/>
    </xf>
    <xf numFmtId="0" fontId="0" fillId="0" borderId="0" xfId="1407" applyFill="1">
      <alignment/>
      <protection/>
    </xf>
    <xf numFmtId="0" fontId="0" fillId="0" borderId="0" xfId="1407" applyFont="1" applyFill="1" applyBorder="1" applyAlignment="1" quotePrefix="1">
      <alignment horizontal="left"/>
      <protection/>
    </xf>
    <xf numFmtId="164" fontId="3" fillId="0" borderId="17" xfId="1226" applyNumberFormat="1" applyFont="1" applyFill="1" applyBorder="1" applyAlignment="1" applyProtection="1">
      <alignment horizontal="centerContinuous"/>
      <protection locked="0"/>
    </xf>
    <xf numFmtId="164" fontId="3" fillId="0" borderId="0" xfId="1226" applyNumberFormat="1" applyFont="1" applyFill="1" applyBorder="1" applyAlignment="1" applyProtection="1">
      <alignment horizontal="centerContinuous"/>
      <protection locked="0"/>
    </xf>
    <xf numFmtId="164" fontId="3" fillId="0" borderId="17" xfId="1226" applyNumberFormat="1" applyFont="1" applyFill="1" applyBorder="1" applyAlignment="1" applyProtection="1">
      <alignment horizontal="center"/>
      <protection locked="0"/>
    </xf>
    <xf numFmtId="164" fontId="0" fillId="0" borderId="0" xfId="1226" applyNumberFormat="1" applyFont="1" applyFill="1" applyBorder="1" applyAlignment="1" applyProtection="1">
      <alignment/>
      <protection locked="0"/>
    </xf>
    <xf numFmtId="41" fontId="0" fillId="0" borderId="0" xfId="1276" applyNumberFormat="1" applyFont="1" applyFill="1" applyBorder="1" applyAlignment="1" applyProtection="1">
      <alignment/>
      <protection locked="0"/>
    </xf>
    <xf numFmtId="41" fontId="7" fillId="0" borderId="23" xfId="1226" applyNumberFormat="1" applyFont="1" applyFill="1" applyBorder="1" applyAlignment="1" applyProtection="1">
      <alignment horizontal="left" indent="1"/>
      <protection locked="0"/>
    </xf>
    <xf numFmtId="41" fontId="0" fillId="0" borderId="23" xfId="1226" applyNumberFormat="1" applyFont="1" applyFill="1" applyBorder="1" applyAlignment="1" applyProtection="1">
      <alignment/>
      <protection locked="0"/>
    </xf>
    <xf numFmtId="41" fontId="7" fillId="0" borderId="0" xfId="1226" applyNumberFormat="1" applyFont="1" applyFill="1" applyBorder="1" applyAlignment="1" applyProtection="1">
      <alignment horizontal="left" indent="1"/>
      <protection locked="0"/>
    </xf>
    <xf numFmtId="17" fontId="3" fillId="0" borderId="17" xfId="1226" applyNumberFormat="1" applyFont="1" applyFill="1" applyBorder="1" applyAlignment="1" applyProtection="1">
      <alignment horizontal="center"/>
      <protection locked="0"/>
    </xf>
    <xf numFmtId="178" fontId="0" fillId="0" borderId="0" xfId="0" applyFont="1" applyAlignment="1">
      <alignment horizontal="left" wrapText="1"/>
    </xf>
    <xf numFmtId="41" fontId="0" fillId="0" borderId="19" xfId="1276" applyNumberFormat="1" applyFont="1" applyFill="1" applyBorder="1" applyAlignment="1" applyProtection="1">
      <alignment/>
      <protection locked="0"/>
    </xf>
    <xf numFmtId="43" fontId="12" fillId="0" borderId="0" xfId="1187" applyFont="1" applyFill="1" applyBorder="1" applyAlignment="1">
      <alignment/>
    </xf>
    <xf numFmtId="176" fontId="4" fillId="0" borderId="0" xfId="1187" applyNumberFormat="1" applyFont="1" applyFill="1" applyBorder="1" applyAlignment="1">
      <alignment/>
    </xf>
    <xf numFmtId="0" fontId="3" fillId="0" borderId="0" xfId="0" applyNumberFormat="1" applyFont="1" applyFill="1" applyAlignment="1">
      <alignment horizontal="center"/>
    </xf>
    <xf numFmtId="0" fontId="0" fillId="0" borderId="0" xfId="0" applyNumberFormat="1" applyFont="1" applyAlignment="1">
      <alignment horizontal="center"/>
    </xf>
    <xf numFmtId="0" fontId="0" fillId="0" borderId="0" xfId="0" applyNumberFormat="1" applyFont="1" applyAlignment="1">
      <alignment horizontal="left"/>
    </xf>
    <xf numFmtId="0" fontId="0" fillId="0" borderId="0" xfId="0" applyNumberFormat="1" applyFont="1" applyFill="1" applyAlignment="1">
      <alignment horizontal="left"/>
    </xf>
    <xf numFmtId="0" fontId="0" fillId="0" borderId="0" xfId="1407" applyFill="1" applyAlignment="1">
      <alignment horizontal="center"/>
      <protection/>
    </xf>
    <xf numFmtId="0" fontId="0" fillId="0" borderId="0" xfId="1407" applyFont="1" applyFill="1" applyAlignment="1">
      <alignment horizontal="center"/>
      <protection/>
    </xf>
    <xf numFmtId="0" fontId="0" fillId="0" borderId="0" xfId="1407" applyFill="1" applyBorder="1">
      <alignment/>
      <protection/>
    </xf>
    <xf numFmtId="0" fontId="0" fillId="0" borderId="0" xfId="1407" applyFont="1" applyFill="1" applyBorder="1" applyAlignment="1">
      <alignment horizontal="left" indent="1"/>
      <protection/>
    </xf>
    <xf numFmtId="0" fontId="0" fillId="0" borderId="0" xfId="1407" applyFill="1" applyAlignment="1">
      <alignment horizontal="center" vertical="top"/>
      <protection/>
    </xf>
    <xf numFmtId="0" fontId="0" fillId="0" borderId="0" xfId="1407" applyFill="1" applyAlignment="1" quotePrefix="1">
      <alignment horizontal="center"/>
      <protection/>
    </xf>
    <xf numFmtId="0" fontId="0" fillId="0" borderId="0" xfId="0" applyNumberFormat="1" applyFont="1" applyAlignment="1">
      <alignment/>
    </xf>
    <xf numFmtId="0" fontId="7" fillId="0" borderId="0" xfId="0" applyNumberFormat="1" applyFont="1" applyFill="1" applyAlignment="1">
      <alignment/>
    </xf>
    <xf numFmtId="167" fontId="0" fillId="0" borderId="0" xfId="1245" applyNumberFormat="1" applyFill="1" applyAlignment="1">
      <alignment/>
    </xf>
    <xf numFmtId="14" fontId="0" fillId="0" borderId="0" xfId="0" applyNumberFormat="1" applyFill="1" applyAlignment="1" applyProtection="1">
      <alignment horizontal="center"/>
      <protection locked="0"/>
    </xf>
    <xf numFmtId="176" fontId="12" fillId="0" borderId="0" xfId="1187" applyNumberFormat="1" applyFont="1" applyFill="1" applyBorder="1" applyAlignment="1">
      <alignment/>
    </xf>
    <xf numFmtId="184" fontId="12" fillId="0" borderId="0" xfId="1426" applyNumberFormat="1" applyFont="1" applyFill="1" applyAlignment="1">
      <alignment/>
    </xf>
    <xf numFmtId="0" fontId="0" fillId="0" borderId="0" xfId="0" applyNumberFormat="1" applyFill="1" applyAlignment="1">
      <alignment horizontal="left" indent="1"/>
    </xf>
    <xf numFmtId="171" fontId="12" fillId="0" borderId="0" xfId="1187" applyNumberFormat="1" applyFont="1" applyFill="1" applyAlignment="1">
      <alignment horizontal="center"/>
    </xf>
    <xf numFmtId="10" fontId="0" fillId="0" borderId="17" xfId="1426" applyNumberFormat="1" applyFont="1" applyFill="1" applyBorder="1" applyAlignment="1">
      <alignment/>
    </xf>
    <xf numFmtId="10" fontId="36" fillId="0" borderId="0" xfId="1426" applyNumberFormat="1" applyFont="1" applyFill="1" applyBorder="1" applyAlignment="1" applyProtection="1">
      <alignment/>
      <protection/>
    </xf>
    <xf numFmtId="10" fontId="36" fillId="0" borderId="0" xfId="1426" applyNumberFormat="1" applyFont="1" applyFill="1" applyBorder="1" applyAlignment="1">
      <alignment horizontal="right"/>
    </xf>
    <xf numFmtId="10" fontId="36" fillId="0" borderId="18" xfId="1426" applyNumberFormat="1" applyFont="1" applyFill="1" applyBorder="1" applyAlignment="1" applyProtection="1">
      <alignment/>
      <protection/>
    </xf>
    <xf numFmtId="10" fontId="4" fillId="0" borderId="0" xfId="1426" applyNumberFormat="1" applyFont="1" applyFill="1" applyBorder="1" applyAlignment="1" applyProtection="1">
      <alignment/>
      <protection/>
    </xf>
    <xf numFmtId="37" fontId="5" fillId="0" borderId="0" xfId="1187" applyNumberFormat="1" applyFont="1" applyFill="1" applyBorder="1" applyAlignment="1">
      <alignment/>
    </xf>
    <xf numFmtId="0" fontId="0" fillId="0" borderId="0" xfId="1407" applyFill="1" applyBorder="1" applyAlignment="1">
      <alignment/>
      <protection/>
    </xf>
    <xf numFmtId="0" fontId="27" fillId="0" borderId="0" xfId="0" applyNumberFormat="1" applyFont="1" applyFill="1" applyAlignment="1">
      <alignment horizontal="right"/>
    </xf>
    <xf numFmtId="0" fontId="16" fillId="0" borderId="0" xfId="0" applyNumberFormat="1" applyFont="1" applyAlignment="1">
      <alignment/>
    </xf>
    <xf numFmtId="0" fontId="27" fillId="0" borderId="0" xfId="0" applyNumberFormat="1" applyFont="1" applyFill="1" applyBorder="1" applyAlignment="1">
      <alignment horizontal="right"/>
    </xf>
    <xf numFmtId="0" fontId="0" fillId="0" borderId="0" xfId="1407" applyFill="1" applyAlignment="1">
      <alignment horizontal="right"/>
      <protection/>
    </xf>
    <xf numFmtId="164" fontId="0" fillId="0" borderId="0" xfId="1229" applyNumberFormat="1" applyFill="1" applyAlignment="1">
      <alignment/>
    </xf>
    <xf numFmtId="0" fontId="0" fillId="0" borderId="0" xfId="1407" applyFill="1" applyAlignment="1" quotePrefix="1">
      <alignment horizontal="left"/>
      <protection/>
    </xf>
    <xf numFmtId="0" fontId="3" fillId="0" borderId="17" xfId="1407" applyFont="1" applyFill="1" applyBorder="1" applyAlignment="1">
      <alignment horizontal="center"/>
      <protection/>
    </xf>
    <xf numFmtId="164" fontId="3" fillId="0" borderId="0" xfId="1229" applyNumberFormat="1" applyFont="1" applyFill="1" applyAlignment="1">
      <alignment horizontal="center"/>
    </xf>
    <xf numFmtId="0" fontId="0" fillId="0" borderId="0" xfId="1407" applyFill="1" applyAlignment="1">
      <alignment horizontal="left"/>
      <protection/>
    </xf>
    <xf numFmtId="167" fontId="0" fillId="0" borderId="0" xfId="1278" applyNumberFormat="1" applyFont="1" applyFill="1" applyAlignment="1">
      <alignment/>
    </xf>
    <xf numFmtId="0" fontId="0" fillId="0" borderId="0" xfId="1407" applyFont="1" applyFill="1" applyAlignment="1">
      <alignment horizontal="right"/>
      <protection/>
    </xf>
    <xf numFmtId="164" fontId="0" fillId="0" borderId="0" xfId="1229" applyNumberFormat="1" applyFont="1" applyFill="1" applyAlignment="1">
      <alignment/>
    </xf>
    <xf numFmtId="41" fontId="0" fillId="0" borderId="0" xfId="1407" applyNumberFormat="1" applyFill="1">
      <alignment/>
      <protection/>
    </xf>
    <xf numFmtId="164" fontId="0" fillId="0" borderId="0" xfId="1229" applyNumberFormat="1" applyFont="1" applyFill="1" applyAlignment="1">
      <alignment horizontal="right"/>
    </xf>
    <xf numFmtId="164" fontId="0" fillId="0" borderId="17" xfId="1229" applyNumberFormat="1" applyFont="1" applyFill="1" applyBorder="1" applyAlignment="1">
      <alignment horizontal="right"/>
    </xf>
    <xf numFmtId="0" fontId="0" fillId="0" borderId="0" xfId="1407" applyFont="1" applyFill="1" applyAlignment="1">
      <alignment horizontal="right"/>
      <protection/>
    </xf>
    <xf numFmtId="164" fontId="0" fillId="0" borderId="0" xfId="1229" applyNumberFormat="1" applyFont="1" applyFill="1" applyAlignment="1">
      <alignment/>
    </xf>
    <xf numFmtId="167" fontId="0" fillId="0" borderId="0" xfId="1278" applyNumberFormat="1" applyFont="1" applyFill="1" applyAlignment="1">
      <alignment horizontal="right"/>
    </xf>
    <xf numFmtId="164" fontId="0" fillId="0" borderId="0" xfId="1229" applyNumberFormat="1" applyFont="1" applyFill="1" applyAlignment="1">
      <alignment horizontal="center"/>
    </xf>
    <xf numFmtId="10" fontId="0" fillId="0" borderId="0" xfId="1407" applyNumberFormat="1" applyFont="1" applyFill="1" applyAlignment="1">
      <alignment horizontal="right"/>
      <protection/>
    </xf>
    <xf numFmtId="43" fontId="0" fillId="0" borderId="0" xfId="1407" applyNumberFormat="1" applyFont="1" applyFill="1" applyAlignment="1">
      <alignment horizontal="right"/>
      <protection/>
    </xf>
    <xf numFmtId="0" fontId="0" fillId="0" borderId="0" xfId="1407" applyFont="1" applyFill="1" applyAlignment="1">
      <alignment horizontal="center"/>
      <protection/>
    </xf>
    <xf numFmtId="174" fontId="0" fillId="0" borderId="0" xfId="1229" applyNumberFormat="1" applyFont="1" applyFill="1" applyAlignment="1">
      <alignment horizontal="center"/>
    </xf>
    <xf numFmtId="0" fontId="0" fillId="0" borderId="17" xfId="1407" applyFont="1" applyFill="1" applyBorder="1" applyAlignment="1">
      <alignment horizontal="center"/>
      <protection/>
    </xf>
    <xf numFmtId="0" fontId="0" fillId="0" borderId="0" xfId="1407" applyFont="1" applyFill="1">
      <alignment/>
      <protection/>
    </xf>
    <xf numFmtId="164" fontId="0" fillId="0" borderId="17" xfId="1229" applyNumberFormat="1" applyFont="1" applyFill="1" applyBorder="1" applyAlignment="1">
      <alignment horizontal="center"/>
    </xf>
    <xf numFmtId="0" fontId="3" fillId="0" borderId="0" xfId="1407" applyFont="1" applyFill="1" applyBorder="1">
      <alignment/>
      <protection/>
    </xf>
    <xf numFmtId="169" fontId="0" fillId="0" borderId="0" xfId="1278" applyNumberFormat="1" applyFont="1" applyFill="1" applyAlignment="1">
      <alignment/>
    </xf>
    <xf numFmtId="192" fontId="0" fillId="0" borderId="0" xfId="1224" applyNumberFormat="1" applyFont="1" applyFill="1" applyBorder="1" applyAlignment="1">
      <alignment/>
    </xf>
    <xf numFmtId="167" fontId="0" fillId="0" borderId="0" xfId="1407" applyNumberFormat="1" applyFill="1" applyBorder="1" applyAlignment="1">
      <alignment horizontal="center"/>
      <protection/>
    </xf>
    <xf numFmtId="0" fontId="0" fillId="0" borderId="0" xfId="1407" applyFill="1" applyBorder="1" applyAlignment="1">
      <alignment horizontal="center"/>
      <protection/>
    </xf>
    <xf numFmtId="167" fontId="0" fillId="0" borderId="0" xfId="1407" applyNumberFormat="1" applyFill="1">
      <alignment/>
      <protection/>
    </xf>
    <xf numFmtId="164" fontId="0" fillId="0" borderId="0" xfId="1229" applyNumberFormat="1" applyFont="1" applyFill="1" applyBorder="1" applyAlignment="1">
      <alignment/>
    </xf>
    <xf numFmtId="0" fontId="0" fillId="0" borderId="0" xfId="1407" applyFont="1" applyFill="1" applyBorder="1">
      <alignment/>
      <protection/>
    </xf>
    <xf numFmtId="42" fontId="3" fillId="0" borderId="0" xfId="1224" applyNumberFormat="1" applyFont="1" applyFill="1" applyBorder="1" applyAlignment="1">
      <alignment/>
    </xf>
    <xf numFmtId="167" fontId="3" fillId="0" borderId="0" xfId="1407" applyNumberFormat="1" applyFont="1" applyFill="1" applyBorder="1" applyAlignment="1">
      <alignment horizontal="center"/>
      <protection/>
    </xf>
    <xf numFmtId="0" fontId="0" fillId="0" borderId="0" xfId="1407" applyFont="1" applyFill="1">
      <alignment/>
      <protection/>
    </xf>
    <xf numFmtId="164" fontId="16" fillId="0" borderId="0" xfId="0" applyNumberFormat="1" applyFont="1" applyAlignment="1">
      <alignment/>
    </xf>
    <xf numFmtId="41" fontId="0" fillId="0" borderId="0" xfId="1229" applyNumberFormat="1" applyFont="1" applyFill="1" applyBorder="1" applyAlignment="1">
      <alignment/>
    </xf>
    <xf numFmtId="192" fontId="0" fillId="0" borderId="0" xfId="1224" applyNumberFormat="1" applyFont="1" applyFill="1" applyAlignment="1">
      <alignment/>
    </xf>
    <xf numFmtId="42" fontId="0" fillId="0" borderId="0" xfId="1224" applyNumberFormat="1" applyFont="1" applyFill="1" applyBorder="1" applyAlignment="1">
      <alignment/>
    </xf>
    <xf numFmtId="0" fontId="0" fillId="0" borderId="0" xfId="1407" applyFill="1" applyBorder="1" applyAlignment="1">
      <alignment vertical="top"/>
      <protection/>
    </xf>
    <xf numFmtId="164" fontId="0" fillId="0" borderId="0" xfId="1229" applyNumberFormat="1" applyFont="1" applyFill="1" applyAlignment="1">
      <alignment vertical="top"/>
    </xf>
    <xf numFmtId="169" fontId="0" fillId="0" borderId="0" xfId="1278" applyNumberFormat="1" applyFont="1" applyFill="1" applyAlignment="1">
      <alignment vertical="top"/>
    </xf>
    <xf numFmtId="0" fontId="0" fillId="0" borderId="0" xfId="1407" applyFont="1" applyFill="1" applyAlignment="1">
      <alignment vertical="top"/>
      <protection/>
    </xf>
    <xf numFmtId="41" fontId="0" fillId="0" borderId="0" xfId="1407" applyNumberFormat="1" applyFill="1" applyAlignment="1">
      <alignment vertical="top"/>
      <protection/>
    </xf>
    <xf numFmtId="0" fontId="0" fillId="0" borderId="0" xfId="1407" applyFill="1" applyAlignment="1">
      <alignment vertical="top"/>
      <protection/>
    </xf>
    <xf numFmtId="192" fontId="0" fillId="0" borderId="0" xfId="1224" applyNumberFormat="1" applyFont="1" applyFill="1" applyBorder="1" applyAlignment="1">
      <alignment vertical="center"/>
    </xf>
    <xf numFmtId="0" fontId="0" fillId="0" borderId="0" xfId="1407" applyFill="1" applyBorder="1" applyAlignment="1">
      <alignment vertical="center"/>
      <protection/>
    </xf>
    <xf numFmtId="0" fontId="0" fillId="0" borderId="0" xfId="1407" applyFont="1" applyFill="1" applyBorder="1" applyAlignment="1">
      <alignment vertical="center"/>
      <protection/>
    </xf>
    <xf numFmtId="164" fontId="0" fillId="0" borderId="0" xfId="1407" applyNumberFormat="1" applyFill="1">
      <alignment/>
      <protection/>
    </xf>
    <xf numFmtId="192" fontId="0" fillId="0" borderId="0" xfId="1224" applyNumberFormat="1" applyFont="1" applyFill="1" applyBorder="1" applyAlignment="1">
      <alignment vertical="top"/>
    </xf>
    <xf numFmtId="169" fontId="0" fillId="0" borderId="0" xfId="1278" applyNumberFormat="1" applyFont="1" applyFill="1" applyBorder="1" applyAlignment="1">
      <alignment/>
    </xf>
    <xf numFmtId="0" fontId="0" fillId="0" borderId="0" xfId="1407" applyFont="1" applyFill="1" applyBorder="1">
      <alignment/>
      <protection/>
    </xf>
    <xf numFmtId="178" fontId="0" fillId="0" borderId="0" xfId="0" applyFont="1" applyFill="1" applyAlignment="1">
      <alignment horizontal="left" wrapText="1"/>
    </xf>
    <xf numFmtId="164" fontId="0" fillId="0" borderId="17" xfId="1229" applyNumberFormat="1" applyFont="1" applyFill="1" applyBorder="1" applyAlignment="1">
      <alignment/>
    </xf>
    <xf numFmtId="169" fontId="0" fillId="0" borderId="17" xfId="1278" applyNumberFormat="1" applyFont="1" applyFill="1" applyBorder="1" applyAlignment="1">
      <alignment/>
    </xf>
    <xf numFmtId="0" fontId="0" fillId="0" borderId="17" xfId="1407" applyFont="1" applyFill="1" applyBorder="1">
      <alignment/>
      <protection/>
    </xf>
    <xf numFmtId="39" fontId="0" fillId="0" borderId="0" xfId="1407" applyNumberFormat="1" applyFill="1">
      <alignment/>
      <protection/>
    </xf>
    <xf numFmtId="169" fontId="0" fillId="0" borderId="24" xfId="1278" applyNumberFormat="1" applyFont="1" applyFill="1" applyBorder="1" applyAlignment="1">
      <alignment/>
    </xf>
    <xf numFmtId="3" fontId="0" fillId="0" borderId="0" xfId="1224" applyNumberFormat="1" applyFont="1" applyFill="1" applyBorder="1" applyAlignment="1">
      <alignment/>
    </xf>
    <xf numFmtId="165" fontId="0" fillId="0" borderId="17" xfId="1229" applyNumberFormat="1" applyFont="1" applyFill="1" applyBorder="1" applyAlignment="1">
      <alignment/>
    </xf>
    <xf numFmtId="165" fontId="0" fillId="0" borderId="0" xfId="1229" applyNumberFormat="1" applyFont="1" applyFill="1" applyBorder="1" applyAlignment="1">
      <alignment/>
    </xf>
    <xf numFmtId="191" fontId="16" fillId="0" borderId="0" xfId="0" applyNumberFormat="1" applyFont="1" applyAlignment="1">
      <alignment/>
    </xf>
    <xf numFmtId="43" fontId="0" fillId="0" borderId="0" xfId="1220" applyFont="1" applyFill="1" applyBorder="1" applyAlignment="1">
      <alignment/>
    </xf>
    <xf numFmtId="164" fontId="0" fillId="0" borderId="0" xfId="1229" applyNumberFormat="1" applyFont="1" applyFill="1" applyBorder="1" applyAlignment="1">
      <alignment/>
    </xf>
    <xf numFmtId="3" fontId="16" fillId="0" borderId="0" xfId="1224" applyNumberFormat="1" applyFont="1" applyAlignment="1">
      <alignment/>
    </xf>
    <xf numFmtId="164" fontId="0" fillId="0" borderId="0" xfId="1224" applyNumberFormat="1" applyFont="1" applyFill="1" applyBorder="1" applyAlignment="1">
      <alignment/>
    </xf>
    <xf numFmtId="168" fontId="13" fillId="0" borderId="0" xfId="0" applyNumberFormat="1" applyFont="1" applyFill="1" applyAlignment="1">
      <alignment horizontal="right"/>
    </xf>
    <xf numFmtId="0" fontId="0" fillId="0" borderId="0" xfId="1407" applyFont="1" applyFill="1" applyAlignment="1">
      <alignment horizontal="centerContinuous"/>
      <protection/>
    </xf>
    <xf numFmtId="168" fontId="13" fillId="0" borderId="0" xfId="0" applyNumberFormat="1" applyFont="1" applyFill="1" applyBorder="1" applyAlignment="1">
      <alignment horizontal="right"/>
    </xf>
    <xf numFmtId="168" fontId="0" fillId="0" borderId="0" xfId="1229" applyNumberFormat="1" applyFont="1" applyFill="1" applyAlignment="1">
      <alignment/>
    </xf>
    <xf numFmtId="43" fontId="0" fillId="0" borderId="0" xfId="1220" applyFont="1" applyFill="1" applyAlignment="1">
      <alignment/>
    </xf>
    <xf numFmtId="178" fontId="13" fillId="0" borderId="0" xfId="0" applyFont="1" applyFill="1" applyAlignment="1">
      <alignment horizontal="right"/>
    </xf>
    <xf numFmtId="178" fontId="13" fillId="0" borderId="0" xfId="0" applyFont="1" applyFill="1" applyBorder="1" applyAlignment="1">
      <alignment horizontal="right"/>
    </xf>
    <xf numFmtId="168" fontId="0" fillId="0" borderId="0" xfId="1407" applyNumberFormat="1" applyFont="1" applyFill="1">
      <alignment/>
      <protection/>
    </xf>
    <xf numFmtId="43" fontId="0" fillId="0" borderId="0" xfId="1407" applyNumberFormat="1" applyFont="1" applyFill="1">
      <alignment/>
      <protection/>
    </xf>
    <xf numFmtId="178" fontId="0" fillId="0" borderId="0" xfId="0" applyFont="1" applyFill="1" applyAlignment="1" quotePrefix="1">
      <alignment horizontal="left"/>
    </xf>
    <xf numFmtId="168" fontId="44" fillId="0" borderId="0" xfId="0" applyNumberFormat="1" applyFont="1" applyFill="1" applyAlignment="1">
      <alignment horizontal="centerContinuous"/>
    </xf>
    <xf numFmtId="178" fontId="0" fillId="0" borderId="0" xfId="0" applyFont="1" applyFill="1" applyBorder="1" applyAlignment="1">
      <alignment horizontal="centerContinuous"/>
    </xf>
    <xf numFmtId="169" fontId="0" fillId="0" borderId="0" xfId="1274" applyNumberFormat="1" applyFont="1" applyFill="1" applyAlignment="1">
      <alignment/>
    </xf>
    <xf numFmtId="178" fontId="0" fillId="0" borderId="0" xfId="0" applyFont="1" applyFill="1" applyAlignment="1">
      <alignment horizontal="left"/>
    </xf>
    <xf numFmtId="178" fontId="0" fillId="0" borderId="0" xfId="0" applyFont="1" applyFill="1" applyBorder="1" applyAlignment="1">
      <alignment horizontal="left"/>
    </xf>
    <xf numFmtId="178" fontId="0" fillId="0" borderId="0" xfId="0" applyFont="1" applyFill="1" applyAlignment="1">
      <alignment wrapText="1"/>
    </xf>
    <xf numFmtId="164" fontId="0" fillId="0" borderId="0" xfId="1224" applyNumberFormat="1" applyFont="1" applyFill="1" applyBorder="1" applyAlignment="1">
      <alignment/>
    </xf>
    <xf numFmtId="178" fontId="45" fillId="0" borderId="0" xfId="0" applyFont="1" applyFill="1" applyAlignment="1">
      <alignment horizontal="left"/>
    </xf>
    <xf numFmtId="164" fontId="0" fillId="0" borderId="0" xfId="0" applyNumberFormat="1" applyFont="1" applyFill="1" applyBorder="1" applyAlignment="1">
      <alignment horizontal="left"/>
    </xf>
    <xf numFmtId="0" fontId="46" fillId="0" borderId="0" xfId="0" applyNumberFormat="1" applyFont="1" applyFill="1" applyAlignment="1">
      <alignment horizontal="left" indent="1"/>
    </xf>
    <xf numFmtId="4" fontId="0" fillId="0" borderId="0" xfId="1407" applyNumberFormat="1" applyFill="1">
      <alignment/>
      <protection/>
    </xf>
    <xf numFmtId="0" fontId="0" fillId="0" borderId="0" xfId="0" applyNumberFormat="1" applyFont="1" applyAlignment="1">
      <alignment horizontal="center"/>
    </xf>
    <xf numFmtId="37" fontId="0" fillId="0" borderId="0" xfId="0" applyNumberFormat="1" applyFont="1" applyAlignment="1">
      <alignment/>
    </xf>
    <xf numFmtId="178" fontId="0" fillId="0" borderId="0" xfId="0" applyFont="1" applyAlignment="1">
      <alignment horizontal="left" wrapText="1"/>
    </xf>
    <xf numFmtId="0" fontId="0" fillId="0" borderId="0" xfId="0" applyNumberFormat="1" applyFont="1" applyAlignment="1">
      <alignment horizontal="left" indent="1"/>
    </xf>
    <xf numFmtId="164" fontId="0" fillId="0" borderId="0" xfId="1225" applyNumberFormat="1" applyFont="1" applyAlignment="1">
      <alignment/>
    </xf>
    <xf numFmtId="178" fontId="27" fillId="0" borderId="0" xfId="0" applyFont="1" applyFill="1" applyBorder="1" applyAlignment="1">
      <alignment horizontal="right"/>
    </xf>
    <xf numFmtId="178" fontId="47" fillId="0" borderId="0" xfId="0" applyFont="1" applyFill="1" applyBorder="1" applyAlignment="1">
      <alignment horizontal="right"/>
    </xf>
    <xf numFmtId="0" fontId="0" fillId="0" borderId="0" xfId="0" applyNumberFormat="1" applyFont="1" applyAlignment="1" quotePrefix="1">
      <alignment horizontal="left"/>
    </xf>
    <xf numFmtId="164" fontId="0" fillId="0" borderId="17" xfId="1225" applyNumberFormat="1" applyFont="1" applyFill="1" applyBorder="1" applyAlignment="1">
      <alignment/>
    </xf>
    <xf numFmtId="41" fontId="0" fillId="0" borderId="0" xfId="0" applyNumberFormat="1" applyFont="1" applyAlignment="1">
      <alignment/>
    </xf>
    <xf numFmtId="41" fontId="0" fillId="0" borderId="0" xfId="0" applyNumberFormat="1" applyFont="1" applyAlignment="1">
      <alignment horizontal="right"/>
    </xf>
    <xf numFmtId="164" fontId="0" fillId="0" borderId="0" xfId="0" applyNumberFormat="1" applyFont="1" applyAlignment="1">
      <alignment/>
    </xf>
    <xf numFmtId="10" fontId="0" fillId="0" borderId="0" xfId="1426" applyNumberFormat="1" applyFont="1" applyAlignment="1">
      <alignment horizontal="left"/>
    </xf>
    <xf numFmtId="164" fontId="0" fillId="0" borderId="17" xfId="0" applyNumberFormat="1" applyFont="1" applyBorder="1" applyAlignment="1">
      <alignment/>
    </xf>
    <xf numFmtId="1" fontId="0" fillId="0" borderId="8" xfId="0" applyNumberFormat="1" applyFont="1" applyBorder="1" applyAlignment="1">
      <alignment horizontal="center" vertical="center"/>
    </xf>
    <xf numFmtId="178" fontId="34" fillId="0" borderId="8" xfId="0" applyFont="1" applyFill="1" applyBorder="1" applyAlignment="1" applyProtection="1">
      <alignment horizontal="center" vertical="center" wrapText="1"/>
      <protection/>
    </xf>
    <xf numFmtId="15" fontId="34" fillId="0" borderId="8" xfId="0" applyNumberFormat="1" applyFont="1" applyFill="1" applyBorder="1" applyAlignment="1" applyProtection="1" quotePrefix="1">
      <alignment horizontal="center" vertical="center" wrapText="1"/>
      <protection/>
    </xf>
    <xf numFmtId="178" fontId="35" fillId="0" borderId="8" xfId="0" applyFont="1" applyFill="1" applyBorder="1" applyAlignment="1">
      <alignment horizontal="center" vertical="center" wrapText="1"/>
    </xf>
    <xf numFmtId="178" fontId="36" fillId="0" borderId="0" xfId="0" applyFont="1" applyFill="1" applyBorder="1" applyAlignment="1">
      <alignment horizontal="center" vertical="center" wrapText="1"/>
    </xf>
    <xf numFmtId="0" fontId="0" fillId="0" borderId="0" xfId="0" applyNumberFormat="1" applyFont="1" applyAlignment="1">
      <alignment horizontal="center" vertical="center"/>
    </xf>
    <xf numFmtId="0" fontId="36" fillId="0" borderId="0" xfId="0" applyNumberFormat="1" applyFont="1" applyFill="1" applyBorder="1" applyAlignment="1" applyProtection="1">
      <alignment horizontal="left"/>
      <protection/>
    </xf>
    <xf numFmtId="0" fontId="36" fillId="0" borderId="0" xfId="0" applyNumberFormat="1" applyFont="1" applyFill="1" applyBorder="1" applyAlignment="1" applyProtection="1">
      <alignment/>
      <protection/>
    </xf>
    <xf numFmtId="41" fontId="36" fillId="0" borderId="0" xfId="1225" applyNumberFormat="1" applyFont="1" applyFill="1" applyBorder="1" applyAlignment="1" applyProtection="1">
      <alignment/>
      <protection/>
    </xf>
    <xf numFmtId="41" fontId="36" fillId="0" borderId="0" xfId="1225" applyNumberFormat="1" applyFont="1" applyFill="1" applyBorder="1" applyAlignment="1" applyProtection="1">
      <alignment/>
      <protection/>
    </xf>
    <xf numFmtId="41" fontId="36" fillId="0" borderId="0" xfId="0" applyNumberFormat="1" applyFont="1" applyFill="1" applyBorder="1" applyAlignment="1">
      <alignment/>
    </xf>
    <xf numFmtId="0" fontId="36" fillId="0" borderId="0" xfId="0" applyNumberFormat="1" applyFont="1" applyFill="1" applyBorder="1" applyAlignment="1">
      <alignment/>
    </xf>
    <xf numFmtId="0" fontId="36" fillId="0" borderId="0" xfId="0" applyNumberFormat="1" applyFont="1" applyFill="1" applyBorder="1" applyAlignment="1">
      <alignment horizontal="center" vertical="center" wrapText="1"/>
    </xf>
    <xf numFmtId="41" fontId="36" fillId="0" borderId="0" xfId="1224" applyNumberFormat="1" applyFont="1" applyFill="1" applyBorder="1" applyAlignment="1" applyProtection="1">
      <alignment/>
      <protection/>
    </xf>
    <xf numFmtId="41" fontId="36" fillId="0" borderId="18" xfId="1225" applyNumberFormat="1" applyFont="1" applyFill="1" applyBorder="1" applyAlignment="1" applyProtection="1">
      <alignment/>
      <protection/>
    </xf>
    <xf numFmtId="41" fontId="36" fillId="0" borderId="18" xfId="1225" applyNumberFormat="1" applyFont="1" applyFill="1" applyBorder="1" applyAlignment="1" applyProtection="1">
      <alignment/>
      <protection/>
    </xf>
    <xf numFmtId="178" fontId="36" fillId="0" borderId="0" xfId="0" applyFont="1" applyFill="1" applyBorder="1" applyAlignment="1" applyProtection="1">
      <alignment horizontal="left"/>
      <protection/>
    </xf>
    <xf numFmtId="41" fontId="36" fillId="0" borderId="17" xfId="1225" applyNumberFormat="1" applyFont="1" applyFill="1" applyBorder="1" applyAlignment="1" applyProtection="1">
      <alignment/>
      <protection/>
    </xf>
    <xf numFmtId="41" fontId="36" fillId="0" borderId="17" xfId="1225" applyNumberFormat="1" applyFont="1" applyFill="1" applyBorder="1" applyAlignment="1" applyProtection="1">
      <alignment/>
      <protection/>
    </xf>
    <xf numFmtId="0" fontId="36" fillId="0" borderId="17" xfId="0" applyNumberFormat="1" applyFont="1" applyFill="1" applyBorder="1" applyAlignment="1">
      <alignment/>
    </xf>
    <xf numFmtId="41" fontId="0" fillId="0" borderId="0" xfId="0" applyNumberFormat="1" applyFont="1" applyFill="1" applyAlignment="1">
      <alignment/>
    </xf>
    <xf numFmtId="0" fontId="0" fillId="0" borderId="0" xfId="0" applyNumberFormat="1" applyFont="1" applyFill="1" applyAlignment="1">
      <alignment horizontal="right"/>
    </xf>
    <xf numFmtId="0" fontId="3" fillId="0" borderId="17" xfId="0" applyNumberFormat="1" applyFont="1" applyBorder="1" applyAlignment="1">
      <alignment/>
    </xf>
    <xf numFmtId="0" fontId="0" fillId="0" borderId="0" xfId="0" applyNumberFormat="1" applyFont="1" applyAlignment="1">
      <alignment horizontal="left" wrapText="1"/>
    </xf>
    <xf numFmtId="42" fontId="0" fillId="0" borderId="25" xfId="0" applyNumberFormat="1" applyFont="1" applyBorder="1" applyAlignment="1">
      <alignment horizontal="left" wrapText="1"/>
    </xf>
    <xf numFmtId="178" fontId="0" fillId="0" borderId="0" xfId="0" applyFont="1" applyFill="1" applyBorder="1" applyAlignment="1">
      <alignment horizontal="left" wrapText="1"/>
    </xf>
    <xf numFmtId="41" fontId="0" fillId="0" borderId="0" xfId="0" applyNumberFormat="1" applyFont="1" applyFill="1" applyBorder="1" applyAlignment="1">
      <alignment horizontal="left" wrapText="1"/>
    </xf>
    <xf numFmtId="41" fontId="0" fillId="0" borderId="0" xfId="1224" applyNumberFormat="1" applyFont="1" applyBorder="1" applyAlignment="1">
      <alignment/>
    </xf>
    <xf numFmtId="178" fontId="0" fillId="0" borderId="0" xfId="0" applyFont="1" applyBorder="1" applyAlignment="1">
      <alignment horizontal="left" wrapText="1"/>
    </xf>
    <xf numFmtId="41" fontId="0" fillId="0" borderId="26" xfId="0" applyNumberFormat="1" applyFont="1" applyBorder="1" applyAlignment="1">
      <alignment horizontal="left" wrapText="1"/>
    </xf>
    <xf numFmtId="41" fontId="0" fillId="0" borderId="0" xfId="1224" applyNumberFormat="1" applyFont="1" applyFill="1" applyBorder="1" applyAlignment="1">
      <alignment/>
    </xf>
    <xf numFmtId="41" fontId="0" fillId="0" borderId="27" xfId="0" applyNumberFormat="1" applyFont="1" applyBorder="1" applyAlignment="1">
      <alignment horizontal="left" wrapText="1"/>
    </xf>
    <xf numFmtId="49" fontId="0" fillId="0" borderId="0" xfId="0" applyNumberFormat="1" applyFont="1" applyAlignment="1">
      <alignment horizontal="left" wrapText="1"/>
    </xf>
    <xf numFmtId="41" fontId="0" fillId="0" borderId="26" xfId="1224" applyNumberFormat="1" applyFont="1" applyFill="1" applyBorder="1" applyAlignment="1">
      <alignment/>
    </xf>
    <xf numFmtId="178" fontId="0" fillId="0" borderId="0" xfId="0" applyNumberFormat="1" applyFont="1" applyFill="1" applyBorder="1" applyAlignment="1">
      <alignment horizontal="left" wrapText="1"/>
    </xf>
    <xf numFmtId="41" fontId="0" fillId="0" borderId="24" xfId="1224" applyNumberFormat="1" applyFont="1" applyFill="1" applyBorder="1" applyAlignment="1">
      <alignment/>
    </xf>
    <xf numFmtId="49" fontId="0" fillId="0" borderId="0" xfId="0" applyNumberFormat="1" applyFont="1" applyAlignment="1">
      <alignment/>
    </xf>
    <xf numFmtId="41" fontId="0" fillId="0" borderId="0" xfId="1225" applyNumberFormat="1" applyFont="1" applyAlignment="1">
      <alignment/>
    </xf>
    <xf numFmtId="41" fontId="0" fillId="0" borderId="0" xfId="1225" applyNumberFormat="1" applyFont="1" applyFill="1" applyAlignment="1">
      <alignment/>
    </xf>
    <xf numFmtId="42" fontId="0" fillId="0" borderId="16" xfId="1275" applyNumberFormat="1" applyFont="1" applyBorder="1" applyAlignment="1">
      <alignment/>
    </xf>
    <xf numFmtId="178" fontId="1" fillId="0" borderId="0" xfId="0" applyFont="1" applyBorder="1" applyAlignment="1">
      <alignment horizontal="left"/>
    </xf>
    <xf numFmtId="41" fontId="0" fillId="0" borderId="0" xfId="1226" applyNumberFormat="1" applyFont="1" applyFill="1" applyBorder="1" applyAlignment="1" applyProtection="1">
      <alignment/>
      <protection locked="0"/>
    </xf>
    <xf numFmtId="167" fontId="0" fillId="0" borderId="0" xfId="1276" applyNumberFormat="1" applyFont="1" applyFill="1" applyBorder="1" applyAlignment="1" applyProtection="1">
      <alignment/>
      <protection locked="0"/>
    </xf>
    <xf numFmtId="164" fontId="0" fillId="0" borderId="23" xfId="1226" applyNumberFormat="1" applyFont="1" applyFill="1" applyBorder="1" applyAlignment="1" applyProtection="1">
      <alignment/>
      <protection locked="0"/>
    </xf>
    <xf numFmtId="41" fontId="0" fillId="0" borderId="19" xfId="1226" applyNumberFormat="1" applyFont="1" applyFill="1" applyBorder="1" applyAlignment="1" applyProtection="1">
      <alignment/>
      <protection locked="0"/>
    </xf>
    <xf numFmtId="41" fontId="0" fillId="0" borderId="28" xfId="1226" applyNumberFormat="1" applyFont="1" applyFill="1" applyBorder="1" applyAlignment="1" applyProtection="1">
      <alignment/>
      <protection locked="0"/>
    </xf>
    <xf numFmtId="164" fontId="0" fillId="0" borderId="0" xfId="1226" applyNumberFormat="1" applyFont="1" applyFill="1" applyAlignment="1" applyProtection="1">
      <alignment/>
      <protection locked="0"/>
    </xf>
    <xf numFmtId="41" fontId="0" fillId="0" borderId="19" xfId="1226" applyNumberFormat="1" applyFont="1" applyFill="1" applyBorder="1" applyAlignment="1" applyProtection="1">
      <alignment horizontal="center"/>
      <protection locked="0"/>
    </xf>
    <xf numFmtId="17" fontId="0" fillId="0" borderId="18" xfId="1226" applyNumberFormat="1" applyFont="1" applyFill="1" applyBorder="1" applyAlignment="1" applyProtection="1">
      <alignment/>
      <protection locked="0"/>
    </xf>
    <xf numFmtId="17" fontId="0" fillId="0" borderId="18" xfId="1226" applyNumberFormat="1" applyFont="1" applyFill="1" applyBorder="1" applyAlignment="1" applyProtection="1">
      <alignment horizontal="center"/>
      <protection locked="0"/>
    </xf>
    <xf numFmtId="17" fontId="0" fillId="0" borderId="0" xfId="1226" applyNumberFormat="1" applyFont="1" applyFill="1" applyBorder="1" applyAlignment="1" applyProtection="1">
      <alignment/>
      <protection locked="0"/>
    </xf>
    <xf numFmtId="17" fontId="0" fillId="0" borderId="0" xfId="1226" applyNumberFormat="1" applyFont="1" applyFill="1" applyBorder="1" applyAlignment="1" applyProtection="1">
      <alignment horizontal="center"/>
      <protection locked="0"/>
    </xf>
    <xf numFmtId="190" fontId="12" fillId="0" borderId="0" xfId="1426" applyNumberFormat="1" applyFont="1" applyFill="1" applyAlignment="1">
      <alignment/>
    </xf>
    <xf numFmtId="37" fontId="0" fillId="0" borderId="0" xfId="1187" applyNumberFormat="1" applyFill="1" applyAlignment="1">
      <alignment/>
    </xf>
    <xf numFmtId="167" fontId="0" fillId="0" borderId="0" xfId="1245" applyNumberFormat="1" applyFont="1" applyFill="1" applyAlignment="1">
      <alignment/>
    </xf>
    <xf numFmtId="171" fontId="0" fillId="0" borderId="0" xfId="1187" applyNumberFormat="1" applyFill="1" applyAlignment="1">
      <alignment horizontal="center"/>
    </xf>
    <xf numFmtId="43" fontId="3" fillId="0" borderId="0" xfId="1187" applyFont="1" applyFill="1" applyAlignment="1">
      <alignment/>
    </xf>
    <xf numFmtId="167" fontId="5" fillId="0" borderId="0" xfId="1245" applyNumberFormat="1" applyFont="1" applyFill="1" applyAlignment="1">
      <alignment/>
    </xf>
    <xf numFmtId="5" fontId="0" fillId="0" borderId="0" xfId="1187" applyNumberFormat="1" applyFill="1" applyBorder="1" applyAlignment="1">
      <alignment/>
    </xf>
    <xf numFmtId="0" fontId="3" fillId="0" borderId="0" xfId="1404" applyFont="1" applyFill="1" applyAlignment="1" applyProtection="1">
      <alignment horizontal="left"/>
      <protection locked="0"/>
    </xf>
    <xf numFmtId="0" fontId="0" fillId="0" borderId="0" xfId="1404" applyFont="1" applyFill="1" applyProtection="1">
      <alignment/>
      <protection locked="0"/>
    </xf>
    <xf numFmtId="0" fontId="0" fillId="0" borderId="0" xfId="1404" applyFont="1" applyFill="1" applyAlignment="1" applyProtection="1">
      <alignment/>
      <protection locked="0"/>
    </xf>
    <xf numFmtId="0" fontId="0" fillId="0" borderId="0" xfId="1404" applyFont="1" applyFill="1" applyBorder="1" applyAlignment="1" applyProtection="1">
      <alignment/>
      <protection locked="0"/>
    </xf>
    <xf numFmtId="0" fontId="0" fillId="0" borderId="0" xfId="1404" applyFill="1" applyProtection="1">
      <alignment/>
      <protection locked="0"/>
    </xf>
    <xf numFmtId="0" fontId="0" fillId="0" borderId="0" xfId="1404" applyFill="1" applyAlignment="1" applyProtection="1">
      <alignment/>
      <protection locked="0"/>
    </xf>
    <xf numFmtId="0" fontId="17" fillId="0" borderId="17" xfId="1404" applyFont="1" applyFill="1" applyBorder="1" applyAlignment="1" applyProtection="1">
      <alignment horizontal="centerContinuous"/>
      <protection locked="0"/>
    </xf>
    <xf numFmtId="0" fontId="0" fillId="0" borderId="17" xfId="1404" applyFill="1" applyBorder="1" applyAlignment="1" applyProtection="1">
      <alignment horizontal="centerContinuous"/>
      <protection locked="0"/>
    </xf>
    <xf numFmtId="0" fontId="3" fillId="0" borderId="0" xfId="1404" applyFont="1" applyFill="1" applyBorder="1" applyAlignment="1" applyProtection="1">
      <alignment horizontal="centerContinuous"/>
      <protection locked="0"/>
    </xf>
    <xf numFmtId="0" fontId="0" fillId="0" borderId="0" xfId="1404" applyFill="1" applyBorder="1" applyAlignment="1" applyProtection="1">
      <alignment horizontal="centerContinuous"/>
      <protection locked="0"/>
    </xf>
    <xf numFmtId="0" fontId="0" fillId="0" borderId="0" xfId="1404" applyFill="1" applyBorder="1" applyAlignment="1" applyProtection="1">
      <alignment/>
      <protection locked="0"/>
    </xf>
    <xf numFmtId="0" fontId="0" fillId="0" borderId="0" xfId="1404" applyFill="1" applyAlignment="1" applyProtection="1">
      <alignment horizontal="center"/>
      <protection locked="0"/>
    </xf>
    <xf numFmtId="0" fontId="3" fillId="0" borderId="0" xfId="1404" applyFont="1" applyFill="1" applyAlignment="1" applyProtection="1">
      <alignment horizontal="center"/>
      <protection locked="0"/>
    </xf>
    <xf numFmtId="0" fontId="3" fillId="0" borderId="17" xfId="1404" applyFont="1" applyFill="1" applyBorder="1" applyAlignment="1" applyProtection="1">
      <alignment horizontal="centerContinuous"/>
      <protection locked="0"/>
    </xf>
    <xf numFmtId="0" fontId="3" fillId="0" borderId="17" xfId="1404" applyFont="1" applyFill="1" applyBorder="1" applyAlignment="1" applyProtection="1">
      <alignment horizontal="center"/>
      <protection locked="0"/>
    </xf>
    <xf numFmtId="0" fontId="3" fillId="0" borderId="17" xfId="1404" applyFont="1" applyFill="1" applyBorder="1" applyProtection="1">
      <alignment/>
      <protection locked="0"/>
    </xf>
    <xf numFmtId="0" fontId="0" fillId="0" borderId="17" xfId="1404" applyFont="1" applyFill="1" applyBorder="1" applyAlignment="1" applyProtection="1">
      <alignment/>
      <protection locked="0"/>
    </xf>
    <xf numFmtId="10" fontId="3" fillId="0" borderId="17" xfId="1404" applyNumberFormat="1" applyFont="1" applyFill="1" applyBorder="1" applyAlignment="1" applyProtection="1">
      <alignment horizontal="center"/>
      <protection locked="0"/>
    </xf>
    <xf numFmtId="0" fontId="0" fillId="0" borderId="0" xfId="1404" applyFill="1" applyBorder="1" applyAlignment="1" applyProtection="1">
      <alignment horizontal="center"/>
      <protection locked="0"/>
    </xf>
    <xf numFmtId="0" fontId="0" fillId="0" borderId="0" xfId="1404" applyFill="1" applyBorder="1" applyProtection="1">
      <alignment/>
      <protection locked="0"/>
    </xf>
    <xf numFmtId="0" fontId="19" fillId="0" borderId="0" xfId="1404" applyFont="1" applyFill="1" applyBorder="1" applyAlignment="1">
      <alignment horizontal="center"/>
      <protection/>
    </xf>
    <xf numFmtId="10" fontId="6" fillId="0" borderId="0" xfId="1404" applyNumberFormat="1" applyFont="1" applyFill="1" applyBorder="1" applyAlignment="1" applyProtection="1">
      <alignment horizontal="center"/>
      <protection locked="0"/>
    </xf>
    <xf numFmtId="0" fontId="6" fillId="0" borderId="0" xfId="1404" applyFont="1" applyFill="1" applyBorder="1" applyAlignment="1" applyProtection="1">
      <alignment horizontal="center"/>
      <protection locked="0"/>
    </xf>
    <xf numFmtId="0" fontId="0" fillId="0" borderId="19" xfId="1404" applyFill="1" applyBorder="1" applyAlignment="1" applyProtection="1">
      <alignment horizontal="center"/>
      <protection locked="0"/>
    </xf>
    <xf numFmtId="0" fontId="0" fillId="0" borderId="19" xfId="1404" applyFill="1" applyBorder="1" applyProtection="1">
      <alignment/>
      <protection locked="0"/>
    </xf>
    <xf numFmtId="0" fontId="0" fillId="0" borderId="19" xfId="1404" applyFill="1" applyBorder="1" applyAlignment="1" applyProtection="1">
      <alignment/>
      <protection locked="0"/>
    </xf>
    <xf numFmtId="0" fontId="3" fillId="0" borderId="0" xfId="1404" applyFont="1" applyFill="1" applyBorder="1" applyAlignment="1" applyProtection="1">
      <alignment/>
      <protection locked="0"/>
    </xf>
    <xf numFmtId="0" fontId="3" fillId="0" borderId="0" xfId="1404" applyFont="1" applyFill="1" applyBorder="1" applyAlignment="1" applyProtection="1">
      <alignment horizontal="center"/>
      <protection locked="0"/>
    </xf>
    <xf numFmtId="0" fontId="0" fillId="0" borderId="0" xfId="1404" applyFill="1" applyBorder="1" applyAlignment="1" applyProtection="1">
      <alignment horizontal="right"/>
      <protection locked="0"/>
    </xf>
    <xf numFmtId="0" fontId="0" fillId="0" borderId="0" xfId="1404" applyFill="1" applyBorder="1" applyAlignment="1" applyProtection="1" quotePrefix="1">
      <alignment horizontal="center"/>
      <protection locked="0"/>
    </xf>
    <xf numFmtId="0" fontId="0" fillId="0" borderId="19" xfId="1404" applyFill="1" applyBorder="1" applyAlignment="1" applyProtection="1">
      <alignment horizontal="right"/>
      <protection locked="0"/>
    </xf>
    <xf numFmtId="41" fontId="0" fillId="0" borderId="0" xfId="1404" applyNumberFormat="1" applyFill="1" applyBorder="1" applyAlignment="1" applyProtection="1">
      <alignment/>
      <protection locked="0"/>
    </xf>
    <xf numFmtId="0" fontId="0" fillId="0" borderId="29" xfId="1404" applyFill="1" applyBorder="1" applyAlignment="1" applyProtection="1">
      <alignment horizontal="center"/>
      <protection locked="0"/>
    </xf>
    <xf numFmtId="0" fontId="0" fillId="0" borderId="19" xfId="1404" applyFill="1" applyBorder="1" applyAlignment="1" applyProtection="1" quotePrefix="1">
      <alignment horizontal="center"/>
      <protection locked="0"/>
    </xf>
    <xf numFmtId="41" fontId="16" fillId="0" borderId="12" xfId="1400" applyNumberFormat="1" applyFont="1" applyFill="1" applyBorder="1" applyAlignment="1" applyProtection="1">
      <alignment/>
      <protection locked="0"/>
    </xf>
    <xf numFmtId="41" fontId="16" fillId="0" borderId="0" xfId="1400" applyNumberFormat="1" applyFont="1" applyFill="1" applyBorder="1" applyAlignment="1" applyProtection="1">
      <alignment horizontal="center"/>
      <protection locked="0"/>
    </xf>
    <xf numFmtId="41" fontId="16" fillId="0" borderId="0" xfId="1400" applyNumberFormat="1" applyFont="1" applyFill="1" applyBorder="1" applyAlignment="1" applyProtection="1">
      <alignment/>
      <protection locked="0"/>
    </xf>
    <xf numFmtId="0" fontId="0" fillId="0" borderId="0" xfId="1400" applyNumberFormat="1" applyFont="1" applyFill="1" applyBorder="1" applyAlignment="1" applyProtection="1">
      <alignment/>
      <protection locked="0"/>
    </xf>
    <xf numFmtId="10" fontId="0" fillId="0" borderId="0" xfId="1400" applyNumberFormat="1" applyFont="1" applyFill="1" applyBorder="1" applyAlignment="1" applyProtection="1">
      <alignment/>
      <protection locked="0"/>
    </xf>
    <xf numFmtId="0" fontId="0" fillId="0" borderId="0" xfId="1404" applyFont="1" applyFill="1" applyBorder="1" applyAlignment="1" applyProtection="1" quotePrefix="1">
      <alignment horizontal="center"/>
      <protection locked="0"/>
    </xf>
    <xf numFmtId="0" fontId="0" fillId="0" borderId="30" xfId="1404" applyFill="1" applyBorder="1" applyAlignment="1" applyProtection="1">
      <alignment horizontal="right"/>
      <protection locked="0"/>
    </xf>
    <xf numFmtId="41" fontId="0" fillId="0" borderId="18" xfId="1404" applyNumberFormat="1" applyFill="1" applyBorder="1" applyAlignment="1" applyProtection="1">
      <alignment/>
      <protection locked="0"/>
    </xf>
    <xf numFmtId="0" fontId="0" fillId="0" borderId="31" xfId="1404" applyFill="1" applyBorder="1" applyProtection="1">
      <alignment/>
      <protection locked="0"/>
    </xf>
    <xf numFmtId="0" fontId="0" fillId="0" borderId="32" xfId="1404" applyFill="1" applyBorder="1" applyAlignment="1" applyProtection="1">
      <alignment horizontal="right"/>
      <protection locked="0"/>
    </xf>
    <xf numFmtId="41" fontId="3" fillId="0" borderId="17" xfId="1404" applyNumberFormat="1" applyFont="1" applyFill="1" applyBorder="1" applyAlignment="1" applyProtection="1">
      <alignment horizontal="centerContinuous"/>
      <protection locked="0"/>
    </xf>
    <xf numFmtId="0" fontId="0" fillId="0" borderId="33" xfId="1404" applyFill="1" applyBorder="1" applyProtection="1">
      <alignment/>
      <protection locked="0"/>
    </xf>
    <xf numFmtId="0" fontId="3" fillId="0" borderId="34" xfId="1404" applyFont="1" applyFill="1" applyBorder="1" applyAlignment="1" applyProtection="1">
      <alignment horizontal="center"/>
      <protection locked="0"/>
    </xf>
    <xf numFmtId="0" fontId="3" fillId="0" borderId="35" xfId="1404" applyFont="1" applyFill="1" applyBorder="1" applyAlignment="1" applyProtection="1">
      <alignment horizontal="center"/>
      <protection locked="0"/>
    </xf>
    <xf numFmtId="41" fontId="21" fillId="0" borderId="0" xfId="1404" applyNumberFormat="1" applyFont="1" applyFill="1" applyBorder="1" applyAlignment="1" applyProtection="1">
      <alignment horizontal="centerContinuous"/>
      <protection locked="0"/>
    </xf>
    <xf numFmtId="0" fontId="0" fillId="0" borderId="36" xfId="1404" applyFill="1" applyBorder="1">
      <alignment/>
      <protection/>
    </xf>
    <xf numFmtId="0" fontId="3" fillId="0" borderId="0" xfId="1404" applyFont="1" applyFill="1" applyProtection="1">
      <alignment/>
      <protection locked="0"/>
    </xf>
    <xf numFmtId="41" fontId="0" fillId="0" borderId="0" xfId="1226" applyNumberFormat="1" applyFont="1" applyFill="1" applyBorder="1" applyAlignment="1" applyProtection="1">
      <alignment horizontal="right" vertical="center"/>
      <protection locked="0"/>
    </xf>
    <xf numFmtId="0" fontId="3" fillId="0" borderId="0" xfId="1404" applyFont="1" applyFill="1" applyBorder="1" applyAlignment="1" quotePrefix="1">
      <alignment horizontal="left" indent="1"/>
      <protection/>
    </xf>
    <xf numFmtId="43" fontId="0" fillId="0" borderId="0" xfId="0" applyNumberFormat="1" applyFill="1" applyAlignment="1">
      <alignment/>
    </xf>
    <xf numFmtId="10" fontId="3" fillId="0" borderId="0" xfId="1404" applyNumberFormat="1" applyFont="1" applyFill="1" applyBorder="1" applyAlignment="1" applyProtection="1">
      <alignment horizontal="center"/>
      <protection locked="0"/>
    </xf>
    <xf numFmtId="0" fontId="0" fillId="0" borderId="0" xfId="1409" applyFill="1" applyBorder="1" applyAlignment="1">
      <alignment/>
      <protection/>
    </xf>
    <xf numFmtId="0" fontId="0" fillId="0" borderId="0" xfId="1409" applyFill="1">
      <alignment/>
      <protection/>
    </xf>
    <xf numFmtId="0" fontId="27" fillId="0" borderId="0" xfId="1397" applyNumberFormat="1" applyFont="1" applyFill="1" applyAlignment="1">
      <alignment horizontal="right"/>
      <protection/>
    </xf>
    <xf numFmtId="0" fontId="0" fillId="0" borderId="0" xfId="1409" applyFill="1" applyAlignment="1">
      <alignment horizontal="center"/>
      <protection/>
    </xf>
    <xf numFmtId="0" fontId="27" fillId="0" borderId="37" xfId="1397" applyNumberFormat="1" applyFont="1" applyFill="1" applyBorder="1" applyAlignment="1">
      <alignment horizontal="right"/>
      <protection/>
    </xf>
    <xf numFmtId="0" fontId="1" fillId="0" borderId="0" xfId="1409" applyFont="1" applyFill="1" applyAlignment="1">
      <alignment horizontal="left"/>
      <protection/>
    </xf>
    <xf numFmtId="0" fontId="0" fillId="0" borderId="0" xfId="1409" applyFill="1" applyAlignment="1">
      <alignment horizontal="right"/>
      <protection/>
    </xf>
    <xf numFmtId="164" fontId="0" fillId="0" borderId="0" xfId="1229" applyNumberFormat="1" applyFont="1" applyFill="1" applyAlignment="1">
      <alignment horizontal="right"/>
    </xf>
    <xf numFmtId="0" fontId="0" fillId="0" borderId="0" xfId="1409" applyFill="1" applyAlignment="1" quotePrefix="1">
      <alignment horizontal="left"/>
      <protection/>
    </xf>
    <xf numFmtId="0" fontId="3" fillId="0" borderId="17" xfId="1409" applyFont="1" applyFill="1" applyBorder="1" applyAlignment="1">
      <alignment horizontal="center"/>
      <protection/>
    </xf>
    <xf numFmtId="0" fontId="0" fillId="0" borderId="0" xfId="1409" applyFill="1" applyAlignment="1">
      <alignment horizontal="left"/>
      <protection/>
    </xf>
    <xf numFmtId="0" fontId="0" fillId="0" borderId="0" xfId="1409" applyFont="1" applyFill="1" applyAlignment="1">
      <alignment horizontal="center"/>
      <protection/>
    </xf>
    <xf numFmtId="0" fontId="0" fillId="0" borderId="0" xfId="1409" applyFont="1" applyFill="1" applyAlignment="1">
      <alignment horizontal="right"/>
      <protection/>
    </xf>
    <xf numFmtId="10" fontId="0" fillId="0" borderId="0" xfId="1409" applyNumberFormat="1" applyFont="1" applyFill="1" applyAlignment="1">
      <alignment horizontal="right"/>
      <protection/>
    </xf>
    <xf numFmtId="43" fontId="0" fillId="0" borderId="0" xfId="1409" applyNumberFormat="1" applyFont="1" applyFill="1" applyAlignment="1">
      <alignment horizontal="right"/>
      <protection/>
    </xf>
    <xf numFmtId="0" fontId="0" fillId="0" borderId="17" xfId="1409" applyFont="1" applyFill="1" applyBorder="1" applyAlignment="1">
      <alignment horizontal="center"/>
      <protection/>
    </xf>
    <xf numFmtId="0" fontId="0" fillId="0" borderId="0" xfId="1409" applyFont="1" applyFill="1">
      <alignment/>
      <protection/>
    </xf>
    <xf numFmtId="164" fontId="0" fillId="0" borderId="17" xfId="1229" applyNumberFormat="1" applyFont="1" applyFill="1" applyBorder="1" applyAlignment="1">
      <alignment horizontal="centerContinuous"/>
    </xf>
    <xf numFmtId="164" fontId="0" fillId="0" borderId="38" xfId="1229" applyNumberFormat="1" applyFont="1" applyFill="1" applyBorder="1" applyAlignment="1">
      <alignment/>
    </xf>
    <xf numFmtId="0" fontId="16" fillId="0" borderId="0" xfId="1397" applyNumberFormat="1" applyAlignment="1">
      <alignment vertical="center"/>
      <protection/>
    </xf>
    <xf numFmtId="164" fontId="0" fillId="0" borderId="39" xfId="1229" applyNumberFormat="1" applyFont="1" applyFill="1" applyBorder="1" applyAlignment="1">
      <alignment/>
    </xf>
    <xf numFmtId="0" fontId="0" fillId="0" borderId="0" xfId="1409" applyFont="1" applyFill="1" applyBorder="1">
      <alignment/>
      <protection/>
    </xf>
    <xf numFmtId="0" fontId="0" fillId="0" borderId="0" xfId="1409" applyFill="1" applyBorder="1">
      <alignment/>
      <protection/>
    </xf>
    <xf numFmtId="0" fontId="0" fillId="0" borderId="0" xfId="1409" applyFont="1" applyFill="1" applyBorder="1" applyAlignment="1">
      <alignment horizontal="left" indent="1"/>
      <protection/>
    </xf>
    <xf numFmtId="164" fontId="0" fillId="0" borderId="40" xfId="1229" applyNumberFormat="1" applyFont="1" applyFill="1" applyBorder="1" applyAlignment="1">
      <alignment/>
    </xf>
    <xf numFmtId="164" fontId="0" fillId="0" borderId="23" xfId="1229" applyNumberFormat="1" applyFont="1" applyFill="1" applyBorder="1" applyAlignment="1">
      <alignment/>
    </xf>
    <xf numFmtId="164" fontId="0" fillId="0" borderId="0" xfId="1229" applyNumberFormat="1" applyFont="1" applyFill="1" applyBorder="1" applyAlignment="1">
      <alignment vertical="center"/>
    </xf>
    <xf numFmtId="0" fontId="0" fillId="0" borderId="0" xfId="1409" applyFill="1" applyAlignment="1">
      <alignment horizontal="center" vertical="top"/>
      <protection/>
    </xf>
    <xf numFmtId="0" fontId="0" fillId="0" borderId="0" xfId="1409" applyFill="1" applyBorder="1" applyAlignment="1">
      <alignment vertical="top"/>
      <protection/>
    </xf>
    <xf numFmtId="0" fontId="0" fillId="0" borderId="0" xfId="1409" applyFont="1" applyFill="1" applyAlignment="1">
      <alignment vertical="top"/>
      <protection/>
    </xf>
    <xf numFmtId="164" fontId="0" fillId="0" borderId="40" xfId="1229" applyNumberFormat="1" applyFont="1" applyFill="1" applyBorder="1" applyAlignment="1">
      <alignment vertical="top"/>
    </xf>
    <xf numFmtId="0" fontId="0" fillId="0" borderId="0" xfId="1409" applyFill="1" applyAlignment="1">
      <alignment vertical="top"/>
      <protection/>
    </xf>
    <xf numFmtId="0" fontId="0" fillId="0" borderId="0" xfId="1409" applyFont="1" applyFill="1" applyBorder="1" applyAlignment="1" quotePrefix="1">
      <alignment horizontal="left"/>
      <protection/>
    </xf>
    <xf numFmtId="164" fontId="0" fillId="0" borderId="0" xfId="1409" applyNumberFormat="1" applyFill="1">
      <alignment/>
      <protection/>
    </xf>
    <xf numFmtId="0" fontId="0" fillId="0" borderId="0" xfId="1409" applyFill="1" applyAlignment="1" quotePrefix="1">
      <alignment horizontal="center"/>
      <protection/>
    </xf>
    <xf numFmtId="164" fontId="0" fillId="0" borderId="41" xfId="1229" applyNumberFormat="1" applyFont="1" applyFill="1" applyBorder="1" applyAlignment="1">
      <alignment/>
    </xf>
    <xf numFmtId="178" fontId="0" fillId="0" borderId="0" xfId="1397" applyFont="1" applyFill="1">
      <alignment horizontal="left" wrapText="1"/>
      <protection/>
    </xf>
    <xf numFmtId="0" fontId="0" fillId="0" borderId="17" xfId="1409" applyFont="1" applyFill="1" applyBorder="1">
      <alignment/>
      <protection/>
    </xf>
    <xf numFmtId="39" fontId="0" fillId="0" borderId="0" xfId="1409" applyNumberFormat="1" applyFill="1">
      <alignment/>
      <protection/>
    </xf>
    <xf numFmtId="164" fontId="0" fillId="0" borderId="18" xfId="1229" applyNumberFormat="1" applyFont="1" applyFill="1" applyBorder="1" applyAlignment="1">
      <alignment/>
    </xf>
    <xf numFmtId="164" fontId="0" fillId="0" borderId="0" xfId="1221" applyNumberFormat="1" applyFont="1" applyFill="1" applyBorder="1" applyAlignment="1">
      <alignment/>
    </xf>
    <xf numFmtId="200" fontId="0" fillId="0" borderId="0" xfId="1221" applyNumberFormat="1" applyFont="1" applyFill="1" applyAlignment="1">
      <alignment horizontal="right" wrapText="1"/>
    </xf>
    <xf numFmtId="168" fontId="13" fillId="0" borderId="0" xfId="1397" applyNumberFormat="1" applyFont="1" applyFill="1" applyAlignment="1">
      <alignment horizontal="right"/>
      <protection/>
    </xf>
    <xf numFmtId="0" fontId="0" fillId="0" borderId="0" xfId="1409" applyFont="1" applyFill="1" applyAlignment="1">
      <alignment horizontal="centerContinuous"/>
      <protection/>
    </xf>
    <xf numFmtId="168" fontId="13" fillId="0" borderId="0" xfId="1397" applyNumberFormat="1" applyFont="1" applyFill="1" applyBorder="1" applyAlignment="1">
      <alignment horizontal="right"/>
      <protection/>
    </xf>
    <xf numFmtId="168" fontId="0" fillId="0" borderId="0" xfId="1229" applyNumberFormat="1" applyFont="1" applyFill="1" applyAlignment="1">
      <alignment/>
    </xf>
    <xf numFmtId="178" fontId="13" fillId="0" borderId="0" xfId="1397" applyFont="1" applyFill="1" applyAlignment="1">
      <alignment horizontal="right"/>
      <protection/>
    </xf>
    <xf numFmtId="178" fontId="13" fillId="0" borderId="0" xfId="1397" applyFont="1" applyFill="1" applyBorder="1" applyAlignment="1">
      <alignment horizontal="right"/>
      <protection/>
    </xf>
    <xf numFmtId="168" fontId="0" fillId="0" borderId="0" xfId="1409" applyNumberFormat="1" applyFont="1" applyFill="1">
      <alignment/>
      <protection/>
    </xf>
    <xf numFmtId="178" fontId="0" fillId="0" borderId="0" xfId="1397" applyFont="1" applyFill="1" applyAlignment="1" quotePrefix="1">
      <alignment horizontal="left"/>
      <protection/>
    </xf>
    <xf numFmtId="168" fontId="44" fillId="0" borderId="0" xfId="1397" applyNumberFormat="1" applyFont="1" applyFill="1" applyAlignment="1">
      <alignment horizontal="centerContinuous"/>
      <protection/>
    </xf>
    <xf numFmtId="178" fontId="0" fillId="0" borderId="0" xfId="1397" applyFont="1" applyFill="1" applyBorder="1" applyAlignment="1">
      <alignment horizontal="centerContinuous"/>
      <protection/>
    </xf>
    <xf numFmtId="169" fontId="0" fillId="0" borderId="0" xfId="1271" applyNumberFormat="1" applyFont="1" applyFill="1" applyAlignment="1">
      <alignment/>
    </xf>
    <xf numFmtId="178" fontId="0" fillId="0" borderId="0" xfId="1397" applyFont="1" applyFill="1" applyAlignment="1">
      <alignment horizontal="left"/>
      <protection/>
    </xf>
    <xf numFmtId="178" fontId="0" fillId="0" borderId="0" xfId="1397" applyFont="1" applyFill="1" applyAlignment="1">
      <alignment wrapText="1"/>
      <protection/>
    </xf>
    <xf numFmtId="178" fontId="45" fillId="0" borderId="0" xfId="1397" applyFont="1" applyFill="1" applyAlignment="1">
      <alignment horizontal="left"/>
      <protection/>
    </xf>
    <xf numFmtId="167" fontId="3" fillId="0" borderId="42" xfId="1245" applyNumberFormat="1" applyFont="1" applyFill="1" applyBorder="1" applyAlignment="1">
      <alignment vertical="center"/>
    </xf>
    <xf numFmtId="0" fontId="0" fillId="0" borderId="0" xfId="1397" applyNumberFormat="1" applyFont="1" applyAlignment="1">
      <alignment horizontal="center"/>
      <protection/>
    </xf>
    <xf numFmtId="0" fontId="1" fillId="0" borderId="0" xfId="1397" applyNumberFormat="1" applyFont="1" applyAlignment="1">
      <alignment horizontal="left"/>
      <protection/>
    </xf>
    <xf numFmtId="0" fontId="0" fillId="0" borderId="0" xfId="1397" applyNumberFormat="1" applyFont="1" applyAlignment="1">
      <alignment/>
      <protection/>
    </xf>
    <xf numFmtId="178" fontId="0" fillId="0" borderId="0" xfId="1397" applyFont="1">
      <alignment horizontal="left" wrapText="1"/>
      <protection/>
    </xf>
    <xf numFmtId="0" fontId="0" fillId="0" borderId="0" xfId="1397" applyNumberFormat="1" applyFont="1" applyAlignment="1">
      <alignment horizontal="left" indent="1"/>
      <protection/>
    </xf>
    <xf numFmtId="164" fontId="0" fillId="0" borderId="0" xfId="1221" applyNumberFormat="1" applyFont="1" applyFill="1" applyAlignment="1">
      <alignment/>
    </xf>
    <xf numFmtId="178" fontId="47" fillId="0" borderId="0" xfId="1397" applyFont="1" applyFill="1" applyBorder="1" applyAlignment="1">
      <alignment horizontal="right"/>
      <protection/>
    </xf>
    <xf numFmtId="0" fontId="0" fillId="0" borderId="0" xfId="1397" applyNumberFormat="1" applyFont="1" applyAlignment="1" quotePrefix="1">
      <alignment horizontal="left"/>
      <protection/>
    </xf>
    <xf numFmtId="41" fontId="0" fillId="0" borderId="0" xfId="1397" applyNumberFormat="1" applyFont="1" applyAlignment="1">
      <alignment/>
      <protection/>
    </xf>
    <xf numFmtId="41" fontId="0" fillId="0" borderId="0" xfId="1397" applyNumberFormat="1" applyFont="1" applyAlignment="1">
      <alignment horizontal="right"/>
      <protection/>
    </xf>
    <xf numFmtId="164" fontId="0" fillId="0" borderId="0" xfId="1397" applyNumberFormat="1" applyFont="1" applyAlignment="1">
      <alignment/>
      <protection/>
    </xf>
    <xf numFmtId="164" fontId="0" fillId="0" borderId="17" xfId="1397" applyNumberFormat="1" applyFont="1" applyBorder="1" applyAlignment="1">
      <alignment/>
      <protection/>
    </xf>
    <xf numFmtId="1" fontId="0" fillId="0" borderId="8" xfId="1397" applyNumberFormat="1" applyFont="1" applyBorder="1" applyAlignment="1">
      <alignment horizontal="center" vertical="center"/>
      <protection/>
    </xf>
    <xf numFmtId="178" fontId="34" fillId="0" borderId="8" xfId="1397" applyFont="1" applyFill="1" applyBorder="1" applyAlignment="1" applyProtection="1">
      <alignment horizontal="center" vertical="center" wrapText="1"/>
      <protection/>
    </xf>
    <xf numFmtId="15" fontId="34" fillId="0" borderId="8" xfId="1397" applyNumberFormat="1" applyFont="1" applyFill="1" applyBorder="1" applyAlignment="1" applyProtection="1" quotePrefix="1">
      <alignment horizontal="center" vertical="center" wrapText="1"/>
      <protection/>
    </xf>
    <xf numFmtId="178" fontId="35" fillId="0" borderId="8" xfId="1397" applyFont="1" applyFill="1" applyBorder="1" applyAlignment="1">
      <alignment horizontal="center" vertical="center" wrapText="1"/>
      <protection/>
    </xf>
    <xf numFmtId="178" fontId="36" fillId="0" borderId="0" xfId="1397" applyFont="1" applyFill="1" applyBorder="1" applyAlignment="1">
      <alignment horizontal="center" vertical="center" wrapText="1"/>
      <protection/>
    </xf>
    <xf numFmtId="0" fontId="0" fillId="0" borderId="0" xfId="1397" applyNumberFormat="1" applyFont="1" applyAlignment="1">
      <alignment horizontal="center" vertical="center"/>
      <protection/>
    </xf>
    <xf numFmtId="0" fontId="36" fillId="0" borderId="0" xfId="1397" applyNumberFormat="1" applyFont="1" applyFill="1" applyBorder="1" applyAlignment="1" applyProtection="1">
      <alignment horizontal="left"/>
      <protection/>
    </xf>
    <xf numFmtId="0" fontId="36" fillId="0" borderId="0" xfId="1397" applyNumberFormat="1" applyFont="1" applyFill="1" applyBorder="1" applyAlignment="1" applyProtection="1">
      <alignment/>
      <protection/>
    </xf>
    <xf numFmtId="41" fontId="36" fillId="0" borderId="0" xfId="1397" applyNumberFormat="1" applyFont="1" applyFill="1" applyBorder="1" applyAlignment="1">
      <alignment/>
      <protection/>
    </xf>
    <xf numFmtId="0" fontId="36" fillId="0" borderId="0" xfId="1397" applyNumberFormat="1" applyFont="1" applyFill="1" applyBorder="1" applyAlignment="1">
      <alignment/>
      <protection/>
    </xf>
    <xf numFmtId="0" fontId="36" fillId="0" borderId="0" xfId="1397" applyNumberFormat="1" applyFont="1" applyFill="1" applyBorder="1" applyAlignment="1">
      <alignment horizontal="center" vertical="center" wrapText="1"/>
      <protection/>
    </xf>
    <xf numFmtId="41" fontId="36" fillId="0" borderId="0" xfId="1221" applyNumberFormat="1" applyFont="1" applyFill="1" applyBorder="1" applyAlignment="1" applyProtection="1">
      <alignment/>
      <protection/>
    </xf>
    <xf numFmtId="178" fontId="36" fillId="0" borderId="0" xfId="1397" applyFont="1" applyFill="1" applyBorder="1" applyAlignment="1" applyProtection="1">
      <alignment horizontal="left"/>
      <protection/>
    </xf>
    <xf numFmtId="0" fontId="36" fillId="0" borderId="17" xfId="1397" applyNumberFormat="1" applyFont="1" applyFill="1" applyBorder="1" applyAlignment="1">
      <alignment/>
      <protection/>
    </xf>
    <xf numFmtId="41" fontId="0" fillId="0" borderId="0" xfId="1397" applyNumberFormat="1" applyFont="1" applyFill="1" applyAlignment="1">
      <alignment/>
      <protection/>
    </xf>
    <xf numFmtId="0" fontId="0" fillId="0" borderId="0" xfId="1397" applyNumberFormat="1" applyFont="1" applyFill="1" applyAlignment="1">
      <alignment/>
      <protection/>
    </xf>
    <xf numFmtId="0" fontId="0" fillId="0" borderId="0" xfId="1397" applyNumberFormat="1" applyFont="1" applyFill="1" applyAlignment="1">
      <alignment horizontal="right"/>
      <protection/>
    </xf>
    <xf numFmtId="0" fontId="3" fillId="0" borderId="0" xfId="1397" applyNumberFormat="1" applyFont="1" applyAlignment="1">
      <alignment/>
      <protection/>
    </xf>
    <xf numFmtId="0" fontId="3" fillId="0" borderId="0" xfId="1397" applyNumberFormat="1" applyFont="1" applyBorder="1" applyAlignment="1">
      <alignment/>
      <protection/>
    </xf>
    <xf numFmtId="0" fontId="0" fillId="0" borderId="0" xfId="1397" applyNumberFormat="1" applyFont="1">
      <alignment horizontal="left" wrapText="1"/>
      <protection/>
    </xf>
    <xf numFmtId="42" fontId="0" fillId="0" borderId="0" xfId="1397" applyNumberFormat="1" applyFont="1" applyBorder="1">
      <alignment horizontal="left" wrapText="1"/>
      <protection/>
    </xf>
    <xf numFmtId="41" fontId="0" fillId="0" borderId="0" xfId="1397" applyNumberFormat="1" applyFont="1" applyFill="1" applyBorder="1">
      <alignment horizontal="left" wrapText="1"/>
      <protection/>
    </xf>
    <xf numFmtId="41" fontId="0" fillId="0" borderId="0" xfId="1221" applyNumberFormat="1" applyFont="1" applyBorder="1" applyAlignment="1">
      <alignment/>
    </xf>
    <xf numFmtId="178" fontId="0" fillId="0" borderId="0" xfId="1397" applyFont="1" applyBorder="1">
      <alignment horizontal="left" wrapText="1"/>
      <protection/>
    </xf>
    <xf numFmtId="178" fontId="0" fillId="0" borderId="0" xfId="1397" applyFont="1" applyFill="1" applyBorder="1">
      <alignment horizontal="left" wrapText="1"/>
      <protection/>
    </xf>
    <xf numFmtId="41" fontId="0" fillId="0" borderId="0" xfId="1397" applyNumberFormat="1" applyFont="1" applyBorder="1">
      <alignment horizontal="left" wrapText="1"/>
      <protection/>
    </xf>
    <xf numFmtId="41" fontId="0" fillId="0" borderId="0" xfId="1221" applyNumberFormat="1" applyFont="1" applyFill="1" applyBorder="1" applyAlignment="1">
      <alignment/>
    </xf>
    <xf numFmtId="41" fontId="0" fillId="0" borderId="17" xfId="1397" applyNumberFormat="1" applyFont="1" applyBorder="1">
      <alignment horizontal="left" wrapText="1"/>
      <protection/>
    </xf>
    <xf numFmtId="49" fontId="0" fillId="0" borderId="0" xfId="1397" applyNumberFormat="1" applyFont="1">
      <alignment horizontal="left" wrapText="1"/>
      <protection/>
    </xf>
    <xf numFmtId="178" fontId="0" fillId="0" borderId="0" xfId="1397" applyNumberFormat="1" applyFont="1" applyFill="1" applyBorder="1" applyAlignment="1">
      <alignment horizontal="left" wrapText="1"/>
      <protection/>
    </xf>
    <xf numFmtId="49" fontId="0" fillId="0" borderId="0" xfId="1397" applyNumberFormat="1" applyFont="1" applyAlignment="1">
      <alignment/>
      <protection/>
    </xf>
    <xf numFmtId="0" fontId="0" fillId="0" borderId="0" xfId="1397" applyNumberFormat="1" applyFont="1" applyAlignment="1">
      <alignment horizontal="left"/>
      <protection/>
    </xf>
    <xf numFmtId="178" fontId="1" fillId="0" borderId="0" xfId="1397" applyFont="1" applyBorder="1" applyAlignment="1">
      <alignment horizontal="left"/>
      <protection/>
    </xf>
    <xf numFmtId="167" fontId="0" fillId="0" borderId="18" xfId="1245" applyNumberFormat="1" applyFont="1" applyFill="1" applyBorder="1" applyAlignment="1">
      <alignment/>
    </xf>
    <xf numFmtId="0" fontId="0" fillId="0" borderId="19" xfId="1404" applyFont="1" applyFill="1" applyBorder="1" applyAlignment="1" applyProtection="1" quotePrefix="1">
      <alignment horizontal="center"/>
      <protection locked="0"/>
    </xf>
    <xf numFmtId="41" fontId="16" fillId="0" borderId="19" xfId="1400" applyNumberFormat="1" applyFont="1" applyFill="1" applyBorder="1" applyAlignment="1" applyProtection="1">
      <alignment/>
      <protection locked="0"/>
    </xf>
    <xf numFmtId="41" fontId="0" fillId="0" borderId="0" xfId="1426" applyNumberFormat="1" applyFont="1" applyFill="1" applyBorder="1" applyAlignment="1" applyProtection="1">
      <alignment/>
      <protection locked="0"/>
    </xf>
    <xf numFmtId="3" fontId="0" fillId="0" borderId="0" xfId="1404" applyNumberFormat="1" applyFill="1" applyBorder="1" applyProtection="1">
      <alignment/>
      <protection locked="0"/>
    </xf>
    <xf numFmtId="0" fontId="0" fillId="0" borderId="0" xfId="1404" applyFill="1" applyAlignment="1" applyProtection="1">
      <alignment horizontal="left" indent="5"/>
      <protection locked="0"/>
    </xf>
    <xf numFmtId="0" fontId="0" fillId="0" borderId="43" xfId="1404" applyFont="1" applyFill="1" applyBorder="1" applyAlignment="1" applyProtection="1">
      <alignment horizontal="center"/>
      <protection locked="0"/>
    </xf>
    <xf numFmtId="14" fontId="0" fillId="0" borderId="44" xfId="1404" applyNumberFormat="1" applyFont="1" applyFill="1" applyBorder="1" applyAlignment="1" applyProtection="1">
      <alignment horizontal="center"/>
      <protection locked="0"/>
    </xf>
    <xf numFmtId="10" fontId="0" fillId="0" borderId="45" xfId="1426" applyNumberFormat="1" applyFont="1" applyFill="1" applyBorder="1" applyAlignment="1" applyProtection="1">
      <alignment horizontal="center"/>
      <protection locked="0"/>
    </xf>
    <xf numFmtId="0" fontId="0" fillId="0" borderId="46" xfId="1404" applyFont="1" applyFill="1" applyBorder="1" applyAlignment="1" applyProtection="1">
      <alignment horizontal="center"/>
      <protection locked="0"/>
    </xf>
    <xf numFmtId="14" fontId="0" fillId="0" borderId="15" xfId="1404" applyNumberFormat="1" applyFont="1" applyFill="1" applyBorder="1" applyAlignment="1" applyProtection="1">
      <alignment horizontal="center"/>
      <protection locked="0"/>
    </xf>
    <xf numFmtId="10" fontId="0" fillId="0" borderId="47" xfId="1426" applyNumberFormat="1" applyFont="1" applyFill="1" applyBorder="1" applyAlignment="1" applyProtection="1">
      <alignment horizontal="center"/>
      <protection locked="0"/>
    </xf>
    <xf numFmtId="41" fontId="16" fillId="0" borderId="48" xfId="1400" applyNumberFormat="1" applyFont="1" applyFill="1" applyBorder="1" applyAlignment="1" applyProtection="1">
      <alignment/>
      <protection locked="0"/>
    </xf>
    <xf numFmtId="10" fontId="0" fillId="0" borderId="19" xfId="1400" applyNumberFormat="1" applyFont="1" applyFill="1" applyBorder="1" applyAlignment="1" applyProtection="1">
      <alignment/>
      <protection locked="0"/>
    </xf>
    <xf numFmtId="41" fontId="0" fillId="0" borderId="12" xfId="1226" applyNumberFormat="1" applyFont="1" applyFill="1" applyBorder="1" applyAlignment="1" applyProtection="1">
      <alignment/>
      <protection locked="0"/>
    </xf>
    <xf numFmtId="41" fontId="0" fillId="0" borderId="23" xfId="1226" applyNumberFormat="1" applyFont="1" applyFill="1" applyBorder="1" applyAlignment="1" applyProtection="1">
      <alignment horizontal="right"/>
      <protection locked="0"/>
    </xf>
    <xf numFmtId="41" fontId="0" fillId="0" borderId="28" xfId="1226" applyNumberFormat="1" applyFont="1" applyFill="1" applyBorder="1" applyAlignment="1" applyProtection="1">
      <alignment horizontal="right"/>
      <protection locked="0"/>
    </xf>
    <xf numFmtId="5" fontId="0" fillId="0" borderId="0" xfId="1226" applyNumberFormat="1" applyFont="1" applyFill="1" applyBorder="1" applyAlignment="1" applyProtection="1">
      <alignment/>
      <protection locked="0"/>
    </xf>
    <xf numFmtId="5" fontId="0" fillId="0" borderId="23" xfId="1226" applyNumberFormat="1" applyFont="1" applyFill="1" applyBorder="1" applyAlignment="1" applyProtection="1">
      <alignment horizontal="right"/>
      <protection locked="0"/>
    </xf>
    <xf numFmtId="41" fontId="3" fillId="0" borderId="4" xfId="1404" applyNumberFormat="1" applyFont="1" applyFill="1" applyBorder="1" applyAlignment="1" applyProtection="1">
      <alignment horizontal="centerContinuous"/>
      <protection locked="0"/>
    </xf>
    <xf numFmtId="41" fontId="20" fillId="0" borderId="4" xfId="1404" applyNumberFormat="1" applyFont="1" applyFill="1" applyBorder="1" applyAlignment="1" applyProtection="1">
      <alignment horizontal="centerContinuous"/>
      <protection locked="0"/>
    </xf>
    <xf numFmtId="0" fontId="0" fillId="0" borderId="34" xfId="1404" applyFill="1" applyBorder="1" applyAlignment="1" applyProtection="1">
      <alignment horizontal="center"/>
      <protection locked="0"/>
    </xf>
    <xf numFmtId="17" fontId="0" fillId="0" borderId="17" xfId="1226" applyNumberFormat="1" applyFont="1" applyFill="1" applyBorder="1" applyAlignment="1" applyProtection="1">
      <alignment/>
      <protection locked="0"/>
    </xf>
    <xf numFmtId="17" fontId="0" fillId="0" borderId="17" xfId="1226" applyNumberFormat="1" applyFont="1" applyFill="1" applyBorder="1" applyAlignment="1" applyProtection="1">
      <alignment horizontal="center"/>
      <protection locked="0"/>
    </xf>
    <xf numFmtId="41" fontId="0" fillId="0" borderId="17" xfId="1404" applyNumberFormat="1" applyFill="1" applyBorder="1" applyAlignment="1">
      <alignment/>
      <protection/>
    </xf>
    <xf numFmtId="10" fontId="0" fillId="0" borderId="17" xfId="1426" applyNumberFormat="1" applyFont="1" applyFill="1" applyBorder="1" applyAlignment="1">
      <alignment/>
    </xf>
    <xf numFmtId="41" fontId="0" fillId="0" borderId="17" xfId="1404" applyNumberFormat="1" applyFill="1" applyBorder="1" applyAlignment="1" applyProtection="1">
      <alignment/>
      <protection/>
    </xf>
    <xf numFmtId="0" fontId="0" fillId="0" borderId="0" xfId="1410" applyFill="1">
      <alignment/>
      <protection/>
    </xf>
    <xf numFmtId="0" fontId="22" fillId="0" borderId="0" xfId="1406" applyNumberFormat="1" applyFont="1" applyFill="1" applyAlignment="1" applyProtection="1">
      <alignment/>
      <protection locked="0"/>
    </xf>
    <xf numFmtId="0" fontId="0" fillId="0" borderId="0" xfId="1406" applyNumberFormat="1" applyFont="1" applyFill="1" applyAlignment="1" applyProtection="1">
      <alignment/>
      <protection locked="0"/>
    </xf>
    <xf numFmtId="0" fontId="16" fillId="0" borderId="0" xfId="1406" applyNumberFormat="1" applyFill="1" applyAlignment="1" applyProtection="1">
      <alignment/>
      <protection locked="0"/>
    </xf>
    <xf numFmtId="0" fontId="16" fillId="0" borderId="17" xfId="1406" applyNumberFormat="1" applyFill="1" applyBorder="1" applyAlignment="1" applyProtection="1">
      <alignment horizontal="centerContinuous"/>
      <protection locked="0"/>
    </xf>
    <xf numFmtId="0" fontId="0" fillId="0" borderId="17" xfId="1406" applyNumberFormat="1" applyFont="1" applyFill="1" applyBorder="1" applyAlignment="1" applyProtection="1">
      <alignment horizontal="centerContinuous"/>
      <protection locked="0"/>
    </xf>
    <xf numFmtId="0" fontId="16" fillId="0" borderId="0" xfId="1406" applyNumberFormat="1" applyFill="1" applyBorder="1" applyAlignment="1" applyProtection="1">
      <alignment horizontal="centerContinuous"/>
      <protection locked="0"/>
    </xf>
    <xf numFmtId="0" fontId="0" fillId="0" borderId="0" xfId="1406" applyNumberFormat="1" applyFont="1" applyFill="1" applyBorder="1" applyAlignment="1" applyProtection="1">
      <alignment horizontal="centerContinuous"/>
      <protection locked="0"/>
    </xf>
    <xf numFmtId="0" fontId="16" fillId="0" borderId="17" xfId="1406" applyNumberFormat="1" applyFont="1" applyFill="1" applyBorder="1" applyAlignment="1" applyProtection="1">
      <alignment/>
      <protection locked="0"/>
    </xf>
    <xf numFmtId="0" fontId="16" fillId="0" borderId="17" xfId="1406" applyNumberFormat="1" applyFont="1" applyFill="1" applyBorder="1" applyAlignment="1" applyProtection="1">
      <alignment horizontal="centerContinuous"/>
      <protection locked="0"/>
    </xf>
    <xf numFmtId="0" fontId="3" fillId="0" borderId="17" xfId="1406" applyNumberFormat="1" applyFont="1" applyFill="1" applyBorder="1" applyAlignment="1" applyProtection="1">
      <alignment horizontal="center"/>
      <protection locked="0"/>
    </xf>
    <xf numFmtId="0" fontId="16" fillId="0" borderId="0" xfId="1406" applyNumberFormat="1" applyFill="1" applyBorder="1" applyAlignment="1">
      <alignment/>
      <protection/>
    </xf>
    <xf numFmtId="0" fontId="16" fillId="0" borderId="0" xfId="1406" applyNumberFormat="1" applyFont="1" applyFill="1" applyBorder="1" applyAlignment="1" applyProtection="1">
      <alignment horizontal="centerContinuous"/>
      <protection locked="0"/>
    </xf>
    <xf numFmtId="0" fontId="16" fillId="0" borderId="0" xfId="1406" applyNumberFormat="1" applyFill="1" applyBorder="1" applyAlignment="1" applyProtection="1">
      <alignment/>
      <protection locked="0"/>
    </xf>
    <xf numFmtId="0" fontId="0" fillId="0" borderId="0" xfId="1406" applyNumberFormat="1" applyFont="1" applyFill="1" applyBorder="1" applyAlignment="1" applyProtection="1">
      <alignment/>
      <protection locked="0"/>
    </xf>
    <xf numFmtId="0" fontId="0" fillId="0" borderId="19" xfId="1406" applyNumberFormat="1" applyFont="1" applyFill="1" applyBorder="1" applyAlignment="1" applyProtection="1">
      <alignment/>
      <protection locked="0"/>
    </xf>
    <xf numFmtId="41" fontId="16" fillId="0" borderId="0" xfId="1406" applyNumberFormat="1" applyFill="1" applyBorder="1" applyAlignment="1" applyProtection="1">
      <alignment/>
      <protection locked="0"/>
    </xf>
    <xf numFmtId="41" fontId="16" fillId="0" borderId="0" xfId="1406" applyNumberFormat="1" applyFill="1" applyBorder="1" applyAlignment="1" applyProtection="1">
      <alignment horizontal="center"/>
      <protection locked="0"/>
    </xf>
    <xf numFmtId="10" fontId="0" fillId="0" borderId="0" xfId="1406" applyNumberFormat="1" applyFont="1" applyFill="1" applyBorder="1" applyAlignment="1" applyProtection="1">
      <alignment/>
      <protection locked="0"/>
    </xf>
    <xf numFmtId="179" fontId="16" fillId="0" borderId="0" xfId="1406" applyNumberFormat="1" applyFont="1" applyFill="1" applyBorder="1" applyAlignment="1" applyProtection="1">
      <alignment horizontal="center"/>
      <protection locked="0"/>
    </xf>
    <xf numFmtId="10" fontId="7" fillId="0" borderId="0" xfId="1406" applyNumberFormat="1" applyFont="1" applyFill="1" applyBorder="1" applyAlignment="1" applyProtection="1">
      <alignment/>
      <protection locked="0"/>
    </xf>
    <xf numFmtId="41" fontId="16" fillId="0" borderId="19" xfId="1406" applyNumberFormat="1" applyFill="1" applyBorder="1" applyAlignment="1" applyProtection="1">
      <alignment/>
      <protection locked="0"/>
    </xf>
    <xf numFmtId="179" fontId="16" fillId="0" borderId="19" xfId="1406" applyNumberFormat="1" applyFont="1" applyFill="1" applyBorder="1" applyAlignment="1" applyProtection="1">
      <alignment horizontal="center"/>
      <protection locked="0"/>
    </xf>
    <xf numFmtId="10" fontId="0" fillId="0" borderId="19" xfId="1406" applyNumberFormat="1" applyFont="1" applyFill="1" applyBorder="1" applyAlignment="1" applyProtection="1">
      <alignment/>
      <protection locked="0"/>
    </xf>
    <xf numFmtId="179" fontId="7" fillId="0" borderId="0" xfId="1406" applyNumberFormat="1" applyFont="1" applyFill="1" applyBorder="1" applyAlignment="1" applyProtection="1">
      <alignment horizontal="center"/>
      <protection locked="0"/>
    </xf>
    <xf numFmtId="179" fontId="7" fillId="0" borderId="19" xfId="1406" applyNumberFormat="1" applyFont="1" applyFill="1" applyBorder="1" applyAlignment="1" applyProtection="1">
      <alignment horizontal="center"/>
      <protection locked="0"/>
    </xf>
    <xf numFmtId="179" fontId="7" fillId="0" borderId="0" xfId="1406" applyNumberFormat="1" applyFont="1" applyFill="1" applyBorder="1" applyAlignment="1" applyProtection="1">
      <alignment/>
      <protection locked="0"/>
    </xf>
    <xf numFmtId="179" fontId="7" fillId="0" borderId="19" xfId="1406" applyNumberFormat="1" applyFont="1" applyFill="1" applyBorder="1" applyAlignment="1" applyProtection="1">
      <alignment/>
      <protection locked="0"/>
    </xf>
    <xf numFmtId="41" fontId="16" fillId="0" borderId="12" xfId="1406" applyNumberFormat="1" applyFill="1" applyBorder="1" applyAlignment="1" applyProtection="1">
      <alignment/>
      <protection locked="0"/>
    </xf>
    <xf numFmtId="41" fontId="16" fillId="0" borderId="0" xfId="1406" applyNumberFormat="1" applyFill="1" applyAlignment="1" applyProtection="1">
      <alignment/>
      <protection locked="0"/>
    </xf>
    <xf numFmtId="41" fontId="16" fillId="0" borderId="19" xfId="1406" applyNumberFormat="1" applyFill="1" applyBorder="1" applyAlignment="1" applyProtection="1">
      <alignment horizontal="center"/>
      <protection locked="0"/>
    </xf>
    <xf numFmtId="41" fontId="16" fillId="0" borderId="48" xfId="1406" applyNumberFormat="1" applyFill="1" applyBorder="1" applyAlignment="1" applyProtection="1">
      <alignment/>
      <protection locked="0"/>
    </xf>
    <xf numFmtId="42" fontId="0" fillId="0" borderId="0" xfId="1406" applyNumberFormat="1" applyFont="1" applyFill="1" applyBorder="1" applyAlignment="1" applyProtection="1">
      <alignment/>
      <protection locked="0"/>
    </xf>
    <xf numFmtId="3" fontId="0" fillId="0" borderId="0" xfId="1228" applyNumberFormat="1" applyFont="1" applyFill="1" applyAlignment="1" applyProtection="1">
      <alignment/>
      <protection locked="0"/>
    </xf>
    <xf numFmtId="178" fontId="3" fillId="0" borderId="0" xfId="1406" applyFont="1" applyFill="1" applyAlignment="1">
      <alignment horizontal="left"/>
      <protection/>
    </xf>
    <xf numFmtId="0" fontId="16" fillId="0" borderId="18" xfId="1406" applyNumberFormat="1" applyFill="1" applyBorder="1" applyAlignment="1" applyProtection="1">
      <alignment/>
      <protection locked="0"/>
    </xf>
    <xf numFmtId="179" fontId="7" fillId="0" borderId="18" xfId="1406" applyNumberFormat="1" applyFont="1" applyFill="1" applyBorder="1" applyAlignment="1" applyProtection="1">
      <alignment horizontal="center"/>
      <protection locked="0"/>
    </xf>
    <xf numFmtId="41" fontId="16" fillId="0" borderId="18" xfId="1406" applyNumberFormat="1" applyFill="1" applyBorder="1" applyAlignment="1" applyProtection="1">
      <alignment/>
      <protection locked="0"/>
    </xf>
    <xf numFmtId="0" fontId="16" fillId="0" borderId="17" xfId="1406" applyNumberFormat="1" applyFill="1" applyBorder="1" applyAlignment="1" applyProtection="1">
      <alignment/>
      <protection locked="0"/>
    </xf>
    <xf numFmtId="0" fontId="9" fillId="0" borderId="32" xfId="1404" applyFont="1" applyFill="1" applyBorder="1" applyAlignment="1" applyProtection="1">
      <alignment horizontal="left" indent="1"/>
      <protection locked="0"/>
    </xf>
    <xf numFmtId="17" fontId="9" fillId="0" borderId="0" xfId="1226" applyNumberFormat="1" applyFont="1" applyFill="1" applyBorder="1" applyAlignment="1" applyProtection="1">
      <alignment/>
      <protection locked="0"/>
    </xf>
    <xf numFmtId="181" fontId="9" fillId="0" borderId="0" xfId="1226" applyNumberFormat="1" applyFont="1" applyFill="1" applyBorder="1" applyAlignment="1" applyProtection="1">
      <alignment horizontal="center"/>
      <protection locked="0"/>
    </xf>
    <xf numFmtId="0" fontId="73" fillId="0" borderId="0" xfId="1406" applyNumberFormat="1" applyFont="1" applyFill="1" applyBorder="1" applyAlignment="1" applyProtection="1">
      <alignment/>
      <protection locked="0"/>
    </xf>
    <xf numFmtId="41" fontId="9" fillId="0" borderId="0" xfId="1404" applyNumberFormat="1" applyFont="1" applyFill="1" applyBorder="1" applyAlignment="1">
      <alignment/>
      <protection/>
    </xf>
    <xf numFmtId="179" fontId="74" fillId="0" borderId="0" xfId="1406" applyNumberFormat="1" applyFont="1" applyFill="1" applyBorder="1" applyAlignment="1" applyProtection="1">
      <alignment horizontal="center"/>
      <protection locked="0"/>
    </xf>
    <xf numFmtId="41" fontId="73" fillId="0" borderId="0" xfId="1406" applyNumberFormat="1" applyFont="1" applyFill="1" applyBorder="1" applyAlignment="1" applyProtection="1">
      <alignment/>
      <protection locked="0"/>
    </xf>
    <xf numFmtId="10" fontId="74" fillId="0" borderId="0" xfId="1406" applyNumberFormat="1" applyFont="1" applyFill="1" applyBorder="1" applyAlignment="1" applyProtection="1">
      <alignment/>
      <protection locked="0"/>
    </xf>
    <xf numFmtId="37" fontId="9" fillId="0" borderId="0" xfId="1404" applyNumberFormat="1" applyFont="1" applyFill="1" applyBorder="1" applyAlignment="1">
      <alignment/>
      <protection/>
    </xf>
    <xf numFmtId="3" fontId="9" fillId="0" borderId="33" xfId="1228" applyNumberFormat="1" applyFont="1" applyFill="1" applyBorder="1" applyAlignment="1" applyProtection="1">
      <alignment/>
      <protection/>
    </xf>
    <xf numFmtId="179" fontId="7" fillId="0" borderId="17" xfId="1406" applyNumberFormat="1" applyFont="1" applyFill="1" applyBorder="1" applyAlignment="1">
      <alignment horizontal="center"/>
      <protection/>
    </xf>
    <xf numFmtId="41" fontId="16" fillId="0" borderId="17" xfId="1406" applyNumberFormat="1" applyFill="1" applyBorder="1" applyAlignment="1" applyProtection="1">
      <alignment/>
      <protection locked="0"/>
    </xf>
    <xf numFmtId="4" fontId="0" fillId="0" borderId="0" xfId="1228" applyFont="1" applyFill="1" applyAlignment="1" applyProtection="1">
      <alignment/>
      <protection locked="0"/>
    </xf>
    <xf numFmtId="0" fontId="10" fillId="0" borderId="0" xfId="1396" applyFont="1">
      <alignment/>
      <protection/>
    </xf>
    <xf numFmtId="0" fontId="2" fillId="0" borderId="0" xfId="1396" applyFont="1" applyBorder="1" applyAlignment="1">
      <alignment horizontal="center"/>
      <protection/>
    </xf>
    <xf numFmtId="0" fontId="2" fillId="0" borderId="0" xfId="1396" applyFont="1" applyAlignment="1">
      <alignment horizontal="center"/>
      <protection/>
    </xf>
    <xf numFmtId="0" fontId="10" fillId="0" borderId="0" xfId="1396" applyFont="1" applyBorder="1">
      <alignment/>
      <protection/>
    </xf>
    <xf numFmtId="14" fontId="10" fillId="0" borderId="0" xfId="1396" applyNumberFormat="1" applyFont="1" applyAlignment="1">
      <alignment horizontal="left"/>
      <protection/>
    </xf>
    <xf numFmtId="0" fontId="75" fillId="0" borderId="49" xfId="1396" applyFont="1" applyFill="1" applyBorder="1" applyAlignment="1">
      <alignment horizontal="centerContinuous"/>
      <protection/>
    </xf>
    <xf numFmtId="0" fontId="10" fillId="0" borderId="3" xfId="1396" applyFont="1" applyFill="1" applyBorder="1" applyAlignment="1">
      <alignment horizontal="centerContinuous"/>
      <protection/>
    </xf>
    <xf numFmtId="0" fontId="10" fillId="0" borderId="50" xfId="1396" applyFont="1" applyFill="1" applyBorder="1" applyAlignment="1">
      <alignment horizontal="centerContinuous"/>
      <protection/>
    </xf>
    <xf numFmtId="0" fontId="10" fillId="0" borderId="0" xfId="1396" applyFont="1" applyFill="1">
      <alignment/>
      <protection/>
    </xf>
    <xf numFmtId="0" fontId="2" fillId="0" borderId="0" xfId="1396" applyFont="1" applyFill="1" applyAlignment="1">
      <alignment horizontal="center"/>
      <protection/>
    </xf>
    <xf numFmtId="0" fontId="10" fillId="0" borderId="0" xfId="1396" applyFont="1" applyFill="1" applyAlignment="1">
      <alignment horizontal="center"/>
      <protection/>
    </xf>
    <xf numFmtId="164" fontId="10" fillId="0" borderId="0" xfId="1396" applyNumberFormat="1" applyFont="1" applyFill="1">
      <alignment/>
      <protection/>
    </xf>
    <xf numFmtId="9" fontId="10" fillId="0" borderId="0" xfId="1428" applyFont="1" applyFill="1" applyAlignment="1">
      <alignment/>
    </xf>
    <xf numFmtId="164" fontId="10" fillId="0" borderId="0" xfId="1428" applyNumberFormat="1" applyFont="1" applyFill="1" applyAlignment="1">
      <alignment/>
    </xf>
    <xf numFmtId="0" fontId="10" fillId="0" borderId="17" xfId="1396" applyFont="1" applyFill="1" applyBorder="1" applyAlignment="1">
      <alignment horizontal="center"/>
      <protection/>
    </xf>
    <xf numFmtId="0" fontId="76" fillId="0" borderId="0" xfId="1396" applyFont="1" applyFill="1">
      <alignment/>
      <protection/>
    </xf>
    <xf numFmtId="0" fontId="2" fillId="0" borderId="0" xfId="1396" applyFont="1" applyFill="1">
      <alignment/>
      <protection/>
    </xf>
    <xf numFmtId="43" fontId="10" fillId="0" borderId="0" xfId="1199" applyFont="1" applyFill="1" applyAlignment="1" quotePrefix="1">
      <alignment/>
    </xf>
    <xf numFmtId="42" fontId="10" fillId="0" borderId="0" xfId="1396" applyNumberFormat="1" applyFont="1" applyFill="1" applyBorder="1">
      <alignment/>
      <protection/>
    </xf>
    <xf numFmtId="42" fontId="10" fillId="0" borderId="0" xfId="1396" applyNumberFormat="1" applyFont="1" applyFill="1">
      <alignment/>
      <protection/>
    </xf>
    <xf numFmtId="9" fontId="10" fillId="0" borderId="0" xfId="1428" applyFont="1" applyFill="1" applyAlignment="1" quotePrefix="1">
      <alignment/>
    </xf>
    <xf numFmtId="43" fontId="10" fillId="0" borderId="0" xfId="1199" applyFont="1" applyFill="1" applyAlignment="1">
      <alignment/>
    </xf>
    <xf numFmtId="0" fontId="10" fillId="0" borderId="0" xfId="1396" applyFont="1" applyFill="1" applyBorder="1">
      <alignment/>
      <protection/>
    </xf>
    <xf numFmtId="42" fontId="10" fillId="0" borderId="17" xfId="1396" applyNumberFormat="1" applyFont="1" applyFill="1" applyBorder="1">
      <alignment/>
      <protection/>
    </xf>
    <xf numFmtId="42" fontId="10" fillId="0" borderId="18" xfId="1396" applyNumberFormat="1" applyFont="1" applyFill="1" applyBorder="1">
      <alignment/>
      <protection/>
    </xf>
    <xf numFmtId="0" fontId="10" fillId="0" borderId="17" xfId="1396" applyFont="1" applyFill="1" applyBorder="1">
      <alignment/>
      <protection/>
    </xf>
    <xf numFmtId="0" fontId="82" fillId="0" borderId="0" xfId="1396" applyFont="1" applyFill="1">
      <alignment/>
      <protection/>
    </xf>
    <xf numFmtId="49" fontId="10" fillId="0" borderId="0" xfId="1396" applyNumberFormat="1" applyFont="1" applyAlignment="1">
      <alignment horizontal="center"/>
      <protection/>
    </xf>
    <xf numFmtId="0" fontId="77" fillId="0" borderId="0" xfId="1396" applyFont="1">
      <alignment/>
      <protection/>
    </xf>
    <xf numFmtId="0" fontId="83" fillId="0" borderId="0" xfId="1396" applyFont="1">
      <alignment/>
      <protection/>
    </xf>
    <xf numFmtId="14" fontId="83" fillId="0" borderId="0" xfId="1396" applyNumberFormat="1" applyFont="1" applyAlignment="1">
      <alignment horizontal="left"/>
      <protection/>
    </xf>
    <xf numFmtId="0" fontId="83" fillId="0" borderId="50" xfId="1396" applyFont="1" applyFill="1" applyBorder="1" applyAlignment="1">
      <alignment horizontal="centerContinuous"/>
      <protection/>
    </xf>
    <xf numFmtId="0" fontId="83" fillId="0" borderId="0" xfId="1396" applyFont="1" applyFill="1">
      <alignment/>
      <protection/>
    </xf>
    <xf numFmtId="42" fontId="83" fillId="0" borderId="0" xfId="1396" applyNumberFormat="1" applyFont="1" applyFill="1" applyBorder="1">
      <alignment/>
      <protection/>
    </xf>
    <xf numFmtId="178" fontId="0" fillId="0" borderId="0" xfId="0" applyFont="1" applyFill="1" applyBorder="1" applyAlignment="1">
      <alignment horizontal="left" indent="1"/>
    </xf>
    <xf numFmtId="0" fontId="84" fillId="0" borderId="51" xfId="1408" applyFont="1" applyFill="1" applyBorder="1" applyAlignment="1">
      <alignment horizontal="left"/>
      <protection/>
    </xf>
    <xf numFmtId="0" fontId="0" fillId="0" borderId="3" xfId="1407" applyFill="1" applyBorder="1" applyAlignment="1">
      <alignment horizontal="center"/>
      <protection/>
    </xf>
    <xf numFmtId="0" fontId="0" fillId="0" borderId="50" xfId="1407" applyFill="1" applyBorder="1" applyAlignment="1">
      <alignment horizontal="center"/>
      <protection/>
    </xf>
    <xf numFmtId="0" fontId="0" fillId="0" borderId="0" xfId="1399">
      <alignment/>
      <protection/>
    </xf>
    <xf numFmtId="0" fontId="0" fillId="0" borderId="0" xfId="1399" applyBorder="1">
      <alignment/>
      <protection/>
    </xf>
    <xf numFmtId="0" fontId="27" fillId="0" borderId="0" xfId="1380" applyNumberFormat="1" applyFont="1" applyFill="1" applyAlignment="1">
      <alignment horizontal="right"/>
      <protection/>
    </xf>
    <xf numFmtId="0" fontId="27" fillId="0" borderId="0" xfId="1380" applyNumberFormat="1" applyFont="1" applyFill="1" applyBorder="1" applyAlignment="1">
      <alignment horizontal="right"/>
      <protection/>
    </xf>
    <xf numFmtId="0" fontId="1" fillId="0" borderId="51" xfId="1399" applyFont="1" applyFill="1" applyBorder="1" applyAlignment="1">
      <alignment horizontal="left"/>
      <protection/>
    </xf>
    <xf numFmtId="0" fontId="0" fillId="0" borderId="3" xfId="1399" applyFill="1" applyBorder="1">
      <alignment/>
      <protection/>
    </xf>
    <xf numFmtId="0" fontId="0" fillId="0" borderId="50" xfId="1399" applyFill="1" applyBorder="1">
      <alignment/>
      <protection/>
    </xf>
    <xf numFmtId="0" fontId="0" fillId="0" borderId="0" xfId="1399" applyFill="1" applyBorder="1">
      <alignment/>
      <protection/>
    </xf>
    <xf numFmtId="0" fontId="0" fillId="0" borderId="0" xfId="1399" applyFill="1">
      <alignment/>
      <protection/>
    </xf>
    <xf numFmtId="0" fontId="0" fillId="0" borderId="0" xfId="1399" applyAlignment="1">
      <alignment horizontal="center"/>
      <protection/>
    </xf>
    <xf numFmtId="0" fontId="0" fillId="0" borderId="0" xfId="1399" applyBorder="1" applyAlignment="1">
      <alignment horizontal="center"/>
      <protection/>
    </xf>
    <xf numFmtId="0" fontId="3" fillId="0" borderId="0" xfId="1399" applyFont="1">
      <alignment/>
      <protection/>
    </xf>
    <xf numFmtId="0" fontId="0" fillId="0" borderId="17" xfId="1399" applyBorder="1" applyAlignment="1" quotePrefix="1">
      <alignment horizontal="center"/>
      <protection/>
    </xf>
    <xf numFmtId="0" fontId="0" fillId="0" borderId="17" xfId="1399" applyBorder="1" applyAlignment="1">
      <alignment horizontal="center"/>
      <protection/>
    </xf>
    <xf numFmtId="0" fontId="0" fillId="0" borderId="0" xfId="1399" applyBorder="1" applyAlignment="1" quotePrefix="1">
      <alignment horizontal="center"/>
      <protection/>
    </xf>
    <xf numFmtId="0" fontId="36" fillId="0" borderId="0" xfId="1399" applyFont="1" applyFill="1" applyBorder="1" applyAlignment="1" applyProtection="1">
      <alignment horizontal="left"/>
      <protection/>
    </xf>
    <xf numFmtId="49" fontId="36" fillId="0" borderId="0" xfId="1399" applyNumberFormat="1" applyFont="1" applyFill="1" applyBorder="1" applyAlignment="1" applyProtection="1">
      <alignment horizontal="left"/>
      <protection/>
    </xf>
    <xf numFmtId="0" fontId="36" fillId="0" borderId="0" xfId="1399" applyFont="1" applyFill="1" applyBorder="1" applyProtection="1">
      <alignment/>
      <protection/>
    </xf>
    <xf numFmtId="42" fontId="0" fillId="0" borderId="0" xfId="1273" applyNumberFormat="1" applyAlignment="1">
      <alignment/>
    </xf>
    <xf numFmtId="42" fontId="0" fillId="0" borderId="0" xfId="1273" applyNumberFormat="1" applyBorder="1" applyAlignment="1">
      <alignment/>
    </xf>
    <xf numFmtId="41" fontId="0" fillId="0" borderId="0" xfId="1223" applyNumberFormat="1" applyAlignment="1">
      <alignment/>
    </xf>
    <xf numFmtId="41" fontId="0" fillId="0" borderId="0" xfId="1223" applyNumberFormat="1" applyBorder="1" applyAlignment="1">
      <alignment/>
    </xf>
    <xf numFmtId="0" fontId="36" fillId="0" borderId="0" xfId="1399" applyFont="1" applyFill="1" applyBorder="1" applyAlignment="1" applyProtection="1">
      <alignment/>
      <protection/>
    </xf>
    <xf numFmtId="178" fontId="0" fillId="0" borderId="0" xfId="1380" applyNumberFormat="1" applyFont="1">
      <alignment horizontal="left" wrapText="1"/>
      <protection/>
    </xf>
    <xf numFmtId="41" fontId="0" fillId="0" borderId="18" xfId="1399" applyNumberFormat="1" applyBorder="1">
      <alignment/>
      <protection/>
    </xf>
    <xf numFmtId="41" fontId="0" fillId="0" borderId="0" xfId="1399" applyNumberFormat="1" applyBorder="1">
      <alignment/>
      <protection/>
    </xf>
    <xf numFmtId="41" fontId="0" fillId="0" borderId="0" xfId="1399" applyNumberFormat="1">
      <alignment/>
      <protection/>
    </xf>
    <xf numFmtId="0" fontId="36" fillId="0" borderId="0" xfId="1399" applyFont="1" applyFill="1" applyBorder="1" applyAlignment="1" applyProtection="1" quotePrefix="1">
      <alignment horizontal="left"/>
      <protection/>
    </xf>
    <xf numFmtId="49" fontId="0" fillId="0" borderId="0" xfId="1399" applyNumberFormat="1" applyFont="1" applyFill="1" applyBorder="1" applyAlignment="1" applyProtection="1">
      <alignment horizontal="left"/>
      <protection/>
    </xf>
    <xf numFmtId="0" fontId="36" fillId="0" borderId="0" xfId="1399" applyFont="1" applyFill="1" applyBorder="1" applyAlignment="1" applyProtection="1">
      <alignment horizontal="right"/>
      <protection/>
    </xf>
    <xf numFmtId="42" fontId="0" fillId="0" borderId="52" xfId="1273" applyNumberFormat="1" applyBorder="1" applyAlignment="1">
      <alignment/>
    </xf>
    <xf numFmtId="178" fontId="0" fillId="0" borderId="0" xfId="1380" applyNumberFormat="1" applyFont="1" applyBorder="1">
      <alignment horizontal="left" wrapText="1"/>
      <protection/>
    </xf>
    <xf numFmtId="0" fontId="0" fillId="0" borderId="0" xfId="1399" applyAlignment="1">
      <alignment horizontal="left" indent="1"/>
      <protection/>
    </xf>
    <xf numFmtId="41" fontId="0" fillId="0" borderId="0" xfId="1380" applyNumberFormat="1" applyFont="1">
      <alignment horizontal="left" wrapText="1"/>
      <protection/>
    </xf>
    <xf numFmtId="0" fontId="78" fillId="0" borderId="0" xfId="1399" applyFont="1">
      <alignment/>
      <protection/>
    </xf>
    <xf numFmtId="167" fontId="0" fillId="0" borderId="0" xfId="1407" applyNumberFormat="1" applyFont="1" applyFill="1" applyBorder="1">
      <alignment/>
      <protection/>
    </xf>
    <xf numFmtId="44" fontId="0" fillId="0" borderId="0" xfId="1407" applyNumberFormat="1" applyFill="1">
      <alignment/>
      <protection/>
    </xf>
    <xf numFmtId="167" fontId="3" fillId="0" borderId="0" xfId="1407" applyNumberFormat="1" applyFont="1" applyFill="1" applyBorder="1">
      <alignment/>
      <protection/>
    </xf>
    <xf numFmtId="0" fontId="27" fillId="0" borderId="0" xfId="1395" applyNumberFormat="1" applyFont="1" applyFill="1" applyAlignment="1">
      <alignment horizontal="right"/>
      <protection/>
    </xf>
    <xf numFmtId="0" fontId="27" fillId="0" borderId="37" xfId="1395" applyNumberFormat="1" applyFont="1" applyFill="1" applyBorder="1" applyAlignment="1">
      <alignment horizontal="right"/>
      <protection/>
    </xf>
    <xf numFmtId="178" fontId="45" fillId="0" borderId="0" xfId="1395" applyFont="1" applyFill="1" applyAlignment="1">
      <alignment horizontal="left"/>
      <protection/>
    </xf>
    <xf numFmtId="0" fontId="46" fillId="0" borderId="0" xfId="1395" applyNumberFormat="1" applyFont="1" applyFill="1" applyAlignment="1">
      <alignment horizontal="left"/>
      <protection/>
    </xf>
    <xf numFmtId="0" fontId="0" fillId="0" borderId="0" xfId="1398">
      <alignment/>
      <protection/>
    </xf>
    <xf numFmtId="0" fontId="0" fillId="0" borderId="0" xfId="1398" applyBorder="1">
      <alignment/>
      <protection/>
    </xf>
    <xf numFmtId="41" fontId="0" fillId="0" borderId="0" xfId="1191" applyNumberFormat="1" applyFont="1" applyAlignment="1">
      <alignment/>
    </xf>
    <xf numFmtId="0" fontId="1" fillId="0" borderId="0" xfId="1398" applyFont="1" applyAlignment="1">
      <alignment horizontal="left"/>
      <protection/>
    </xf>
    <xf numFmtId="0" fontId="0" fillId="0" borderId="0" xfId="1398" applyAlignment="1">
      <alignment horizontal="center"/>
      <protection/>
    </xf>
    <xf numFmtId="0" fontId="0" fillId="0" borderId="0" xfId="1398" applyBorder="1" applyAlignment="1">
      <alignment horizontal="center"/>
      <protection/>
    </xf>
    <xf numFmtId="0" fontId="3" fillId="0" borderId="0" xfId="1398" applyFont="1">
      <alignment/>
      <protection/>
    </xf>
    <xf numFmtId="0" fontId="0" fillId="0" borderId="17" xfId="1398" applyBorder="1" applyAlignment="1" quotePrefix="1">
      <alignment horizontal="center"/>
      <protection/>
    </xf>
    <xf numFmtId="0" fontId="0" fillId="0" borderId="17" xfId="1398" applyBorder="1" applyAlignment="1">
      <alignment horizontal="center"/>
      <protection/>
    </xf>
    <xf numFmtId="0" fontId="0" fillId="0" borderId="0" xfId="1398" applyBorder="1" applyAlignment="1" quotePrefix="1">
      <alignment horizontal="center"/>
      <protection/>
    </xf>
    <xf numFmtId="0" fontId="36" fillId="0" borderId="0" xfId="1398" applyFont="1" applyFill="1" applyBorder="1" applyAlignment="1" applyProtection="1">
      <alignment horizontal="left"/>
      <protection/>
    </xf>
    <xf numFmtId="0" fontId="36" fillId="0" borderId="0" xfId="1398" applyFont="1" applyFill="1" applyBorder="1" applyProtection="1">
      <alignment/>
      <protection/>
    </xf>
    <xf numFmtId="42" fontId="0" fillId="0" borderId="0" xfId="1272" applyNumberFormat="1" applyAlignment="1">
      <alignment/>
    </xf>
    <xf numFmtId="42" fontId="0" fillId="0" borderId="0" xfId="1272" applyNumberFormat="1" applyBorder="1" applyAlignment="1">
      <alignment/>
    </xf>
    <xf numFmtId="41" fontId="0" fillId="0" borderId="0" xfId="1222" applyNumberFormat="1" applyAlignment="1">
      <alignment/>
    </xf>
    <xf numFmtId="41" fontId="0" fillId="0" borderId="0" xfId="1222" applyNumberFormat="1" applyBorder="1" applyAlignment="1">
      <alignment/>
    </xf>
    <xf numFmtId="178" fontId="0" fillId="0" borderId="0" xfId="1395" applyFont="1">
      <alignment horizontal="left" wrapText="1"/>
      <protection/>
    </xf>
    <xf numFmtId="41" fontId="16" fillId="0" borderId="18" xfId="1395" applyNumberFormat="1" applyBorder="1">
      <alignment horizontal="left" wrapText="1"/>
      <protection/>
    </xf>
    <xf numFmtId="41" fontId="0" fillId="0" borderId="18" xfId="1398" applyNumberFormat="1" applyBorder="1">
      <alignment/>
      <protection/>
    </xf>
    <xf numFmtId="41" fontId="0" fillId="0" borderId="0" xfId="1398" applyNumberFormat="1" applyBorder="1">
      <alignment/>
      <protection/>
    </xf>
    <xf numFmtId="41" fontId="16" fillId="0" borderId="0" xfId="1395" applyNumberFormat="1">
      <alignment horizontal="left" wrapText="1"/>
      <protection/>
    </xf>
    <xf numFmtId="41" fontId="0" fillId="0" borderId="0" xfId="1398" applyNumberFormat="1">
      <alignment/>
      <protection/>
    </xf>
    <xf numFmtId="0" fontId="36" fillId="0" borderId="0" xfId="1398" applyFont="1" applyFill="1" applyBorder="1" applyAlignment="1" applyProtection="1" quotePrefix="1">
      <alignment horizontal="left"/>
      <protection/>
    </xf>
    <xf numFmtId="178" fontId="36" fillId="0" borderId="0" xfId="1395" applyFont="1" applyFill="1" applyBorder="1" applyAlignment="1" applyProtection="1">
      <alignment horizontal="left"/>
      <protection/>
    </xf>
    <xf numFmtId="178" fontId="36" fillId="0" borderId="0" xfId="1395" applyFont="1" applyFill="1" applyBorder="1" applyProtection="1">
      <alignment horizontal="left" wrapText="1"/>
      <protection/>
    </xf>
    <xf numFmtId="0" fontId="36" fillId="0" borderId="0" xfId="1398" applyFont="1" applyFill="1" applyBorder="1" applyAlignment="1" applyProtection="1">
      <alignment horizontal="right"/>
      <protection/>
    </xf>
    <xf numFmtId="42" fontId="0" fillId="0" borderId="52" xfId="1272" applyNumberFormat="1" applyBorder="1" applyAlignment="1">
      <alignment/>
    </xf>
    <xf numFmtId="178" fontId="0" fillId="0" borderId="0" xfId="1395" applyFont="1" applyBorder="1">
      <alignment horizontal="left" wrapText="1"/>
      <protection/>
    </xf>
    <xf numFmtId="0" fontId="0" fillId="0" borderId="0" xfId="1398" applyAlignment="1">
      <alignment horizontal="left" indent="1"/>
      <protection/>
    </xf>
    <xf numFmtId="41" fontId="0" fillId="0" borderId="0" xfId="1395" applyNumberFormat="1" applyFont="1">
      <alignment horizontal="left" wrapText="1"/>
      <protection/>
    </xf>
    <xf numFmtId="0" fontId="78" fillId="0" borderId="0" xfId="1398" applyFont="1">
      <alignment/>
      <protection/>
    </xf>
    <xf numFmtId="0" fontId="3" fillId="0" borderId="0" xfId="1407" applyFont="1" applyFill="1" applyBorder="1" applyAlignment="1">
      <alignment horizontal="center"/>
      <protection/>
    </xf>
    <xf numFmtId="0" fontId="84" fillId="0" borderId="0" xfId="1408" applyFont="1" applyFill="1" applyBorder="1" applyAlignment="1">
      <alignment horizontal="left"/>
      <protection/>
    </xf>
    <xf numFmtId="0" fontId="0" fillId="0" borderId="0" xfId="1403" applyFill="1" applyAlignment="1">
      <alignment horizontal="left"/>
      <protection/>
    </xf>
    <xf numFmtId="43" fontId="0" fillId="0" borderId="0" xfId="1407" applyNumberFormat="1" applyFont="1" applyFill="1" applyBorder="1">
      <alignment/>
      <protection/>
    </xf>
    <xf numFmtId="178" fontId="0" fillId="0" borderId="0" xfId="0" applyFont="1" applyFill="1" applyBorder="1" applyAlignment="1">
      <alignment horizontal="left"/>
    </xf>
    <xf numFmtId="164" fontId="0" fillId="0" borderId="0" xfId="1229" applyNumberFormat="1" applyFont="1" applyFill="1" applyBorder="1" applyAlignment="1">
      <alignment horizontal="center"/>
    </xf>
    <xf numFmtId="174" fontId="0" fillId="0" borderId="0" xfId="1229" applyNumberFormat="1" applyFont="1" applyFill="1" applyBorder="1" applyAlignment="1">
      <alignment horizontal="center"/>
    </xf>
    <xf numFmtId="164" fontId="0" fillId="0" borderId="0" xfId="1229" applyNumberFormat="1" applyFont="1" applyFill="1" applyBorder="1" applyAlignment="1">
      <alignment vertical="top"/>
    </xf>
    <xf numFmtId="0" fontId="0" fillId="0" borderId="0" xfId="0" applyNumberFormat="1" applyFill="1" applyAlignment="1">
      <alignment horizontal="left"/>
    </xf>
    <xf numFmtId="43" fontId="12" fillId="0" borderId="0" xfId="1187" applyFont="1" applyFill="1" applyAlignment="1">
      <alignment/>
    </xf>
    <xf numFmtId="17" fontId="3" fillId="0" borderId="0" xfId="0" applyNumberFormat="1" applyFont="1" applyFill="1" applyBorder="1" applyAlignment="1">
      <alignment horizontal="center"/>
    </xf>
    <xf numFmtId="167" fontId="0" fillId="0" borderId="53" xfId="1245" applyNumberFormat="1" applyFill="1" applyBorder="1" applyAlignment="1">
      <alignment/>
    </xf>
    <xf numFmtId="37" fontId="0" fillId="0" borderId="0" xfId="1187" applyNumberFormat="1" applyFill="1" applyBorder="1" applyAlignment="1">
      <alignment/>
    </xf>
    <xf numFmtId="164" fontId="5" fillId="0" borderId="0" xfId="1187" applyNumberFormat="1" applyFont="1" applyFill="1" applyBorder="1" applyAlignment="1">
      <alignment/>
    </xf>
    <xf numFmtId="10" fontId="0" fillId="0" borderId="0" xfId="1403" applyNumberFormat="1" applyFill="1" applyAlignment="1">
      <alignment horizontal="center"/>
      <protection/>
    </xf>
    <xf numFmtId="0" fontId="3" fillId="0" borderId="0" xfId="0" applyNumberFormat="1" applyFont="1" applyFill="1" applyBorder="1" applyAlignment="1">
      <alignment horizontal="center"/>
    </xf>
    <xf numFmtId="41" fontId="10" fillId="0" borderId="17" xfId="1396" applyNumberFormat="1" applyFont="1" applyFill="1" applyBorder="1">
      <alignment/>
      <protection/>
    </xf>
    <xf numFmtId="41" fontId="10" fillId="0" borderId="0" xfId="1396" applyNumberFormat="1" applyFont="1" applyFill="1">
      <alignment/>
      <protection/>
    </xf>
    <xf numFmtId="0" fontId="17" fillId="0" borderId="0" xfId="1396" applyFont="1">
      <alignment/>
      <protection/>
    </xf>
    <xf numFmtId="164" fontId="7" fillId="0" borderId="0" xfId="0" applyNumberFormat="1" applyFont="1" applyFill="1" applyBorder="1" applyAlignment="1">
      <alignment/>
    </xf>
    <xf numFmtId="4" fontId="0" fillId="0" borderId="0" xfId="1224" applyFont="1" applyFill="1" applyBorder="1" applyAlignment="1">
      <alignment/>
    </xf>
    <xf numFmtId="164" fontId="0" fillId="0" borderId="0" xfId="0" applyNumberFormat="1" applyFont="1" applyFill="1" applyBorder="1" applyAlignment="1">
      <alignment horizontal="left" wrapText="1"/>
    </xf>
    <xf numFmtId="182" fontId="0" fillId="0" borderId="0" xfId="1224" applyNumberFormat="1" applyFont="1" applyFill="1" applyBorder="1" applyAlignment="1">
      <alignment/>
    </xf>
    <xf numFmtId="164" fontId="0" fillId="0" borderId="0" xfId="1407" applyNumberFormat="1" applyFill="1" applyBorder="1">
      <alignment/>
      <protection/>
    </xf>
    <xf numFmtId="4" fontId="0" fillId="0" borderId="0" xfId="1407" applyNumberFormat="1" applyFill="1" applyBorder="1">
      <alignment/>
      <protection/>
    </xf>
    <xf numFmtId="0" fontId="84" fillId="0" borderId="0" xfId="1408" applyFont="1" applyFill="1" applyBorder="1" applyAlignment="1">
      <alignment/>
      <protection/>
    </xf>
    <xf numFmtId="0" fontId="3" fillId="0" borderId="0" xfId="1407" applyFont="1" applyFill="1" applyBorder="1" applyAlignment="1">
      <alignment/>
      <protection/>
    </xf>
    <xf numFmtId="167" fontId="0" fillId="0" borderId="17" xfId="1245" applyNumberFormat="1" applyFont="1" applyFill="1" applyBorder="1" applyAlignment="1">
      <alignment/>
    </xf>
    <xf numFmtId="164" fontId="0" fillId="0" borderId="0" xfId="0" applyNumberFormat="1" applyFont="1" applyFill="1" applyAlignment="1">
      <alignment/>
    </xf>
    <xf numFmtId="0" fontId="1" fillId="0" borderId="0" xfId="0" applyNumberFormat="1" applyFont="1" applyFill="1" applyAlignment="1">
      <alignment horizontal="left"/>
    </xf>
    <xf numFmtId="178" fontId="9" fillId="0" borderId="0" xfId="0" applyFont="1" applyFill="1" applyAlignment="1">
      <alignment horizontal="left"/>
    </xf>
    <xf numFmtId="0" fontId="2" fillId="0" borderId="0" xfId="0" applyNumberFormat="1" applyFont="1" applyFill="1" applyAlignment="1">
      <alignment horizontal="left"/>
    </xf>
    <xf numFmtId="0" fontId="3" fillId="0" borderId="0" xfId="0" applyNumberFormat="1" applyFont="1" applyFill="1" applyAlignment="1">
      <alignment horizontal="left"/>
    </xf>
    <xf numFmtId="0" fontId="18" fillId="0" borderId="0" xfId="0" applyNumberFormat="1" applyFont="1" applyFill="1" applyAlignment="1">
      <alignment horizontal="left"/>
    </xf>
    <xf numFmtId="43" fontId="11" fillId="0" borderId="0" xfId="1187" applyFont="1" applyFill="1" applyAlignment="1">
      <alignment horizontal="center"/>
    </xf>
    <xf numFmtId="171" fontId="7" fillId="0" borderId="0" xfId="1187" applyNumberFormat="1" applyFont="1" applyFill="1" applyAlignment="1">
      <alignment horizontal="left"/>
    </xf>
    <xf numFmtId="3" fontId="12" fillId="0" borderId="0" xfId="0" applyNumberFormat="1" applyFont="1" applyFill="1" applyAlignment="1">
      <alignment/>
    </xf>
    <xf numFmtId="0" fontId="12" fillId="0" borderId="0" xfId="0" applyNumberFormat="1" applyFont="1" applyFill="1" applyAlignment="1">
      <alignment/>
    </xf>
    <xf numFmtId="0" fontId="6" fillId="0" borderId="0" xfId="0" applyNumberFormat="1" applyFont="1" applyFill="1" applyAlignment="1">
      <alignment/>
    </xf>
    <xf numFmtId="43" fontId="0" fillId="0" borderId="0" xfId="1187" applyFont="1" applyFill="1" applyBorder="1" applyAlignment="1">
      <alignment/>
    </xf>
    <xf numFmtId="172" fontId="0" fillId="0" borderId="0" xfId="1187" applyNumberFormat="1" applyFill="1" applyBorder="1" applyAlignment="1">
      <alignment/>
    </xf>
    <xf numFmtId="164" fontId="0" fillId="0" borderId="0" xfId="1245" applyNumberFormat="1" applyFill="1" applyBorder="1" applyAlignment="1">
      <alignment/>
    </xf>
    <xf numFmtId="164" fontId="0" fillId="0" borderId="0" xfId="1245" applyNumberFormat="1" applyFont="1" applyFill="1" applyBorder="1" applyAlignment="1">
      <alignment/>
    </xf>
    <xf numFmtId="167" fontId="5" fillId="0" borderId="17" xfId="1245" applyNumberFormat="1" applyFont="1" applyFill="1" applyBorder="1" applyAlignment="1">
      <alignment/>
    </xf>
    <xf numFmtId="164" fontId="4" fillId="0" borderId="17" xfId="1245" applyNumberFormat="1" applyFont="1" applyFill="1" applyBorder="1" applyAlignment="1">
      <alignment/>
    </xf>
    <xf numFmtId="164" fontId="0" fillId="0" borderId="17" xfId="1245" applyNumberFormat="1" applyFont="1" applyFill="1" applyBorder="1" applyAlignment="1">
      <alignment/>
    </xf>
    <xf numFmtId="164" fontId="4" fillId="0" borderId="0" xfId="1245" applyNumberFormat="1" applyFont="1" applyFill="1" applyBorder="1" applyAlignment="1">
      <alignment/>
    </xf>
    <xf numFmtId="0" fontId="0" fillId="0" borderId="0" xfId="0" applyNumberFormat="1" applyFill="1" applyAlignment="1" applyProtection="1" quotePrefix="1">
      <alignment horizontal="left"/>
      <protection locked="0"/>
    </xf>
    <xf numFmtId="0" fontId="0" fillId="0" borderId="0" xfId="0" applyNumberFormat="1" applyFill="1" applyAlignment="1" applyProtection="1">
      <alignment horizontal="left"/>
      <protection locked="0"/>
    </xf>
    <xf numFmtId="0" fontId="12" fillId="0" borderId="0" xfId="0" applyNumberFormat="1" applyFont="1" applyFill="1" applyAlignment="1">
      <alignment/>
    </xf>
    <xf numFmtId="172" fontId="12" fillId="0" borderId="0" xfId="1187" applyNumberFormat="1" applyFont="1" applyFill="1" applyBorder="1" applyAlignment="1">
      <alignment horizontal="center" wrapText="1"/>
    </xf>
    <xf numFmtId="0" fontId="12" fillId="0" borderId="0" xfId="0" applyNumberFormat="1" applyFont="1" applyFill="1" applyAlignment="1">
      <alignment horizontal="center"/>
    </xf>
    <xf numFmtId="0" fontId="0" fillId="0" borderId="0" xfId="0" applyNumberFormat="1" applyFill="1" applyAlignment="1" applyProtection="1">
      <alignment horizontal="center"/>
      <protection locked="0"/>
    </xf>
    <xf numFmtId="164" fontId="0" fillId="0" borderId="0" xfId="1397" applyNumberFormat="1" applyFont="1" applyFill="1" applyAlignment="1">
      <alignment/>
      <protection/>
    </xf>
    <xf numFmtId="0" fontId="0" fillId="0" borderId="0" xfId="0" applyNumberFormat="1" applyFont="1" applyFill="1" applyAlignment="1">
      <alignment horizontal="left" indent="1"/>
    </xf>
    <xf numFmtId="164" fontId="0" fillId="0" borderId="0" xfId="1199" applyNumberFormat="1" applyFill="1" applyAlignment="1">
      <alignment horizontal="right"/>
    </xf>
    <xf numFmtId="164" fontId="0" fillId="0" borderId="17" xfId="1199" applyNumberFormat="1" applyFill="1" applyBorder="1" applyAlignment="1">
      <alignment horizontal="right"/>
    </xf>
    <xf numFmtId="0" fontId="27" fillId="0" borderId="0" xfId="1387" applyNumberFormat="1" applyFont="1" applyFill="1" applyAlignment="1">
      <alignment/>
      <protection/>
    </xf>
    <xf numFmtId="0" fontId="46" fillId="0" borderId="0" xfId="1387" applyNumberFormat="1" applyFont="1" applyFill="1" applyAlignment="1">
      <alignment/>
      <protection/>
    </xf>
    <xf numFmtId="0" fontId="27" fillId="0" borderId="0" xfId="1387" applyNumberFormat="1" applyFont="1" applyFill="1" applyAlignment="1">
      <alignment horizontal="right"/>
      <protection/>
    </xf>
    <xf numFmtId="0" fontId="16" fillId="0" borderId="0" xfId="1387" applyNumberFormat="1" applyFill="1" applyAlignment="1">
      <alignment/>
      <protection/>
    </xf>
    <xf numFmtId="0" fontId="47" fillId="0" borderId="0" xfId="1387" applyNumberFormat="1" applyFont="1" applyFill="1" applyAlignment="1">
      <alignment/>
      <protection/>
    </xf>
    <xf numFmtId="0" fontId="2" fillId="0" borderId="49" xfId="1394" applyNumberFormat="1" applyFont="1" applyFill="1" applyBorder="1" applyAlignment="1">
      <alignment/>
      <protection/>
    </xf>
    <xf numFmtId="0" fontId="46" fillId="0" borderId="0" xfId="1394" applyNumberFormat="1" applyFont="1" applyFill="1" applyBorder="1" applyAlignment="1">
      <alignment/>
      <protection/>
    </xf>
    <xf numFmtId="0" fontId="27" fillId="0" borderId="0" xfId="1387" applyNumberFormat="1" applyFont="1" applyFill="1" applyBorder="1" applyAlignment="1">
      <alignment horizontal="right"/>
      <protection/>
    </xf>
    <xf numFmtId="0" fontId="27" fillId="0" borderId="0" xfId="1387" applyNumberFormat="1" applyFont="1" applyFill="1" applyBorder="1" applyAlignment="1" quotePrefix="1">
      <alignment horizontal="right"/>
      <protection/>
    </xf>
    <xf numFmtId="0" fontId="27" fillId="0" borderId="0" xfId="1387" applyNumberFormat="1" applyFont="1" applyFill="1" applyAlignment="1" applyProtection="1">
      <alignment horizontal="centerContinuous"/>
      <protection locked="0"/>
    </xf>
    <xf numFmtId="0" fontId="27" fillId="0" borderId="0" xfId="1387" applyNumberFormat="1" applyFont="1" applyFill="1" applyAlignment="1">
      <alignment horizontal="centerContinuous"/>
      <protection/>
    </xf>
    <xf numFmtId="15" fontId="27" fillId="0" borderId="0" xfId="1387" applyNumberFormat="1" applyFont="1" applyFill="1" applyAlignment="1">
      <alignment horizontal="centerContinuous"/>
      <protection/>
    </xf>
    <xf numFmtId="18" fontId="27" fillId="0" borderId="0" xfId="1387" applyNumberFormat="1" applyFont="1" applyFill="1" applyAlignment="1">
      <alignment horizontal="centerContinuous"/>
      <protection/>
    </xf>
    <xf numFmtId="0" fontId="46" fillId="0" borderId="0" xfId="1387" applyNumberFormat="1" applyFont="1" applyFill="1" applyAlignment="1">
      <alignment horizontal="center"/>
      <protection/>
    </xf>
    <xf numFmtId="0" fontId="27" fillId="0" borderId="0" xfId="1387" applyNumberFormat="1" applyFont="1" applyFill="1" applyAlignment="1" applyProtection="1">
      <alignment horizontal="center"/>
      <protection locked="0"/>
    </xf>
    <xf numFmtId="0" fontId="27" fillId="0" borderId="0" xfId="1387" applyNumberFormat="1" applyFont="1" applyFill="1" applyAlignment="1">
      <alignment horizontal="center"/>
      <protection/>
    </xf>
    <xf numFmtId="0" fontId="27" fillId="0" borderId="17" xfId="1387" applyNumberFormat="1" applyFont="1" applyFill="1" applyBorder="1" applyAlignment="1">
      <alignment horizontal="center"/>
      <protection/>
    </xf>
    <xf numFmtId="0" fontId="27" fillId="0" borderId="17" xfId="1387" applyNumberFormat="1" applyFont="1" applyFill="1" applyBorder="1" applyAlignment="1">
      <alignment/>
      <protection/>
    </xf>
    <xf numFmtId="206" fontId="45" fillId="0" borderId="17" xfId="1387" applyNumberFormat="1" applyFont="1" applyFill="1" applyBorder="1" applyAlignment="1">
      <alignment horizontal="center"/>
      <protection/>
    </xf>
    <xf numFmtId="9" fontId="27" fillId="0" borderId="17" xfId="1387" applyNumberFormat="1" applyFont="1" applyFill="1" applyBorder="1" applyAlignment="1">
      <alignment horizontal="center"/>
      <protection/>
    </xf>
    <xf numFmtId="206" fontId="46" fillId="0" borderId="0" xfId="1387" applyNumberFormat="1" applyFont="1" applyFill="1" applyAlignment="1">
      <alignment/>
      <protection/>
    </xf>
    <xf numFmtId="0" fontId="79" fillId="0" borderId="0" xfId="1387" applyNumberFormat="1" applyFont="1" applyFill="1" applyAlignment="1">
      <alignment/>
      <protection/>
    </xf>
    <xf numFmtId="0" fontId="46" fillId="0" borderId="0" xfId="1387" applyNumberFormat="1" applyFont="1" applyFill="1" applyAlignment="1">
      <alignment horizontal="left"/>
      <protection/>
    </xf>
    <xf numFmtId="224" fontId="46" fillId="0" borderId="0" xfId="1387" applyNumberFormat="1" applyFont="1" applyFill="1" applyAlignment="1">
      <alignment/>
      <protection/>
    </xf>
    <xf numFmtId="0" fontId="46" fillId="0" borderId="0" xfId="1387" applyNumberFormat="1" applyFont="1" applyFill="1" applyAlignment="1">
      <alignment horizontal="left" indent="1"/>
      <protection/>
    </xf>
    <xf numFmtId="42" fontId="46" fillId="0" borderId="0" xfId="1387" applyNumberFormat="1" applyFont="1" applyFill="1" applyAlignment="1">
      <alignment/>
      <protection/>
    </xf>
    <xf numFmtId="41" fontId="46" fillId="0" borderId="0" xfId="1387" applyNumberFormat="1" applyFont="1" applyFill="1" applyAlignment="1">
      <alignment/>
      <protection/>
    </xf>
    <xf numFmtId="41" fontId="46" fillId="0" borderId="18" xfId="1387" applyNumberFormat="1" applyFont="1" applyFill="1" applyBorder="1" applyAlignment="1">
      <alignment/>
      <protection/>
    </xf>
    <xf numFmtId="41" fontId="46" fillId="0" borderId="0" xfId="1387" applyNumberFormat="1" applyFont="1" applyFill="1" applyBorder="1" applyAlignment="1">
      <alignment/>
      <protection/>
    </xf>
    <xf numFmtId="41" fontId="46" fillId="0" borderId="17" xfId="1387" applyNumberFormat="1" applyFont="1" applyFill="1" applyBorder="1" applyAlignment="1">
      <alignment/>
      <protection/>
    </xf>
    <xf numFmtId="42" fontId="46" fillId="0" borderId="0" xfId="1387" applyNumberFormat="1" applyFont="1" applyFill="1" applyAlignment="1" applyProtection="1">
      <alignment/>
      <protection locked="0"/>
    </xf>
    <xf numFmtId="41" fontId="46" fillId="0" borderId="0" xfId="1387" applyNumberFormat="1" applyFont="1" applyFill="1" applyAlignment="1" applyProtection="1">
      <alignment/>
      <protection locked="0"/>
    </xf>
    <xf numFmtId="178" fontId="46" fillId="0" borderId="0" xfId="1387" applyNumberFormat="1" applyFont="1" applyFill="1" applyAlignment="1">
      <alignment horizontal="left"/>
      <protection/>
    </xf>
    <xf numFmtId="42" fontId="46" fillId="0" borderId="4" xfId="1202" applyNumberFormat="1" applyFont="1" applyFill="1" applyBorder="1" applyAlignment="1">
      <alignment/>
    </xf>
    <xf numFmtId="42" fontId="46" fillId="0" borderId="16" xfId="1387" applyNumberFormat="1" applyFont="1" applyFill="1" applyBorder="1" applyAlignment="1">
      <alignment/>
      <protection/>
    </xf>
    <xf numFmtId="41" fontId="46" fillId="0" borderId="0" xfId="1387" applyNumberFormat="1" applyFont="1" applyFill="1" applyBorder="1" applyAlignment="1" applyProtection="1">
      <alignment/>
      <protection locked="0"/>
    </xf>
    <xf numFmtId="41" fontId="46" fillId="0" borderId="18" xfId="1387" applyNumberFormat="1" applyFont="1" applyFill="1" applyBorder="1" applyAlignment="1" applyProtection="1">
      <alignment/>
      <protection locked="0"/>
    </xf>
    <xf numFmtId="41" fontId="46" fillId="0" borderId="0" xfId="1387" applyNumberFormat="1" applyFont="1" applyFill="1" applyBorder="1" applyAlignment="1">
      <alignment horizontal="center"/>
      <protection/>
    </xf>
    <xf numFmtId="42" fontId="46" fillId="0" borderId="52" xfId="1202" applyNumberFormat="1" applyFont="1" applyFill="1" applyBorder="1" applyAlignment="1">
      <alignment/>
    </xf>
    <xf numFmtId="225" fontId="46" fillId="0" borderId="18" xfId="1387" applyNumberFormat="1" applyFont="1" applyFill="1" applyBorder="1" applyAlignment="1">
      <alignment/>
      <protection/>
    </xf>
    <xf numFmtId="178" fontId="45" fillId="0" borderId="0" xfId="1387" applyNumberFormat="1" applyFont="1" applyFill="1" applyAlignment="1">
      <alignment horizontal="left"/>
      <protection/>
    </xf>
    <xf numFmtId="42" fontId="46" fillId="0" borderId="52" xfId="1387" applyNumberFormat="1" applyFont="1" applyFill="1" applyBorder="1" applyAlignment="1">
      <alignment/>
      <protection/>
    </xf>
    <xf numFmtId="0" fontId="27" fillId="0" borderId="0" xfId="1390" applyNumberFormat="1" applyFont="1" applyFill="1" applyAlignment="1">
      <alignment/>
      <protection/>
    </xf>
    <xf numFmtId="0" fontId="46" fillId="0" borderId="0" xfId="1390" applyNumberFormat="1" applyFont="1" applyFill="1" applyAlignment="1">
      <alignment/>
      <protection/>
    </xf>
    <xf numFmtId="0" fontId="27" fillId="0" borderId="0" xfId="1390" applyNumberFormat="1" applyFont="1" applyFill="1" applyAlignment="1">
      <alignment horizontal="right"/>
      <protection/>
    </xf>
    <xf numFmtId="0" fontId="16" fillId="0" borderId="0" xfId="1390" applyNumberFormat="1" applyFill="1" applyAlignment="1">
      <alignment/>
      <protection/>
    </xf>
    <xf numFmtId="0" fontId="47" fillId="0" borderId="0" xfId="1390" applyNumberFormat="1" applyFont="1" applyFill="1" applyAlignment="1">
      <alignment/>
      <protection/>
    </xf>
    <xf numFmtId="0" fontId="27" fillId="0" borderId="0" xfId="1390" applyNumberFormat="1" applyFont="1" applyFill="1" applyBorder="1" applyAlignment="1">
      <alignment horizontal="right"/>
      <protection/>
    </xf>
    <xf numFmtId="15" fontId="27" fillId="0" borderId="0" xfId="1390" applyNumberFormat="1" applyFont="1" applyFill="1" applyAlignment="1">
      <alignment/>
      <protection/>
    </xf>
    <xf numFmtId="0" fontId="27" fillId="0" borderId="0" xfId="1390" applyNumberFormat="1" applyFont="1" applyFill="1" applyAlignment="1" applyProtection="1">
      <alignment horizontal="left"/>
      <protection locked="0"/>
    </xf>
    <xf numFmtId="0" fontId="27" fillId="0" borderId="0" xfId="1390" applyNumberFormat="1" applyFont="1" applyFill="1" applyAlignment="1" applyProtection="1">
      <alignment horizontal="centerContinuous"/>
      <protection locked="0"/>
    </xf>
    <xf numFmtId="0" fontId="27" fillId="0" borderId="0" xfId="1390" applyNumberFormat="1" applyFont="1" applyFill="1" applyAlignment="1">
      <alignment horizontal="centerContinuous"/>
      <protection/>
    </xf>
    <xf numFmtId="42" fontId="27" fillId="0" borderId="0" xfId="1390" applyNumberFormat="1" applyFont="1" applyFill="1" applyAlignment="1">
      <alignment/>
      <protection/>
    </xf>
    <xf numFmtId="0" fontId="27" fillId="0" borderId="0" xfId="1390" applyNumberFormat="1" applyFont="1" applyFill="1" applyAlignment="1">
      <alignment horizontal="center"/>
      <protection/>
    </xf>
    <xf numFmtId="0" fontId="27" fillId="0" borderId="0" xfId="1390" applyNumberFormat="1" applyFont="1" applyFill="1" applyAlignment="1" applyProtection="1">
      <alignment/>
      <protection locked="0"/>
    </xf>
    <xf numFmtId="42" fontId="27" fillId="0" borderId="0" xfId="1390" applyNumberFormat="1" applyFont="1" applyFill="1" applyAlignment="1" applyProtection="1">
      <alignment horizontal="center"/>
      <protection locked="0"/>
    </xf>
    <xf numFmtId="0" fontId="27" fillId="0" borderId="0" xfId="1390" applyNumberFormat="1" applyFont="1" applyFill="1" applyAlignment="1" applyProtection="1">
      <alignment horizontal="center"/>
      <protection locked="0"/>
    </xf>
    <xf numFmtId="0" fontId="27" fillId="0" borderId="17" xfId="1390" applyNumberFormat="1" applyFont="1" applyFill="1" applyBorder="1" applyAlignment="1">
      <alignment horizontal="center"/>
      <protection/>
    </xf>
    <xf numFmtId="0" fontId="27" fillId="0" borderId="17" xfId="1390" applyNumberFormat="1" applyFont="1" applyFill="1" applyBorder="1" applyAlignment="1">
      <alignment/>
      <protection/>
    </xf>
    <xf numFmtId="0" fontId="27" fillId="0" borderId="17" xfId="1390" applyNumberFormat="1" applyFont="1" applyFill="1" applyBorder="1" applyAlignment="1" applyProtection="1">
      <alignment horizontal="center"/>
      <protection locked="0"/>
    </xf>
    <xf numFmtId="0" fontId="46" fillId="0" borderId="0" xfId="1390" applyNumberFormat="1" applyFont="1" applyFill="1" applyAlignment="1">
      <alignment horizontal="fill"/>
      <protection/>
    </xf>
    <xf numFmtId="0" fontId="46" fillId="0" borderId="0" xfId="1390" applyNumberFormat="1" applyFont="1" applyFill="1" applyAlignment="1" applyProtection="1">
      <alignment horizontal="fill"/>
      <protection locked="0"/>
    </xf>
    <xf numFmtId="0" fontId="46" fillId="0" borderId="0" xfId="1390" applyNumberFormat="1" applyFont="1" applyFill="1" applyAlignment="1">
      <alignment horizontal="center"/>
      <protection/>
    </xf>
    <xf numFmtId="42" fontId="46" fillId="0" borderId="0" xfId="1390" applyNumberFormat="1" applyFont="1" applyFill="1" applyBorder="1" applyAlignment="1">
      <alignment/>
      <protection/>
    </xf>
    <xf numFmtId="41" fontId="46" fillId="0" borderId="18" xfId="1390" applyNumberFormat="1" applyFont="1" applyFill="1" applyBorder="1" applyAlignment="1" applyProtection="1">
      <alignment/>
      <protection locked="0"/>
    </xf>
    <xf numFmtId="41" fontId="46" fillId="0" borderId="0" xfId="1390" applyNumberFormat="1" applyFont="1" applyFill="1" applyBorder="1" applyAlignment="1" applyProtection="1">
      <alignment/>
      <protection locked="0"/>
    </xf>
    <xf numFmtId="41" fontId="46" fillId="0" borderId="17" xfId="1390" applyNumberFormat="1" applyFont="1" applyFill="1" applyBorder="1" applyAlignment="1" applyProtection="1">
      <alignment/>
      <protection locked="0"/>
    </xf>
    <xf numFmtId="0" fontId="27" fillId="0" borderId="0" xfId="1390" applyNumberFormat="1" applyFont="1" applyFill="1" applyAlignment="1">
      <alignment horizontal="left"/>
      <protection/>
    </xf>
    <xf numFmtId="41" fontId="46" fillId="0" borderId="0" xfId="1390" applyNumberFormat="1" applyFont="1" applyFill="1" applyAlignment="1">
      <alignment/>
      <protection/>
    </xf>
    <xf numFmtId="0" fontId="46" fillId="0" borderId="18" xfId="1390" applyNumberFormat="1" applyFont="1" applyFill="1" applyBorder="1" applyAlignment="1">
      <alignment/>
      <protection/>
    </xf>
    <xf numFmtId="0" fontId="46" fillId="0" borderId="0" xfId="1390" applyNumberFormat="1" applyFont="1" applyFill="1" applyAlignment="1" applyProtection="1">
      <alignment horizontal="left"/>
      <protection locked="0"/>
    </xf>
    <xf numFmtId="42" fontId="80" fillId="0" borderId="0" xfId="1255" applyNumberFormat="1" applyFont="1" applyFill="1" applyAlignment="1" applyProtection="1">
      <alignment/>
      <protection locked="0"/>
    </xf>
    <xf numFmtId="42" fontId="80" fillId="0" borderId="18" xfId="1255" applyNumberFormat="1" applyFont="1" applyFill="1" applyBorder="1" applyAlignment="1" applyProtection="1">
      <alignment/>
      <protection locked="0"/>
    </xf>
    <xf numFmtId="224" fontId="46" fillId="0" borderId="0" xfId="1390" applyNumberFormat="1" applyFont="1" applyFill="1" applyAlignment="1" applyProtection="1">
      <alignment/>
      <protection locked="0"/>
    </xf>
    <xf numFmtId="41" fontId="80" fillId="0" borderId="0" xfId="1255" applyNumberFormat="1" applyFont="1" applyFill="1" applyBorder="1" applyAlignment="1" applyProtection="1">
      <alignment/>
      <protection locked="0"/>
    </xf>
    <xf numFmtId="224" fontId="46" fillId="0" borderId="17" xfId="1390" applyNumberFormat="1" applyFont="1" applyFill="1" applyBorder="1" applyAlignment="1" applyProtection="1">
      <alignment/>
      <protection locked="0"/>
    </xf>
    <xf numFmtId="42" fontId="46" fillId="0" borderId="0" xfId="1390" applyNumberFormat="1" applyFont="1" applyFill="1" applyAlignment="1">
      <alignment/>
      <protection/>
    </xf>
    <xf numFmtId="41" fontId="46" fillId="0" borderId="0" xfId="1390" applyNumberFormat="1" applyFont="1" applyFill="1" applyAlignment="1" applyProtection="1">
      <alignment/>
      <protection locked="0"/>
    </xf>
    <xf numFmtId="42" fontId="46" fillId="0" borderId="18" xfId="1255" applyNumberFormat="1" applyFont="1" applyFill="1" applyBorder="1" applyAlignment="1" applyProtection="1">
      <alignment/>
      <protection locked="0"/>
    </xf>
    <xf numFmtId="0" fontId="46" fillId="0" borderId="0" xfId="1390" applyNumberFormat="1" applyFont="1" applyFill="1" applyBorder="1" applyAlignment="1">
      <alignment/>
      <protection/>
    </xf>
    <xf numFmtId="167" fontId="46" fillId="0" borderId="0" xfId="1390" applyNumberFormat="1" applyFont="1" applyFill="1" applyAlignment="1">
      <alignment/>
      <protection/>
    </xf>
    <xf numFmtId="10" fontId="46" fillId="0" borderId="0" xfId="1390" applyNumberFormat="1" applyFont="1" applyFill="1" applyAlignment="1">
      <alignment/>
      <protection/>
    </xf>
    <xf numFmtId="164" fontId="46" fillId="0" borderId="0" xfId="1390" applyNumberFormat="1" applyFont="1" applyFill="1" applyAlignment="1">
      <alignment/>
      <protection/>
    </xf>
    <xf numFmtId="0" fontId="46" fillId="0" borderId="0" xfId="1390" applyNumberFormat="1" applyFont="1" applyFill="1" applyAlignment="1">
      <alignment horizontal="left"/>
      <protection/>
    </xf>
    <xf numFmtId="224" fontId="46" fillId="0" borderId="0" xfId="1390" applyNumberFormat="1" applyFont="1" applyFill="1" applyAlignment="1">
      <alignment/>
      <protection/>
    </xf>
    <xf numFmtId="42" fontId="46" fillId="0" borderId="0" xfId="1255" applyNumberFormat="1" applyFont="1" applyFill="1" applyBorder="1" applyAlignment="1" applyProtection="1">
      <alignment/>
      <protection locked="0"/>
    </xf>
    <xf numFmtId="9" fontId="46" fillId="0" borderId="0" xfId="1390" applyNumberFormat="1" applyFont="1" applyFill="1" applyAlignment="1">
      <alignment/>
      <protection/>
    </xf>
    <xf numFmtId="4" fontId="46" fillId="0" borderId="0" xfId="1202" applyFont="1" applyFill="1" applyAlignment="1">
      <alignment/>
    </xf>
    <xf numFmtId="0" fontId="46" fillId="0" borderId="0" xfId="1390" applyNumberFormat="1" applyFont="1" applyFill="1" applyAlignment="1" quotePrefix="1">
      <alignment horizontal="right"/>
      <protection/>
    </xf>
    <xf numFmtId="42" fontId="46" fillId="0" borderId="16" xfId="1255" applyNumberFormat="1" applyFont="1" applyFill="1" applyBorder="1" applyAlignment="1" applyProtection="1">
      <alignment/>
      <protection locked="0"/>
    </xf>
    <xf numFmtId="178" fontId="45" fillId="0" borderId="0" xfId="1390" applyNumberFormat="1" applyFont="1" applyFill="1" applyAlignment="1">
      <alignment horizontal="left"/>
      <protection/>
    </xf>
    <xf numFmtId="0" fontId="46" fillId="0" borderId="0" xfId="1390" applyNumberFormat="1" applyFont="1" applyFill="1" applyAlignment="1">
      <alignment horizontal="centerContinuous"/>
      <protection/>
    </xf>
    <xf numFmtId="0" fontId="46" fillId="0" borderId="0" xfId="1390" applyNumberFormat="1" applyFont="1" applyFill="1" applyBorder="1" applyAlignment="1">
      <alignment horizontal="right"/>
      <protection/>
    </xf>
    <xf numFmtId="37" fontId="46" fillId="0" borderId="0" xfId="1390" applyNumberFormat="1" applyFont="1" applyFill="1" applyAlignment="1">
      <alignment horizontal="right"/>
      <protection/>
    </xf>
    <xf numFmtId="0" fontId="27" fillId="0" borderId="0" xfId="1395" applyNumberFormat="1" applyFont="1" applyFill="1" applyAlignment="1">
      <alignment/>
      <protection/>
    </xf>
    <xf numFmtId="0" fontId="46" fillId="0" borderId="0" xfId="1395" applyNumberFormat="1" applyFont="1" applyFill="1" applyAlignment="1">
      <alignment/>
      <protection/>
    </xf>
    <xf numFmtId="0" fontId="16" fillId="0" borderId="0" xfId="1395" applyNumberFormat="1" applyFill="1" applyAlignment="1">
      <alignment/>
      <protection/>
    </xf>
    <xf numFmtId="0" fontId="47" fillId="0" borderId="0" xfId="1395" applyNumberFormat="1" applyFont="1" applyFill="1" applyAlignment="1">
      <alignment/>
      <protection/>
    </xf>
    <xf numFmtId="15" fontId="27" fillId="0" borderId="0" xfId="1395" applyNumberFormat="1" applyFont="1" applyFill="1" applyAlignment="1">
      <alignment/>
      <protection/>
    </xf>
    <xf numFmtId="0" fontId="27" fillId="0" borderId="0" xfId="1395" applyNumberFormat="1" applyFont="1" applyFill="1" applyAlignment="1" applyProtection="1">
      <alignment horizontal="left"/>
      <protection locked="0"/>
    </xf>
    <xf numFmtId="0" fontId="27" fillId="0" borderId="0" xfId="1395" applyNumberFormat="1" applyFont="1" applyFill="1" applyAlignment="1" applyProtection="1">
      <alignment horizontal="centerContinuous"/>
      <protection locked="0"/>
    </xf>
    <xf numFmtId="0" fontId="27" fillId="0" borderId="0" xfId="1395" applyNumberFormat="1" applyFont="1" applyFill="1" applyAlignment="1">
      <alignment horizontal="centerContinuous"/>
      <protection/>
    </xf>
    <xf numFmtId="42" fontId="27" fillId="0" borderId="0" xfId="1395" applyNumberFormat="1" applyFont="1" applyFill="1" applyAlignment="1">
      <alignment/>
      <protection/>
    </xf>
    <xf numFmtId="0" fontId="27" fillId="0" borderId="0" xfId="1395" applyNumberFormat="1" applyFont="1" applyFill="1" applyAlignment="1">
      <alignment horizontal="center"/>
      <protection/>
    </xf>
    <xf numFmtId="0" fontId="27" fillId="0" borderId="0" xfId="1395" applyNumberFormat="1" applyFont="1" applyFill="1" applyAlignment="1" applyProtection="1">
      <alignment/>
      <protection locked="0"/>
    </xf>
    <xf numFmtId="42" fontId="27" fillId="0" borderId="0" xfId="1395" applyNumberFormat="1" applyFont="1" applyFill="1" applyAlignment="1" applyProtection="1">
      <alignment horizontal="center"/>
      <protection locked="0"/>
    </xf>
    <xf numFmtId="0" fontId="27" fillId="0" borderId="0" xfId="1395" applyNumberFormat="1" applyFont="1" applyFill="1" applyAlignment="1" applyProtection="1">
      <alignment horizontal="center"/>
      <protection locked="0"/>
    </xf>
    <xf numFmtId="0" fontId="27" fillId="0" borderId="17" xfId="1395" applyNumberFormat="1" applyFont="1" applyFill="1" applyBorder="1" applyAlignment="1">
      <alignment horizontal="center"/>
      <protection/>
    </xf>
    <xf numFmtId="0" fontId="27" fillId="0" borderId="17" xfId="1395" applyNumberFormat="1" applyFont="1" applyFill="1" applyBorder="1" applyAlignment="1">
      <alignment/>
      <protection/>
    </xf>
    <xf numFmtId="0" fontId="27" fillId="0" borderId="17" xfId="1395" applyNumberFormat="1" applyFont="1" applyFill="1" applyBorder="1" applyAlignment="1" applyProtection="1">
      <alignment horizontal="center"/>
      <protection locked="0"/>
    </xf>
    <xf numFmtId="0" fontId="46" fillId="0" borderId="0" xfId="1395" applyNumberFormat="1" applyFont="1" applyFill="1" applyAlignment="1">
      <alignment horizontal="fill"/>
      <protection/>
    </xf>
    <xf numFmtId="0" fontId="46" fillId="0" borderId="0" xfId="1395" applyNumberFormat="1" applyFont="1" applyFill="1" applyAlignment="1" applyProtection="1">
      <alignment horizontal="fill"/>
      <protection locked="0"/>
    </xf>
    <xf numFmtId="0" fontId="46" fillId="0" borderId="0" xfId="1395" applyNumberFormat="1" applyFont="1" applyFill="1" applyAlignment="1">
      <alignment horizontal="center"/>
      <protection/>
    </xf>
    <xf numFmtId="42" fontId="46" fillId="0" borderId="0" xfId="1395" applyNumberFormat="1" applyFont="1" applyFill="1" applyBorder="1" applyAlignment="1">
      <alignment/>
      <protection/>
    </xf>
    <xf numFmtId="41" fontId="46" fillId="0" borderId="18" xfId="1395" applyNumberFormat="1" applyFont="1" applyFill="1" applyBorder="1" applyAlignment="1" applyProtection="1">
      <alignment/>
      <protection locked="0"/>
    </xf>
    <xf numFmtId="41" fontId="46" fillId="0" borderId="0" xfId="1395" applyNumberFormat="1" applyFont="1" applyFill="1" applyBorder="1" applyAlignment="1" applyProtection="1">
      <alignment/>
      <protection locked="0"/>
    </xf>
    <xf numFmtId="41" fontId="46" fillId="0" borderId="17" xfId="1395" applyNumberFormat="1" applyFont="1" applyFill="1" applyBorder="1" applyAlignment="1" applyProtection="1">
      <alignment/>
      <protection locked="0"/>
    </xf>
    <xf numFmtId="0" fontId="27" fillId="0" borderId="0" xfId="1395" applyNumberFormat="1" applyFont="1" applyFill="1" applyAlignment="1">
      <alignment horizontal="left"/>
      <protection/>
    </xf>
    <xf numFmtId="41" fontId="46" fillId="0" borderId="0" xfId="1395" applyNumberFormat="1" applyFont="1" applyFill="1" applyAlignment="1">
      <alignment/>
      <protection/>
    </xf>
    <xf numFmtId="0" fontId="46" fillId="0" borderId="18" xfId="1395" applyNumberFormat="1" applyFont="1" applyFill="1" applyBorder="1" applyAlignment="1">
      <alignment/>
      <protection/>
    </xf>
    <xf numFmtId="0" fontId="46" fillId="0" borderId="0" xfId="1395" applyNumberFormat="1" applyFont="1" applyFill="1" applyAlignment="1" applyProtection="1">
      <alignment horizontal="left"/>
      <protection locked="0"/>
    </xf>
    <xf numFmtId="42" fontId="80" fillId="0" borderId="0" xfId="1247" applyNumberFormat="1" applyFont="1" applyFill="1" applyAlignment="1" applyProtection="1">
      <alignment/>
      <protection locked="0"/>
    </xf>
    <xf numFmtId="42" fontId="80" fillId="0" borderId="18" xfId="1247" applyNumberFormat="1" applyFont="1" applyFill="1" applyBorder="1" applyAlignment="1" applyProtection="1">
      <alignment/>
      <protection locked="0"/>
    </xf>
    <xf numFmtId="224" fontId="46" fillId="0" borderId="0" xfId="1395" applyNumberFormat="1" applyFont="1" applyFill="1" applyAlignment="1" applyProtection="1">
      <alignment/>
      <protection locked="0"/>
    </xf>
    <xf numFmtId="41" fontId="80" fillId="0" borderId="0" xfId="1247" applyNumberFormat="1" applyFont="1" applyFill="1" applyBorder="1" applyAlignment="1" applyProtection="1">
      <alignment/>
      <protection locked="0"/>
    </xf>
    <xf numFmtId="224" fontId="46" fillId="0" borderId="17" xfId="1395" applyNumberFormat="1" applyFont="1" applyFill="1" applyBorder="1" applyAlignment="1" applyProtection="1">
      <alignment/>
      <protection locked="0"/>
    </xf>
    <xf numFmtId="42" fontId="46" fillId="0" borderId="0" xfId="1395" applyNumberFormat="1" applyFont="1" applyFill="1" applyAlignment="1">
      <alignment/>
      <protection/>
    </xf>
    <xf numFmtId="42" fontId="46" fillId="0" borderId="18" xfId="1247" applyNumberFormat="1" applyFont="1" applyFill="1" applyBorder="1" applyAlignment="1" applyProtection="1">
      <alignment/>
      <protection locked="0"/>
    </xf>
    <xf numFmtId="0" fontId="46" fillId="0" borderId="0" xfId="1395" applyNumberFormat="1" applyFont="1" applyFill="1" applyBorder="1" applyAlignment="1">
      <alignment/>
      <protection/>
    </xf>
    <xf numFmtId="41" fontId="46" fillId="0" borderId="0" xfId="1395" applyNumberFormat="1" applyFont="1" applyFill="1" applyAlignment="1" applyProtection="1">
      <alignment/>
      <protection locked="0"/>
    </xf>
    <xf numFmtId="167" fontId="46" fillId="0" borderId="0" xfId="1395" applyNumberFormat="1" applyFont="1" applyFill="1" applyAlignment="1">
      <alignment/>
      <protection/>
    </xf>
    <xf numFmtId="206" fontId="46" fillId="0" borderId="0" xfId="1395" applyNumberFormat="1" applyFont="1" applyFill="1" applyAlignment="1">
      <alignment/>
      <protection/>
    </xf>
    <xf numFmtId="164" fontId="46" fillId="0" borderId="0" xfId="1395" applyNumberFormat="1" applyFont="1" applyFill="1" applyAlignment="1">
      <alignment/>
      <protection/>
    </xf>
    <xf numFmtId="224" fontId="46" fillId="0" borderId="0" xfId="1395" applyNumberFormat="1" applyFont="1" applyFill="1" applyAlignment="1">
      <alignment/>
      <protection/>
    </xf>
    <xf numFmtId="42" fontId="46" fillId="0" borderId="0" xfId="1247" applyNumberFormat="1" applyFont="1" applyFill="1" applyBorder="1" applyAlignment="1" applyProtection="1">
      <alignment/>
      <protection locked="0"/>
    </xf>
    <xf numFmtId="9" fontId="46" fillId="0" borderId="0" xfId="1395" applyNumberFormat="1" applyFont="1" applyFill="1" applyAlignment="1">
      <alignment/>
      <protection/>
    </xf>
    <xf numFmtId="4" fontId="46" fillId="0" borderId="0" xfId="1191" applyFont="1" applyFill="1" applyAlignment="1">
      <alignment/>
    </xf>
    <xf numFmtId="0" fontId="46" fillId="0" borderId="0" xfId="1395" applyNumberFormat="1" applyFont="1" applyFill="1" applyAlignment="1" quotePrefix="1">
      <alignment horizontal="right"/>
      <protection/>
    </xf>
    <xf numFmtId="42" fontId="46" fillId="0" borderId="16" xfId="1247" applyNumberFormat="1" applyFont="1" applyFill="1" applyBorder="1" applyAlignment="1" applyProtection="1">
      <alignment/>
      <protection locked="0"/>
    </xf>
    <xf numFmtId="0" fontId="46" fillId="0" borderId="0" xfId="1395" applyNumberFormat="1" applyFont="1" applyFill="1" applyAlignment="1">
      <alignment horizontal="centerContinuous"/>
      <protection/>
    </xf>
    <xf numFmtId="0" fontId="46" fillId="0" borderId="0" xfId="1395" applyNumberFormat="1" applyFont="1" applyFill="1" applyBorder="1" applyAlignment="1">
      <alignment horizontal="right"/>
      <protection/>
    </xf>
    <xf numFmtId="37" fontId="46" fillId="0" borderId="0" xfId="1395" applyNumberFormat="1" applyFont="1" applyFill="1" applyAlignment="1">
      <alignment horizontal="right"/>
      <protection/>
    </xf>
    <xf numFmtId="0" fontId="27" fillId="0" borderId="0" xfId="1395" applyNumberFormat="1" applyFont="1" applyFill="1" applyBorder="1" applyAlignment="1" quotePrefix="1">
      <alignment horizontal="right"/>
      <protection/>
    </xf>
    <xf numFmtId="15" fontId="27" fillId="0" borderId="0" xfId="1395" applyNumberFormat="1" applyFont="1" applyFill="1" applyAlignment="1">
      <alignment horizontal="centerContinuous"/>
      <protection/>
    </xf>
    <xf numFmtId="18" fontId="27" fillId="0" borderId="0" xfId="1395" applyNumberFormat="1" applyFont="1" applyFill="1" applyAlignment="1">
      <alignment horizontal="centerContinuous"/>
      <protection/>
    </xf>
    <xf numFmtId="206" fontId="27" fillId="0" borderId="17" xfId="1395" applyNumberFormat="1" applyFont="1" applyFill="1" applyBorder="1" applyAlignment="1">
      <alignment horizontal="center"/>
      <protection/>
    </xf>
    <xf numFmtId="9" fontId="27" fillId="0" borderId="17" xfId="1395" applyNumberFormat="1" applyFont="1" applyFill="1" applyBorder="1" applyAlignment="1">
      <alignment horizontal="center"/>
      <protection/>
    </xf>
    <xf numFmtId="0" fontId="79" fillId="0" borderId="0" xfId="1395" applyNumberFormat="1" applyFont="1" applyFill="1" applyAlignment="1">
      <alignment/>
      <protection/>
    </xf>
    <xf numFmtId="0" fontId="46" fillId="0" borderId="0" xfId="1395" applyNumberFormat="1" applyFont="1" applyFill="1" applyAlignment="1">
      <alignment horizontal="left" indent="1"/>
      <protection/>
    </xf>
    <xf numFmtId="41" fontId="46" fillId="0" borderId="18" xfId="1395" applyNumberFormat="1" applyFont="1" applyFill="1" applyBorder="1" applyAlignment="1">
      <alignment/>
      <protection/>
    </xf>
    <xf numFmtId="41" fontId="46" fillId="0" borderId="0" xfId="1395" applyNumberFormat="1" applyFont="1" applyFill="1" applyBorder="1" applyAlignment="1">
      <alignment/>
      <protection/>
    </xf>
    <xf numFmtId="41" fontId="46" fillId="0" borderId="17" xfId="1395" applyNumberFormat="1" applyFont="1" applyFill="1" applyBorder="1" applyAlignment="1">
      <alignment/>
      <protection/>
    </xf>
    <xf numFmtId="0" fontId="81" fillId="0" borderId="0" xfId="1395" applyNumberFormat="1" applyFont="1" applyFill="1" applyBorder="1" applyAlignment="1">
      <alignment horizontal="left"/>
      <protection/>
    </xf>
    <xf numFmtId="42" fontId="46" fillId="0" borderId="0" xfId="1395" applyNumberFormat="1" applyFont="1" applyFill="1" applyAlignment="1" applyProtection="1">
      <alignment/>
      <protection locked="0"/>
    </xf>
    <xf numFmtId="178" fontId="46" fillId="0" borderId="0" xfId="1395" applyFont="1" applyFill="1" applyAlignment="1">
      <alignment horizontal="left"/>
      <protection/>
    </xf>
    <xf numFmtId="42" fontId="46" fillId="0" borderId="4" xfId="1191" applyNumberFormat="1" applyFont="1" applyFill="1" applyBorder="1" applyAlignment="1">
      <alignment/>
    </xf>
    <xf numFmtId="42" fontId="46" fillId="0" borderId="18" xfId="1191" applyNumberFormat="1" applyFont="1" applyFill="1" applyBorder="1" applyAlignment="1">
      <alignment/>
    </xf>
    <xf numFmtId="42" fontId="46" fillId="0" borderId="0" xfId="1191" applyNumberFormat="1" applyFont="1" applyFill="1" applyBorder="1" applyAlignment="1">
      <alignment/>
    </xf>
    <xf numFmtId="42" fontId="46" fillId="0" borderId="17" xfId="1191" applyNumberFormat="1" applyFont="1" applyFill="1" applyBorder="1" applyAlignment="1">
      <alignment/>
    </xf>
    <xf numFmtId="0" fontId="16" fillId="0" borderId="0" xfId="1395" applyNumberFormat="1" applyFont="1" applyFill="1" applyAlignment="1">
      <alignment/>
      <protection/>
    </xf>
    <xf numFmtId="42" fontId="46" fillId="0" borderId="16" xfId="1395" applyNumberFormat="1" applyFont="1" applyFill="1" applyBorder="1" applyAlignment="1">
      <alignment/>
      <protection/>
    </xf>
    <xf numFmtId="41" fontId="46" fillId="0" borderId="0" xfId="1395" applyNumberFormat="1" applyFont="1" applyFill="1" applyBorder="1" applyAlignment="1">
      <alignment horizontal="center"/>
      <protection/>
    </xf>
    <xf numFmtId="42" fontId="46" fillId="0" borderId="52" xfId="1191" applyNumberFormat="1" applyFont="1" applyFill="1" applyBorder="1" applyAlignment="1">
      <alignment/>
    </xf>
    <xf numFmtId="225" fontId="46" fillId="0" borderId="18" xfId="1395" applyNumberFormat="1" applyFont="1" applyFill="1" applyBorder="1" applyAlignment="1">
      <alignment/>
      <protection/>
    </xf>
    <xf numFmtId="42" fontId="46" fillId="0" borderId="52" xfId="1395" applyNumberFormat="1" applyFont="1" applyFill="1" applyBorder="1" applyAlignment="1">
      <alignment/>
      <protection/>
    </xf>
    <xf numFmtId="0" fontId="45" fillId="0" borderId="0" xfId="1395" applyNumberFormat="1" applyFont="1" applyFill="1" applyAlignment="1">
      <alignment/>
      <protection/>
    </xf>
    <xf numFmtId="3" fontId="9" fillId="0" borderId="18" xfId="1228" applyNumberFormat="1" applyFont="1" applyFill="1" applyBorder="1" applyAlignment="1" applyProtection="1">
      <alignment/>
      <protection/>
    </xf>
    <xf numFmtId="0" fontId="9" fillId="0" borderId="18" xfId="1404" applyFont="1" applyFill="1" applyBorder="1" applyAlignment="1" applyProtection="1">
      <alignment horizontal="left" indent="1"/>
      <protection locked="0"/>
    </xf>
    <xf numFmtId="0" fontId="0" fillId="0" borderId="0" xfId="1404" applyFont="1" applyFill="1" applyBorder="1" applyAlignment="1" applyProtection="1">
      <alignment horizontal="right"/>
      <protection locked="0"/>
    </xf>
    <xf numFmtId="167" fontId="0" fillId="0" borderId="18" xfId="1245" applyNumberFormat="1" applyFill="1" applyBorder="1" applyAlignment="1">
      <alignment/>
    </xf>
    <xf numFmtId="164" fontId="0" fillId="0" borderId="0" xfId="0" applyNumberFormat="1" applyFill="1" applyAlignment="1">
      <alignment/>
    </xf>
    <xf numFmtId="0" fontId="0" fillId="0" borderId="0" xfId="1405" applyFont="1" applyFill="1" applyProtection="1">
      <alignment/>
      <protection locked="0"/>
    </xf>
    <xf numFmtId="0" fontId="0" fillId="0" borderId="0" xfId="1405" applyFont="1" applyFill="1" applyAlignment="1" applyProtection="1">
      <alignment/>
      <protection locked="0"/>
    </xf>
    <xf numFmtId="0" fontId="22" fillId="0" borderId="0" xfId="1392" applyNumberFormat="1" applyFont="1" applyFill="1" applyAlignment="1" applyProtection="1">
      <alignment/>
      <protection locked="0"/>
    </xf>
    <xf numFmtId="0" fontId="0" fillId="0" borderId="0" xfId="1392" applyNumberFormat="1" applyFont="1" applyFill="1" applyAlignment="1" applyProtection="1">
      <alignment/>
      <protection locked="0"/>
    </xf>
    <xf numFmtId="0" fontId="0" fillId="0" borderId="0" xfId="1405" applyFont="1" applyFill="1" applyBorder="1" applyAlignment="1" applyProtection="1">
      <alignment/>
      <protection locked="0"/>
    </xf>
    <xf numFmtId="0" fontId="3" fillId="0" borderId="0" xfId="1405" applyFont="1" applyFill="1" applyAlignment="1" applyProtection="1">
      <alignment horizontal="left"/>
      <protection locked="0"/>
    </xf>
    <xf numFmtId="0" fontId="0" fillId="0" borderId="0" xfId="1405" applyFill="1" applyProtection="1">
      <alignment/>
      <protection locked="0"/>
    </xf>
    <xf numFmtId="0" fontId="0" fillId="0" borderId="0" xfId="1405" applyFill="1" applyAlignment="1" applyProtection="1">
      <alignment/>
      <protection locked="0"/>
    </xf>
    <xf numFmtId="0" fontId="17" fillId="0" borderId="17" xfId="1405" applyFont="1" applyFill="1" applyBorder="1" applyAlignment="1" applyProtection="1">
      <alignment horizontal="centerContinuous"/>
      <protection locked="0"/>
    </xf>
    <xf numFmtId="0" fontId="16" fillId="0" borderId="0" xfId="1392" applyNumberFormat="1" applyFill="1" applyAlignment="1" applyProtection="1">
      <alignment/>
      <protection locked="0"/>
    </xf>
    <xf numFmtId="164" fontId="3" fillId="0" borderId="17" xfId="1227" applyNumberFormat="1" applyFont="1" applyFill="1" applyBorder="1" applyAlignment="1" applyProtection="1">
      <alignment horizontal="centerContinuous"/>
      <protection locked="0"/>
    </xf>
    <xf numFmtId="0" fontId="16" fillId="0" borderId="17" xfId="1392" applyNumberFormat="1" applyFill="1" applyBorder="1" applyAlignment="1" applyProtection="1">
      <alignment horizontal="centerContinuous"/>
      <protection locked="0"/>
    </xf>
    <xf numFmtId="0" fontId="0" fillId="0" borderId="17" xfId="1392" applyNumberFormat="1" applyFont="1" applyFill="1" applyBorder="1" applyAlignment="1" applyProtection="1">
      <alignment horizontal="centerContinuous"/>
      <protection locked="0"/>
    </xf>
    <xf numFmtId="0" fontId="0" fillId="0" borderId="17" xfId="1405" applyFill="1" applyBorder="1" applyAlignment="1" applyProtection="1">
      <alignment horizontal="centerContinuous"/>
      <protection locked="0"/>
    </xf>
    <xf numFmtId="0" fontId="3" fillId="0" borderId="0" xfId="1405" applyFont="1" applyFill="1" applyBorder="1" applyAlignment="1" applyProtection="1">
      <alignment horizontal="centerContinuous"/>
      <protection locked="0"/>
    </xf>
    <xf numFmtId="164" fontId="3" fillId="0" borderId="0" xfId="1227" applyNumberFormat="1" applyFont="1" applyFill="1" applyBorder="1" applyAlignment="1" applyProtection="1">
      <alignment horizontal="centerContinuous"/>
      <protection locked="0"/>
    </xf>
    <xf numFmtId="0" fontId="3" fillId="0" borderId="0" xfId="1405" applyFont="1" applyFill="1" applyBorder="1" applyAlignment="1" applyProtection="1">
      <alignment/>
      <protection locked="0"/>
    </xf>
    <xf numFmtId="0" fontId="16" fillId="0" borderId="0" xfId="1392" applyNumberFormat="1" applyFill="1" applyBorder="1" applyAlignment="1" applyProtection="1">
      <alignment horizontal="centerContinuous"/>
      <protection locked="0"/>
    </xf>
    <xf numFmtId="0" fontId="0" fillId="0" borderId="0" xfId="1392" applyNumberFormat="1" applyFont="1" applyFill="1" applyBorder="1" applyAlignment="1" applyProtection="1">
      <alignment horizontal="centerContinuous"/>
      <protection locked="0"/>
    </xf>
    <xf numFmtId="0" fontId="0" fillId="0" borderId="0" xfId="1405" applyFill="1" applyBorder="1" applyAlignment="1" applyProtection="1">
      <alignment horizontal="centerContinuous"/>
      <protection locked="0"/>
    </xf>
    <xf numFmtId="0" fontId="0" fillId="0" borderId="0" xfId="1405" applyFill="1" applyBorder="1" applyAlignment="1" applyProtection="1">
      <alignment/>
      <protection locked="0"/>
    </xf>
    <xf numFmtId="0" fontId="0" fillId="0" borderId="0" xfId="1405" applyFill="1" applyAlignment="1" applyProtection="1">
      <alignment horizontal="center"/>
      <protection locked="0"/>
    </xf>
    <xf numFmtId="0" fontId="3" fillId="0" borderId="0" xfId="1405" applyFont="1" applyFill="1" applyAlignment="1" applyProtection="1">
      <alignment horizontal="center"/>
      <protection locked="0"/>
    </xf>
    <xf numFmtId="0" fontId="3" fillId="0" borderId="17" xfId="1405" applyFont="1" applyFill="1" applyBorder="1" applyAlignment="1" applyProtection="1">
      <alignment horizontal="centerContinuous"/>
      <protection locked="0"/>
    </xf>
    <xf numFmtId="0" fontId="3" fillId="0" borderId="17" xfId="1405" applyFont="1" applyFill="1" applyBorder="1" applyAlignment="1" applyProtection="1">
      <alignment horizontal="center"/>
      <protection locked="0"/>
    </xf>
    <xf numFmtId="0" fontId="3" fillId="0" borderId="17" xfId="1405" applyFont="1" applyFill="1" applyBorder="1" applyProtection="1">
      <alignment/>
      <protection locked="0"/>
    </xf>
    <xf numFmtId="0" fontId="0" fillId="0" borderId="17" xfId="1405" applyFont="1" applyFill="1" applyBorder="1" applyAlignment="1" applyProtection="1">
      <alignment/>
      <protection locked="0"/>
    </xf>
    <xf numFmtId="164" fontId="3" fillId="0" borderId="17" xfId="1227" applyNumberFormat="1" applyFont="1" applyFill="1" applyBorder="1" applyAlignment="1" applyProtection="1">
      <alignment horizontal="center"/>
      <protection locked="0"/>
    </xf>
    <xf numFmtId="0" fontId="16" fillId="0" borderId="17" xfId="1392" applyNumberFormat="1" applyFont="1" applyFill="1" applyBorder="1" applyAlignment="1" applyProtection="1">
      <alignment/>
      <protection locked="0"/>
    </xf>
    <xf numFmtId="0" fontId="16" fillId="0" borderId="17" xfId="1392" applyNumberFormat="1" applyFont="1" applyFill="1" applyBorder="1" applyAlignment="1" applyProtection="1">
      <alignment horizontal="centerContinuous"/>
      <protection locked="0"/>
    </xf>
    <xf numFmtId="0" fontId="3" fillId="0" borderId="17" xfId="1392" applyNumberFormat="1" applyFont="1" applyFill="1" applyBorder="1" applyAlignment="1" applyProtection="1">
      <alignment horizontal="center"/>
      <protection locked="0"/>
    </xf>
    <xf numFmtId="10" fontId="3" fillId="0" borderId="17" xfId="1405" applyNumberFormat="1" applyFont="1" applyFill="1" applyBorder="1" applyAlignment="1" applyProtection="1">
      <alignment horizontal="center"/>
      <protection locked="0"/>
    </xf>
    <xf numFmtId="0" fontId="0" fillId="0" borderId="0" xfId="1405" applyFill="1" applyBorder="1" applyAlignment="1" applyProtection="1">
      <alignment horizontal="center"/>
      <protection locked="0"/>
    </xf>
    <xf numFmtId="0" fontId="0" fillId="0" borderId="0" xfId="1405" applyFill="1" applyBorder="1" applyProtection="1">
      <alignment/>
      <protection locked="0"/>
    </xf>
    <xf numFmtId="0" fontId="19" fillId="0" borderId="0" xfId="1405" applyFont="1" applyFill="1" applyBorder="1" applyAlignment="1">
      <alignment horizontal="center"/>
      <protection/>
    </xf>
    <xf numFmtId="0" fontId="16" fillId="0" borderId="0" xfId="1392" applyNumberFormat="1" applyFill="1" applyBorder="1" applyAlignment="1">
      <alignment/>
      <protection/>
    </xf>
    <xf numFmtId="0" fontId="16" fillId="0" borderId="0" xfId="1392" applyNumberFormat="1" applyFont="1" applyFill="1" applyBorder="1" applyAlignment="1" applyProtection="1">
      <alignment horizontal="centerContinuous"/>
      <protection locked="0"/>
    </xf>
    <xf numFmtId="0" fontId="16" fillId="0" borderId="0" xfId="1392" applyNumberFormat="1" applyFill="1" applyBorder="1" applyAlignment="1" applyProtection="1">
      <alignment/>
      <protection locked="0"/>
    </xf>
    <xf numFmtId="0" fontId="0" fillId="0" borderId="0" xfId="1392" applyNumberFormat="1" applyFont="1" applyFill="1" applyBorder="1" applyAlignment="1" applyProtection="1">
      <alignment/>
      <protection locked="0"/>
    </xf>
    <xf numFmtId="10" fontId="6" fillId="0" borderId="0" xfId="1405" applyNumberFormat="1" applyFont="1" applyFill="1" applyBorder="1" applyAlignment="1" applyProtection="1">
      <alignment horizontal="center"/>
      <protection locked="0"/>
    </xf>
    <xf numFmtId="0" fontId="6" fillId="0" borderId="0" xfId="1405" applyFont="1" applyFill="1" applyBorder="1" applyAlignment="1" applyProtection="1">
      <alignment horizontal="center"/>
      <protection locked="0"/>
    </xf>
    <xf numFmtId="0" fontId="3" fillId="0" borderId="0" xfId="1405" applyFont="1" applyFill="1" applyBorder="1" applyAlignment="1" applyProtection="1">
      <alignment horizontal="center"/>
      <protection locked="0"/>
    </xf>
    <xf numFmtId="164" fontId="8" fillId="0" borderId="23" xfId="1227" applyNumberFormat="1" applyFont="1" applyFill="1" applyBorder="1" applyAlignment="1" applyProtection="1">
      <alignment horizontal="centerContinuous"/>
      <protection locked="0"/>
    </xf>
    <xf numFmtId="0" fontId="7" fillId="0" borderId="23" xfId="1405" applyFont="1" applyFill="1" applyBorder="1" applyAlignment="1" applyProtection="1">
      <alignment horizontal="left" indent="1"/>
      <protection locked="0"/>
    </xf>
    <xf numFmtId="0" fontId="0" fillId="0" borderId="0" xfId="1405" applyFill="1" applyBorder="1" applyAlignment="1" applyProtection="1" quotePrefix="1">
      <alignment horizontal="center"/>
      <protection locked="0"/>
    </xf>
    <xf numFmtId="0" fontId="0" fillId="0" borderId="0" xfId="1405" applyFill="1" applyBorder="1" applyAlignment="1" applyProtection="1">
      <alignment horizontal="right"/>
      <protection locked="0"/>
    </xf>
    <xf numFmtId="41" fontId="0" fillId="0" borderId="0" xfId="1227" applyNumberFormat="1" applyFont="1" applyFill="1" applyBorder="1" applyAlignment="1" applyProtection="1">
      <alignment/>
      <protection locked="0"/>
    </xf>
    <xf numFmtId="41" fontId="16" fillId="0" borderId="0" xfId="1392" applyNumberFormat="1" applyFont="1" applyFill="1" applyBorder="1" applyAlignment="1" applyProtection="1">
      <alignment/>
      <protection locked="0"/>
    </xf>
    <xf numFmtId="164" fontId="0" fillId="0" borderId="23" xfId="1227" applyNumberFormat="1" applyFont="1" applyFill="1" applyBorder="1" applyAlignment="1" applyProtection="1">
      <alignment/>
      <protection locked="0"/>
    </xf>
    <xf numFmtId="179" fontId="7" fillId="0" borderId="0" xfId="1392" applyNumberFormat="1" applyFont="1" applyFill="1" applyBorder="1" applyAlignment="1" applyProtection="1">
      <alignment horizontal="center"/>
      <protection locked="0"/>
    </xf>
    <xf numFmtId="10" fontId="0" fillId="0" borderId="0" xfId="1392" applyNumberFormat="1" applyFont="1" applyFill="1" applyBorder="1" applyAlignment="1" applyProtection="1">
      <alignment/>
      <protection locked="0"/>
    </xf>
    <xf numFmtId="41" fontId="0" fillId="0" borderId="0" xfId="1277" applyNumberFormat="1" applyFont="1" applyFill="1" applyBorder="1" applyAlignment="1" applyProtection="1">
      <alignment/>
      <protection locked="0"/>
    </xf>
    <xf numFmtId="41" fontId="7" fillId="0" borderId="23" xfId="1227" applyNumberFormat="1" applyFont="1" applyFill="1" applyBorder="1" applyAlignment="1" applyProtection="1">
      <alignment horizontal="left" indent="1"/>
      <protection locked="0"/>
    </xf>
    <xf numFmtId="41" fontId="0" fillId="0" borderId="0" xfId="1405" applyNumberFormat="1" applyFont="1" applyFill="1" applyBorder="1" applyAlignment="1" applyProtection="1">
      <alignment/>
      <protection locked="0"/>
    </xf>
    <xf numFmtId="164" fontId="0" fillId="0" borderId="0" xfId="1227" applyNumberFormat="1" applyFont="1" applyFill="1" applyBorder="1" applyAlignment="1" applyProtection="1">
      <alignment/>
      <protection locked="0"/>
    </xf>
    <xf numFmtId="167" fontId="0" fillId="0" borderId="0" xfId="1277" applyNumberFormat="1" applyFont="1" applyFill="1" applyBorder="1" applyAlignment="1" applyProtection="1">
      <alignment/>
      <protection locked="0"/>
    </xf>
    <xf numFmtId="41" fontId="0" fillId="0" borderId="23" xfId="1227" applyNumberFormat="1" applyFont="1" applyFill="1" applyBorder="1" applyAlignment="1" applyProtection="1">
      <alignment/>
      <protection locked="0"/>
    </xf>
    <xf numFmtId="179" fontId="7" fillId="0" borderId="0" xfId="1392" applyNumberFormat="1" applyFont="1" applyFill="1" applyBorder="1" applyAlignment="1" applyProtection="1">
      <alignment/>
      <protection locked="0"/>
    </xf>
    <xf numFmtId="41" fontId="0" fillId="0" borderId="0" xfId="1227" applyNumberFormat="1" applyFont="1" applyFill="1" applyBorder="1" applyAlignment="1" applyProtection="1">
      <alignment horizontal="right" vertical="center"/>
      <protection locked="0"/>
    </xf>
    <xf numFmtId="0" fontId="0" fillId="0" borderId="0" xfId="1405" applyFont="1" applyFill="1" applyBorder="1" applyAlignment="1" applyProtection="1" quotePrefix="1">
      <alignment horizontal="center"/>
      <protection locked="0"/>
    </xf>
    <xf numFmtId="41" fontId="0" fillId="0" borderId="0" xfId="1227" applyNumberFormat="1" applyFill="1" applyBorder="1" applyAlignment="1" applyProtection="1">
      <alignment/>
      <protection locked="0"/>
    </xf>
    <xf numFmtId="41" fontId="16" fillId="0" borderId="12" xfId="1401" applyNumberFormat="1" applyFont="1" applyFill="1" applyBorder="1" applyAlignment="1" applyProtection="1">
      <alignment/>
      <protection locked="0"/>
    </xf>
    <xf numFmtId="41" fontId="7" fillId="0" borderId="0" xfId="1227" applyNumberFormat="1" applyFont="1" applyFill="1" applyBorder="1" applyAlignment="1" applyProtection="1">
      <alignment horizontal="left" indent="1"/>
      <protection locked="0"/>
    </xf>
    <xf numFmtId="41" fontId="16" fillId="0" borderId="0" xfId="1401" applyNumberFormat="1" applyFont="1" applyFill="1" applyBorder="1" applyAlignment="1" applyProtection="1">
      <alignment horizontal="center"/>
      <protection locked="0"/>
    </xf>
    <xf numFmtId="41" fontId="16" fillId="0" borderId="0" xfId="1401" applyNumberFormat="1" applyFont="1" applyFill="1" applyBorder="1" applyAlignment="1" applyProtection="1">
      <alignment/>
      <protection locked="0"/>
    </xf>
    <xf numFmtId="0" fontId="0" fillId="0" borderId="0" xfId="1401" applyNumberFormat="1" applyFont="1" applyFill="1" applyBorder="1" applyAlignment="1" applyProtection="1">
      <alignment/>
      <protection locked="0"/>
    </xf>
    <xf numFmtId="0" fontId="0" fillId="0" borderId="0" xfId="1405" applyFont="1" applyFill="1" applyBorder="1" applyProtection="1">
      <alignment/>
      <protection locked="0"/>
    </xf>
    <xf numFmtId="10" fontId="0" fillId="0" borderId="0" xfId="1401" applyNumberFormat="1" applyFont="1" applyFill="1" applyBorder="1" applyAlignment="1" applyProtection="1">
      <alignment/>
      <protection locked="0"/>
    </xf>
    <xf numFmtId="41" fontId="3" fillId="0" borderId="0" xfId="1227" applyNumberFormat="1" applyFont="1" applyFill="1" applyBorder="1" applyAlignment="1" applyProtection="1">
      <alignment/>
      <protection locked="0"/>
    </xf>
    <xf numFmtId="0" fontId="0" fillId="0" borderId="0" xfId="1405" applyFont="1" applyFill="1" applyBorder="1" applyAlignment="1" applyProtection="1">
      <alignment horizontal="right"/>
      <protection locked="0"/>
    </xf>
    <xf numFmtId="41" fontId="0" fillId="0" borderId="0" xfId="1227" applyNumberFormat="1" applyFill="1" applyBorder="1" applyAlignment="1" applyProtection="1">
      <alignment horizontal="center"/>
      <protection locked="0"/>
    </xf>
    <xf numFmtId="41" fontId="16" fillId="0" borderId="0" xfId="1392" applyNumberFormat="1" applyFill="1" applyBorder="1" applyAlignment="1" applyProtection="1">
      <alignment/>
      <protection locked="0"/>
    </xf>
    <xf numFmtId="41" fontId="16" fillId="0" borderId="0" xfId="1392" applyNumberFormat="1" applyFill="1" applyBorder="1" applyAlignment="1" applyProtection="1">
      <alignment horizontal="center"/>
      <protection locked="0"/>
    </xf>
    <xf numFmtId="41" fontId="0" fillId="0" borderId="0" xfId="1277" applyNumberFormat="1" applyFill="1" applyBorder="1" applyAlignment="1" applyProtection="1">
      <alignment/>
      <protection locked="0"/>
    </xf>
    <xf numFmtId="0" fontId="0" fillId="0" borderId="30" xfId="1405" applyFill="1" applyBorder="1" applyAlignment="1" applyProtection="1">
      <alignment horizontal="right"/>
      <protection locked="0"/>
    </xf>
    <xf numFmtId="17" fontId="0" fillId="0" borderId="18" xfId="1227" applyNumberFormat="1" applyFill="1" applyBorder="1" applyAlignment="1" applyProtection="1">
      <alignment/>
      <protection locked="0"/>
    </xf>
    <xf numFmtId="17" fontId="0" fillId="0" borderId="18" xfId="1227" applyNumberFormat="1" applyFill="1" applyBorder="1" applyAlignment="1" applyProtection="1">
      <alignment horizontal="center"/>
      <protection locked="0"/>
    </xf>
    <xf numFmtId="0" fontId="16" fillId="0" borderId="18" xfId="1392" applyNumberFormat="1" applyFill="1" applyBorder="1" applyAlignment="1" applyProtection="1">
      <alignment/>
      <protection locked="0"/>
    </xf>
    <xf numFmtId="41" fontId="0" fillId="0" borderId="18" xfId="1405" applyNumberFormat="1" applyFill="1" applyBorder="1" applyAlignment="1" applyProtection="1">
      <alignment/>
      <protection locked="0"/>
    </xf>
    <xf numFmtId="179" fontId="7" fillId="0" borderId="18" xfId="1392" applyNumberFormat="1" applyFont="1" applyFill="1" applyBorder="1" applyAlignment="1" applyProtection="1">
      <alignment horizontal="center"/>
      <protection locked="0"/>
    </xf>
    <xf numFmtId="41" fontId="16" fillId="0" borderId="18" xfId="1392" applyNumberFormat="1" applyFill="1" applyBorder="1" applyAlignment="1" applyProtection="1">
      <alignment/>
      <protection locked="0"/>
    </xf>
    <xf numFmtId="41" fontId="21" fillId="0" borderId="18" xfId="1405" applyNumberFormat="1" applyFont="1" applyFill="1" applyBorder="1" applyAlignment="1" applyProtection="1">
      <alignment horizontal="centerContinuous"/>
      <protection locked="0"/>
    </xf>
    <xf numFmtId="0" fontId="0" fillId="0" borderId="31" xfId="1405" applyFill="1" applyBorder="1" applyProtection="1">
      <alignment/>
      <protection locked="0"/>
    </xf>
    <xf numFmtId="0" fontId="0" fillId="0" borderId="32" xfId="1405" applyFill="1" applyBorder="1" applyAlignment="1" applyProtection="1">
      <alignment horizontal="right"/>
      <protection locked="0"/>
    </xf>
    <xf numFmtId="17" fontId="0" fillId="0" borderId="0" xfId="1227" applyNumberFormat="1" applyFill="1" applyBorder="1" applyAlignment="1" applyProtection="1">
      <alignment/>
      <protection locked="0"/>
    </xf>
    <xf numFmtId="17" fontId="0" fillId="0" borderId="0" xfId="1227" applyNumberFormat="1" applyFill="1" applyBorder="1" applyAlignment="1" applyProtection="1">
      <alignment horizontal="center"/>
      <protection locked="0"/>
    </xf>
    <xf numFmtId="41" fontId="0" fillId="0" borderId="0" xfId="1405" applyNumberFormat="1" applyFill="1" applyBorder="1" applyAlignment="1" applyProtection="1">
      <alignment/>
      <protection locked="0"/>
    </xf>
    <xf numFmtId="41" fontId="3" fillId="0" borderId="17" xfId="1405" applyNumberFormat="1" applyFont="1" applyFill="1" applyBorder="1" applyAlignment="1" applyProtection="1">
      <alignment horizontal="centerContinuous"/>
      <protection locked="0"/>
    </xf>
    <xf numFmtId="41" fontId="20" fillId="0" borderId="17" xfId="1405" applyNumberFormat="1" applyFont="1" applyFill="1" applyBorder="1" applyAlignment="1" applyProtection="1">
      <alignment horizontal="centerContinuous"/>
      <protection locked="0"/>
    </xf>
    <xf numFmtId="0" fontId="0" fillId="0" borderId="33" xfId="1405" applyFill="1" applyBorder="1" applyProtection="1">
      <alignment/>
      <protection locked="0"/>
    </xf>
    <xf numFmtId="0" fontId="3" fillId="0" borderId="34" xfId="1405" applyFont="1" applyFill="1" applyBorder="1" applyAlignment="1" applyProtection="1">
      <alignment horizontal="center"/>
      <protection locked="0"/>
    </xf>
    <xf numFmtId="17" fontId="3" fillId="0" borderId="17" xfId="1227" applyNumberFormat="1" applyFont="1" applyFill="1" applyBorder="1" applyAlignment="1" applyProtection="1">
      <alignment horizontal="center"/>
      <protection locked="0"/>
    </xf>
    <xf numFmtId="0" fontId="16" fillId="0" borderId="17" xfId="1392" applyNumberFormat="1" applyFill="1" applyBorder="1" applyAlignment="1" applyProtection="1">
      <alignment/>
      <protection locked="0"/>
    </xf>
    <xf numFmtId="0" fontId="3" fillId="0" borderId="35" xfId="1405" applyFont="1" applyFill="1" applyBorder="1" applyAlignment="1" applyProtection="1">
      <alignment horizontal="center"/>
      <protection locked="0"/>
    </xf>
    <xf numFmtId="41" fontId="21" fillId="0" borderId="0" xfId="1405" applyNumberFormat="1" applyFont="1" applyFill="1" applyBorder="1" applyAlignment="1" applyProtection="1">
      <alignment horizontal="centerContinuous"/>
      <protection locked="0"/>
    </xf>
    <xf numFmtId="0" fontId="0" fillId="0" borderId="32" xfId="1405" applyFont="1" applyFill="1" applyBorder="1" applyAlignment="1" applyProtection="1">
      <alignment horizontal="left" indent="1"/>
      <protection locked="0"/>
    </xf>
    <xf numFmtId="181" fontId="0" fillId="0" borderId="0" xfId="1227" applyNumberFormat="1" applyFill="1" applyBorder="1" applyAlignment="1" applyProtection="1">
      <alignment horizontal="center"/>
      <protection locked="0"/>
    </xf>
    <xf numFmtId="41" fontId="0" fillId="0" borderId="0" xfId="1405" applyNumberFormat="1" applyFont="1" applyFill="1" applyBorder="1" applyAlignment="1">
      <alignment/>
      <protection/>
    </xf>
    <xf numFmtId="41" fontId="0" fillId="0" borderId="0" xfId="1405" applyNumberFormat="1" applyFill="1" applyProtection="1">
      <alignment/>
      <protection locked="0"/>
    </xf>
    <xf numFmtId="37" fontId="0" fillId="0" borderId="0" xfId="1405" applyNumberFormat="1" applyFont="1" applyFill="1" applyBorder="1" applyAlignment="1">
      <alignment/>
      <protection/>
    </xf>
    <xf numFmtId="3" fontId="0" fillId="0" borderId="33" xfId="1202" applyNumberFormat="1" applyFont="1" applyFill="1" applyBorder="1" applyAlignment="1" applyProtection="1">
      <alignment/>
      <protection/>
    </xf>
    <xf numFmtId="0" fontId="0" fillId="0" borderId="32" xfId="1405" applyFill="1" applyBorder="1" applyAlignment="1" applyProtection="1">
      <alignment horizontal="center"/>
      <protection locked="0"/>
    </xf>
    <xf numFmtId="41" fontId="0" fillId="0" borderId="0" xfId="1405" applyNumberFormat="1" applyFill="1" applyBorder="1" applyAlignment="1">
      <alignment/>
      <protection/>
    </xf>
    <xf numFmtId="179" fontId="7" fillId="0" borderId="0" xfId="1392" applyNumberFormat="1" applyFont="1" applyFill="1" applyBorder="1" applyAlignment="1">
      <alignment horizontal="center"/>
      <protection/>
    </xf>
    <xf numFmtId="10" fontId="0" fillId="0" borderId="0" xfId="1430" applyNumberFormat="1" applyFont="1" applyFill="1" applyBorder="1" applyAlignment="1">
      <alignment/>
    </xf>
    <xf numFmtId="41" fontId="0" fillId="0" borderId="0" xfId="1405" applyNumberFormat="1" applyFill="1" applyBorder="1" applyAlignment="1" applyProtection="1">
      <alignment/>
      <protection/>
    </xf>
    <xf numFmtId="0" fontId="0" fillId="0" borderId="36" xfId="1405" applyFill="1" applyBorder="1">
      <alignment/>
      <protection/>
    </xf>
    <xf numFmtId="0" fontId="0" fillId="0" borderId="18" xfId="1405" applyFill="1" applyBorder="1" applyAlignment="1" applyProtection="1">
      <alignment horizontal="center"/>
      <protection locked="0"/>
    </xf>
    <xf numFmtId="10" fontId="0" fillId="0" borderId="18" xfId="1430" applyNumberFormat="1" applyFont="1" applyFill="1" applyBorder="1" applyAlignment="1" applyProtection="1">
      <alignment/>
      <protection locked="0"/>
    </xf>
    <xf numFmtId="0" fontId="3" fillId="0" borderId="0" xfId="1405" applyFont="1" applyFill="1" applyBorder="1" applyAlignment="1" quotePrefix="1">
      <alignment horizontal="left" indent="1"/>
      <protection/>
    </xf>
    <xf numFmtId="164" fontId="0" fillId="0" borderId="0" xfId="1227" applyNumberFormat="1" applyFill="1" applyAlignment="1" applyProtection="1">
      <alignment/>
      <protection locked="0"/>
    </xf>
    <xf numFmtId="41" fontId="0" fillId="0" borderId="0" xfId="1405" applyNumberFormat="1" applyFill="1" applyBorder="1" applyProtection="1">
      <alignment/>
      <protection locked="0"/>
    </xf>
    <xf numFmtId="0" fontId="22" fillId="0" borderId="0" xfId="1376" applyNumberFormat="1" applyFont="1" applyFill="1" applyAlignment="1" applyProtection="1">
      <alignment/>
      <protection locked="0"/>
    </xf>
    <xf numFmtId="0" fontId="0" fillId="0" borderId="0" xfId="1376" applyNumberFormat="1" applyFont="1" applyFill="1" applyAlignment="1" applyProtection="1">
      <alignment/>
      <protection locked="0"/>
    </xf>
    <xf numFmtId="0" fontId="3" fillId="0" borderId="0" xfId="1404" applyFont="1" applyFill="1" applyAlignment="1" applyProtection="1">
      <alignment horizontal="right"/>
      <protection locked="0"/>
    </xf>
    <xf numFmtId="0" fontId="3" fillId="0" borderId="0" xfId="1404" applyFont="1" applyFill="1" applyAlignment="1" applyProtection="1">
      <alignment horizontal="left" indent="3"/>
      <protection locked="0"/>
    </xf>
    <xf numFmtId="0" fontId="0" fillId="0" borderId="54" xfId="1404" applyFont="1" applyFill="1" applyBorder="1" applyAlignment="1" applyProtection="1">
      <alignment horizontal="center"/>
      <protection locked="0"/>
    </xf>
    <xf numFmtId="0" fontId="0" fillId="0" borderId="4" xfId="1404" applyFont="1" applyFill="1" applyBorder="1" applyAlignment="1" applyProtection="1">
      <alignment horizontal="centerContinuous"/>
      <protection locked="0"/>
    </xf>
    <xf numFmtId="0" fontId="0" fillId="0" borderId="4" xfId="1376" applyNumberFormat="1" applyFont="1" applyFill="1" applyBorder="1" applyAlignment="1" applyProtection="1">
      <alignment horizontal="centerContinuous"/>
      <protection locked="0"/>
    </xf>
    <xf numFmtId="0" fontId="0" fillId="0" borderId="4" xfId="1404" applyFont="1" applyFill="1" applyBorder="1" applyAlignment="1" applyProtection="1">
      <alignment horizontal="center"/>
      <protection locked="0"/>
    </xf>
    <xf numFmtId="0" fontId="0" fillId="0" borderId="35" xfId="1404" applyFont="1" applyFill="1" applyBorder="1" applyAlignment="1" applyProtection="1">
      <alignment horizontal="center"/>
      <protection locked="0"/>
    </xf>
    <xf numFmtId="14" fontId="0" fillId="0" borderId="0" xfId="1404" applyNumberFormat="1" applyFont="1" applyFill="1" applyAlignment="1" applyProtection="1">
      <alignment/>
      <protection locked="0"/>
    </xf>
    <xf numFmtId="0" fontId="0" fillId="0" borderId="30" xfId="1404" applyFont="1" applyFill="1" applyBorder="1" applyAlignment="1" applyProtection="1">
      <alignment horizontal="left" indent="1"/>
      <protection locked="0"/>
    </xf>
    <xf numFmtId="0" fontId="0" fillId="0" borderId="18" xfId="1404" applyFont="1" applyFill="1" applyBorder="1" applyAlignment="1" applyProtection="1">
      <alignment horizontal="left"/>
      <protection locked="0"/>
    </xf>
    <xf numFmtId="14" fontId="0" fillId="0" borderId="18" xfId="1404" applyNumberFormat="1" applyFont="1" applyFill="1" applyBorder="1" applyAlignment="1" applyProtection="1">
      <alignment horizontal="right"/>
      <protection locked="0"/>
    </xf>
    <xf numFmtId="0" fontId="0" fillId="0" borderId="18" xfId="1404" applyFont="1" applyFill="1" applyBorder="1" applyAlignment="1" applyProtection="1">
      <alignment horizontal="right"/>
      <protection locked="0"/>
    </xf>
    <xf numFmtId="3" fontId="0" fillId="0" borderId="18" xfId="1198" applyNumberFormat="1" applyFont="1" applyFill="1" applyBorder="1" applyAlignment="1" applyProtection="1">
      <alignment horizontal="right"/>
      <protection locked="0"/>
    </xf>
    <xf numFmtId="10" fontId="0" fillId="0" borderId="31" xfId="1437" applyNumberFormat="1" applyFont="1" applyFill="1" applyBorder="1" applyAlignment="1" applyProtection="1">
      <alignment/>
      <protection locked="0"/>
    </xf>
    <xf numFmtId="0" fontId="0" fillId="0" borderId="34" xfId="1404" applyFont="1" applyFill="1" applyBorder="1" applyAlignment="1" applyProtection="1">
      <alignment horizontal="left" indent="1"/>
      <protection locked="0"/>
    </xf>
    <xf numFmtId="0" fontId="0" fillId="0" borderId="17" xfId="1404" applyFont="1" applyFill="1" applyBorder="1" applyAlignment="1" applyProtection="1">
      <alignment horizontal="left"/>
      <protection locked="0"/>
    </xf>
    <xf numFmtId="14" fontId="0" fillId="0" borderId="17" xfId="1404" applyNumberFormat="1" applyFont="1" applyFill="1" applyBorder="1" applyAlignment="1" applyProtection="1">
      <alignment horizontal="right"/>
      <protection locked="0"/>
    </xf>
    <xf numFmtId="0" fontId="0" fillId="0" borderId="17" xfId="1376" applyNumberFormat="1" applyFont="1" applyFill="1" applyBorder="1" applyAlignment="1" applyProtection="1">
      <alignment/>
      <protection locked="0"/>
    </xf>
    <xf numFmtId="3" fontId="0" fillId="0" borderId="17" xfId="1198" applyNumberFormat="1" applyFont="1" applyFill="1" applyBorder="1" applyAlignment="1" applyProtection="1">
      <alignment horizontal="right"/>
      <protection locked="0"/>
    </xf>
    <xf numFmtId="10" fontId="0" fillId="0" borderId="36" xfId="1437" applyNumberFormat="1" applyFont="1" applyFill="1" applyBorder="1" applyAlignment="1" applyProtection="1">
      <alignment/>
      <protection locked="0"/>
    </xf>
    <xf numFmtId="0" fontId="0" fillId="0" borderId="0" xfId="1404" applyFont="1" applyFill="1" applyAlignment="1" applyProtection="1">
      <alignment horizontal="right"/>
      <protection locked="0"/>
    </xf>
    <xf numFmtId="10" fontId="0" fillId="0" borderId="0" xfId="1437" applyNumberFormat="1" applyFont="1" applyFill="1" applyBorder="1" applyAlignment="1" applyProtection="1">
      <alignment/>
      <protection locked="0"/>
    </xf>
    <xf numFmtId="0" fontId="48" fillId="0" borderId="0" xfId="1376" applyNumberFormat="1" applyFill="1" applyAlignment="1" applyProtection="1">
      <alignment/>
      <protection locked="0"/>
    </xf>
    <xf numFmtId="0" fontId="48" fillId="0" borderId="17" xfId="1376" applyNumberFormat="1" applyFill="1" applyBorder="1" applyAlignment="1" applyProtection="1">
      <alignment horizontal="centerContinuous"/>
      <protection locked="0"/>
    </xf>
    <xf numFmtId="0" fontId="0" fillId="0" borderId="17" xfId="1376" applyNumberFormat="1" applyFont="1" applyFill="1" applyBorder="1" applyAlignment="1" applyProtection="1">
      <alignment horizontal="centerContinuous"/>
      <protection locked="0"/>
    </xf>
    <xf numFmtId="0" fontId="48" fillId="0" borderId="0" xfId="1376" applyNumberFormat="1" applyFill="1" applyBorder="1" applyAlignment="1" applyProtection="1">
      <alignment horizontal="centerContinuous"/>
      <protection locked="0"/>
    </xf>
    <xf numFmtId="0" fontId="16" fillId="0" borderId="17" xfId="1376" applyNumberFormat="1" applyFont="1" applyFill="1" applyBorder="1" applyAlignment="1" applyProtection="1">
      <alignment/>
      <protection locked="0"/>
    </xf>
    <xf numFmtId="0" fontId="16" fillId="0" borderId="17" xfId="1376" applyNumberFormat="1" applyFont="1" applyFill="1" applyBorder="1" applyAlignment="1" applyProtection="1">
      <alignment horizontal="centerContinuous"/>
      <protection locked="0"/>
    </xf>
    <xf numFmtId="0" fontId="3" fillId="0" borderId="17" xfId="1376" applyNumberFormat="1" applyFont="1" applyFill="1" applyBorder="1" applyAlignment="1" applyProtection="1">
      <alignment horizontal="center"/>
      <protection locked="0"/>
    </xf>
    <xf numFmtId="0" fontId="48" fillId="0" borderId="0" xfId="1376" applyNumberFormat="1" applyFill="1" applyBorder="1" applyAlignment="1">
      <alignment/>
      <protection/>
    </xf>
    <xf numFmtId="0" fontId="16" fillId="0" borderId="0" xfId="1376" applyNumberFormat="1" applyFont="1" applyFill="1" applyBorder="1" applyAlignment="1" applyProtection="1">
      <alignment horizontal="centerContinuous"/>
      <protection locked="0"/>
    </xf>
    <xf numFmtId="0" fontId="48" fillId="0" borderId="0" xfId="1376" applyNumberFormat="1" applyFill="1" applyBorder="1" applyAlignment="1" applyProtection="1">
      <alignment/>
      <protection locked="0"/>
    </xf>
    <xf numFmtId="0" fontId="0" fillId="0" borderId="0" xfId="1376" applyNumberFormat="1" applyFont="1" applyFill="1" applyBorder="1" applyAlignment="1" applyProtection="1">
      <alignment/>
      <protection locked="0"/>
    </xf>
    <xf numFmtId="0" fontId="6" fillId="0" borderId="19" xfId="1404" applyFont="1" applyFill="1" applyBorder="1" applyAlignment="1" applyProtection="1">
      <alignment horizontal="center"/>
      <protection locked="0"/>
    </xf>
    <xf numFmtId="0" fontId="3" fillId="0" borderId="19" xfId="1404" applyFont="1" applyFill="1" applyBorder="1" applyAlignment="1" applyProtection="1">
      <alignment horizontal="center"/>
      <protection locked="0"/>
    </xf>
    <xf numFmtId="0" fontId="48" fillId="0" borderId="19" xfId="1376" applyNumberFormat="1" applyFill="1" applyBorder="1" applyAlignment="1" applyProtection="1">
      <alignment/>
      <protection locked="0"/>
    </xf>
    <xf numFmtId="164" fontId="8" fillId="0" borderId="28" xfId="1227" applyNumberFormat="1" applyFont="1" applyFill="1" applyBorder="1" applyAlignment="1" applyProtection="1">
      <alignment horizontal="centerContinuous"/>
      <protection locked="0"/>
    </xf>
    <xf numFmtId="164" fontId="3" fillId="0" borderId="19" xfId="1227" applyNumberFormat="1" applyFont="1" applyFill="1" applyBorder="1" applyAlignment="1" applyProtection="1">
      <alignment horizontal="centerContinuous"/>
      <protection locked="0"/>
    </xf>
    <xf numFmtId="0" fontId="16" fillId="0" borderId="19" xfId="1376" applyNumberFormat="1" applyFont="1" applyFill="1" applyBorder="1" applyAlignment="1" applyProtection="1">
      <alignment horizontal="centerContinuous"/>
      <protection locked="0"/>
    </xf>
    <xf numFmtId="0" fontId="0" fillId="0" borderId="19" xfId="1376" applyNumberFormat="1" applyFont="1" applyFill="1" applyBorder="1" applyAlignment="1" applyProtection="1">
      <alignment/>
      <protection locked="0"/>
    </xf>
    <xf numFmtId="10" fontId="6" fillId="0" borderId="19" xfId="1404" applyNumberFormat="1" applyFont="1" applyFill="1" applyBorder="1" applyAlignment="1" applyProtection="1">
      <alignment horizontal="center"/>
      <protection locked="0"/>
    </xf>
    <xf numFmtId="0" fontId="7" fillId="0" borderId="23" xfId="1404" applyFont="1" applyFill="1" applyBorder="1" applyAlignment="1" applyProtection="1">
      <alignment horizontal="left" indent="1"/>
      <protection locked="0"/>
    </xf>
    <xf numFmtId="41" fontId="48" fillId="0" borderId="0" xfId="1376" applyNumberFormat="1" applyFill="1" applyBorder="1" applyAlignment="1" applyProtection="1">
      <alignment/>
      <protection locked="0"/>
    </xf>
    <xf numFmtId="164" fontId="0" fillId="0" borderId="23" xfId="1227" applyNumberFormat="1" applyFill="1" applyBorder="1" applyAlignment="1" applyProtection="1">
      <alignment/>
      <protection locked="0"/>
    </xf>
    <xf numFmtId="179" fontId="7" fillId="0" borderId="0" xfId="1376" applyNumberFormat="1" applyFont="1" applyFill="1" applyBorder="1" applyAlignment="1" applyProtection="1">
      <alignment horizontal="center"/>
      <protection locked="0"/>
    </xf>
    <xf numFmtId="10" fontId="7" fillId="0" borderId="0" xfId="1376" applyNumberFormat="1" applyFont="1" applyFill="1" applyBorder="1" applyAlignment="1" applyProtection="1">
      <alignment/>
      <protection locked="0"/>
    </xf>
    <xf numFmtId="10" fontId="0" fillId="0" borderId="0" xfId="1376" applyNumberFormat="1" applyFont="1" applyFill="1" applyBorder="1" applyAlignment="1" applyProtection="1">
      <alignment/>
      <protection locked="0"/>
    </xf>
    <xf numFmtId="41" fontId="0" fillId="0" borderId="23" xfId="1227" applyNumberFormat="1" applyFill="1" applyBorder="1" applyAlignment="1" applyProtection="1">
      <alignment/>
      <protection locked="0"/>
    </xf>
    <xf numFmtId="41" fontId="0" fillId="0" borderId="19" xfId="1227" applyNumberFormat="1" applyFill="1" applyBorder="1" applyAlignment="1" applyProtection="1">
      <alignment/>
      <protection locked="0"/>
    </xf>
    <xf numFmtId="41" fontId="48" fillId="0" borderId="19" xfId="1376" applyNumberFormat="1" applyFill="1" applyBorder="1" applyAlignment="1" applyProtection="1">
      <alignment/>
      <protection locked="0"/>
    </xf>
    <xf numFmtId="41" fontId="0" fillId="0" borderId="28" xfId="1227" applyNumberFormat="1" applyFill="1" applyBorder="1" applyAlignment="1" applyProtection="1">
      <alignment/>
      <protection locked="0"/>
    </xf>
    <xf numFmtId="179" fontId="7" fillId="0" borderId="19" xfId="1376" applyNumberFormat="1" applyFont="1" applyFill="1" applyBorder="1" applyAlignment="1" applyProtection="1">
      <alignment horizontal="center"/>
      <protection locked="0"/>
    </xf>
    <xf numFmtId="41" fontId="0" fillId="0" borderId="19" xfId="1404" applyNumberFormat="1" applyFill="1" applyBorder="1" applyAlignment="1" applyProtection="1">
      <alignment/>
      <protection locked="0"/>
    </xf>
    <xf numFmtId="14" fontId="0" fillId="0" borderId="0" xfId="1404" applyNumberFormat="1" applyFill="1" applyProtection="1">
      <alignment/>
      <protection locked="0"/>
    </xf>
    <xf numFmtId="164" fontId="0" fillId="0" borderId="0" xfId="1227" applyNumberFormat="1" applyFill="1" applyBorder="1" applyAlignment="1" applyProtection="1">
      <alignment/>
      <protection locked="0"/>
    </xf>
    <xf numFmtId="4" fontId="0" fillId="0" borderId="0" xfId="1198" applyNumberFormat="1" applyFont="1" applyFill="1" applyAlignment="1" applyProtection="1">
      <alignment/>
      <protection locked="0"/>
    </xf>
    <xf numFmtId="0" fontId="0" fillId="0" borderId="29" xfId="1404" applyFill="1" applyBorder="1" applyAlignment="1" applyProtection="1" quotePrefix="1">
      <alignment horizontal="center"/>
      <protection locked="0"/>
    </xf>
    <xf numFmtId="0" fontId="0" fillId="0" borderId="29" xfId="1404" applyFill="1" applyBorder="1" applyAlignment="1" applyProtection="1">
      <alignment horizontal="right"/>
      <protection locked="0"/>
    </xf>
    <xf numFmtId="41" fontId="0" fillId="0" borderId="29" xfId="1227" applyNumberFormat="1" applyFill="1" applyBorder="1" applyAlignment="1" applyProtection="1">
      <alignment/>
      <protection locked="0"/>
    </xf>
    <xf numFmtId="41" fontId="48" fillId="0" borderId="29" xfId="1376" applyNumberFormat="1" applyFill="1" applyBorder="1" applyAlignment="1" applyProtection="1">
      <alignment/>
      <protection locked="0"/>
    </xf>
    <xf numFmtId="41" fontId="0" fillId="0" borderId="39" xfId="1227" applyNumberFormat="1" applyFill="1" applyBorder="1" applyAlignment="1" applyProtection="1">
      <alignment/>
      <protection locked="0"/>
    </xf>
    <xf numFmtId="179" fontId="7" fillId="0" borderId="29" xfId="1376" applyNumberFormat="1" applyFont="1" applyFill="1" applyBorder="1" applyAlignment="1" applyProtection="1">
      <alignment horizontal="center"/>
      <protection locked="0"/>
    </xf>
    <xf numFmtId="10" fontId="0" fillId="0" borderId="29" xfId="1376" applyNumberFormat="1" applyFont="1" applyFill="1" applyBorder="1" applyAlignment="1" applyProtection="1">
      <alignment/>
      <protection locked="0"/>
    </xf>
    <xf numFmtId="41" fontId="0" fillId="0" borderId="29" xfId="1277" applyNumberFormat="1" applyFill="1" applyBorder="1" applyAlignment="1" applyProtection="1">
      <alignment/>
      <protection locked="0"/>
    </xf>
    <xf numFmtId="41" fontId="0" fillId="0" borderId="19" xfId="1277" applyNumberFormat="1" applyFill="1" applyBorder="1" applyAlignment="1" applyProtection="1">
      <alignment/>
      <protection locked="0"/>
    </xf>
    <xf numFmtId="167" fontId="0" fillId="0" borderId="0" xfId="1277" applyNumberFormat="1" applyFill="1" applyBorder="1" applyAlignment="1" applyProtection="1">
      <alignment/>
      <protection locked="0"/>
    </xf>
    <xf numFmtId="164" fontId="0" fillId="0" borderId="29" xfId="1227" applyNumberFormat="1" applyFont="1" applyFill="1" applyBorder="1" applyAlignment="1" applyProtection="1">
      <alignment/>
      <protection locked="0"/>
    </xf>
    <xf numFmtId="41" fontId="0" fillId="0" borderId="29" xfId="1277" applyNumberFormat="1" applyFont="1" applyFill="1" applyBorder="1" applyAlignment="1" applyProtection="1">
      <alignment/>
      <protection locked="0"/>
    </xf>
    <xf numFmtId="10" fontId="0" fillId="0" borderId="19" xfId="1376" applyNumberFormat="1" applyFont="1" applyFill="1" applyBorder="1" applyAlignment="1" applyProtection="1">
      <alignment/>
      <protection locked="0"/>
    </xf>
    <xf numFmtId="179" fontId="7" fillId="0" borderId="0" xfId="1376" applyNumberFormat="1" applyFont="1" applyFill="1" applyBorder="1" applyAlignment="1" applyProtection="1">
      <alignment/>
      <protection locked="0"/>
    </xf>
    <xf numFmtId="41" fontId="0" fillId="0" borderId="0" xfId="1227" applyNumberFormat="1" applyFill="1" applyBorder="1" applyAlignment="1" applyProtection="1">
      <alignment horizontal="right" vertical="center"/>
      <protection locked="0"/>
    </xf>
    <xf numFmtId="41" fontId="48" fillId="0" borderId="29" xfId="1376" applyNumberFormat="1" applyFill="1" applyBorder="1" applyAlignment="1" applyProtection="1">
      <alignment horizontal="center"/>
      <protection locked="0"/>
    </xf>
    <xf numFmtId="179" fontId="7" fillId="0" borderId="19" xfId="1376" applyNumberFormat="1" applyFont="1" applyFill="1" applyBorder="1" applyAlignment="1" applyProtection="1">
      <alignment/>
      <protection locked="0"/>
    </xf>
    <xf numFmtId="41" fontId="48" fillId="0" borderId="12" xfId="1376" applyNumberFormat="1" applyFill="1" applyBorder="1" applyAlignment="1" applyProtection="1">
      <alignment/>
      <protection locked="0"/>
    </xf>
    <xf numFmtId="41" fontId="48" fillId="0" borderId="0" xfId="1376" applyNumberFormat="1" applyFill="1" applyAlignment="1" applyProtection="1">
      <alignment/>
      <protection locked="0"/>
    </xf>
    <xf numFmtId="41" fontId="48" fillId="0" borderId="0" xfId="1376" applyNumberFormat="1" applyFill="1" applyBorder="1" applyAlignment="1" applyProtection="1">
      <alignment horizontal="center"/>
      <protection locked="0"/>
    </xf>
    <xf numFmtId="179" fontId="7" fillId="0" borderId="0" xfId="1376" applyNumberFormat="1" applyFont="1" applyFill="1" applyBorder="1" applyAlignment="1" applyProtection="1">
      <alignment horizontal="right"/>
      <protection locked="0"/>
    </xf>
    <xf numFmtId="0" fontId="0" fillId="0" borderId="29" xfId="1404" applyFill="1" applyBorder="1" applyAlignment="1" applyProtection="1">
      <alignment/>
      <protection locked="0"/>
    </xf>
    <xf numFmtId="179" fontId="7" fillId="0" borderId="29" xfId="1376" applyNumberFormat="1" applyFont="1" applyFill="1" applyBorder="1" applyAlignment="1" applyProtection="1">
      <alignment/>
      <protection locked="0"/>
    </xf>
    <xf numFmtId="41" fontId="0" fillId="0" borderId="29" xfId="1227" applyNumberFormat="1" applyFill="1" applyBorder="1" applyAlignment="1" applyProtection="1">
      <alignment horizontal="center"/>
      <protection locked="0"/>
    </xf>
    <xf numFmtId="41" fontId="0" fillId="0" borderId="19" xfId="1227" applyNumberFormat="1" applyFill="1" applyBorder="1" applyAlignment="1" applyProtection="1">
      <alignment horizontal="center"/>
      <protection locked="0"/>
    </xf>
    <xf numFmtId="41" fontId="48" fillId="0" borderId="48" xfId="1376" applyNumberFormat="1" applyFill="1" applyBorder="1" applyAlignment="1" applyProtection="1">
      <alignment/>
      <protection locked="0"/>
    </xf>
    <xf numFmtId="41" fontId="16" fillId="0" borderId="12" xfId="1402" applyNumberFormat="1" applyFont="1" applyFill="1" applyBorder="1" applyAlignment="1" applyProtection="1">
      <alignment/>
      <protection locked="0"/>
    </xf>
    <xf numFmtId="41" fontId="16" fillId="0" borderId="0" xfId="1402" applyNumberFormat="1" applyFont="1" applyFill="1" applyBorder="1" applyAlignment="1" applyProtection="1">
      <alignment horizontal="center"/>
      <protection locked="0"/>
    </xf>
    <xf numFmtId="41" fontId="16" fillId="0" borderId="0" xfId="1402" applyNumberFormat="1" applyFont="1" applyFill="1" applyBorder="1" applyAlignment="1" applyProtection="1">
      <alignment/>
      <protection locked="0"/>
    </xf>
    <xf numFmtId="0" fontId="0" fillId="0" borderId="0" xfId="1402" applyNumberFormat="1" applyFont="1" applyFill="1" applyBorder="1" applyAlignment="1" applyProtection="1">
      <alignment/>
      <protection locked="0"/>
    </xf>
    <xf numFmtId="43" fontId="0" fillId="0" borderId="0" xfId="1404" applyNumberFormat="1" applyFill="1" applyProtection="1">
      <alignment/>
      <protection locked="0"/>
    </xf>
    <xf numFmtId="10" fontId="0" fillId="0" borderId="0" xfId="1402" applyNumberFormat="1" applyFont="1" applyFill="1" applyBorder="1" applyAlignment="1" applyProtection="1">
      <alignment/>
      <protection locked="0"/>
    </xf>
    <xf numFmtId="179" fontId="16" fillId="0" borderId="0" xfId="1376" applyNumberFormat="1" applyFont="1" applyFill="1" applyBorder="1" applyAlignment="1" applyProtection="1">
      <alignment horizontal="center"/>
      <protection locked="0"/>
    </xf>
    <xf numFmtId="41" fontId="16" fillId="0" borderId="55" xfId="1402" applyNumberFormat="1" applyFont="1" applyFill="1" applyBorder="1" applyAlignment="1" applyProtection="1">
      <alignment/>
      <protection locked="0"/>
    </xf>
    <xf numFmtId="41" fontId="0" fillId="0" borderId="29" xfId="1227" applyNumberFormat="1" applyFont="1" applyFill="1" applyBorder="1" applyAlignment="1" applyProtection="1">
      <alignment/>
      <protection locked="0"/>
    </xf>
    <xf numFmtId="179" fontId="16" fillId="0" borderId="29" xfId="1376" applyNumberFormat="1" applyFont="1" applyFill="1" applyBorder="1" applyAlignment="1" applyProtection="1">
      <alignment horizontal="center"/>
      <protection locked="0"/>
    </xf>
    <xf numFmtId="41" fontId="16" fillId="0" borderId="29" xfId="1402" applyNumberFormat="1" applyFont="1" applyFill="1" applyBorder="1" applyAlignment="1" applyProtection="1">
      <alignment/>
      <protection locked="0"/>
    </xf>
    <xf numFmtId="10" fontId="0" fillId="0" borderId="29" xfId="1402" applyNumberFormat="1" applyFont="1" applyFill="1" applyBorder="1" applyAlignment="1" applyProtection="1">
      <alignment/>
      <protection locked="0"/>
    </xf>
    <xf numFmtId="41" fontId="16" fillId="0" borderId="48" xfId="1402" applyNumberFormat="1" applyFont="1" applyFill="1" applyBorder="1" applyAlignment="1" applyProtection="1">
      <alignment/>
      <protection locked="0"/>
    </xf>
    <xf numFmtId="41" fontId="0" fillId="0" borderId="19" xfId="1227" applyNumberFormat="1" applyFont="1" applyFill="1" applyBorder="1" applyAlignment="1" applyProtection="1">
      <alignment/>
      <protection locked="0"/>
    </xf>
    <xf numFmtId="179" fontId="16" fillId="0" borderId="19" xfId="1376" applyNumberFormat="1" applyFont="1" applyFill="1" applyBorder="1" applyAlignment="1" applyProtection="1">
      <alignment horizontal="center"/>
      <protection locked="0"/>
    </xf>
    <xf numFmtId="41" fontId="16" fillId="0" borderId="19" xfId="1402" applyNumberFormat="1" applyFont="1" applyFill="1" applyBorder="1" applyAlignment="1" applyProtection="1">
      <alignment/>
      <protection locked="0"/>
    </xf>
    <xf numFmtId="10" fontId="0" fillId="0" borderId="19" xfId="1402" applyNumberFormat="1" applyFont="1" applyFill="1" applyBorder="1" applyAlignment="1" applyProtection="1">
      <alignment/>
      <protection locked="0"/>
    </xf>
    <xf numFmtId="41" fontId="0" fillId="0" borderId="19" xfId="1277" applyNumberFormat="1" applyFont="1" applyFill="1" applyBorder="1" applyAlignment="1" applyProtection="1">
      <alignment/>
      <protection locked="0"/>
    </xf>
    <xf numFmtId="0" fontId="0" fillId="0" borderId="29" xfId="1404" applyFont="1" applyFill="1" applyBorder="1" applyAlignment="1" applyProtection="1" quotePrefix="1">
      <alignment horizontal="center"/>
      <protection locked="0"/>
    </xf>
    <xf numFmtId="6" fontId="0" fillId="0" borderId="0" xfId="1227" applyNumberFormat="1" applyFill="1" applyBorder="1" applyAlignment="1" applyProtection="1">
      <alignment/>
      <protection locked="0"/>
    </xf>
    <xf numFmtId="0" fontId="48" fillId="0" borderId="18" xfId="1376" applyNumberFormat="1" applyFill="1" applyBorder="1" applyAlignment="1" applyProtection="1">
      <alignment/>
      <protection locked="0"/>
    </xf>
    <xf numFmtId="179" fontId="7" fillId="0" borderId="18" xfId="1376" applyNumberFormat="1" applyFont="1" applyFill="1" applyBorder="1" applyAlignment="1" applyProtection="1">
      <alignment horizontal="center"/>
      <protection locked="0"/>
    </xf>
    <xf numFmtId="41" fontId="48" fillId="0" borderId="18" xfId="1376" applyNumberFormat="1" applyFill="1" applyBorder="1" applyAlignment="1" applyProtection="1">
      <alignment/>
      <protection locked="0"/>
    </xf>
    <xf numFmtId="41" fontId="21" fillId="0" borderId="18" xfId="1404" applyNumberFormat="1" applyFont="1" applyFill="1" applyBorder="1" applyAlignment="1" applyProtection="1">
      <alignment horizontal="centerContinuous"/>
      <protection locked="0"/>
    </xf>
    <xf numFmtId="41" fontId="20" fillId="0" borderId="17" xfId="1404" applyNumberFormat="1" applyFont="1" applyFill="1" applyBorder="1" applyAlignment="1" applyProtection="1">
      <alignment horizontal="centerContinuous"/>
      <protection locked="0"/>
    </xf>
    <xf numFmtId="0" fontId="48" fillId="0" borderId="17" xfId="1376" applyNumberFormat="1" applyFill="1" applyBorder="1" applyAlignment="1" applyProtection="1">
      <alignment/>
      <protection locked="0"/>
    </xf>
    <xf numFmtId="0" fontId="0" fillId="0" borderId="32" xfId="1404" applyFont="1" applyFill="1" applyBorder="1" applyAlignment="1" applyProtection="1">
      <alignment horizontal="left" indent="1"/>
      <protection locked="0"/>
    </xf>
    <xf numFmtId="41" fontId="0" fillId="0" borderId="0" xfId="1404" applyNumberFormat="1" applyFill="1" applyBorder="1" applyAlignment="1">
      <alignment/>
      <protection/>
    </xf>
    <xf numFmtId="37" fontId="0" fillId="0" borderId="0" xfId="1404" applyNumberFormat="1" applyFill="1" applyBorder="1" applyAlignment="1">
      <alignment/>
      <protection/>
    </xf>
    <xf numFmtId="3" fontId="0" fillId="0" borderId="33" xfId="1198" applyNumberFormat="1" applyFont="1" applyFill="1" applyBorder="1" applyAlignment="1" applyProtection="1">
      <alignment/>
      <protection/>
    </xf>
    <xf numFmtId="41" fontId="0" fillId="0" borderId="0" xfId="1198" applyNumberFormat="1" applyFont="1" applyFill="1" applyAlignment="1" applyProtection="1">
      <alignment/>
      <protection locked="0"/>
    </xf>
    <xf numFmtId="41" fontId="0" fillId="0" borderId="0" xfId="1404" applyNumberFormat="1" applyFill="1" applyProtection="1">
      <alignment/>
      <protection locked="0"/>
    </xf>
    <xf numFmtId="37" fontId="0" fillId="0" borderId="17" xfId="1404" applyNumberFormat="1" applyFill="1" applyBorder="1" applyAlignment="1">
      <alignment/>
      <protection/>
    </xf>
    <xf numFmtId="37" fontId="0" fillId="0" borderId="36" xfId="1404" applyNumberFormat="1" applyFill="1" applyBorder="1" applyAlignment="1">
      <alignment/>
      <protection/>
    </xf>
    <xf numFmtId="0" fontId="0" fillId="0" borderId="18" xfId="1404" applyFill="1" applyBorder="1" applyAlignment="1" applyProtection="1">
      <alignment horizontal="center"/>
      <protection locked="0"/>
    </xf>
    <xf numFmtId="10" fontId="0" fillId="0" borderId="18" xfId="1437" applyNumberFormat="1" applyFont="1" applyFill="1" applyBorder="1" applyAlignment="1" applyProtection="1">
      <alignment/>
      <protection locked="0"/>
    </xf>
    <xf numFmtId="169" fontId="0" fillId="0" borderId="0" xfId="1274" applyNumberFormat="1" applyFont="1" applyFill="1" applyBorder="1" applyAlignment="1">
      <alignment/>
    </xf>
    <xf numFmtId="0" fontId="16" fillId="0" borderId="0" xfId="0" applyNumberFormat="1" applyFont="1" applyAlignment="1">
      <alignment/>
    </xf>
    <xf numFmtId="0" fontId="0" fillId="0" borderId="0" xfId="1407" applyFont="1" applyFill="1" applyAlignment="1">
      <alignment horizontal="center"/>
      <protection/>
    </xf>
    <xf numFmtId="0" fontId="3" fillId="0" borderId="0" xfId="1407" applyFont="1" applyFill="1" applyBorder="1" applyAlignment="1">
      <alignment horizontal="center"/>
      <protection/>
    </xf>
    <xf numFmtId="0" fontId="84" fillId="0" borderId="51" xfId="1408" applyFont="1" applyFill="1" applyBorder="1" applyAlignment="1">
      <alignment horizontal="center"/>
      <protection/>
    </xf>
    <xf numFmtId="0" fontId="84" fillId="0" borderId="3" xfId="1408" applyFont="1" applyFill="1" applyBorder="1" applyAlignment="1">
      <alignment horizontal="center"/>
      <protection/>
    </xf>
    <xf numFmtId="0" fontId="84" fillId="0" borderId="50" xfId="1408" applyFont="1" applyFill="1" applyBorder="1" applyAlignment="1">
      <alignment horizontal="center"/>
      <protection/>
    </xf>
    <xf numFmtId="178" fontId="3" fillId="0" borderId="0" xfId="0" applyFont="1" applyFill="1" applyAlignment="1">
      <alignment wrapText="1"/>
    </xf>
    <xf numFmtId="0" fontId="0" fillId="0" borderId="0" xfId="1407" applyFill="1" applyAlignment="1">
      <alignment horizontal="right"/>
      <protection/>
    </xf>
    <xf numFmtId="169" fontId="0" fillId="0" borderId="0" xfId="1271" applyNumberFormat="1" applyFont="1" applyFill="1" applyBorder="1" applyAlignment="1">
      <alignment/>
    </xf>
    <xf numFmtId="0" fontId="16" fillId="0" borderId="0" xfId="1397" applyNumberFormat="1" applyFont="1" applyAlignment="1">
      <alignment/>
      <protection/>
    </xf>
    <xf numFmtId="0" fontId="0" fillId="0" borderId="0" xfId="1409" applyFont="1" applyFill="1" applyAlignment="1">
      <alignment horizontal="center"/>
      <protection/>
    </xf>
    <xf numFmtId="0" fontId="85" fillId="0" borderId="0" xfId="1404" applyFont="1" applyFill="1" applyBorder="1" applyAlignment="1" quotePrefix="1">
      <alignment horizontal="left" indent="1"/>
      <protection/>
    </xf>
    <xf numFmtId="0" fontId="86" fillId="0" borderId="0" xfId="1404" applyFont="1" applyFill="1" applyProtection="1">
      <alignment/>
      <protection locked="0"/>
    </xf>
    <xf numFmtId="0" fontId="87" fillId="0" borderId="0" xfId="1376" applyNumberFormat="1" applyFont="1" applyFill="1" applyAlignment="1" applyProtection="1">
      <alignment/>
      <protection locked="0"/>
    </xf>
    <xf numFmtId="164" fontId="86" fillId="0" borderId="0" xfId="1227" applyNumberFormat="1" applyFont="1" applyFill="1" applyAlignment="1" applyProtection="1">
      <alignment/>
      <protection locked="0"/>
    </xf>
    <xf numFmtId="0" fontId="86" fillId="0" borderId="0" xfId="1376" applyNumberFormat="1" applyFont="1" applyFill="1" applyAlignment="1" applyProtection="1">
      <alignment/>
      <protection locked="0"/>
    </xf>
    <xf numFmtId="0" fontId="86" fillId="0" borderId="0" xfId="1404" applyFont="1" applyFill="1" applyBorder="1" applyProtection="1">
      <alignment/>
      <protection locked="0"/>
    </xf>
    <xf numFmtId="0" fontId="86" fillId="0" borderId="0" xfId="1404" applyFont="1" applyFill="1" applyAlignment="1" applyProtection="1">
      <alignment horizontal="left" indent="5"/>
      <protection locked="0"/>
    </xf>
    <xf numFmtId="0" fontId="86" fillId="0" borderId="0" xfId="1404" applyNumberFormat="1" applyFont="1" applyFill="1" applyAlignment="1" applyProtection="1">
      <alignment horizontal="left" indent="5"/>
      <protection locked="0"/>
    </xf>
  </cellXfs>
  <cellStyles count="1518">
    <cellStyle name="Normal" xfId="0"/>
    <cellStyle name="_x0013_" xfId="15"/>
    <cellStyle name="_09GRC Gas Transport For Review" xfId="16"/>
    <cellStyle name="_09GRC Gas Transport For Review_Book4" xfId="17"/>
    <cellStyle name="_x0013__16.07E Wild Horse Wind Expansionwrkingfile" xfId="18"/>
    <cellStyle name="_x0013__16.07E Wild Horse Wind Expansionwrkingfile SF" xfId="19"/>
    <cellStyle name="_x0013__16.37E Wild Horse Expansion DeferralRevwrkingfile SF" xfId="20"/>
    <cellStyle name="_4.06E Pass Throughs" xfId="21"/>
    <cellStyle name="_4.06E Pass Throughs_04 07E Wild Horse Wind Expansion (C) (2)" xfId="22"/>
    <cellStyle name="_4.06E Pass Throughs_04 07E Wild Horse Wind Expansion (C) (2)_Adj Bench DR 3 for Initial Briefs (Electric)" xfId="23"/>
    <cellStyle name="_4.06E Pass Throughs_04 07E Wild Horse Wind Expansion (C) (2)_Electric Rev Req Model (2009 GRC) " xfId="24"/>
    <cellStyle name="_4.06E Pass Throughs_04 07E Wild Horse Wind Expansion (C) (2)_Electric Rev Req Model (2009 GRC) Rebuttal" xfId="25"/>
    <cellStyle name="_4.06E Pass Throughs_04 07E Wild Horse Wind Expansion (C) (2)_Electric Rev Req Model (2009 GRC) Rebuttal REmoval of New  WH Solar AdjustMI" xfId="26"/>
    <cellStyle name="_4.06E Pass Throughs_04 07E Wild Horse Wind Expansion (C) (2)_Electric Rev Req Model (2009 GRC) Revised 01-18-2010" xfId="27"/>
    <cellStyle name="_4.06E Pass Throughs_04 07E Wild Horse Wind Expansion (C) (2)_Final Order Electric EXHIBIT A-1" xfId="28"/>
    <cellStyle name="_4.06E Pass Throughs_04 07E Wild Horse Wind Expansion (C) (2)_TENASKA REGULATORY ASSET" xfId="29"/>
    <cellStyle name="_4.06E Pass Throughs_16.37E Wild Horse Expansion DeferralRevwrkingfile SF" xfId="30"/>
    <cellStyle name="_4.06E Pass Throughs_2009 Compliance Filing PCA Exhibits for GRC" xfId="31"/>
    <cellStyle name="_4.06E Pass Throughs_2009 GRC Compl Filing - Exhibit D" xfId="32"/>
    <cellStyle name="_4.06E Pass Throughs_4 31 Regulatory Assets and Liabilities  7 06- Exhibit D" xfId="33"/>
    <cellStyle name="_4.06E Pass Throughs_4 32 Regulatory Assets and Liabilities  7 06- Exhibit D" xfId="34"/>
    <cellStyle name="_4.06E Pass Throughs_Book2" xfId="35"/>
    <cellStyle name="_4.06E Pass Throughs_Book2_Adj Bench DR 3 for Initial Briefs (Electric)" xfId="36"/>
    <cellStyle name="_4.06E Pass Throughs_Book2_Electric Rev Req Model (2009 GRC) Rebuttal" xfId="37"/>
    <cellStyle name="_4.06E Pass Throughs_Book2_Electric Rev Req Model (2009 GRC) Rebuttal REmoval of New  WH Solar AdjustMI" xfId="38"/>
    <cellStyle name="_4.06E Pass Throughs_Book2_Electric Rev Req Model (2009 GRC) Revised 01-18-2010" xfId="39"/>
    <cellStyle name="_4.06E Pass Throughs_Book2_Final Order Electric EXHIBIT A-1" xfId="40"/>
    <cellStyle name="_4.06E Pass Throughs_Book4" xfId="41"/>
    <cellStyle name="_4.06E Pass Throughs_Book9" xfId="42"/>
    <cellStyle name="_4.06E Pass Throughs_PCA 9 -  Exhibit D April 2010" xfId="43"/>
    <cellStyle name="_4.06E Pass Throughs_PCA 9 -  Exhibit D Nov 2010" xfId="44"/>
    <cellStyle name="_4.06E Pass Throughs_PCA 9 - Exhibit D at August 2010" xfId="45"/>
    <cellStyle name="_4.06E Pass Throughs_PCA 9 - Exhibit D June 2010 GRC" xfId="46"/>
    <cellStyle name="_4.06E Pass Throughs_Power Costs - Comparison bx Rbtl-Staff-Jt-PC" xfId="47"/>
    <cellStyle name="_4.06E Pass Throughs_Power Costs - Comparison bx Rbtl-Staff-Jt-PC_Adj Bench DR 3 for Initial Briefs (Electric)" xfId="48"/>
    <cellStyle name="_4.06E Pass Throughs_Power Costs - Comparison bx Rbtl-Staff-Jt-PC_Electric Rev Req Model (2009 GRC) Rebuttal" xfId="49"/>
    <cellStyle name="_4.06E Pass Throughs_Power Costs - Comparison bx Rbtl-Staff-Jt-PC_Electric Rev Req Model (2009 GRC) Rebuttal REmoval of New  WH Solar AdjustMI" xfId="50"/>
    <cellStyle name="_4.06E Pass Throughs_Power Costs - Comparison bx Rbtl-Staff-Jt-PC_Electric Rev Req Model (2009 GRC) Revised 01-18-2010" xfId="51"/>
    <cellStyle name="_4.06E Pass Throughs_Power Costs - Comparison bx Rbtl-Staff-Jt-PC_Final Order Electric EXHIBIT A-1" xfId="52"/>
    <cellStyle name="_4.06E Pass Throughs_Rebuttal Power Costs" xfId="53"/>
    <cellStyle name="_4.06E Pass Throughs_Rebuttal Power Costs_Adj Bench DR 3 for Initial Briefs (Electric)" xfId="54"/>
    <cellStyle name="_4.06E Pass Throughs_Rebuttal Power Costs_Electric Rev Req Model (2009 GRC) Rebuttal" xfId="55"/>
    <cellStyle name="_4.06E Pass Throughs_Rebuttal Power Costs_Electric Rev Req Model (2009 GRC) Rebuttal REmoval of New  WH Solar AdjustMI" xfId="56"/>
    <cellStyle name="_4.06E Pass Throughs_Rebuttal Power Costs_Electric Rev Req Model (2009 GRC) Revised 01-18-2010" xfId="57"/>
    <cellStyle name="_4.06E Pass Throughs_Rebuttal Power Costs_Final Order Electric EXHIBIT A-1" xfId="58"/>
    <cellStyle name="_4.13E Montana Energy Tax" xfId="59"/>
    <cellStyle name="_4.13E Montana Energy Tax_04 07E Wild Horse Wind Expansion (C) (2)" xfId="60"/>
    <cellStyle name="_4.13E Montana Energy Tax_04 07E Wild Horse Wind Expansion (C) (2)_Adj Bench DR 3 for Initial Briefs (Electric)" xfId="61"/>
    <cellStyle name="_4.13E Montana Energy Tax_04 07E Wild Horse Wind Expansion (C) (2)_Electric Rev Req Model (2009 GRC) " xfId="62"/>
    <cellStyle name="_4.13E Montana Energy Tax_04 07E Wild Horse Wind Expansion (C) (2)_Electric Rev Req Model (2009 GRC) Rebuttal" xfId="63"/>
    <cellStyle name="_4.13E Montana Energy Tax_04 07E Wild Horse Wind Expansion (C) (2)_Electric Rev Req Model (2009 GRC) Rebuttal REmoval of New  WH Solar AdjustMI" xfId="64"/>
    <cellStyle name="_4.13E Montana Energy Tax_04 07E Wild Horse Wind Expansion (C) (2)_Electric Rev Req Model (2009 GRC) Revised 01-18-2010" xfId="65"/>
    <cellStyle name="_4.13E Montana Energy Tax_04 07E Wild Horse Wind Expansion (C) (2)_Final Order Electric EXHIBIT A-1" xfId="66"/>
    <cellStyle name="_4.13E Montana Energy Tax_04 07E Wild Horse Wind Expansion (C) (2)_TENASKA REGULATORY ASSET" xfId="67"/>
    <cellStyle name="_4.13E Montana Energy Tax_16.37E Wild Horse Expansion DeferralRevwrkingfile SF" xfId="68"/>
    <cellStyle name="_4.13E Montana Energy Tax_2009 Compliance Filing PCA Exhibits for GRC" xfId="69"/>
    <cellStyle name="_4.13E Montana Energy Tax_2009 GRC Compl Filing - Exhibit D" xfId="70"/>
    <cellStyle name="_4.13E Montana Energy Tax_4 31 Regulatory Assets and Liabilities  7 06- Exhibit D" xfId="71"/>
    <cellStyle name="_4.13E Montana Energy Tax_4 32 Regulatory Assets and Liabilities  7 06- Exhibit D" xfId="72"/>
    <cellStyle name="_4.13E Montana Energy Tax_Book2" xfId="73"/>
    <cellStyle name="_4.13E Montana Energy Tax_Book2_Adj Bench DR 3 for Initial Briefs (Electric)" xfId="74"/>
    <cellStyle name="_4.13E Montana Energy Tax_Book2_Electric Rev Req Model (2009 GRC) Rebuttal" xfId="75"/>
    <cellStyle name="_4.13E Montana Energy Tax_Book2_Electric Rev Req Model (2009 GRC) Rebuttal REmoval of New  WH Solar AdjustMI" xfId="76"/>
    <cellStyle name="_4.13E Montana Energy Tax_Book2_Electric Rev Req Model (2009 GRC) Revised 01-18-2010" xfId="77"/>
    <cellStyle name="_4.13E Montana Energy Tax_Book2_Final Order Electric EXHIBIT A-1" xfId="78"/>
    <cellStyle name="_4.13E Montana Energy Tax_Book4" xfId="79"/>
    <cellStyle name="_4.13E Montana Energy Tax_Book9" xfId="80"/>
    <cellStyle name="_4.13E Montana Energy Tax_PCA 9 -  Exhibit D April 2010" xfId="81"/>
    <cellStyle name="_4.13E Montana Energy Tax_PCA 9 -  Exhibit D Nov 2010" xfId="82"/>
    <cellStyle name="_4.13E Montana Energy Tax_PCA 9 - Exhibit D at August 2010" xfId="83"/>
    <cellStyle name="_4.13E Montana Energy Tax_PCA 9 - Exhibit D June 2010 GRC" xfId="84"/>
    <cellStyle name="_4.13E Montana Energy Tax_Power Costs - Comparison bx Rbtl-Staff-Jt-PC" xfId="85"/>
    <cellStyle name="_4.13E Montana Energy Tax_Power Costs - Comparison bx Rbtl-Staff-Jt-PC_Adj Bench DR 3 for Initial Briefs (Electric)" xfId="86"/>
    <cellStyle name="_4.13E Montana Energy Tax_Power Costs - Comparison bx Rbtl-Staff-Jt-PC_Electric Rev Req Model (2009 GRC) Rebuttal" xfId="87"/>
    <cellStyle name="_4.13E Montana Energy Tax_Power Costs - Comparison bx Rbtl-Staff-Jt-PC_Electric Rev Req Model (2009 GRC) Rebuttal REmoval of New  WH Solar AdjustMI" xfId="88"/>
    <cellStyle name="_4.13E Montana Energy Tax_Power Costs - Comparison bx Rbtl-Staff-Jt-PC_Electric Rev Req Model (2009 GRC) Revised 01-18-2010" xfId="89"/>
    <cellStyle name="_4.13E Montana Energy Tax_Power Costs - Comparison bx Rbtl-Staff-Jt-PC_Final Order Electric EXHIBIT A-1" xfId="90"/>
    <cellStyle name="_4.13E Montana Energy Tax_Rebuttal Power Costs" xfId="91"/>
    <cellStyle name="_4.13E Montana Energy Tax_Rebuttal Power Costs_Adj Bench DR 3 for Initial Briefs (Electric)" xfId="92"/>
    <cellStyle name="_4.13E Montana Energy Tax_Rebuttal Power Costs_Electric Rev Req Model (2009 GRC) Rebuttal" xfId="93"/>
    <cellStyle name="_4.13E Montana Energy Tax_Rebuttal Power Costs_Electric Rev Req Model (2009 GRC) Rebuttal REmoval of New  WH Solar AdjustMI" xfId="94"/>
    <cellStyle name="_4.13E Montana Energy Tax_Rebuttal Power Costs_Electric Rev Req Model (2009 GRC) Revised 01-18-2010" xfId="95"/>
    <cellStyle name="_4.13E Montana Energy Tax_Rebuttal Power Costs_Final Order Electric EXHIBIT A-1" xfId="96"/>
    <cellStyle name="_x0013__Adj Bench DR 3 for Initial Briefs (Electric)" xfId="97"/>
    <cellStyle name="_AURORA WIP" xfId="98"/>
    <cellStyle name="_Book1" xfId="99"/>
    <cellStyle name="_Book1 (2)" xfId="100"/>
    <cellStyle name="_Book1 (2)_04 07E Wild Horse Wind Expansion (C) (2)" xfId="101"/>
    <cellStyle name="_Book1 (2)_04 07E Wild Horse Wind Expansion (C) (2)_Adj Bench DR 3 for Initial Briefs (Electric)" xfId="102"/>
    <cellStyle name="_Book1 (2)_04 07E Wild Horse Wind Expansion (C) (2)_Electric Rev Req Model (2009 GRC) " xfId="103"/>
    <cellStyle name="_Book1 (2)_04 07E Wild Horse Wind Expansion (C) (2)_Electric Rev Req Model (2009 GRC) Rebuttal" xfId="104"/>
    <cellStyle name="_Book1 (2)_04 07E Wild Horse Wind Expansion (C) (2)_Electric Rev Req Model (2009 GRC) Rebuttal REmoval of New  WH Solar AdjustMI" xfId="105"/>
    <cellStyle name="_Book1 (2)_04 07E Wild Horse Wind Expansion (C) (2)_Electric Rev Req Model (2009 GRC) Revised 01-18-2010" xfId="106"/>
    <cellStyle name="_Book1 (2)_04 07E Wild Horse Wind Expansion (C) (2)_Final Order Electric EXHIBIT A-1" xfId="107"/>
    <cellStyle name="_Book1 (2)_04 07E Wild Horse Wind Expansion (C) (2)_TENASKA REGULATORY ASSET" xfId="108"/>
    <cellStyle name="_Book1 (2)_16.37E Wild Horse Expansion DeferralRevwrkingfile SF" xfId="109"/>
    <cellStyle name="_Book1 (2)_2009 Compliance Filing PCA Exhibits for GRC" xfId="110"/>
    <cellStyle name="_Book1 (2)_2009 GRC Compl Filing - Exhibit D" xfId="111"/>
    <cellStyle name="_Book1 (2)_4 31 Regulatory Assets and Liabilities  7 06- Exhibit D" xfId="112"/>
    <cellStyle name="_Book1 (2)_4 32 Regulatory Assets and Liabilities  7 06- Exhibit D" xfId="113"/>
    <cellStyle name="_Book1 (2)_Book2" xfId="114"/>
    <cellStyle name="_Book1 (2)_Book2_Adj Bench DR 3 for Initial Briefs (Electric)" xfId="115"/>
    <cellStyle name="_Book1 (2)_Book2_Electric Rev Req Model (2009 GRC) Rebuttal" xfId="116"/>
    <cellStyle name="_Book1 (2)_Book2_Electric Rev Req Model (2009 GRC) Rebuttal REmoval of New  WH Solar AdjustMI" xfId="117"/>
    <cellStyle name="_Book1 (2)_Book2_Electric Rev Req Model (2009 GRC) Revised 01-18-2010" xfId="118"/>
    <cellStyle name="_Book1 (2)_Book2_Final Order Electric EXHIBIT A-1" xfId="119"/>
    <cellStyle name="_Book1 (2)_Book4" xfId="120"/>
    <cellStyle name="_Book1 (2)_Book9" xfId="121"/>
    <cellStyle name="_Book1 (2)_PCA 9 -  Exhibit D April 2010" xfId="122"/>
    <cellStyle name="_Book1 (2)_PCA 9 -  Exhibit D Nov 2010" xfId="123"/>
    <cellStyle name="_Book1 (2)_PCA 9 - Exhibit D at August 2010" xfId="124"/>
    <cellStyle name="_Book1 (2)_PCA 9 - Exhibit D June 2010 GRC" xfId="125"/>
    <cellStyle name="_Book1 (2)_Power Costs - Comparison bx Rbtl-Staff-Jt-PC" xfId="126"/>
    <cellStyle name="_Book1 (2)_Power Costs - Comparison bx Rbtl-Staff-Jt-PC_Adj Bench DR 3 for Initial Briefs (Electric)" xfId="127"/>
    <cellStyle name="_Book1 (2)_Power Costs - Comparison bx Rbtl-Staff-Jt-PC_Electric Rev Req Model (2009 GRC) Rebuttal" xfId="128"/>
    <cellStyle name="_Book1 (2)_Power Costs - Comparison bx Rbtl-Staff-Jt-PC_Electric Rev Req Model (2009 GRC) Rebuttal REmoval of New  WH Solar AdjustMI" xfId="129"/>
    <cellStyle name="_Book1 (2)_Power Costs - Comparison bx Rbtl-Staff-Jt-PC_Electric Rev Req Model (2009 GRC) Revised 01-18-2010" xfId="130"/>
    <cellStyle name="_Book1 (2)_Power Costs - Comparison bx Rbtl-Staff-Jt-PC_Final Order Electric EXHIBIT A-1" xfId="131"/>
    <cellStyle name="_Book1 (2)_Rebuttal Power Costs" xfId="132"/>
    <cellStyle name="_Book1 (2)_Rebuttal Power Costs_Adj Bench DR 3 for Initial Briefs (Electric)" xfId="133"/>
    <cellStyle name="_Book1 (2)_Rebuttal Power Costs_Electric Rev Req Model (2009 GRC) Rebuttal" xfId="134"/>
    <cellStyle name="_Book1 (2)_Rebuttal Power Costs_Electric Rev Req Model (2009 GRC) Rebuttal REmoval of New  WH Solar AdjustMI" xfId="135"/>
    <cellStyle name="_Book1 (2)_Rebuttal Power Costs_Electric Rev Req Model (2009 GRC) Revised 01-18-2010" xfId="136"/>
    <cellStyle name="_Book1 (2)_Rebuttal Power Costs_Final Order Electric EXHIBIT A-1" xfId="137"/>
    <cellStyle name="_Book1_(C) WHE Proforma with ITC cash grant 10 Yr Amort_for deferral_102809" xfId="138"/>
    <cellStyle name="_Book1_(C) WHE Proforma with ITC cash grant 10 Yr Amort_for deferral_102809_16.07E Wild Horse Wind Expansionwrkingfile" xfId="139"/>
    <cellStyle name="_Book1_(C) WHE Proforma with ITC cash grant 10 Yr Amort_for deferral_102809_16.07E Wild Horse Wind Expansionwrkingfile SF" xfId="140"/>
    <cellStyle name="_Book1_(C) WHE Proforma with ITC cash grant 10 Yr Amort_for deferral_102809_16.37E Wild Horse Expansion DeferralRevwrkingfile SF" xfId="141"/>
    <cellStyle name="_Book1_(C) WHE Proforma with ITC cash grant 10 Yr Amort_for rebuttal_120709" xfId="142"/>
    <cellStyle name="_Book1_04.07E Wild Horse Wind Expansion" xfId="143"/>
    <cellStyle name="_Book1_04.07E Wild Horse Wind Expansion_16.07E Wild Horse Wind Expansionwrkingfile" xfId="144"/>
    <cellStyle name="_Book1_04.07E Wild Horse Wind Expansion_16.07E Wild Horse Wind Expansionwrkingfile SF" xfId="145"/>
    <cellStyle name="_Book1_04.07E Wild Horse Wind Expansion_16.37E Wild Horse Expansion DeferralRevwrkingfile SF" xfId="146"/>
    <cellStyle name="_Book1_16.07E Wild Horse Wind Expansionwrkingfile" xfId="147"/>
    <cellStyle name="_Book1_16.07E Wild Horse Wind Expansionwrkingfile SF" xfId="148"/>
    <cellStyle name="_Book1_16.37E Wild Horse Expansion DeferralRevwrkingfile SF" xfId="149"/>
    <cellStyle name="_Book1_2009 Compliance Filing PCA Exhibits for GRC" xfId="150"/>
    <cellStyle name="_Book1_2009 GRC Compl Filing - Exhibit D" xfId="151"/>
    <cellStyle name="_Book1_4 31 Regulatory Assets and Liabilities  7 06- Exhibit D" xfId="152"/>
    <cellStyle name="_Book1_4 32 Regulatory Assets and Liabilities  7 06- Exhibit D" xfId="153"/>
    <cellStyle name="_Book1_Book2" xfId="154"/>
    <cellStyle name="_Book1_Book2_Adj Bench DR 3 for Initial Briefs (Electric)" xfId="155"/>
    <cellStyle name="_Book1_Book2_Electric Rev Req Model (2009 GRC) Rebuttal" xfId="156"/>
    <cellStyle name="_Book1_Book2_Electric Rev Req Model (2009 GRC) Rebuttal REmoval of New  WH Solar AdjustMI" xfId="157"/>
    <cellStyle name="_Book1_Book2_Electric Rev Req Model (2009 GRC) Revised 01-18-2010" xfId="158"/>
    <cellStyle name="_Book1_Book2_Final Order Electric EXHIBIT A-1" xfId="159"/>
    <cellStyle name="_Book1_Book4" xfId="160"/>
    <cellStyle name="_Book1_Book9" xfId="161"/>
    <cellStyle name="_Book1_PCA 9 -  Exhibit D April 2010" xfId="162"/>
    <cellStyle name="_Book1_PCA 9 -  Exhibit D Nov 2010" xfId="163"/>
    <cellStyle name="_Book1_PCA 9 - Exhibit D at August 2010" xfId="164"/>
    <cellStyle name="_Book1_PCA 9 - Exhibit D June 2010 GRC" xfId="165"/>
    <cellStyle name="_Book1_Power Costs - Comparison bx Rbtl-Staff-Jt-PC" xfId="166"/>
    <cellStyle name="_Book1_Power Costs - Comparison bx Rbtl-Staff-Jt-PC_Adj Bench DR 3 for Initial Briefs (Electric)" xfId="167"/>
    <cellStyle name="_Book1_Power Costs - Comparison bx Rbtl-Staff-Jt-PC_Electric Rev Req Model (2009 GRC) Rebuttal" xfId="168"/>
    <cellStyle name="_Book1_Power Costs - Comparison bx Rbtl-Staff-Jt-PC_Electric Rev Req Model (2009 GRC) Rebuttal REmoval of New  WH Solar AdjustMI" xfId="169"/>
    <cellStyle name="_Book1_Power Costs - Comparison bx Rbtl-Staff-Jt-PC_Electric Rev Req Model (2009 GRC) Revised 01-18-2010" xfId="170"/>
    <cellStyle name="_Book1_Power Costs - Comparison bx Rbtl-Staff-Jt-PC_Final Order Electric EXHIBIT A-1" xfId="171"/>
    <cellStyle name="_Book1_Rebuttal Power Costs" xfId="172"/>
    <cellStyle name="_Book1_Rebuttal Power Costs_Adj Bench DR 3 for Initial Briefs (Electric)" xfId="173"/>
    <cellStyle name="_Book1_Rebuttal Power Costs_Electric Rev Req Model (2009 GRC) Rebuttal" xfId="174"/>
    <cellStyle name="_Book1_Rebuttal Power Costs_Electric Rev Req Model (2009 GRC) Rebuttal REmoval of New  WH Solar AdjustMI" xfId="175"/>
    <cellStyle name="_Book1_Rebuttal Power Costs_Electric Rev Req Model (2009 GRC) Revised 01-18-2010" xfId="176"/>
    <cellStyle name="_Book1_Rebuttal Power Costs_Final Order Electric EXHIBIT A-1" xfId="177"/>
    <cellStyle name="_Book2" xfId="178"/>
    <cellStyle name="_x0013__Book2" xfId="179"/>
    <cellStyle name="_Book2_04 07E Wild Horse Wind Expansion (C) (2)" xfId="180"/>
    <cellStyle name="_Book2_04 07E Wild Horse Wind Expansion (C) (2)_Adj Bench DR 3 for Initial Briefs (Electric)" xfId="181"/>
    <cellStyle name="_Book2_04 07E Wild Horse Wind Expansion (C) (2)_Electric Rev Req Model (2009 GRC) " xfId="182"/>
    <cellStyle name="_Book2_04 07E Wild Horse Wind Expansion (C) (2)_Electric Rev Req Model (2009 GRC) Rebuttal" xfId="183"/>
    <cellStyle name="_Book2_04 07E Wild Horse Wind Expansion (C) (2)_Electric Rev Req Model (2009 GRC) Rebuttal REmoval of New  WH Solar AdjustMI" xfId="184"/>
    <cellStyle name="_Book2_04 07E Wild Horse Wind Expansion (C) (2)_Electric Rev Req Model (2009 GRC) Revised 01-18-2010" xfId="185"/>
    <cellStyle name="_Book2_04 07E Wild Horse Wind Expansion (C) (2)_Final Order Electric EXHIBIT A-1" xfId="186"/>
    <cellStyle name="_Book2_04 07E Wild Horse Wind Expansion (C) (2)_TENASKA REGULATORY ASSET" xfId="187"/>
    <cellStyle name="_Book2_16.37E Wild Horse Expansion DeferralRevwrkingfile SF" xfId="188"/>
    <cellStyle name="_Book2_2009 Compliance Filing PCA Exhibits for GRC" xfId="189"/>
    <cellStyle name="_Book2_2009 GRC Compl Filing - Exhibit D" xfId="190"/>
    <cellStyle name="_Book2_4 31 Regulatory Assets and Liabilities  7 06- Exhibit D" xfId="191"/>
    <cellStyle name="_Book2_4 32 Regulatory Assets and Liabilities  7 06- Exhibit D" xfId="192"/>
    <cellStyle name="_x0013__Book2_Adj Bench DR 3 for Initial Briefs (Electric)" xfId="193"/>
    <cellStyle name="_Book2_Book2" xfId="194"/>
    <cellStyle name="_Book2_Book2_Adj Bench DR 3 for Initial Briefs (Electric)" xfId="195"/>
    <cellStyle name="_Book2_Book2_Electric Rev Req Model (2009 GRC) Rebuttal" xfId="196"/>
    <cellStyle name="_Book2_Book2_Electric Rev Req Model (2009 GRC) Rebuttal REmoval of New  WH Solar AdjustMI" xfId="197"/>
    <cellStyle name="_Book2_Book2_Electric Rev Req Model (2009 GRC) Revised 01-18-2010" xfId="198"/>
    <cellStyle name="_Book2_Book2_Final Order Electric EXHIBIT A-1" xfId="199"/>
    <cellStyle name="_Book2_Book4" xfId="200"/>
    <cellStyle name="_Book2_Book9" xfId="201"/>
    <cellStyle name="_x0013__Book2_Electric Rev Req Model (2009 GRC) Rebuttal" xfId="202"/>
    <cellStyle name="_x0013__Book2_Electric Rev Req Model (2009 GRC) Rebuttal REmoval of New  WH Solar AdjustMI" xfId="203"/>
    <cellStyle name="_x0013__Book2_Electric Rev Req Model (2009 GRC) Revised 01-18-2010" xfId="204"/>
    <cellStyle name="_x0013__Book2_Final Order Electric EXHIBIT A-1" xfId="205"/>
    <cellStyle name="_Book2_PCA 9 -  Exhibit D April 2010" xfId="206"/>
    <cellStyle name="_Book2_PCA 9 -  Exhibit D Nov 2010" xfId="207"/>
    <cellStyle name="_Book2_PCA 9 - Exhibit D at August 2010" xfId="208"/>
    <cellStyle name="_Book2_PCA 9 - Exhibit D June 2010 GRC" xfId="209"/>
    <cellStyle name="_Book2_Power Costs - Comparison bx Rbtl-Staff-Jt-PC" xfId="210"/>
    <cellStyle name="_Book2_Power Costs - Comparison bx Rbtl-Staff-Jt-PC_Adj Bench DR 3 for Initial Briefs (Electric)" xfId="211"/>
    <cellStyle name="_Book2_Power Costs - Comparison bx Rbtl-Staff-Jt-PC_Electric Rev Req Model (2009 GRC) Rebuttal" xfId="212"/>
    <cellStyle name="_Book2_Power Costs - Comparison bx Rbtl-Staff-Jt-PC_Electric Rev Req Model (2009 GRC) Rebuttal REmoval of New  WH Solar AdjustMI" xfId="213"/>
    <cellStyle name="_Book2_Power Costs - Comparison bx Rbtl-Staff-Jt-PC_Electric Rev Req Model (2009 GRC) Revised 01-18-2010" xfId="214"/>
    <cellStyle name="_Book2_Power Costs - Comparison bx Rbtl-Staff-Jt-PC_Final Order Electric EXHIBIT A-1" xfId="215"/>
    <cellStyle name="_Book2_Rebuttal Power Costs" xfId="216"/>
    <cellStyle name="_Book2_Rebuttal Power Costs_Adj Bench DR 3 for Initial Briefs (Electric)" xfId="217"/>
    <cellStyle name="_Book2_Rebuttal Power Costs_Electric Rev Req Model (2009 GRC) Rebuttal" xfId="218"/>
    <cellStyle name="_Book2_Rebuttal Power Costs_Electric Rev Req Model (2009 GRC) Rebuttal REmoval of New  WH Solar AdjustMI" xfId="219"/>
    <cellStyle name="_Book2_Rebuttal Power Costs_Electric Rev Req Model (2009 GRC) Revised 01-18-2010" xfId="220"/>
    <cellStyle name="_Book2_Rebuttal Power Costs_Final Order Electric EXHIBIT A-1" xfId="221"/>
    <cellStyle name="_Book3" xfId="222"/>
    <cellStyle name="_Book5" xfId="223"/>
    <cellStyle name="_Chelan Debt Forecast 12.19.05" xfId="224"/>
    <cellStyle name="_Chelan Debt Forecast 12.19.05_(C) WHE Proforma with ITC cash grant 10 Yr Amort_for deferral_102809" xfId="225"/>
    <cellStyle name="_Chelan Debt Forecast 12.19.05_(C) WHE Proforma with ITC cash grant 10 Yr Amort_for deferral_102809_16.07E Wild Horse Wind Expansionwrkingfile" xfId="226"/>
    <cellStyle name="_Chelan Debt Forecast 12.19.05_(C) WHE Proforma with ITC cash grant 10 Yr Amort_for deferral_102809_16.07E Wild Horse Wind Expansionwrkingfile SF" xfId="227"/>
    <cellStyle name="_Chelan Debt Forecast 12.19.05_(C) WHE Proforma with ITC cash grant 10 Yr Amort_for deferral_102809_16.37E Wild Horse Expansion DeferralRevwrkingfile SF" xfId="228"/>
    <cellStyle name="_Chelan Debt Forecast 12.19.05_(C) WHE Proforma with ITC cash grant 10 Yr Amort_for rebuttal_120709" xfId="229"/>
    <cellStyle name="_Chelan Debt Forecast 12.19.05_04.07E Wild Horse Wind Expansion" xfId="230"/>
    <cellStyle name="_Chelan Debt Forecast 12.19.05_04.07E Wild Horse Wind Expansion_16.07E Wild Horse Wind Expansionwrkingfile" xfId="231"/>
    <cellStyle name="_Chelan Debt Forecast 12.19.05_04.07E Wild Horse Wind Expansion_16.07E Wild Horse Wind Expansionwrkingfile SF" xfId="232"/>
    <cellStyle name="_Chelan Debt Forecast 12.19.05_04.07E Wild Horse Wind Expansion_16.37E Wild Horse Expansion DeferralRevwrkingfile SF" xfId="233"/>
    <cellStyle name="_Chelan Debt Forecast 12.19.05_16.07E Wild Horse Wind Expansionwrkingfile" xfId="234"/>
    <cellStyle name="_Chelan Debt Forecast 12.19.05_16.07E Wild Horse Wind Expansionwrkingfile SF" xfId="235"/>
    <cellStyle name="_Chelan Debt Forecast 12.19.05_16.37E Wild Horse Expansion DeferralRevwrkingfile SF" xfId="236"/>
    <cellStyle name="_Chelan Debt Forecast 12.19.05_2009 Compliance Filing PCA Exhibits for GRC" xfId="237"/>
    <cellStyle name="_Chelan Debt Forecast 12.19.05_4 31 Regulatory Assets and Liabilities  7 06- Exhibit D" xfId="238"/>
    <cellStyle name="_Chelan Debt Forecast 12.19.05_4 32 Regulatory Assets and Liabilities  7 06- Exhibit D" xfId="239"/>
    <cellStyle name="_Chelan Debt Forecast 12.19.05_Book2" xfId="240"/>
    <cellStyle name="_Chelan Debt Forecast 12.19.05_Book2_Adj Bench DR 3 for Initial Briefs (Electric)" xfId="241"/>
    <cellStyle name="_Chelan Debt Forecast 12.19.05_Book2_Electric Rev Req Model (2009 GRC) Rebuttal" xfId="242"/>
    <cellStyle name="_Chelan Debt Forecast 12.19.05_Book2_Electric Rev Req Model (2009 GRC) Rebuttal REmoval of New  WH Solar AdjustMI" xfId="243"/>
    <cellStyle name="_Chelan Debt Forecast 12.19.05_Book2_Electric Rev Req Model (2009 GRC) Revised 01-18-2010" xfId="244"/>
    <cellStyle name="_Chelan Debt Forecast 12.19.05_Book2_Final Order Electric EXHIBIT A-1" xfId="245"/>
    <cellStyle name="_Chelan Debt Forecast 12.19.05_Book4" xfId="246"/>
    <cellStyle name="_Chelan Debt Forecast 12.19.05_Book9" xfId="247"/>
    <cellStyle name="_Chelan Debt Forecast 12.19.05_Exhibit D fr R Gho 12-31-08" xfId="248"/>
    <cellStyle name="_Chelan Debt Forecast 12.19.05_Exhibit D fr R Gho 12-31-08 v2" xfId="249"/>
    <cellStyle name="_Chelan Debt Forecast 12.19.05_PCA 7 - Exhibit D update 11_30_08 (2)" xfId="250"/>
    <cellStyle name="_Chelan Debt Forecast 12.19.05_PCA 8 - Exhibit D update 12_31_09" xfId="251"/>
    <cellStyle name="_Chelan Debt Forecast 12.19.05_PCA 9 -  Exhibit D April 2010" xfId="252"/>
    <cellStyle name="_Chelan Debt Forecast 12.19.05_PCA 9 -  Exhibit D Feb 2010" xfId="253"/>
    <cellStyle name="_Chelan Debt Forecast 12.19.05_PCA 9 -  Exhibit D Feb 2010 v2" xfId="254"/>
    <cellStyle name="_Chelan Debt Forecast 12.19.05_PCA 9 -  Exhibit D Feb 2010 WF" xfId="255"/>
    <cellStyle name="_Chelan Debt Forecast 12.19.05_PCA 9 -  Exhibit D Jan 2010" xfId="256"/>
    <cellStyle name="_Chelan Debt Forecast 12.19.05_PCA 9 -  Exhibit D March 2010 (2)" xfId="257"/>
    <cellStyle name="_Chelan Debt Forecast 12.19.05_PCA 9 -  Exhibit D Nov 2010" xfId="258"/>
    <cellStyle name="_Chelan Debt Forecast 12.19.05_PCA 9 - Exhibit D at August 2010" xfId="259"/>
    <cellStyle name="_Chelan Debt Forecast 12.19.05_PCA 9 - Exhibit D June 2010 GRC" xfId="260"/>
    <cellStyle name="_Chelan Debt Forecast 12.19.05_Power Costs - Comparison bx Rbtl-Staff-Jt-PC" xfId="261"/>
    <cellStyle name="_Chelan Debt Forecast 12.19.05_Power Costs - Comparison bx Rbtl-Staff-Jt-PC_Adj Bench DR 3 for Initial Briefs (Electric)" xfId="262"/>
    <cellStyle name="_Chelan Debt Forecast 12.19.05_Power Costs - Comparison bx Rbtl-Staff-Jt-PC_Electric Rev Req Model (2009 GRC) Rebuttal" xfId="263"/>
    <cellStyle name="_Chelan Debt Forecast 12.19.05_Power Costs - Comparison bx Rbtl-Staff-Jt-PC_Electric Rev Req Model (2009 GRC) Rebuttal REmoval of New  WH Solar AdjustMI" xfId="264"/>
    <cellStyle name="_Chelan Debt Forecast 12.19.05_Power Costs - Comparison bx Rbtl-Staff-Jt-PC_Electric Rev Req Model (2009 GRC) Revised 01-18-2010" xfId="265"/>
    <cellStyle name="_Chelan Debt Forecast 12.19.05_Power Costs - Comparison bx Rbtl-Staff-Jt-PC_Final Order Electric EXHIBIT A-1" xfId="266"/>
    <cellStyle name="_Chelan Debt Forecast 12.19.05_Rebuttal Power Costs" xfId="267"/>
    <cellStyle name="_Chelan Debt Forecast 12.19.05_Rebuttal Power Costs_Adj Bench DR 3 for Initial Briefs (Electric)" xfId="268"/>
    <cellStyle name="_Chelan Debt Forecast 12.19.05_Rebuttal Power Costs_Electric Rev Req Model (2009 GRC) Rebuttal" xfId="269"/>
    <cellStyle name="_Chelan Debt Forecast 12.19.05_Rebuttal Power Costs_Electric Rev Req Model (2009 GRC) Rebuttal REmoval of New  WH Solar AdjustMI" xfId="270"/>
    <cellStyle name="_Chelan Debt Forecast 12.19.05_Rebuttal Power Costs_Electric Rev Req Model (2009 GRC) Revised 01-18-2010" xfId="271"/>
    <cellStyle name="_Chelan Debt Forecast 12.19.05_Rebuttal Power Costs_Final Order Electric EXHIBIT A-1" xfId="272"/>
    <cellStyle name="_Copy 11-9 Sumas Proforma - Current" xfId="273"/>
    <cellStyle name="_Costs not in AURORA 06GRC" xfId="274"/>
    <cellStyle name="_Costs not in AURORA 06GRC_04 07E Wild Horse Wind Expansion (C) (2)" xfId="275"/>
    <cellStyle name="_Costs not in AURORA 06GRC_04 07E Wild Horse Wind Expansion (C) (2)_Adj Bench DR 3 for Initial Briefs (Electric)" xfId="276"/>
    <cellStyle name="_Costs not in AURORA 06GRC_04 07E Wild Horse Wind Expansion (C) (2)_Electric Rev Req Model (2009 GRC) " xfId="277"/>
    <cellStyle name="_Costs not in AURORA 06GRC_04 07E Wild Horse Wind Expansion (C) (2)_Electric Rev Req Model (2009 GRC) Rebuttal" xfId="278"/>
    <cellStyle name="_Costs not in AURORA 06GRC_04 07E Wild Horse Wind Expansion (C) (2)_Electric Rev Req Model (2009 GRC) Rebuttal REmoval of New  WH Solar AdjustMI" xfId="279"/>
    <cellStyle name="_Costs not in AURORA 06GRC_04 07E Wild Horse Wind Expansion (C) (2)_Electric Rev Req Model (2009 GRC) Revised 01-18-2010" xfId="280"/>
    <cellStyle name="_Costs not in AURORA 06GRC_04 07E Wild Horse Wind Expansion (C) (2)_Final Order Electric EXHIBIT A-1" xfId="281"/>
    <cellStyle name="_Costs not in AURORA 06GRC_04 07E Wild Horse Wind Expansion (C) (2)_TENASKA REGULATORY ASSET" xfId="282"/>
    <cellStyle name="_Costs not in AURORA 06GRC_16.37E Wild Horse Expansion DeferralRevwrkingfile SF" xfId="283"/>
    <cellStyle name="_Costs not in AURORA 06GRC_2009 Compliance Filing PCA Exhibits for GRC" xfId="284"/>
    <cellStyle name="_Costs not in AURORA 06GRC_4 31 Regulatory Assets and Liabilities  7 06- Exhibit D" xfId="285"/>
    <cellStyle name="_Costs not in AURORA 06GRC_4 32 Regulatory Assets and Liabilities  7 06- Exhibit D" xfId="286"/>
    <cellStyle name="_Costs not in AURORA 06GRC_Book2" xfId="287"/>
    <cellStyle name="_Costs not in AURORA 06GRC_Book2_Adj Bench DR 3 for Initial Briefs (Electric)" xfId="288"/>
    <cellStyle name="_Costs not in AURORA 06GRC_Book2_Electric Rev Req Model (2009 GRC) Rebuttal" xfId="289"/>
    <cellStyle name="_Costs not in AURORA 06GRC_Book2_Electric Rev Req Model (2009 GRC) Rebuttal REmoval of New  WH Solar AdjustMI" xfId="290"/>
    <cellStyle name="_Costs not in AURORA 06GRC_Book2_Electric Rev Req Model (2009 GRC) Revised 01-18-2010" xfId="291"/>
    <cellStyle name="_Costs not in AURORA 06GRC_Book2_Final Order Electric EXHIBIT A-1" xfId="292"/>
    <cellStyle name="_Costs not in AURORA 06GRC_Book4" xfId="293"/>
    <cellStyle name="_Costs not in AURORA 06GRC_Book9" xfId="294"/>
    <cellStyle name="_Costs not in AURORA 06GRC_Exhibit D fr R Gho 12-31-08" xfId="295"/>
    <cellStyle name="_Costs not in AURORA 06GRC_Exhibit D fr R Gho 12-31-08 v2" xfId="296"/>
    <cellStyle name="_Costs not in AURORA 06GRC_PCA 7 - Exhibit D update 11_30_08 (2)" xfId="297"/>
    <cellStyle name="_Costs not in AURORA 06GRC_PCA 8 - Exhibit D update 12_31_09" xfId="298"/>
    <cellStyle name="_Costs not in AURORA 06GRC_PCA 9 -  Exhibit D April 2010" xfId="299"/>
    <cellStyle name="_Costs not in AURORA 06GRC_PCA 9 -  Exhibit D Feb 2010" xfId="300"/>
    <cellStyle name="_Costs not in AURORA 06GRC_PCA 9 -  Exhibit D Feb 2010 v2" xfId="301"/>
    <cellStyle name="_Costs not in AURORA 06GRC_PCA 9 -  Exhibit D Feb 2010 WF" xfId="302"/>
    <cellStyle name="_Costs not in AURORA 06GRC_PCA 9 -  Exhibit D Jan 2010" xfId="303"/>
    <cellStyle name="_Costs not in AURORA 06GRC_PCA 9 -  Exhibit D March 2010 (2)" xfId="304"/>
    <cellStyle name="_Costs not in AURORA 06GRC_PCA 9 -  Exhibit D Nov 2010" xfId="305"/>
    <cellStyle name="_Costs not in AURORA 06GRC_PCA 9 - Exhibit D at August 2010" xfId="306"/>
    <cellStyle name="_Costs not in AURORA 06GRC_PCA 9 - Exhibit D June 2010 GRC" xfId="307"/>
    <cellStyle name="_Costs not in AURORA 06GRC_Power Costs - Comparison bx Rbtl-Staff-Jt-PC" xfId="308"/>
    <cellStyle name="_Costs not in AURORA 06GRC_Power Costs - Comparison bx Rbtl-Staff-Jt-PC_Adj Bench DR 3 for Initial Briefs (Electric)" xfId="309"/>
    <cellStyle name="_Costs not in AURORA 06GRC_Power Costs - Comparison bx Rbtl-Staff-Jt-PC_Electric Rev Req Model (2009 GRC) Rebuttal" xfId="310"/>
    <cellStyle name="_Costs not in AURORA 06GRC_Power Costs - Comparison bx Rbtl-Staff-Jt-PC_Electric Rev Req Model (2009 GRC) Rebuttal REmoval of New  WH Solar AdjustMI" xfId="311"/>
    <cellStyle name="_Costs not in AURORA 06GRC_Power Costs - Comparison bx Rbtl-Staff-Jt-PC_Electric Rev Req Model (2009 GRC) Revised 01-18-2010" xfId="312"/>
    <cellStyle name="_Costs not in AURORA 06GRC_Power Costs - Comparison bx Rbtl-Staff-Jt-PC_Final Order Electric EXHIBIT A-1" xfId="313"/>
    <cellStyle name="_Costs not in AURORA 06GRC_Rebuttal Power Costs" xfId="314"/>
    <cellStyle name="_Costs not in AURORA 06GRC_Rebuttal Power Costs_Adj Bench DR 3 for Initial Briefs (Electric)" xfId="315"/>
    <cellStyle name="_Costs not in AURORA 06GRC_Rebuttal Power Costs_Electric Rev Req Model (2009 GRC) Rebuttal" xfId="316"/>
    <cellStyle name="_Costs not in AURORA 06GRC_Rebuttal Power Costs_Electric Rev Req Model (2009 GRC) Rebuttal REmoval of New  WH Solar AdjustMI" xfId="317"/>
    <cellStyle name="_Costs not in AURORA 06GRC_Rebuttal Power Costs_Electric Rev Req Model (2009 GRC) Revised 01-18-2010" xfId="318"/>
    <cellStyle name="_Costs not in AURORA 06GRC_Rebuttal Power Costs_Final Order Electric EXHIBIT A-1" xfId="319"/>
    <cellStyle name="_Costs not in AURORA 2006GRC 6.15.06" xfId="320"/>
    <cellStyle name="_Costs not in AURORA 2006GRC 6.15.06_04 07E Wild Horse Wind Expansion (C) (2)" xfId="321"/>
    <cellStyle name="_Costs not in AURORA 2006GRC 6.15.06_04 07E Wild Horse Wind Expansion (C) (2)_Adj Bench DR 3 for Initial Briefs (Electric)" xfId="322"/>
    <cellStyle name="_Costs not in AURORA 2006GRC 6.15.06_04 07E Wild Horse Wind Expansion (C) (2)_Electric Rev Req Model (2009 GRC) " xfId="323"/>
    <cellStyle name="_Costs not in AURORA 2006GRC 6.15.06_04 07E Wild Horse Wind Expansion (C) (2)_Electric Rev Req Model (2009 GRC) Rebuttal" xfId="324"/>
    <cellStyle name="_Costs not in AURORA 2006GRC 6.15.06_04 07E Wild Horse Wind Expansion (C) (2)_Electric Rev Req Model (2009 GRC) Rebuttal REmoval of New  WH Solar AdjustMI" xfId="325"/>
    <cellStyle name="_Costs not in AURORA 2006GRC 6.15.06_04 07E Wild Horse Wind Expansion (C) (2)_Electric Rev Req Model (2009 GRC) Revised 01-18-2010" xfId="326"/>
    <cellStyle name="_Costs not in AURORA 2006GRC 6.15.06_04 07E Wild Horse Wind Expansion (C) (2)_Final Order Electric EXHIBIT A-1" xfId="327"/>
    <cellStyle name="_Costs not in AURORA 2006GRC 6.15.06_04 07E Wild Horse Wind Expansion (C) (2)_TENASKA REGULATORY ASSET" xfId="328"/>
    <cellStyle name="_Costs not in AURORA 2006GRC 6.15.06_16.37E Wild Horse Expansion DeferralRevwrkingfile SF" xfId="329"/>
    <cellStyle name="_Costs not in AURORA 2006GRC 6.15.06_2009 Compliance Filing PCA Exhibits for GRC" xfId="330"/>
    <cellStyle name="_Costs not in AURORA 2006GRC 6.15.06_2009 GRC Compl Filing - Exhibit D" xfId="331"/>
    <cellStyle name="_Costs not in AURORA 2006GRC 6.15.06_4 31 Regulatory Assets and Liabilities  7 06- Exhibit D" xfId="332"/>
    <cellStyle name="_Costs not in AURORA 2006GRC 6.15.06_4 32 Regulatory Assets and Liabilities  7 06- Exhibit D" xfId="333"/>
    <cellStyle name="_Costs not in AURORA 2006GRC 6.15.06_Book2" xfId="334"/>
    <cellStyle name="_Costs not in AURORA 2006GRC 6.15.06_Book2_Adj Bench DR 3 for Initial Briefs (Electric)" xfId="335"/>
    <cellStyle name="_Costs not in AURORA 2006GRC 6.15.06_Book2_Electric Rev Req Model (2009 GRC) Rebuttal" xfId="336"/>
    <cellStyle name="_Costs not in AURORA 2006GRC 6.15.06_Book2_Electric Rev Req Model (2009 GRC) Rebuttal REmoval of New  WH Solar AdjustMI" xfId="337"/>
    <cellStyle name="_Costs not in AURORA 2006GRC 6.15.06_Book2_Electric Rev Req Model (2009 GRC) Revised 01-18-2010" xfId="338"/>
    <cellStyle name="_Costs not in AURORA 2006GRC 6.15.06_Book2_Final Order Electric EXHIBIT A-1" xfId="339"/>
    <cellStyle name="_Costs not in AURORA 2006GRC 6.15.06_Book4" xfId="340"/>
    <cellStyle name="_Costs not in AURORA 2006GRC 6.15.06_Book9" xfId="341"/>
    <cellStyle name="_Costs not in AURORA 2006GRC 6.15.06_PCA 9 -  Exhibit D April 2010" xfId="342"/>
    <cellStyle name="_Costs not in AURORA 2006GRC 6.15.06_PCA 9 -  Exhibit D Nov 2010" xfId="343"/>
    <cellStyle name="_Costs not in AURORA 2006GRC 6.15.06_PCA 9 - Exhibit D at August 2010" xfId="344"/>
    <cellStyle name="_Costs not in AURORA 2006GRC 6.15.06_PCA 9 - Exhibit D June 2010 GRC" xfId="345"/>
    <cellStyle name="_Costs not in AURORA 2006GRC 6.15.06_Power Costs - Comparison bx Rbtl-Staff-Jt-PC" xfId="346"/>
    <cellStyle name="_Costs not in AURORA 2006GRC 6.15.06_Power Costs - Comparison bx Rbtl-Staff-Jt-PC_Adj Bench DR 3 for Initial Briefs (Electric)" xfId="347"/>
    <cellStyle name="_Costs not in AURORA 2006GRC 6.15.06_Power Costs - Comparison bx Rbtl-Staff-Jt-PC_Electric Rev Req Model (2009 GRC) Rebuttal" xfId="348"/>
    <cellStyle name="_Costs not in AURORA 2006GRC 6.15.06_Power Costs - Comparison bx Rbtl-Staff-Jt-PC_Electric Rev Req Model (2009 GRC) Rebuttal REmoval of New  WH Solar AdjustMI" xfId="349"/>
    <cellStyle name="_Costs not in AURORA 2006GRC 6.15.06_Power Costs - Comparison bx Rbtl-Staff-Jt-PC_Electric Rev Req Model (2009 GRC) Revised 01-18-2010" xfId="350"/>
    <cellStyle name="_Costs not in AURORA 2006GRC 6.15.06_Power Costs - Comparison bx Rbtl-Staff-Jt-PC_Final Order Electric EXHIBIT A-1" xfId="351"/>
    <cellStyle name="_Costs not in AURORA 2006GRC 6.15.06_Rebuttal Power Costs" xfId="352"/>
    <cellStyle name="_Costs not in AURORA 2006GRC 6.15.06_Rebuttal Power Costs_Adj Bench DR 3 for Initial Briefs (Electric)" xfId="353"/>
    <cellStyle name="_Costs not in AURORA 2006GRC 6.15.06_Rebuttal Power Costs_Electric Rev Req Model (2009 GRC) Rebuttal" xfId="354"/>
    <cellStyle name="_Costs not in AURORA 2006GRC 6.15.06_Rebuttal Power Costs_Electric Rev Req Model (2009 GRC) Rebuttal REmoval of New  WH Solar AdjustMI" xfId="355"/>
    <cellStyle name="_Costs not in AURORA 2006GRC 6.15.06_Rebuttal Power Costs_Electric Rev Req Model (2009 GRC) Revised 01-18-2010" xfId="356"/>
    <cellStyle name="_Costs not in AURORA 2006GRC 6.15.06_Rebuttal Power Costs_Final Order Electric EXHIBIT A-1" xfId="357"/>
    <cellStyle name="_Costs not in AURORA 2006GRC w gas price updated" xfId="358"/>
    <cellStyle name="_Costs not in AURORA 2006GRC w gas price updated_Adj Bench DR 3 for Initial Briefs (Electric)" xfId="359"/>
    <cellStyle name="_Costs not in AURORA 2006GRC w gas price updated_Book2" xfId="360"/>
    <cellStyle name="_Costs not in AURORA 2006GRC w gas price updated_Book2_Adj Bench DR 3 for Initial Briefs (Electric)" xfId="361"/>
    <cellStyle name="_Costs not in AURORA 2006GRC w gas price updated_Book2_Electric Rev Req Model (2009 GRC) Rebuttal" xfId="362"/>
    <cellStyle name="_Costs not in AURORA 2006GRC w gas price updated_Book2_Electric Rev Req Model (2009 GRC) Rebuttal REmoval of New  WH Solar AdjustMI" xfId="363"/>
    <cellStyle name="_Costs not in AURORA 2006GRC w gas price updated_Book2_Electric Rev Req Model (2009 GRC) Revised 01-18-2010" xfId="364"/>
    <cellStyle name="_Costs not in AURORA 2006GRC w gas price updated_Book2_Final Order Electric EXHIBIT A-1" xfId="365"/>
    <cellStyle name="_Costs not in AURORA 2006GRC w gas price updated_Electric Rev Req Model (2009 GRC) " xfId="366"/>
    <cellStyle name="_Costs not in AURORA 2006GRC w gas price updated_Electric Rev Req Model (2009 GRC) Rebuttal" xfId="367"/>
    <cellStyle name="_Costs not in AURORA 2006GRC w gas price updated_Electric Rev Req Model (2009 GRC) Rebuttal REmoval of New  WH Solar AdjustMI" xfId="368"/>
    <cellStyle name="_Costs not in AURORA 2006GRC w gas price updated_Electric Rev Req Model (2009 GRC) Revised 01-18-2010" xfId="369"/>
    <cellStyle name="_Costs not in AURORA 2006GRC w gas price updated_Final Order Electric EXHIBIT A-1" xfId="370"/>
    <cellStyle name="_Costs not in AURORA 2006GRC w gas price updated_Rebuttal Power Costs" xfId="371"/>
    <cellStyle name="_Costs not in AURORA 2006GRC w gas price updated_Rebuttal Power Costs_Adj Bench DR 3 for Initial Briefs (Electric)" xfId="372"/>
    <cellStyle name="_Costs not in AURORA 2006GRC w gas price updated_Rebuttal Power Costs_Electric Rev Req Model (2009 GRC) Rebuttal" xfId="373"/>
    <cellStyle name="_Costs not in AURORA 2006GRC w gas price updated_Rebuttal Power Costs_Electric Rev Req Model (2009 GRC) Rebuttal REmoval of New  WH Solar AdjustMI" xfId="374"/>
    <cellStyle name="_Costs not in AURORA 2006GRC w gas price updated_Rebuttal Power Costs_Electric Rev Req Model (2009 GRC) Revised 01-18-2010" xfId="375"/>
    <cellStyle name="_Costs not in AURORA 2006GRC w gas price updated_Rebuttal Power Costs_Final Order Electric EXHIBIT A-1" xfId="376"/>
    <cellStyle name="_Costs not in AURORA 2006GRC w gas price updated_TENASKA REGULATORY ASSET" xfId="377"/>
    <cellStyle name="_Costs not in AURORA 2007 Rate Case" xfId="378"/>
    <cellStyle name="_Costs not in AURORA 2007 Rate Case_(C) WHE Proforma with ITC cash grant 10 Yr Amort_for deferral_102809" xfId="379"/>
    <cellStyle name="_Costs not in AURORA 2007 Rate Case_(C) WHE Proforma with ITC cash grant 10 Yr Amort_for deferral_102809_16.07E Wild Horse Wind Expansionwrkingfile" xfId="380"/>
    <cellStyle name="_Costs not in AURORA 2007 Rate Case_(C) WHE Proforma with ITC cash grant 10 Yr Amort_for deferral_102809_16.07E Wild Horse Wind Expansionwrkingfile SF" xfId="381"/>
    <cellStyle name="_Costs not in AURORA 2007 Rate Case_(C) WHE Proforma with ITC cash grant 10 Yr Amort_for deferral_102809_16.37E Wild Horse Expansion DeferralRevwrkingfile SF" xfId="382"/>
    <cellStyle name="_Costs not in AURORA 2007 Rate Case_(C) WHE Proforma with ITC cash grant 10 Yr Amort_for rebuttal_120709" xfId="383"/>
    <cellStyle name="_Costs not in AURORA 2007 Rate Case_04.07E Wild Horse Wind Expansion" xfId="384"/>
    <cellStyle name="_Costs not in AURORA 2007 Rate Case_04.07E Wild Horse Wind Expansion_16.07E Wild Horse Wind Expansionwrkingfile" xfId="385"/>
    <cellStyle name="_Costs not in AURORA 2007 Rate Case_04.07E Wild Horse Wind Expansion_16.07E Wild Horse Wind Expansionwrkingfile SF" xfId="386"/>
    <cellStyle name="_Costs not in AURORA 2007 Rate Case_04.07E Wild Horse Wind Expansion_16.37E Wild Horse Expansion DeferralRevwrkingfile SF" xfId="387"/>
    <cellStyle name="_Costs not in AURORA 2007 Rate Case_16.07E Wild Horse Wind Expansionwrkingfile" xfId="388"/>
    <cellStyle name="_Costs not in AURORA 2007 Rate Case_16.07E Wild Horse Wind Expansionwrkingfile SF" xfId="389"/>
    <cellStyle name="_Costs not in AURORA 2007 Rate Case_16.37E Wild Horse Expansion DeferralRevwrkingfile SF" xfId="390"/>
    <cellStyle name="_Costs not in AURORA 2007 Rate Case_2009 Compliance Filing PCA Exhibits for GRC" xfId="391"/>
    <cellStyle name="_Costs not in AURORA 2007 Rate Case_2009 GRC Compl Filing - Exhibit D" xfId="392"/>
    <cellStyle name="_Costs not in AURORA 2007 Rate Case_4 31 Regulatory Assets and Liabilities  7 06- Exhibit D" xfId="393"/>
    <cellStyle name="_Costs not in AURORA 2007 Rate Case_4 32 Regulatory Assets and Liabilities  7 06- Exhibit D" xfId="394"/>
    <cellStyle name="_Costs not in AURORA 2007 Rate Case_Book2" xfId="395"/>
    <cellStyle name="_Costs not in AURORA 2007 Rate Case_Book2_Adj Bench DR 3 for Initial Briefs (Electric)" xfId="396"/>
    <cellStyle name="_Costs not in AURORA 2007 Rate Case_Book2_Electric Rev Req Model (2009 GRC) Rebuttal" xfId="397"/>
    <cellStyle name="_Costs not in AURORA 2007 Rate Case_Book2_Electric Rev Req Model (2009 GRC) Rebuttal REmoval of New  WH Solar AdjustMI" xfId="398"/>
    <cellStyle name="_Costs not in AURORA 2007 Rate Case_Book2_Electric Rev Req Model (2009 GRC) Revised 01-18-2010" xfId="399"/>
    <cellStyle name="_Costs not in AURORA 2007 Rate Case_Book2_Final Order Electric EXHIBIT A-1" xfId="400"/>
    <cellStyle name="_Costs not in AURORA 2007 Rate Case_Book4" xfId="401"/>
    <cellStyle name="_Costs not in AURORA 2007 Rate Case_Book9" xfId="402"/>
    <cellStyle name="_Costs not in AURORA 2007 Rate Case_PCA 9 -  Exhibit D April 2010" xfId="403"/>
    <cellStyle name="_Costs not in AURORA 2007 Rate Case_PCA 9 -  Exhibit D Nov 2010" xfId="404"/>
    <cellStyle name="_Costs not in AURORA 2007 Rate Case_PCA 9 - Exhibit D at August 2010" xfId="405"/>
    <cellStyle name="_Costs not in AURORA 2007 Rate Case_PCA 9 - Exhibit D June 2010 GRC" xfId="406"/>
    <cellStyle name="_Costs not in AURORA 2007 Rate Case_Power Costs - Comparison bx Rbtl-Staff-Jt-PC" xfId="407"/>
    <cellStyle name="_Costs not in AURORA 2007 Rate Case_Power Costs - Comparison bx Rbtl-Staff-Jt-PC_Adj Bench DR 3 for Initial Briefs (Electric)" xfId="408"/>
    <cellStyle name="_Costs not in AURORA 2007 Rate Case_Power Costs - Comparison bx Rbtl-Staff-Jt-PC_Electric Rev Req Model (2009 GRC) Rebuttal" xfId="409"/>
    <cellStyle name="_Costs not in AURORA 2007 Rate Case_Power Costs - Comparison bx Rbtl-Staff-Jt-PC_Electric Rev Req Model (2009 GRC) Rebuttal REmoval of New  WH Solar AdjustMI" xfId="410"/>
    <cellStyle name="_Costs not in AURORA 2007 Rate Case_Power Costs - Comparison bx Rbtl-Staff-Jt-PC_Electric Rev Req Model (2009 GRC) Revised 01-18-2010" xfId="411"/>
    <cellStyle name="_Costs not in AURORA 2007 Rate Case_Power Costs - Comparison bx Rbtl-Staff-Jt-PC_Final Order Electric EXHIBIT A-1" xfId="412"/>
    <cellStyle name="_Costs not in AURORA 2007 Rate Case_Rebuttal Power Costs" xfId="413"/>
    <cellStyle name="_Costs not in AURORA 2007 Rate Case_Rebuttal Power Costs_Adj Bench DR 3 for Initial Briefs (Electric)" xfId="414"/>
    <cellStyle name="_Costs not in AURORA 2007 Rate Case_Rebuttal Power Costs_Electric Rev Req Model (2009 GRC) Rebuttal" xfId="415"/>
    <cellStyle name="_Costs not in AURORA 2007 Rate Case_Rebuttal Power Costs_Electric Rev Req Model (2009 GRC) Rebuttal REmoval of New  WH Solar AdjustMI" xfId="416"/>
    <cellStyle name="_Costs not in AURORA 2007 Rate Case_Rebuttal Power Costs_Electric Rev Req Model (2009 GRC) Revised 01-18-2010" xfId="417"/>
    <cellStyle name="_Costs not in AURORA 2007 Rate Case_Rebuttal Power Costs_Final Order Electric EXHIBIT A-1" xfId="418"/>
    <cellStyle name="_Costs not in KWI3000 '06Budget" xfId="419"/>
    <cellStyle name="_Costs not in KWI3000 '06Budget_(C) WHE Proforma with ITC cash grant 10 Yr Amort_for deferral_102809" xfId="420"/>
    <cellStyle name="_Costs not in KWI3000 '06Budget_(C) WHE Proforma with ITC cash grant 10 Yr Amort_for deferral_102809_16.07E Wild Horse Wind Expansionwrkingfile" xfId="421"/>
    <cellStyle name="_Costs not in KWI3000 '06Budget_(C) WHE Proforma with ITC cash grant 10 Yr Amort_for deferral_102809_16.07E Wild Horse Wind Expansionwrkingfile SF" xfId="422"/>
    <cellStyle name="_Costs not in KWI3000 '06Budget_(C) WHE Proforma with ITC cash grant 10 Yr Amort_for deferral_102809_16.37E Wild Horse Expansion DeferralRevwrkingfile SF" xfId="423"/>
    <cellStyle name="_Costs not in KWI3000 '06Budget_(C) WHE Proforma with ITC cash grant 10 Yr Amort_for rebuttal_120709" xfId="424"/>
    <cellStyle name="_Costs not in KWI3000 '06Budget_04.07E Wild Horse Wind Expansion" xfId="425"/>
    <cellStyle name="_Costs not in KWI3000 '06Budget_04.07E Wild Horse Wind Expansion_16.07E Wild Horse Wind Expansionwrkingfile" xfId="426"/>
    <cellStyle name="_Costs not in KWI3000 '06Budget_04.07E Wild Horse Wind Expansion_16.07E Wild Horse Wind Expansionwrkingfile SF" xfId="427"/>
    <cellStyle name="_Costs not in KWI3000 '06Budget_04.07E Wild Horse Wind Expansion_16.37E Wild Horse Expansion DeferralRevwrkingfile SF" xfId="428"/>
    <cellStyle name="_Costs not in KWI3000 '06Budget_16.07E Wild Horse Wind Expansionwrkingfile" xfId="429"/>
    <cellStyle name="_Costs not in KWI3000 '06Budget_16.07E Wild Horse Wind Expansionwrkingfile SF" xfId="430"/>
    <cellStyle name="_Costs not in KWI3000 '06Budget_16.37E Wild Horse Expansion DeferralRevwrkingfile SF" xfId="431"/>
    <cellStyle name="_Costs not in KWI3000 '06Budget_2009 Compliance Filing PCA Exhibits for GRC" xfId="432"/>
    <cellStyle name="_Costs not in KWI3000 '06Budget_4 31 Regulatory Assets and Liabilities  7 06- Exhibit D" xfId="433"/>
    <cellStyle name="_Costs not in KWI3000 '06Budget_4 32 Regulatory Assets and Liabilities  7 06- Exhibit D" xfId="434"/>
    <cellStyle name="_Costs not in KWI3000 '06Budget_Book2" xfId="435"/>
    <cellStyle name="_Costs not in KWI3000 '06Budget_Book2_Adj Bench DR 3 for Initial Briefs (Electric)" xfId="436"/>
    <cellStyle name="_Costs not in KWI3000 '06Budget_Book2_Electric Rev Req Model (2009 GRC) Rebuttal" xfId="437"/>
    <cellStyle name="_Costs not in KWI3000 '06Budget_Book2_Electric Rev Req Model (2009 GRC) Rebuttal REmoval of New  WH Solar AdjustMI" xfId="438"/>
    <cellStyle name="_Costs not in KWI3000 '06Budget_Book2_Electric Rev Req Model (2009 GRC) Revised 01-18-2010" xfId="439"/>
    <cellStyle name="_Costs not in KWI3000 '06Budget_Book2_Final Order Electric EXHIBIT A-1" xfId="440"/>
    <cellStyle name="_Costs not in KWI3000 '06Budget_Book4" xfId="441"/>
    <cellStyle name="_Costs not in KWI3000 '06Budget_Book9" xfId="442"/>
    <cellStyle name="_Costs not in KWI3000 '06Budget_Exhibit D fr R Gho 12-31-08" xfId="443"/>
    <cellStyle name="_Costs not in KWI3000 '06Budget_Exhibit D fr R Gho 12-31-08 v2" xfId="444"/>
    <cellStyle name="_Costs not in KWI3000 '06Budget_PCA 7 - Exhibit D update 11_30_08 (2)" xfId="445"/>
    <cellStyle name="_Costs not in KWI3000 '06Budget_PCA 8 - Exhibit D update 12_31_09" xfId="446"/>
    <cellStyle name="_Costs not in KWI3000 '06Budget_PCA 9 -  Exhibit D April 2010" xfId="447"/>
    <cellStyle name="_Costs not in KWI3000 '06Budget_PCA 9 -  Exhibit D Feb 2010" xfId="448"/>
    <cellStyle name="_Costs not in KWI3000 '06Budget_PCA 9 -  Exhibit D Feb 2010 v2" xfId="449"/>
    <cellStyle name="_Costs not in KWI3000 '06Budget_PCA 9 -  Exhibit D Feb 2010 WF" xfId="450"/>
    <cellStyle name="_Costs not in KWI3000 '06Budget_PCA 9 -  Exhibit D Jan 2010" xfId="451"/>
    <cellStyle name="_Costs not in KWI3000 '06Budget_PCA 9 -  Exhibit D March 2010 (2)" xfId="452"/>
    <cellStyle name="_Costs not in KWI3000 '06Budget_PCA 9 -  Exhibit D Nov 2010" xfId="453"/>
    <cellStyle name="_Costs not in KWI3000 '06Budget_PCA 9 - Exhibit D at August 2010" xfId="454"/>
    <cellStyle name="_Costs not in KWI3000 '06Budget_PCA 9 - Exhibit D June 2010 GRC" xfId="455"/>
    <cellStyle name="_Costs not in KWI3000 '06Budget_Power Costs - Comparison bx Rbtl-Staff-Jt-PC" xfId="456"/>
    <cellStyle name="_Costs not in KWI3000 '06Budget_Power Costs - Comparison bx Rbtl-Staff-Jt-PC_Adj Bench DR 3 for Initial Briefs (Electric)" xfId="457"/>
    <cellStyle name="_Costs not in KWI3000 '06Budget_Power Costs - Comparison bx Rbtl-Staff-Jt-PC_Electric Rev Req Model (2009 GRC) Rebuttal" xfId="458"/>
    <cellStyle name="_Costs not in KWI3000 '06Budget_Power Costs - Comparison bx Rbtl-Staff-Jt-PC_Electric Rev Req Model (2009 GRC) Rebuttal REmoval of New  WH Solar AdjustMI" xfId="459"/>
    <cellStyle name="_Costs not in KWI3000 '06Budget_Power Costs - Comparison bx Rbtl-Staff-Jt-PC_Electric Rev Req Model (2009 GRC) Revised 01-18-2010" xfId="460"/>
    <cellStyle name="_Costs not in KWI3000 '06Budget_Power Costs - Comparison bx Rbtl-Staff-Jt-PC_Final Order Electric EXHIBIT A-1" xfId="461"/>
    <cellStyle name="_Costs not in KWI3000 '06Budget_Rebuttal Power Costs" xfId="462"/>
    <cellStyle name="_Costs not in KWI3000 '06Budget_Rebuttal Power Costs_Adj Bench DR 3 for Initial Briefs (Electric)" xfId="463"/>
    <cellStyle name="_Costs not in KWI3000 '06Budget_Rebuttal Power Costs_Electric Rev Req Model (2009 GRC) Rebuttal" xfId="464"/>
    <cellStyle name="_Costs not in KWI3000 '06Budget_Rebuttal Power Costs_Electric Rev Req Model (2009 GRC) Rebuttal REmoval of New  WH Solar AdjustMI" xfId="465"/>
    <cellStyle name="_Costs not in KWI3000 '06Budget_Rebuttal Power Costs_Electric Rev Req Model (2009 GRC) Revised 01-18-2010" xfId="466"/>
    <cellStyle name="_Costs not in KWI3000 '06Budget_Rebuttal Power Costs_Final Order Electric EXHIBIT A-1" xfId="467"/>
    <cellStyle name="_DEM-WP (C) Power Cost 2006GRC Order" xfId="468"/>
    <cellStyle name="_DEM-WP (C) Power Cost 2006GRC Order_04 07E Wild Horse Wind Expansion (C) (2)" xfId="469"/>
    <cellStyle name="_DEM-WP (C) Power Cost 2006GRC Order_04 07E Wild Horse Wind Expansion (C) (2)_Adj Bench DR 3 for Initial Briefs (Electric)" xfId="470"/>
    <cellStyle name="_DEM-WP (C) Power Cost 2006GRC Order_04 07E Wild Horse Wind Expansion (C) (2)_Electric Rev Req Model (2009 GRC) " xfId="471"/>
    <cellStyle name="_DEM-WP (C) Power Cost 2006GRC Order_04 07E Wild Horse Wind Expansion (C) (2)_Electric Rev Req Model (2009 GRC) Rebuttal" xfId="472"/>
    <cellStyle name="_DEM-WP (C) Power Cost 2006GRC Order_04 07E Wild Horse Wind Expansion (C) (2)_Electric Rev Req Model (2009 GRC) Rebuttal REmoval of New  WH Solar AdjustMI" xfId="473"/>
    <cellStyle name="_DEM-WP (C) Power Cost 2006GRC Order_04 07E Wild Horse Wind Expansion (C) (2)_Electric Rev Req Model (2009 GRC) Revised 01-18-2010" xfId="474"/>
    <cellStyle name="_DEM-WP (C) Power Cost 2006GRC Order_04 07E Wild Horse Wind Expansion (C) (2)_Final Order Electric EXHIBIT A-1" xfId="475"/>
    <cellStyle name="_DEM-WP (C) Power Cost 2006GRC Order_04 07E Wild Horse Wind Expansion (C) (2)_TENASKA REGULATORY ASSET" xfId="476"/>
    <cellStyle name="_DEM-WP (C) Power Cost 2006GRC Order_16.37E Wild Horse Expansion DeferralRevwrkingfile SF" xfId="477"/>
    <cellStyle name="_DEM-WP (C) Power Cost 2006GRC Order_2009 Compliance Filing PCA Exhibits for GRC" xfId="478"/>
    <cellStyle name="_DEM-WP (C) Power Cost 2006GRC Order_2009 GRC Compl Filing - Exhibit D" xfId="479"/>
    <cellStyle name="_DEM-WP (C) Power Cost 2006GRC Order_4 31 Regulatory Assets and Liabilities  7 06- Exhibit D" xfId="480"/>
    <cellStyle name="_DEM-WP (C) Power Cost 2006GRC Order_4 32 Regulatory Assets and Liabilities  7 06- Exhibit D" xfId="481"/>
    <cellStyle name="_DEM-WP (C) Power Cost 2006GRC Order_Book2" xfId="482"/>
    <cellStyle name="_DEM-WP (C) Power Cost 2006GRC Order_Book2_Adj Bench DR 3 for Initial Briefs (Electric)" xfId="483"/>
    <cellStyle name="_DEM-WP (C) Power Cost 2006GRC Order_Book2_Electric Rev Req Model (2009 GRC) Rebuttal" xfId="484"/>
    <cellStyle name="_DEM-WP (C) Power Cost 2006GRC Order_Book2_Electric Rev Req Model (2009 GRC) Rebuttal REmoval of New  WH Solar AdjustMI" xfId="485"/>
    <cellStyle name="_DEM-WP (C) Power Cost 2006GRC Order_Book2_Electric Rev Req Model (2009 GRC) Revised 01-18-2010" xfId="486"/>
    <cellStyle name="_DEM-WP (C) Power Cost 2006GRC Order_Book2_Final Order Electric EXHIBIT A-1" xfId="487"/>
    <cellStyle name="_DEM-WP (C) Power Cost 2006GRC Order_Book4" xfId="488"/>
    <cellStyle name="_DEM-WP (C) Power Cost 2006GRC Order_Book9" xfId="489"/>
    <cellStyle name="_DEM-WP (C) Power Cost 2006GRC Order_PCA 9 -  Exhibit D April 2010" xfId="490"/>
    <cellStyle name="_DEM-WP (C) Power Cost 2006GRC Order_PCA 9 -  Exhibit D Nov 2010" xfId="491"/>
    <cellStyle name="_DEM-WP (C) Power Cost 2006GRC Order_PCA 9 - Exhibit D at August 2010" xfId="492"/>
    <cellStyle name="_DEM-WP (C) Power Cost 2006GRC Order_PCA 9 - Exhibit D June 2010 GRC" xfId="493"/>
    <cellStyle name="_DEM-WP (C) Power Cost 2006GRC Order_Power Costs - Comparison bx Rbtl-Staff-Jt-PC" xfId="494"/>
    <cellStyle name="_DEM-WP (C) Power Cost 2006GRC Order_Power Costs - Comparison bx Rbtl-Staff-Jt-PC_Adj Bench DR 3 for Initial Briefs (Electric)" xfId="495"/>
    <cellStyle name="_DEM-WP (C) Power Cost 2006GRC Order_Power Costs - Comparison bx Rbtl-Staff-Jt-PC_Electric Rev Req Model (2009 GRC) Rebuttal" xfId="496"/>
    <cellStyle name="_DEM-WP (C) Power Cost 2006GRC Order_Power Costs - Comparison bx Rbtl-Staff-Jt-PC_Electric Rev Req Model (2009 GRC) Rebuttal REmoval of New  WH Solar AdjustMI" xfId="497"/>
    <cellStyle name="_DEM-WP (C) Power Cost 2006GRC Order_Power Costs - Comparison bx Rbtl-Staff-Jt-PC_Electric Rev Req Model (2009 GRC) Revised 01-18-2010" xfId="498"/>
    <cellStyle name="_DEM-WP (C) Power Cost 2006GRC Order_Power Costs - Comparison bx Rbtl-Staff-Jt-PC_Final Order Electric EXHIBIT A-1" xfId="499"/>
    <cellStyle name="_DEM-WP (C) Power Cost 2006GRC Order_Rebuttal Power Costs" xfId="500"/>
    <cellStyle name="_DEM-WP (C) Power Cost 2006GRC Order_Rebuttal Power Costs_Adj Bench DR 3 for Initial Briefs (Electric)" xfId="501"/>
    <cellStyle name="_DEM-WP (C) Power Cost 2006GRC Order_Rebuttal Power Costs_Electric Rev Req Model (2009 GRC) Rebuttal" xfId="502"/>
    <cellStyle name="_DEM-WP (C) Power Cost 2006GRC Order_Rebuttal Power Costs_Electric Rev Req Model (2009 GRC) Rebuttal REmoval of New  WH Solar AdjustMI" xfId="503"/>
    <cellStyle name="_DEM-WP (C) Power Cost 2006GRC Order_Rebuttal Power Costs_Electric Rev Req Model (2009 GRC) Revised 01-18-2010" xfId="504"/>
    <cellStyle name="_DEM-WP (C) Power Cost 2006GRC Order_Rebuttal Power Costs_Final Order Electric EXHIBIT A-1" xfId="505"/>
    <cellStyle name="_DEM-WP Revised (HC) Wild Horse 2006GRC" xfId="506"/>
    <cellStyle name="_DEM-WP Revised (HC) Wild Horse 2006GRC_16.37E Wild Horse Expansion DeferralRevwrkingfile SF" xfId="507"/>
    <cellStyle name="_DEM-WP Revised (HC) Wild Horse 2006GRC_2009 GRC Compl Filing - Exhibit D" xfId="508"/>
    <cellStyle name="_DEM-WP Revised (HC) Wild Horse 2006GRC_Adj Bench DR 3 for Initial Briefs (Electric)" xfId="509"/>
    <cellStyle name="_DEM-WP Revised (HC) Wild Horse 2006GRC_Book2" xfId="510"/>
    <cellStyle name="_DEM-WP Revised (HC) Wild Horse 2006GRC_Book4" xfId="511"/>
    <cellStyle name="_DEM-WP Revised (HC) Wild Horse 2006GRC_Electric Rev Req Model (2009 GRC) " xfId="512"/>
    <cellStyle name="_DEM-WP Revised (HC) Wild Horse 2006GRC_Electric Rev Req Model (2009 GRC) Rebuttal" xfId="513"/>
    <cellStyle name="_DEM-WP Revised (HC) Wild Horse 2006GRC_Electric Rev Req Model (2009 GRC) Rebuttal REmoval of New  WH Solar AdjustMI" xfId="514"/>
    <cellStyle name="_DEM-WP Revised (HC) Wild Horse 2006GRC_Electric Rev Req Model (2009 GRC) Revised 01-18-2010" xfId="515"/>
    <cellStyle name="_DEM-WP Revised (HC) Wild Horse 2006GRC_Final Order Electric EXHIBIT A-1" xfId="516"/>
    <cellStyle name="_DEM-WP Revised (HC) Wild Horse 2006GRC_Power Costs - Comparison bx Rbtl-Staff-Jt-PC" xfId="517"/>
    <cellStyle name="_DEM-WP Revised (HC) Wild Horse 2006GRC_Rebuttal Power Costs" xfId="518"/>
    <cellStyle name="_DEM-WP Revised (HC) Wild Horse 2006GRC_TENASKA REGULATORY ASSET" xfId="519"/>
    <cellStyle name="_DEM-WP(C) Colstrip FOR" xfId="520"/>
    <cellStyle name="_DEM-WP(C) Colstrip FOR_(C) WHE Proforma with ITC cash grant 10 Yr Amort_for rebuttal_120709" xfId="521"/>
    <cellStyle name="_DEM-WP(C) Colstrip FOR_16.07E Wild Horse Wind Expansionwrkingfile" xfId="522"/>
    <cellStyle name="_DEM-WP(C) Colstrip FOR_16.07E Wild Horse Wind Expansionwrkingfile SF" xfId="523"/>
    <cellStyle name="_DEM-WP(C) Colstrip FOR_16.37E Wild Horse Expansion DeferralRevwrkingfile SF" xfId="524"/>
    <cellStyle name="_DEM-WP(C) Colstrip FOR_Adj Bench DR 3 for Initial Briefs (Electric)" xfId="525"/>
    <cellStyle name="_DEM-WP(C) Colstrip FOR_Book2" xfId="526"/>
    <cellStyle name="_DEM-WP(C) Colstrip FOR_Book2_Adj Bench DR 3 for Initial Briefs (Electric)" xfId="527"/>
    <cellStyle name="_DEM-WP(C) Colstrip FOR_Book2_Electric Rev Req Model (2009 GRC) Rebuttal" xfId="528"/>
    <cellStyle name="_DEM-WP(C) Colstrip FOR_Book2_Electric Rev Req Model (2009 GRC) Rebuttal REmoval of New  WH Solar AdjustMI" xfId="529"/>
    <cellStyle name="_DEM-WP(C) Colstrip FOR_Book2_Electric Rev Req Model (2009 GRC) Revised 01-18-2010" xfId="530"/>
    <cellStyle name="_DEM-WP(C) Colstrip FOR_Book2_Final Order Electric EXHIBIT A-1" xfId="531"/>
    <cellStyle name="_DEM-WP(C) Colstrip FOR_Electric Rev Req Model (2009 GRC) Rebuttal" xfId="532"/>
    <cellStyle name="_DEM-WP(C) Colstrip FOR_Electric Rev Req Model (2009 GRC) Rebuttal REmoval of New  WH Solar AdjustMI" xfId="533"/>
    <cellStyle name="_DEM-WP(C) Colstrip FOR_Electric Rev Req Model (2009 GRC) Revised 01-18-2010" xfId="534"/>
    <cellStyle name="_DEM-WP(C) Colstrip FOR_Final Order Electric EXHIBIT A-1" xfId="535"/>
    <cellStyle name="_DEM-WP(C) Colstrip FOR_Rebuttal Power Costs" xfId="536"/>
    <cellStyle name="_DEM-WP(C) Colstrip FOR_Rebuttal Power Costs_Adj Bench DR 3 for Initial Briefs (Electric)" xfId="537"/>
    <cellStyle name="_DEM-WP(C) Colstrip FOR_Rebuttal Power Costs_Electric Rev Req Model (2009 GRC) Rebuttal" xfId="538"/>
    <cellStyle name="_DEM-WP(C) Colstrip FOR_Rebuttal Power Costs_Electric Rev Req Model (2009 GRC) Rebuttal REmoval of New  WH Solar AdjustMI" xfId="539"/>
    <cellStyle name="_DEM-WP(C) Colstrip FOR_Rebuttal Power Costs_Electric Rev Req Model (2009 GRC) Revised 01-18-2010" xfId="540"/>
    <cellStyle name="_DEM-WP(C) Colstrip FOR_Rebuttal Power Costs_Final Order Electric EXHIBIT A-1" xfId="541"/>
    <cellStyle name="_DEM-WP(C) Colstrip FOR_TENASKA REGULATORY ASSET" xfId="542"/>
    <cellStyle name="_DEM-WP(C) Costs not in AURORA 2006GRC" xfId="543"/>
    <cellStyle name="_DEM-WP(C) Costs not in AURORA 2006GRC_(C) WHE Proforma with ITC cash grant 10 Yr Amort_for deferral_102809" xfId="544"/>
    <cellStyle name="_DEM-WP(C) Costs not in AURORA 2006GRC_(C) WHE Proforma with ITC cash grant 10 Yr Amort_for deferral_102809_16.07E Wild Horse Wind Expansionwrkingfile" xfId="545"/>
    <cellStyle name="_DEM-WP(C) Costs not in AURORA 2006GRC_(C) WHE Proforma with ITC cash grant 10 Yr Amort_for deferral_102809_16.07E Wild Horse Wind Expansionwrkingfile SF" xfId="546"/>
    <cellStyle name="_DEM-WP(C) Costs not in AURORA 2006GRC_(C) WHE Proforma with ITC cash grant 10 Yr Amort_for deferral_102809_16.37E Wild Horse Expansion DeferralRevwrkingfile SF" xfId="547"/>
    <cellStyle name="_DEM-WP(C) Costs not in AURORA 2006GRC_(C) WHE Proforma with ITC cash grant 10 Yr Amort_for rebuttal_120709" xfId="548"/>
    <cellStyle name="_DEM-WP(C) Costs not in AURORA 2006GRC_04.07E Wild Horse Wind Expansion" xfId="549"/>
    <cellStyle name="_DEM-WP(C) Costs not in AURORA 2006GRC_04.07E Wild Horse Wind Expansion_16.07E Wild Horse Wind Expansionwrkingfile" xfId="550"/>
    <cellStyle name="_DEM-WP(C) Costs not in AURORA 2006GRC_04.07E Wild Horse Wind Expansion_16.07E Wild Horse Wind Expansionwrkingfile SF" xfId="551"/>
    <cellStyle name="_DEM-WP(C) Costs not in AURORA 2006GRC_04.07E Wild Horse Wind Expansion_16.37E Wild Horse Expansion DeferralRevwrkingfile SF" xfId="552"/>
    <cellStyle name="_DEM-WP(C) Costs not in AURORA 2006GRC_16.07E Wild Horse Wind Expansionwrkingfile" xfId="553"/>
    <cellStyle name="_DEM-WP(C) Costs not in AURORA 2006GRC_16.07E Wild Horse Wind Expansionwrkingfile SF" xfId="554"/>
    <cellStyle name="_DEM-WP(C) Costs not in AURORA 2006GRC_16.37E Wild Horse Expansion DeferralRevwrkingfile SF" xfId="555"/>
    <cellStyle name="_DEM-WP(C) Costs not in AURORA 2006GRC_2009 Compliance Filing PCA Exhibits for GRC" xfId="556"/>
    <cellStyle name="_DEM-WP(C) Costs not in AURORA 2006GRC_2009 GRC Compl Filing - Exhibit D" xfId="557"/>
    <cellStyle name="_DEM-WP(C) Costs not in AURORA 2006GRC_4 31 Regulatory Assets and Liabilities  7 06- Exhibit D" xfId="558"/>
    <cellStyle name="_DEM-WP(C) Costs not in AURORA 2006GRC_4 32 Regulatory Assets and Liabilities  7 06- Exhibit D" xfId="559"/>
    <cellStyle name="_DEM-WP(C) Costs not in AURORA 2006GRC_Book2" xfId="560"/>
    <cellStyle name="_DEM-WP(C) Costs not in AURORA 2006GRC_Book2_Adj Bench DR 3 for Initial Briefs (Electric)" xfId="561"/>
    <cellStyle name="_DEM-WP(C) Costs not in AURORA 2006GRC_Book2_Electric Rev Req Model (2009 GRC) Rebuttal" xfId="562"/>
    <cellStyle name="_DEM-WP(C) Costs not in AURORA 2006GRC_Book2_Electric Rev Req Model (2009 GRC) Rebuttal REmoval of New  WH Solar AdjustMI" xfId="563"/>
    <cellStyle name="_DEM-WP(C) Costs not in AURORA 2006GRC_Book2_Electric Rev Req Model (2009 GRC) Revised 01-18-2010" xfId="564"/>
    <cellStyle name="_DEM-WP(C) Costs not in AURORA 2006GRC_Book2_Final Order Electric EXHIBIT A-1" xfId="565"/>
    <cellStyle name="_DEM-WP(C) Costs not in AURORA 2006GRC_Book4" xfId="566"/>
    <cellStyle name="_DEM-WP(C) Costs not in AURORA 2006GRC_Book9" xfId="567"/>
    <cellStyle name="_DEM-WP(C) Costs not in AURORA 2006GRC_PCA 9 -  Exhibit D April 2010" xfId="568"/>
    <cellStyle name="_DEM-WP(C) Costs not in AURORA 2006GRC_PCA 9 -  Exhibit D Nov 2010" xfId="569"/>
    <cellStyle name="_DEM-WP(C) Costs not in AURORA 2006GRC_PCA 9 - Exhibit D at August 2010" xfId="570"/>
    <cellStyle name="_DEM-WP(C) Costs not in AURORA 2006GRC_PCA 9 - Exhibit D June 2010 GRC" xfId="571"/>
    <cellStyle name="_DEM-WP(C) Costs not in AURORA 2006GRC_Power Costs - Comparison bx Rbtl-Staff-Jt-PC" xfId="572"/>
    <cellStyle name="_DEM-WP(C) Costs not in AURORA 2006GRC_Power Costs - Comparison bx Rbtl-Staff-Jt-PC_Adj Bench DR 3 for Initial Briefs (Electric)" xfId="573"/>
    <cellStyle name="_DEM-WP(C) Costs not in AURORA 2006GRC_Power Costs - Comparison bx Rbtl-Staff-Jt-PC_Electric Rev Req Model (2009 GRC) Rebuttal" xfId="574"/>
    <cellStyle name="_DEM-WP(C) Costs not in AURORA 2006GRC_Power Costs - Comparison bx Rbtl-Staff-Jt-PC_Electric Rev Req Model (2009 GRC) Rebuttal REmoval of New  WH Solar AdjustMI" xfId="575"/>
    <cellStyle name="_DEM-WP(C) Costs not in AURORA 2006GRC_Power Costs - Comparison bx Rbtl-Staff-Jt-PC_Electric Rev Req Model (2009 GRC) Revised 01-18-2010" xfId="576"/>
    <cellStyle name="_DEM-WP(C) Costs not in AURORA 2006GRC_Power Costs - Comparison bx Rbtl-Staff-Jt-PC_Final Order Electric EXHIBIT A-1" xfId="577"/>
    <cellStyle name="_DEM-WP(C) Costs not in AURORA 2006GRC_Rebuttal Power Costs" xfId="578"/>
    <cellStyle name="_DEM-WP(C) Costs not in AURORA 2006GRC_Rebuttal Power Costs_Adj Bench DR 3 for Initial Briefs (Electric)" xfId="579"/>
    <cellStyle name="_DEM-WP(C) Costs not in AURORA 2006GRC_Rebuttal Power Costs_Electric Rev Req Model (2009 GRC) Rebuttal" xfId="580"/>
    <cellStyle name="_DEM-WP(C) Costs not in AURORA 2006GRC_Rebuttal Power Costs_Electric Rev Req Model (2009 GRC) Rebuttal REmoval of New  WH Solar AdjustMI" xfId="581"/>
    <cellStyle name="_DEM-WP(C) Costs not in AURORA 2006GRC_Rebuttal Power Costs_Electric Rev Req Model (2009 GRC) Revised 01-18-2010" xfId="582"/>
    <cellStyle name="_DEM-WP(C) Costs not in AURORA 2006GRC_Rebuttal Power Costs_Final Order Electric EXHIBIT A-1" xfId="583"/>
    <cellStyle name="_DEM-WP(C) Costs not in AURORA 2007GRC" xfId="584"/>
    <cellStyle name="_DEM-WP(C) Costs not in AURORA 2007GRC_16.37E Wild Horse Expansion DeferralRevwrkingfile SF" xfId="585"/>
    <cellStyle name="_DEM-WP(C) Costs not in AURORA 2007GRC_2009 GRC Compl Filing - Exhibit D" xfId="586"/>
    <cellStyle name="_DEM-WP(C) Costs not in AURORA 2007GRC_Adj Bench DR 3 for Initial Briefs (Electric)" xfId="587"/>
    <cellStyle name="_DEM-WP(C) Costs not in AURORA 2007GRC_Book2" xfId="588"/>
    <cellStyle name="_DEM-WP(C) Costs not in AURORA 2007GRC_Book4" xfId="589"/>
    <cellStyle name="_DEM-WP(C) Costs not in AURORA 2007GRC_Electric Rev Req Model (2009 GRC) " xfId="590"/>
    <cellStyle name="_DEM-WP(C) Costs not in AURORA 2007GRC_Electric Rev Req Model (2009 GRC) Rebuttal" xfId="591"/>
    <cellStyle name="_DEM-WP(C) Costs not in AURORA 2007GRC_Electric Rev Req Model (2009 GRC) Rebuttal REmoval of New  WH Solar AdjustMI" xfId="592"/>
    <cellStyle name="_DEM-WP(C) Costs not in AURORA 2007GRC_Electric Rev Req Model (2009 GRC) Revised 01-18-2010" xfId="593"/>
    <cellStyle name="_DEM-WP(C) Costs not in AURORA 2007GRC_Final Order Electric EXHIBIT A-1" xfId="594"/>
    <cellStyle name="_DEM-WP(C) Costs not in AURORA 2007GRC_Power Costs - Comparison bx Rbtl-Staff-Jt-PC" xfId="595"/>
    <cellStyle name="_DEM-WP(C) Costs not in AURORA 2007GRC_Rebuttal Power Costs" xfId="596"/>
    <cellStyle name="_DEM-WP(C) Costs not in AURORA 2007GRC_TENASKA REGULATORY ASSET" xfId="597"/>
    <cellStyle name="_DEM-WP(C) Costs not in AURORA 2007PCORC-5.07Update" xfId="598"/>
    <cellStyle name="_DEM-WP(C) Costs not in AURORA 2007PCORC-5.07Update_16.37E Wild Horse Expansion DeferralRevwrkingfile SF" xfId="599"/>
    <cellStyle name="_DEM-WP(C) Costs not in AURORA 2007PCORC-5.07Update_2009 GRC Compl Filing - Exhibit D" xfId="600"/>
    <cellStyle name="_DEM-WP(C) Costs not in AURORA 2007PCORC-5.07Update_Adj Bench DR 3 for Initial Briefs (Electric)" xfId="601"/>
    <cellStyle name="_DEM-WP(C) Costs not in AURORA 2007PCORC-5.07Update_Book2" xfId="602"/>
    <cellStyle name="_DEM-WP(C) Costs not in AURORA 2007PCORC-5.07Update_Book4" xfId="603"/>
    <cellStyle name="_DEM-WP(C) Costs not in AURORA 2007PCORC-5.07Update_DEM-WP(C) Production O&amp;M 2009GRC Rebuttal" xfId="604"/>
    <cellStyle name="_DEM-WP(C) Costs not in AURORA 2007PCORC-5.07Update_DEM-WP(C) Production O&amp;M 2009GRC Rebuttal_Adj Bench DR 3 for Initial Briefs (Electric)" xfId="605"/>
    <cellStyle name="_DEM-WP(C) Costs not in AURORA 2007PCORC-5.07Update_DEM-WP(C) Production O&amp;M 2009GRC Rebuttal_Book2" xfId="606"/>
    <cellStyle name="_DEM-WP(C) Costs not in AURORA 2007PCORC-5.07Update_DEM-WP(C) Production O&amp;M 2009GRC Rebuttal_Book2_Adj Bench DR 3 for Initial Briefs (Electric)" xfId="607"/>
    <cellStyle name="_DEM-WP(C) Costs not in AURORA 2007PCORC-5.07Update_DEM-WP(C) Production O&amp;M 2009GRC Rebuttal_Book2_Electric Rev Req Model (2009 GRC) Rebuttal" xfId="608"/>
    <cellStyle name="_DEM-WP(C) Costs not in AURORA 2007PCORC-5.07Update_DEM-WP(C) Production O&amp;M 2009GRC Rebuttal_Book2_Electric Rev Req Model (2009 GRC) Rebuttal REmoval of New  WH Solar AdjustMI" xfId="609"/>
    <cellStyle name="_DEM-WP(C) Costs not in AURORA 2007PCORC-5.07Update_DEM-WP(C) Production O&amp;M 2009GRC Rebuttal_Book2_Electric Rev Req Model (2009 GRC) Revised 01-18-2010" xfId="610"/>
    <cellStyle name="_DEM-WP(C) Costs not in AURORA 2007PCORC-5.07Update_DEM-WP(C) Production O&amp;M 2009GRC Rebuttal_Book2_Final Order Electric EXHIBIT A-1" xfId="611"/>
    <cellStyle name="_DEM-WP(C) Costs not in AURORA 2007PCORC-5.07Update_DEM-WP(C) Production O&amp;M 2009GRC Rebuttal_Electric Rev Req Model (2009 GRC) Rebuttal" xfId="612"/>
    <cellStyle name="_DEM-WP(C) Costs not in AURORA 2007PCORC-5.07Update_DEM-WP(C) Production O&amp;M 2009GRC Rebuttal_Electric Rev Req Model (2009 GRC) Rebuttal REmoval of New  WH Solar AdjustMI" xfId="613"/>
    <cellStyle name="_DEM-WP(C) Costs not in AURORA 2007PCORC-5.07Update_DEM-WP(C) Production O&amp;M 2009GRC Rebuttal_Electric Rev Req Model (2009 GRC) Revised 01-18-2010" xfId="614"/>
    <cellStyle name="_DEM-WP(C) Costs not in AURORA 2007PCORC-5.07Update_DEM-WP(C) Production O&amp;M 2009GRC Rebuttal_Final Order Electric EXHIBIT A-1" xfId="615"/>
    <cellStyle name="_DEM-WP(C) Costs not in AURORA 2007PCORC-5.07Update_DEM-WP(C) Production O&amp;M 2009GRC Rebuttal_Rebuttal Power Costs" xfId="616"/>
    <cellStyle name="_DEM-WP(C) Costs not in AURORA 2007PCORC-5.07Update_DEM-WP(C) Production O&amp;M 2009GRC Rebuttal_Rebuttal Power Costs_Adj Bench DR 3 for Initial Briefs (Electric)" xfId="617"/>
    <cellStyle name="_DEM-WP(C) Costs not in AURORA 2007PCORC-5.07Update_DEM-WP(C) Production O&amp;M 2009GRC Rebuttal_Rebuttal Power Costs_Electric Rev Req Model (2009 GRC) Rebuttal" xfId="618"/>
    <cellStyle name="_DEM-WP(C) Costs not in AURORA 2007PCORC-5.07Update_DEM-WP(C) Production O&amp;M 2009GRC Rebuttal_Rebuttal Power Costs_Electric Rev Req Model (2009 GRC) Rebuttal REmoval of New  WH Solar AdjustMI" xfId="619"/>
    <cellStyle name="_DEM-WP(C) Costs not in AURORA 2007PCORC-5.07Update_DEM-WP(C) Production O&amp;M 2009GRC Rebuttal_Rebuttal Power Costs_Electric Rev Req Model (2009 GRC) Revised 01-18-2010" xfId="620"/>
    <cellStyle name="_DEM-WP(C) Costs not in AURORA 2007PCORC-5.07Update_DEM-WP(C) Production O&amp;M 2009GRC Rebuttal_Rebuttal Power Costs_Final Order Electric EXHIBIT A-1" xfId="621"/>
    <cellStyle name="_DEM-WP(C) Costs not in AURORA 2007PCORC-5.07Update_Electric Rev Req Model (2009 GRC) " xfId="622"/>
    <cellStyle name="_DEM-WP(C) Costs not in AURORA 2007PCORC-5.07Update_Electric Rev Req Model (2009 GRC) Rebuttal" xfId="623"/>
    <cellStyle name="_DEM-WP(C) Costs not in AURORA 2007PCORC-5.07Update_Electric Rev Req Model (2009 GRC) Rebuttal REmoval of New  WH Solar AdjustMI" xfId="624"/>
    <cellStyle name="_DEM-WP(C) Costs not in AURORA 2007PCORC-5.07Update_Electric Rev Req Model (2009 GRC) Revised 01-18-2010" xfId="625"/>
    <cellStyle name="_DEM-WP(C) Costs not in AURORA 2007PCORC-5.07Update_Final Order Electric EXHIBIT A-1" xfId="626"/>
    <cellStyle name="_DEM-WP(C) Costs not in AURORA 2007PCORC-5.07Update_Power Costs - Comparison bx Rbtl-Staff-Jt-PC" xfId="627"/>
    <cellStyle name="_DEM-WP(C) Costs not in AURORA 2007PCORC-5.07Update_Rebuttal Power Costs" xfId="628"/>
    <cellStyle name="_DEM-WP(C) Costs not in AURORA 2007PCORC-5.07Update_TENASKA REGULATORY ASSET" xfId="629"/>
    <cellStyle name="_DEM-WP(C) Prod O&amp;M 2007GRC" xfId="630"/>
    <cellStyle name="_DEM-WP(C) Prod O&amp;M 2007GRC_Adj Bench DR 3 for Initial Briefs (Electric)" xfId="631"/>
    <cellStyle name="_DEM-WP(C) Prod O&amp;M 2007GRC_Book2" xfId="632"/>
    <cellStyle name="_DEM-WP(C) Prod O&amp;M 2007GRC_Book2_Adj Bench DR 3 for Initial Briefs (Electric)" xfId="633"/>
    <cellStyle name="_DEM-WP(C) Prod O&amp;M 2007GRC_Book2_Electric Rev Req Model (2009 GRC) Rebuttal" xfId="634"/>
    <cellStyle name="_DEM-WP(C) Prod O&amp;M 2007GRC_Book2_Electric Rev Req Model (2009 GRC) Rebuttal REmoval of New  WH Solar AdjustMI" xfId="635"/>
    <cellStyle name="_DEM-WP(C) Prod O&amp;M 2007GRC_Book2_Electric Rev Req Model (2009 GRC) Revised 01-18-2010" xfId="636"/>
    <cellStyle name="_DEM-WP(C) Prod O&amp;M 2007GRC_Book2_Final Order Electric EXHIBIT A-1" xfId="637"/>
    <cellStyle name="_DEM-WP(C) Prod O&amp;M 2007GRC_Electric Rev Req Model (2009 GRC) Rebuttal" xfId="638"/>
    <cellStyle name="_DEM-WP(C) Prod O&amp;M 2007GRC_Electric Rev Req Model (2009 GRC) Rebuttal REmoval of New  WH Solar AdjustMI" xfId="639"/>
    <cellStyle name="_DEM-WP(C) Prod O&amp;M 2007GRC_Electric Rev Req Model (2009 GRC) Revised 01-18-2010" xfId="640"/>
    <cellStyle name="_DEM-WP(C) Prod O&amp;M 2007GRC_Final Order Electric EXHIBIT A-1" xfId="641"/>
    <cellStyle name="_DEM-WP(C) Prod O&amp;M 2007GRC_Rebuttal Power Costs" xfId="642"/>
    <cellStyle name="_DEM-WP(C) Prod O&amp;M 2007GRC_Rebuttal Power Costs_Adj Bench DR 3 for Initial Briefs (Electric)" xfId="643"/>
    <cellStyle name="_DEM-WP(C) Prod O&amp;M 2007GRC_Rebuttal Power Costs_Electric Rev Req Model (2009 GRC) Rebuttal" xfId="644"/>
    <cellStyle name="_DEM-WP(C) Prod O&amp;M 2007GRC_Rebuttal Power Costs_Electric Rev Req Model (2009 GRC) Rebuttal REmoval of New  WH Solar AdjustMI" xfId="645"/>
    <cellStyle name="_DEM-WP(C) Prod O&amp;M 2007GRC_Rebuttal Power Costs_Electric Rev Req Model (2009 GRC) Revised 01-18-2010" xfId="646"/>
    <cellStyle name="_DEM-WP(C) Prod O&amp;M 2007GRC_Rebuttal Power Costs_Final Order Electric EXHIBIT A-1" xfId="647"/>
    <cellStyle name="_DEM-WP(C) Rate Year Sumas by Month Update Corrected" xfId="648"/>
    <cellStyle name="_DEM-WP(C) Sumas Proforma 11.5.07" xfId="649"/>
    <cellStyle name="_DEM-WP(C) Westside Hydro Data_051007" xfId="650"/>
    <cellStyle name="_DEM-WP(C) Westside Hydro Data_051007_16.37E Wild Horse Expansion DeferralRevwrkingfile SF" xfId="651"/>
    <cellStyle name="_DEM-WP(C) Westside Hydro Data_051007_2009 GRC Compl Filing - Exhibit D" xfId="652"/>
    <cellStyle name="_DEM-WP(C) Westside Hydro Data_051007_Adj Bench DR 3 for Initial Briefs (Electric)" xfId="653"/>
    <cellStyle name="_DEM-WP(C) Westside Hydro Data_051007_Book2" xfId="654"/>
    <cellStyle name="_DEM-WP(C) Westside Hydro Data_051007_Book4" xfId="655"/>
    <cellStyle name="_DEM-WP(C) Westside Hydro Data_051007_Electric Rev Req Model (2009 GRC) " xfId="656"/>
    <cellStyle name="_DEM-WP(C) Westside Hydro Data_051007_Electric Rev Req Model (2009 GRC) Rebuttal" xfId="657"/>
    <cellStyle name="_DEM-WP(C) Westside Hydro Data_051007_Electric Rev Req Model (2009 GRC) Rebuttal REmoval of New  WH Solar AdjustMI" xfId="658"/>
    <cellStyle name="_DEM-WP(C) Westside Hydro Data_051007_Electric Rev Req Model (2009 GRC) Revised 01-18-2010" xfId="659"/>
    <cellStyle name="_DEM-WP(C) Westside Hydro Data_051007_Final Order Electric EXHIBIT A-1" xfId="660"/>
    <cellStyle name="_DEM-WP(C) Westside Hydro Data_051007_Power Costs - Comparison bx Rbtl-Staff-Jt-PC" xfId="661"/>
    <cellStyle name="_DEM-WP(C) Westside Hydro Data_051007_Rebuttal Power Costs" xfId="662"/>
    <cellStyle name="_DEM-WP(C) Westside Hydro Data_051007_TENASKA REGULATORY ASSET" xfId="663"/>
    <cellStyle name="_x0013__Electric Rev Req Model (2009 GRC) " xfId="664"/>
    <cellStyle name="_x0013__Electric Rev Req Model (2009 GRC) Rebuttal" xfId="665"/>
    <cellStyle name="_x0013__Electric Rev Req Model (2009 GRC) Rebuttal REmoval of New  WH Solar AdjustMI" xfId="666"/>
    <cellStyle name="_x0013__Electric Rev Req Model (2009 GRC) Revised 01-18-2010" xfId="667"/>
    <cellStyle name="_x0013__Final Order Electric EXHIBIT A-1" xfId="668"/>
    <cellStyle name="_Fixed Gas Transport 1 19 09" xfId="669"/>
    <cellStyle name="_Fuel Prices 4-14" xfId="670"/>
    <cellStyle name="_Fuel Prices 4-14_04 07E Wild Horse Wind Expansion (C) (2)" xfId="671"/>
    <cellStyle name="_Fuel Prices 4-14_04 07E Wild Horse Wind Expansion (C) (2)_Adj Bench DR 3 for Initial Briefs (Electric)" xfId="672"/>
    <cellStyle name="_Fuel Prices 4-14_04 07E Wild Horse Wind Expansion (C) (2)_Electric Rev Req Model (2009 GRC) " xfId="673"/>
    <cellStyle name="_Fuel Prices 4-14_04 07E Wild Horse Wind Expansion (C) (2)_Electric Rev Req Model (2009 GRC) Rebuttal" xfId="674"/>
    <cellStyle name="_Fuel Prices 4-14_04 07E Wild Horse Wind Expansion (C) (2)_Electric Rev Req Model (2009 GRC) Rebuttal REmoval of New  WH Solar AdjustMI" xfId="675"/>
    <cellStyle name="_Fuel Prices 4-14_04 07E Wild Horse Wind Expansion (C) (2)_Electric Rev Req Model (2009 GRC) Revised 01-18-2010" xfId="676"/>
    <cellStyle name="_Fuel Prices 4-14_04 07E Wild Horse Wind Expansion (C) (2)_Final Order Electric EXHIBIT A-1" xfId="677"/>
    <cellStyle name="_Fuel Prices 4-14_04 07E Wild Horse Wind Expansion (C) (2)_TENASKA REGULATORY ASSET" xfId="678"/>
    <cellStyle name="_Fuel Prices 4-14_16.37E Wild Horse Expansion DeferralRevwrkingfile SF" xfId="679"/>
    <cellStyle name="_Fuel Prices 4-14_2009 Compliance Filing PCA Exhibits for GRC" xfId="680"/>
    <cellStyle name="_Fuel Prices 4-14_2009 GRC Compl Filing - Exhibit D" xfId="681"/>
    <cellStyle name="_Fuel Prices 4-14_4 31 Regulatory Assets and Liabilities  7 06- Exhibit D" xfId="682"/>
    <cellStyle name="_Fuel Prices 4-14_4 32 Regulatory Assets and Liabilities  7 06- Exhibit D" xfId="683"/>
    <cellStyle name="_Fuel Prices 4-14_Book2" xfId="684"/>
    <cellStyle name="_Fuel Prices 4-14_Book2_Adj Bench DR 3 for Initial Briefs (Electric)" xfId="685"/>
    <cellStyle name="_Fuel Prices 4-14_Book2_Electric Rev Req Model (2009 GRC) Rebuttal" xfId="686"/>
    <cellStyle name="_Fuel Prices 4-14_Book2_Electric Rev Req Model (2009 GRC) Rebuttal REmoval of New  WH Solar AdjustMI" xfId="687"/>
    <cellStyle name="_Fuel Prices 4-14_Book2_Electric Rev Req Model (2009 GRC) Revised 01-18-2010" xfId="688"/>
    <cellStyle name="_Fuel Prices 4-14_Book2_Final Order Electric EXHIBIT A-1" xfId="689"/>
    <cellStyle name="_Fuel Prices 4-14_Book4" xfId="690"/>
    <cellStyle name="_Fuel Prices 4-14_Book9" xfId="691"/>
    <cellStyle name="_Fuel Prices 4-14_PCA 9 -  Exhibit D April 2010" xfId="692"/>
    <cellStyle name="_Fuel Prices 4-14_PCA 9 -  Exhibit D Nov 2010" xfId="693"/>
    <cellStyle name="_Fuel Prices 4-14_PCA 9 - Exhibit D at August 2010" xfId="694"/>
    <cellStyle name="_Fuel Prices 4-14_PCA 9 - Exhibit D June 2010 GRC" xfId="695"/>
    <cellStyle name="_Fuel Prices 4-14_Power Costs - Comparison bx Rbtl-Staff-Jt-PC" xfId="696"/>
    <cellStyle name="_Fuel Prices 4-14_Power Costs - Comparison bx Rbtl-Staff-Jt-PC_Adj Bench DR 3 for Initial Briefs (Electric)" xfId="697"/>
    <cellStyle name="_Fuel Prices 4-14_Power Costs - Comparison bx Rbtl-Staff-Jt-PC_Electric Rev Req Model (2009 GRC) Rebuttal" xfId="698"/>
    <cellStyle name="_Fuel Prices 4-14_Power Costs - Comparison bx Rbtl-Staff-Jt-PC_Electric Rev Req Model (2009 GRC) Rebuttal REmoval of New  WH Solar AdjustMI" xfId="699"/>
    <cellStyle name="_Fuel Prices 4-14_Power Costs - Comparison bx Rbtl-Staff-Jt-PC_Electric Rev Req Model (2009 GRC) Revised 01-18-2010" xfId="700"/>
    <cellStyle name="_Fuel Prices 4-14_Power Costs - Comparison bx Rbtl-Staff-Jt-PC_Final Order Electric EXHIBIT A-1" xfId="701"/>
    <cellStyle name="_Fuel Prices 4-14_Rebuttal Power Costs" xfId="702"/>
    <cellStyle name="_Fuel Prices 4-14_Rebuttal Power Costs_Adj Bench DR 3 for Initial Briefs (Electric)" xfId="703"/>
    <cellStyle name="_Fuel Prices 4-14_Rebuttal Power Costs_Electric Rev Req Model (2009 GRC) Rebuttal" xfId="704"/>
    <cellStyle name="_Fuel Prices 4-14_Rebuttal Power Costs_Electric Rev Req Model (2009 GRC) Rebuttal REmoval of New  WH Solar AdjustMI" xfId="705"/>
    <cellStyle name="_Fuel Prices 4-14_Rebuttal Power Costs_Electric Rev Req Model (2009 GRC) Revised 01-18-2010" xfId="706"/>
    <cellStyle name="_Fuel Prices 4-14_Rebuttal Power Costs_Final Order Electric EXHIBIT A-1" xfId="707"/>
    <cellStyle name="_Gas Transportation Charges_2009GRC_120308" xfId="708"/>
    <cellStyle name="_NIM 06 Base Case Current Trends" xfId="709"/>
    <cellStyle name="_NIM 06 Base Case Current Trends_Adj Bench DR 3 for Initial Briefs (Electric)" xfId="710"/>
    <cellStyle name="_NIM 06 Base Case Current Trends_Book2" xfId="711"/>
    <cellStyle name="_NIM 06 Base Case Current Trends_Book2_Adj Bench DR 3 for Initial Briefs (Electric)" xfId="712"/>
    <cellStyle name="_NIM 06 Base Case Current Trends_Book2_Electric Rev Req Model (2009 GRC) Rebuttal" xfId="713"/>
    <cellStyle name="_NIM 06 Base Case Current Trends_Book2_Electric Rev Req Model (2009 GRC) Rebuttal REmoval of New  WH Solar AdjustMI" xfId="714"/>
    <cellStyle name="_NIM 06 Base Case Current Trends_Book2_Electric Rev Req Model (2009 GRC) Revised 01-18-2010" xfId="715"/>
    <cellStyle name="_NIM 06 Base Case Current Trends_Book2_Final Order Electric EXHIBIT A-1" xfId="716"/>
    <cellStyle name="_NIM 06 Base Case Current Trends_Electric Rev Req Model (2009 GRC) " xfId="717"/>
    <cellStyle name="_NIM 06 Base Case Current Trends_Electric Rev Req Model (2009 GRC) Rebuttal" xfId="718"/>
    <cellStyle name="_NIM 06 Base Case Current Trends_Electric Rev Req Model (2009 GRC) Rebuttal REmoval of New  WH Solar AdjustMI" xfId="719"/>
    <cellStyle name="_NIM 06 Base Case Current Trends_Electric Rev Req Model (2009 GRC) Revised 01-18-2010" xfId="720"/>
    <cellStyle name="_NIM 06 Base Case Current Trends_Final Order Electric EXHIBIT A-1" xfId="721"/>
    <cellStyle name="_NIM 06 Base Case Current Trends_Rebuttal Power Costs" xfId="722"/>
    <cellStyle name="_NIM 06 Base Case Current Trends_Rebuttal Power Costs_Adj Bench DR 3 for Initial Briefs (Electric)" xfId="723"/>
    <cellStyle name="_NIM 06 Base Case Current Trends_Rebuttal Power Costs_Electric Rev Req Model (2009 GRC) Rebuttal" xfId="724"/>
    <cellStyle name="_NIM 06 Base Case Current Trends_Rebuttal Power Costs_Electric Rev Req Model (2009 GRC) Rebuttal REmoval of New  WH Solar AdjustMI" xfId="725"/>
    <cellStyle name="_NIM 06 Base Case Current Trends_Rebuttal Power Costs_Electric Rev Req Model (2009 GRC) Revised 01-18-2010" xfId="726"/>
    <cellStyle name="_NIM 06 Base Case Current Trends_Rebuttal Power Costs_Final Order Electric EXHIBIT A-1" xfId="727"/>
    <cellStyle name="_NIM 06 Base Case Current Trends_TENASKA REGULATORY ASSET" xfId="728"/>
    <cellStyle name="_Portfolio SPlan Base Case.xls Chart 1" xfId="729"/>
    <cellStyle name="_Portfolio SPlan Base Case.xls Chart 1_Adj Bench DR 3 for Initial Briefs (Electric)" xfId="730"/>
    <cellStyle name="_Portfolio SPlan Base Case.xls Chart 1_Book2" xfId="731"/>
    <cellStyle name="_Portfolio SPlan Base Case.xls Chart 1_Book2_Adj Bench DR 3 for Initial Briefs (Electric)" xfId="732"/>
    <cellStyle name="_Portfolio SPlan Base Case.xls Chart 1_Book2_Electric Rev Req Model (2009 GRC) Rebuttal" xfId="733"/>
    <cellStyle name="_Portfolio SPlan Base Case.xls Chart 1_Book2_Electric Rev Req Model (2009 GRC) Rebuttal REmoval of New  WH Solar AdjustMI" xfId="734"/>
    <cellStyle name="_Portfolio SPlan Base Case.xls Chart 1_Book2_Electric Rev Req Model (2009 GRC) Revised 01-18-2010" xfId="735"/>
    <cellStyle name="_Portfolio SPlan Base Case.xls Chart 1_Book2_Final Order Electric EXHIBIT A-1" xfId="736"/>
    <cellStyle name="_Portfolio SPlan Base Case.xls Chart 1_Electric Rev Req Model (2009 GRC) " xfId="737"/>
    <cellStyle name="_Portfolio SPlan Base Case.xls Chart 1_Electric Rev Req Model (2009 GRC) Rebuttal" xfId="738"/>
    <cellStyle name="_Portfolio SPlan Base Case.xls Chart 1_Electric Rev Req Model (2009 GRC) Rebuttal REmoval of New  WH Solar AdjustMI" xfId="739"/>
    <cellStyle name="_Portfolio SPlan Base Case.xls Chart 1_Electric Rev Req Model (2009 GRC) Revised 01-18-2010" xfId="740"/>
    <cellStyle name="_Portfolio SPlan Base Case.xls Chart 1_Final Order Electric EXHIBIT A-1" xfId="741"/>
    <cellStyle name="_Portfolio SPlan Base Case.xls Chart 1_Rebuttal Power Costs" xfId="742"/>
    <cellStyle name="_Portfolio SPlan Base Case.xls Chart 1_Rebuttal Power Costs_Adj Bench DR 3 for Initial Briefs (Electric)" xfId="743"/>
    <cellStyle name="_Portfolio SPlan Base Case.xls Chart 1_Rebuttal Power Costs_Electric Rev Req Model (2009 GRC) Rebuttal" xfId="744"/>
    <cellStyle name="_Portfolio SPlan Base Case.xls Chart 1_Rebuttal Power Costs_Electric Rev Req Model (2009 GRC) Rebuttal REmoval of New  WH Solar AdjustMI" xfId="745"/>
    <cellStyle name="_Portfolio SPlan Base Case.xls Chart 1_Rebuttal Power Costs_Electric Rev Req Model (2009 GRC) Revised 01-18-2010" xfId="746"/>
    <cellStyle name="_Portfolio SPlan Base Case.xls Chart 1_Rebuttal Power Costs_Final Order Electric EXHIBIT A-1" xfId="747"/>
    <cellStyle name="_Portfolio SPlan Base Case.xls Chart 1_TENASKA REGULATORY ASSET" xfId="748"/>
    <cellStyle name="_Portfolio SPlan Base Case.xls Chart 2" xfId="749"/>
    <cellStyle name="_Portfolio SPlan Base Case.xls Chart 2_Adj Bench DR 3 for Initial Briefs (Electric)" xfId="750"/>
    <cellStyle name="_Portfolio SPlan Base Case.xls Chart 2_Book2" xfId="751"/>
    <cellStyle name="_Portfolio SPlan Base Case.xls Chart 2_Book2_Adj Bench DR 3 for Initial Briefs (Electric)" xfId="752"/>
    <cellStyle name="_Portfolio SPlan Base Case.xls Chart 2_Book2_Electric Rev Req Model (2009 GRC) Rebuttal" xfId="753"/>
    <cellStyle name="_Portfolio SPlan Base Case.xls Chart 2_Book2_Electric Rev Req Model (2009 GRC) Rebuttal REmoval of New  WH Solar AdjustMI" xfId="754"/>
    <cellStyle name="_Portfolio SPlan Base Case.xls Chart 2_Book2_Electric Rev Req Model (2009 GRC) Revised 01-18-2010" xfId="755"/>
    <cellStyle name="_Portfolio SPlan Base Case.xls Chart 2_Book2_Final Order Electric EXHIBIT A-1" xfId="756"/>
    <cellStyle name="_Portfolio SPlan Base Case.xls Chart 2_Electric Rev Req Model (2009 GRC) " xfId="757"/>
    <cellStyle name="_Portfolio SPlan Base Case.xls Chart 2_Electric Rev Req Model (2009 GRC) Rebuttal" xfId="758"/>
    <cellStyle name="_Portfolio SPlan Base Case.xls Chart 2_Electric Rev Req Model (2009 GRC) Rebuttal REmoval of New  WH Solar AdjustMI" xfId="759"/>
    <cellStyle name="_Portfolio SPlan Base Case.xls Chart 2_Electric Rev Req Model (2009 GRC) Revised 01-18-2010" xfId="760"/>
    <cellStyle name="_Portfolio SPlan Base Case.xls Chart 2_Final Order Electric EXHIBIT A-1" xfId="761"/>
    <cellStyle name="_Portfolio SPlan Base Case.xls Chart 2_Rebuttal Power Costs" xfId="762"/>
    <cellStyle name="_Portfolio SPlan Base Case.xls Chart 2_Rebuttal Power Costs_Adj Bench DR 3 for Initial Briefs (Electric)" xfId="763"/>
    <cellStyle name="_Portfolio SPlan Base Case.xls Chart 2_Rebuttal Power Costs_Electric Rev Req Model (2009 GRC) Rebuttal" xfId="764"/>
    <cellStyle name="_Portfolio SPlan Base Case.xls Chart 2_Rebuttal Power Costs_Electric Rev Req Model (2009 GRC) Rebuttal REmoval of New  WH Solar AdjustMI" xfId="765"/>
    <cellStyle name="_Portfolio SPlan Base Case.xls Chart 2_Rebuttal Power Costs_Electric Rev Req Model (2009 GRC) Revised 01-18-2010" xfId="766"/>
    <cellStyle name="_Portfolio SPlan Base Case.xls Chart 2_Rebuttal Power Costs_Final Order Electric EXHIBIT A-1" xfId="767"/>
    <cellStyle name="_Portfolio SPlan Base Case.xls Chart 2_TENASKA REGULATORY ASSET" xfId="768"/>
    <cellStyle name="_Portfolio SPlan Base Case.xls Chart 3" xfId="769"/>
    <cellStyle name="_Portfolio SPlan Base Case.xls Chart 3_Adj Bench DR 3 for Initial Briefs (Electric)" xfId="770"/>
    <cellStyle name="_Portfolio SPlan Base Case.xls Chart 3_Book2" xfId="771"/>
    <cellStyle name="_Portfolio SPlan Base Case.xls Chart 3_Book2_Adj Bench DR 3 for Initial Briefs (Electric)" xfId="772"/>
    <cellStyle name="_Portfolio SPlan Base Case.xls Chart 3_Book2_Electric Rev Req Model (2009 GRC) Rebuttal" xfId="773"/>
    <cellStyle name="_Portfolio SPlan Base Case.xls Chart 3_Book2_Electric Rev Req Model (2009 GRC) Rebuttal REmoval of New  WH Solar AdjustMI" xfId="774"/>
    <cellStyle name="_Portfolio SPlan Base Case.xls Chart 3_Book2_Electric Rev Req Model (2009 GRC) Revised 01-18-2010" xfId="775"/>
    <cellStyle name="_Portfolio SPlan Base Case.xls Chart 3_Book2_Final Order Electric EXHIBIT A-1" xfId="776"/>
    <cellStyle name="_Portfolio SPlan Base Case.xls Chart 3_Electric Rev Req Model (2009 GRC) " xfId="777"/>
    <cellStyle name="_Portfolio SPlan Base Case.xls Chart 3_Electric Rev Req Model (2009 GRC) Rebuttal" xfId="778"/>
    <cellStyle name="_Portfolio SPlan Base Case.xls Chart 3_Electric Rev Req Model (2009 GRC) Rebuttal REmoval of New  WH Solar AdjustMI" xfId="779"/>
    <cellStyle name="_Portfolio SPlan Base Case.xls Chart 3_Electric Rev Req Model (2009 GRC) Revised 01-18-2010" xfId="780"/>
    <cellStyle name="_Portfolio SPlan Base Case.xls Chart 3_Final Order Electric EXHIBIT A-1" xfId="781"/>
    <cellStyle name="_Portfolio SPlan Base Case.xls Chart 3_Rebuttal Power Costs" xfId="782"/>
    <cellStyle name="_Portfolio SPlan Base Case.xls Chart 3_Rebuttal Power Costs_Adj Bench DR 3 for Initial Briefs (Electric)" xfId="783"/>
    <cellStyle name="_Portfolio SPlan Base Case.xls Chart 3_Rebuttal Power Costs_Electric Rev Req Model (2009 GRC) Rebuttal" xfId="784"/>
    <cellStyle name="_Portfolio SPlan Base Case.xls Chart 3_Rebuttal Power Costs_Electric Rev Req Model (2009 GRC) Rebuttal REmoval of New  WH Solar AdjustMI" xfId="785"/>
    <cellStyle name="_Portfolio SPlan Base Case.xls Chart 3_Rebuttal Power Costs_Electric Rev Req Model (2009 GRC) Revised 01-18-2010" xfId="786"/>
    <cellStyle name="_Portfolio SPlan Base Case.xls Chart 3_Rebuttal Power Costs_Final Order Electric EXHIBIT A-1" xfId="787"/>
    <cellStyle name="_Portfolio SPlan Base Case.xls Chart 3_TENASKA REGULATORY ASSET" xfId="788"/>
    <cellStyle name="_Power Cost Value Copy 11.30.05 gas 1.09.06 AURORA at 1.10.06" xfId="789"/>
    <cellStyle name="_Power Cost Value Copy 11.30.05 gas 1.09.06 AURORA at 1.10.06_04 07E Wild Horse Wind Expansion (C) (2)" xfId="790"/>
    <cellStyle name="_Power Cost Value Copy 11.30.05 gas 1.09.06 AURORA at 1.10.06_04 07E Wild Horse Wind Expansion (C) (2)_Adj Bench DR 3 for Initial Briefs (Electric)" xfId="791"/>
    <cellStyle name="_Power Cost Value Copy 11.30.05 gas 1.09.06 AURORA at 1.10.06_04 07E Wild Horse Wind Expansion (C) (2)_Electric Rev Req Model (2009 GRC) " xfId="792"/>
    <cellStyle name="_Power Cost Value Copy 11.30.05 gas 1.09.06 AURORA at 1.10.06_04 07E Wild Horse Wind Expansion (C) (2)_Electric Rev Req Model (2009 GRC) Rebuttal" xfId="793"/>
    <cellStyle name="_Power Cost Value Copy 11.30.05 gas 1.09.06 AURORA at 1.10.06_04 07E Wild Horse Wind Expansion (C) (2)_Electric Rev Req Model (2009 GRC) Rebuttal REmoval of New  WH Solar AdjustMI" xfId="794"/>
    <cellStyle name="_Power Cost Value Copy 11.30.05 gas 1.09.06 AURORA at 1.10.06_04 07E Wild Horse Wind Expansion (C) (2)_Electric Rev Req Model (2009 GRC) Revised 01-18-2010" xfId="795"/>
    <cellStyle name="_Power Cost Value Copy 11.30.05 gas 1.09.06 AURORA at 1.10.06_04 07E Wild Horse Wind Expansion (C) (2)_Final Order Electric EXHIBIT A-1" xfId="796"/>
    <cellStyle name="_Power Cost Value Copy 11.30.05 gas 1.09.06 AURORA at 1.10.06_04 07E Wild Horse Wind Expansion (C) (2)_TENASKA REGULATORY ASSET" xfId="797"/>
    <cellStyle name="_Power Cost Value Copy 11.30.05 gas 1.09.06 AURORA at 1.10.06_16.37E Wild Horse Expansion DeferralRevwrkingfile SF" xfId="798"/>
    <cellStyle name="_Power Cost Value Copy 11.30.05 gas 1.09.06 AURORA at 1.10.06_2009 Compliance Filing PCA Exhibits for GRC" xfId="799"/>
    <cellStyle name="_Power Cost Value Copy 11.30.05 gas 1.09.06 AURORA at 1.10.06_4 31 Regulatory Assets and Liabilities  7 06- Exhibit D" xfId="800"/>
    <cellStyle name="_Power Cost Value Copy 11.30.05 gas 1.09.06 AURORA at 1.10.06_4 32 Regulatory Assets and Liabilities  7 06- Exhibit D" xfId="801"/>
    <cellStyle name="_Power Cost Value Copy 11.30.05 gas 1.09.06 AURORA at 1.10.06_Book2" xfId="802"/>
    <cellStyle name="_Power Cost Value Copy 11.30.05 gas 1.09.06 AURORA at 1.10.06_Book2_Adj Bench DR 3 for Initial Briefs (Electric)" xfId="803"/>
    <cellStyle name="_Power Cost Value Copy 11.30.05 gas 1.09.06 AURORA at 1.10.06_Book2_Electric Rev Req Model (2009 GRC) Rebuttal" xfId="804"/>
    <cellStyle name="_Power Cost Value Copy 11.30.05 gas 1.09.06 AURORA at 1.10.06_Book2_Electric Rev Req Model (2009 GRC) Rebuttal REmoval of New  WH Solar AdjustMI" xfId="805"/>
    <cellStyle name="_Power Cost Value Copy 11.30.05 gas 1.09.06 AURORA at 1.10.06_Book2_Electric Rev Req Model (2009 GRC) Revised 01-18-2010" xfId="806"/>
    <cellStyle name="_Power Cost Value Copy 11.30.05 gas 1.09.06 AURORA at 1.10.06_Book2_Final Order Electric EXHIBIT A-1" xfId="807"/>
    <cellStyle name="_Power Cost Value Copy 11.30.05 gas 1.09.06 AURORA at 1.10.06_Book4" xfId="808"/>
    <cellStyle name="_Power Cost Value Copy 11.30.05 gas 1.09.06 AURORA at 1.10.06_Book9" xfId="809"/>
    <cellStyle name="_Power Cost Value Copy 11.30.05 gas 1.09.06 AURORA at 1.10.06_Exhibit D fr R Gho 12-31-08" xfId="810"/>
    <cellStyle name="_Power Cost Value Copy 11.30.05 gas 1.09.06 AURORA at 1.10.06_Exhibit D fr R Gho 12-31-08 v2" xfId="811"/>
    <cellStyle name="_Power Cost Value Copy 11.30.05 gas 1.09.06 AURORA at 1.10.06_PCA 7 - Exhibit D update 11_30_08 (2)" xfId="812"/>
    <cellStyle name="_Power Cost Value Copy 11.30.05 gas 1.09.06 AURORA at 1.10.06_PCA 8 - Exhibit D update 12_31_09" xfId="813"/>
    <cellStyle name="_Power Cost Value Copy 11.30.05 gas 1.09.06 AURORA at 1.10.06_PCA 9 -  Exhibit D April 2010" xfId="814"/>
    <cellStyle name="_Power Cost Value Copy 11.30.05 gas 1.09.06 AURORA at 1.10.06_PCA 9 -  Exhibit D Feb 2010" xfId="815"/>
    <cellStyle name="_Power Cost Value Copy 11.30.05 gas 1.09.06 AURORA at 1.10.06_PCA 9 -  Exhibit D Feb 2010 v2" xfId="816"/>
    <cellStyle name="_Power Cost Value Copy 11.30.05 gas 1.09.06 AURORA at 1.10.06_PCA 9 -  Exhibit D Feb 2010 WF" xfId="817"/>
    <cellStyle name="_Power Cost Value Copy 11.30.05 gas 1.09.06 AURORA at 1.10.06_PCA 9 -  Exhibit D Jan 2010" xfId="818"/>
    <cellStyle name="_Power Cost Value Copy 11.30.05 gas 1.09.06 AURORA at 1.10.06_PCA 9 -  Exhibit D March 2010 (2)" xfId="819"/>
    <cellStyle name="_Power Cost Value Copy 11.30.05 gas 1.09.06 AURORA at 1.10.06_PCA 9 -  Exhibit D Nov 2010" xfId="820"/>
    <cellStyle name="_Power Cost Value Copy 11.30.05 gas 1.09.06 AURORA at 1.10.06_PCA 9 - Exhibit D at August 2010" xfId="821"/>
    <cellStyle name="_Power Cost Value Copy 11.30.05 gas 1.09.06 AURORA at 1.10.06_PCA 9 - Exhibit D June 2010 GRC" xfId="822"/>
    <cellStyle name="_Power Cost Value Copy 11.30.05 gas 1.09.06 AURORA at 1.10.06_Power Costs - Comparison bx Rbtl-Staff-Jt-PC" xfId="823"/>
    <cellStyle name="_Power Cost Value Copy 11.30.05 gas 1.09.06 AURORA at 1.10.06_Power Costs - Comparison bx Rbtl-Staff-Jt-PC_Adj Bench DR 3 for Initial Briefs (Electric)" xfId="824"/>
    <cellStyle name="_Power Cost Value Copy 11.30.05 gas 1.09.06 AURORA at 1.10.06_Power Costs - Comparison bx Rbtl-Staff-Jt-PC_Electric Rev Req Model (2009 GRC) Rebuttal" xfId="825"/>
    <cellStyle name="_Power Cost Value Copy 11.30.05 gas 1.09.06 AURORA at 1.10.06_Power Costs - Comparison bx Rbtl-Staff-Jt-PC_Electric Rev Req Model (2009 GRC) Rebuttal REmoval of New  WH Solar AdjustMI" xfId="826"/>
    <cellStyle name="_Power Cost Value Copy 11.30.05 gas 1.09.06 AURORA at 1.10.06_Power Costs - Comparison bx Rbtl-Staff-Jt-PC_Electric Rev Req Model (2009 GRC) Revised 01-18-2010" xfId="827"/>
    <cellStyle name="_Power Cost Value Copy 11.30.05 gas 1.09.06 AURORA at 1.10.06_Power Costs - Comparison bx Rbtl-Staff-Jt-PC_Final Order Electric EXHIBIT A-1" xfId="828"/>
    <cellStyle name="_Power Cost Value Copy 11.30.05 gas 1.09.06 AURORA at 1.10.06_Rebuttal Power Costs" xfId="829"/>
    <cellStyle name="_Power Cost Value Copy 11.30.05 gas 1.09.06 AURORA at 1.10.06_Rebuttal Power Costs_Adj Bench DR 3 for Initial Briefs (Electric)" xfId="830"/>
    <cellStyle name="_Power Cost Value Copy 11.30.05 gas 1.09.06 AURORA at 1.10.06_Rebuttal Power Costs_Electric Rev Req Model (2009 GRC) Rebuttal" xfId="831"/>
    <cellStyle name="_Power Cost Value Copy 11.30.05 gas 1.09.06 AURORA at 1.10.06_Rebuttal Power Costs_Electric Rev Req Model (2009 GRC) Rebuttal REmoval of New  WH Solar AdjustMI" xfId="832"/>
    <cellStyle name="_Power Cost Value Copy 11.30.05 gas 1.09.06 AURORA at 1.10.06_Rebuttal Power Costs_Electric Rev Req Model (2009 GRC) Revised 01-18-2010" xfId="833"/>
    <cellStyle name="_Power Cost Value Copy 11.30.05 gas 1.09.06 AURORA at 1.10.06_Rebuttal Power Costs_Final Order Electric EXHIBIT A-1" xfId="834"/>
    <cellStyle name="_x0013__Rebuttal Power Costs" xfId="835"/>
    <cellStyle name="_x0013__Rebuttal Power Costs_Adj Bench DR 3 for Initial Briefs (Electric)" xfId="836"/>
    <cellStyle name="_x0013__Rebuttal Power Costs_Electric Rev Req Model (2009 GRC) Rebuttal" xfId="837"/>
    <cellStyle name="_x0013__Rebuttal Power Costs_Electric Rev Req Model (2009 GRC) Rebuttal REmoval of New  WH Solar AdjustMI" xfId="838"/>
    <cellStyle name="_x0013__Rebuttal Power Costs_Electric Rev Req Model (2009 GRC) Revised 01-18-2010" xfId="839"/>
    <cellStyle name="_x0013__Rebuttal Power Costs_Final Order Electric EXHIBIT A-1" xfId="840"/>
    <cellStyle name="_Recon to Darrin's 5.11.05 proforma" xfId="841"/>
    <cellStyle name="_Recon to Darrin's 5.11.05 proforma_(C) WHE Proforma with ITC cash grant 10 Yr Amort_for deferral_102809" xfId="842"/>
    <cellStyle name="_Recon to Darrin's 5.11.05 proforma_(C) WHE Proforma with ITC cash grant 10 Yr Amort_for deferral_102809_16.07E Wild Horse Wind Expansionwrkingfile" xfId="843"/>
    <cellStyle name="_Recon to Darrin's 5.11.05 proforma_(C) WHE Proforma with ITC cash grant 10 Yr Amort_for deferral_102809_16.07E Wild Horse Wind Expansionwrkingfile SF" xfId="844"/>
    <cellStyle name="_Recon to Darrin's 5.11.05 proforma_(C) WHE Proforma with ITC cash grant 10 Yr Amort_for deferral_102809_16.37E Wild Horse Expansion DeferralRevwrkingfile SF" xfId="845"/>
    <cellStyle name="_Recon to Darrin's 5.11.05 proforma_(C) WHE Proforma with ITC cash grant 10 Yr Amort_for rebuttal_120709" xfId="846"/>
    <cellStyle name="_Recon to Darrin's 5.11.05 proforma_04.07E Wild Horse Wind Expansion" xfId="847"/>
    <cellStyle name="_Recon to Darrin's 5.11.05 proforma_04.07E Wild Horse Wind Expansion_16.07E Wild Horse Wind Expansionwrkingfile" xfId="848"/>
    <cellStyle name="_Recon to Darrin's 5.11.05 proforma_04.07E Wild Horse Wind Expansion_16.07E Wild Horse Wind Expansionwrkingfile SF" xfId="849"/>
    <cellStyle name="_Recon to Darrin's 5.11.05 proforma_04.07E Wild Horse Wind Expansion_16.37E Wild Horse Expansion DeferralRevwrkingfile SF" xfId="850"/>
    <cellStyle name="_Recon to Darrin's 5.11.05 proforma_16.07E Wild Horse Wind Expansionwrkingfile" xfId="851"/>
    <cellStyle name="_Recon to Darrin's 5.11.05 proforma_16.07E Wild Horse Wind Expansionwrkingfile SF" xfId="852"/>
    <cellStyle name="_Recon to Darrin's 5.11.05 proforma_16.37E Wild Horse Expansion DeferralRevwrkingfile SF" xfId="853"/>
    <cellStyle name="_Recon to Darrin's 5.11.05 proforma_2009 Compliance Filing PCA Exhibits for GRC" xfId="854"/>
    <cellStyle name="_Recon to Darrin's 5.11.05 proforma_4 31 Regulatory Assets and Liabilities  7 06- Exhibit D" xfId="855"/>
    <cellStyle name="_Recon to Darrin's 5.11.05 proforma_4 32 Regulatory Assets and Liabilities  7 06- Exhibit D" xfId="856"/>
    <cellStyle name="_Recon to Darrin's 5.11.05 proforma_Book2" xfId="857"/>
    <cellStyle name="_Recon to Darrin's 5.11.05 proforma_Book2_Adj Bench DR 3 for Initial Briefs (Electric)" xfId="858"/>
    <cellStyle name="_Recon to Darrin's 5.11.05 proforma_Book2_Electric Rev Req Model (2009 GRC) Rebuttal" xfId="859"/>
    <cellStyle name="_Recon to Darrin's 5.11.05 proforma_Book2_Electric Rev Req Model (2009 GRC) Rebuttal REmoval of New  WH Solar AdjustMI" xfId="860"/>
    <cellStyle name="_Recon to Darrin's 5.11.05 proforma_Book2_Electric Rev Req Model (2009 GRC) Revised 01-18-2010" xfId="861"/>
    <cellStyle name="_Recon to Darrin's 5.11.05 proforma_Book2_Final Order Electric EXHIBIT A-1" xfId="862"/>
    <cellStyle name="_Recon to Darrin's 5.11.05 proforma_Book4" xfId="863"/>
    <cellStyle name="_Recon to Darrin's 5.11.05 proforma_Book9" xfId="864"/>
    <cellStyle name="_Recon to Darrin's 5.11.05 proforma_Exhibit D fr R Gho 12-31-08" xfId="865"/>
    <cellStyle name="_Recon to Darrin's 5.11.05 proforma_Exhibit D fr R Gho 12-31-08 v2" xfId="866"/>
    <cellStyle name="_Recon to Darrin's 5.11.05 proforma_PCA 7 - Exhibit D update 11_30_08 (2)" xfId="867"/>
    <cellStyle name="_Recon to Darrin's 5.11.05 proforma_PCA 8 - Exhibit D update 12_31_09" xfId="868"/>
    <cellStyle name="_Recon to Darrin's 5.11.05 proforma_PCA 9 -  Exhibit D April 2010" xfId="869"/>
    <cellStyle name="_Recon to Darrin's 5.11.05 proforma_PCA 9 -  Exhibit D Feb 2010" xfId="870"/>
    <cellStyle name="_Recon to Darrin's 5.11.05 proforma_PCA 9 -  Exhibit D Feb 2010 v2" xfId="871"/>
    <cellStyle name="_Recon to Darrin's 5.11.05 proforma_PCA 9 -  Exhibit D Feb 2010 WF" xfId="872"/>
    <cellStyle name="_Recon to Darrin's 5.11.05 proforma_PCA 9 -  Exhibit D Jan 2010" xfId="873"/>
    <cellStyle name="_Recon to Darrin's 5.11.05 proforma_PCA 9 -  Exhibit D March 2010 (2)" xfId="874"/>
    <cellStyle name="_Recon to Darrin's 5.11.05 proforma_PCA 9 -  Exhibit D Nov 2010" xfId="875"/>
    <cellStyle name="_Recon to Darrin's 5.11.05 proforma_PCA 9 - Exhibit D at August 2010" xfId="876"/>
    <cellStyle name="_Recon to Darrin's 5.11.05 proforma_PCA 9 - Exhibit D June 2010 GRC" xfId="877"/>
    <cellStyle name="_Recon to Darrin's 5.11.05 proforma_Power Costs - Comparison bx Rbtl-Staff-Jt-PC" xfId="878"/>
    <cellStyle name="_Recon to Darrin's 5.11.05 proforma_Power Costs - Comparison bx Rbtl-Staff-Jt-PC_Adj Bench DR 3 for Initial Briefs (Electric)" xfId="879"/>
    <cellStyle name="_Recon to Darrin's 5.11.05 proforma_Power Costs - Comparison bx Rbtl-Staff-Jt-PC_Electric Rev Req Model (2009 GRC) Rebuttal" xfId="880"/>
    <cellStyle name="_Recon to Darrin's 5.11.05 proforma_Power Costs - Comparison bx Rbtl-Staff-Jt-PC_Electric Rev Req Model (2009 GRC) Rebuttal REmoval of New  WH Solar AdjustMI" xfId="881"/>
    <cellStyle name="_Recon to Darrin's 5.11.05 proforma_Power Costs - Comparison bx Rbtl-Staff-Jt-PC_Electric Rev Req Model (2009 GRC) Revised 01-18-2010" xfId="882"/>
    <cellStyle name="_Recon to Darrin's 5.11.05 proforma_Power Costs - Comparison bx Rbtl-Staff-Jt-PC_Final Order Electric EXHIBIT A-1" xfId="883"/>
    <cellStyle name="_Recon to Darrin's 5.11.05 proforma_Rebuttal Power Costs" xfId="884"/>
    <cellStyle name="_Recon to Darrin's 5.11.05 proforma_Rebuttal Power Costs_Adj Bench DR 3 for Initial Briefs (Electric)" xfId="885"/>
    <cellStyle name="_Recon to Darrin's 5.11.05 proforma_Rebuttal Power Costs_Electric Rev Req Model (2009 GRC) Rebuttal" xfId="886"/>
    <cellStyle name="_Recon to Darrin's 5.11.05 proforma_Rebuttal Power Costs_Electric Rev Req Model (2009 GRC) Rebuttal REmoval of New  WH Solar AdjustMI" xfId="887"/>
    <cellStyle name="_Recon to Darrin's 5.11.05 proforma_Rebuttal Power Costs_Electric Rev Req Model (2009 GRC) Revised 01-18-2010" xfId="888"/>
    <cellStyle name="_Recon to Darrin's 5.11.05 proforma_Rebuttal Power Costs_Final Order Electric EXHIBIT A-1" xfId="889"/>
    <cellStyle name="_Sumas Proforma - 11-09-07" xfId="890"/>
    <cellStyle name="_Sumas Property Taxes v1" xfId="891"/>
    <cellStyle name="_Tenaska Comparison" xfId="892"/>
    <cellStyle name="_Tenaska Comparison_(C) WHE Proforma with ITC cash grant 10 Yr Amort_for deferral_102809" xfId="893"/>
    <cellStyle name="_Tenaska Comparison_(C) WHE Proforma with ITC cash grant 10 Yr Amort_for deferral_102809_16.07E Wild Horse Wind Expansionwrkingfile" xfId="894"/>
    <cellStyle name="_Tenaska Comparison_(C) WHE Proforma with ITC cash grant 10 Yr Amort_for deferral_102809_16.07E Wild Horse Wind Expansionwrkingfile SF" xfId="895"/>
    <cellStyle name="_Tenaska Comparison_(C) WHE Proforma with ITC cash grant 10 Yr Amort_for deferral_102809_16.37E Wild Horse Expansion DeferralRevwrkingfile SF" xfId="896"/>
    <cellStyle name="_Tenaska Comparison_(C) WHE Proforma with ITC cash grant 10 Yr Amort_for rebuttal_120709" xfId="897"/>
    <cellStyle name="_Tenaska Comparison_04.07E Wild Horse Wind Expansion" xfId="898"/>
    <cellStyle name="_Tenaska Comparison_04.07E Wild Horse Wind Expansion_16.07E Wild Horse Wind Expansionwrkingfile" xfId="899"/>
    <cellStyle name="_Tenaska Comparison_04.07E Wild Horse Wind Expansion_16.07E Wild Horse Wind Expansionwrkingfile SF" xfId="900"/>
    <cellStyle name="_Tenaska Comparison_04.07E Wild Horse Wind Expansion_16.37E Wild Horse Expansion DeferralRevwrkingfile SF" xfId="901"/>
    <cellStyle name="_Tenaska Comparison_16.07E Wild Horse Wind Expansionwrkingfile" xfId="902"/>
    <cellStyle name="_Tenaska Comparison_16.07E Wild Horse Wind Expansionwrkingfile SF" xfId="903"/>
    <cellStyle name="_Tenaska Comparison_16.37E Wild Horse Expansion DeferralRevwrkingfile SF" xfId="904"/>
    <cellStyle name="_Tenaska Comparison_2009 Compliance Filing PCA Exhibits for GRC" xfId="905"/>
    <cellStyle name="_Tenaska Comparison_2009 GRC Compl Filing - Exhibit D" xfId="906"/>
    <cellStyle name="_Tenaska Comparison_4 31 Regulatory Assets and Liabilities  7 06- Exhibit D" xfId="907"/>
    <cellStyle name="_Tenaska Comparison_4 32 Regulatory Assets and Liabilities  7 06- Exhibit D" xfId="908"/>
    <cellStyle name="_Tenaska Comparison_Book2" xfId="909"/>
    <cellStyle name="_Tenaska Comparison_Book2_Adj Bench DR 3 for Initial Briefs (Electric)" xfId="910"/>
    <cellStyle name="_Tenaska Comparison_Book2_Electric Rev Req Model (2009 GRC) Rebuttal" xfId="911"/>
    <cellStyle name="_Tenaska Comparison_Book2_Electric Rev Req Model (2009 GRC) Rebuttal REmoval of New  WH Solar AdjustMI" xfId="912"/>
    <cellStyle name="_Tenaska Comparison_Book2_Electric Rev Req Model (2009 GRC) Revised 01-18-2010" xfId="913"/>
    <cellStyle name="_Tenaska Comparison_Book2_Final Order Electric EXHIBIT A-1" xfId="914"/>
    <cellStyle name="_Tenaska Comparison_Book4" xfId="915"/>
    <cellStyle name="_Tenaska Comparison_Book9" xfId="916"/>
    <cellStyle name="_Tenaska Comparison_PCA 9 -  Exhibit D April 2010" xfId="917"/>
    <cellStyle name="_Tenaska Comparison_PCA 9 -  Exhibit D Nov 2010" xfId="918"/>
    <cellStyle name="_Tenaska Comparison_PCA 9 - Exhibit D at August 2010" xfId="919"/>
    <cellStyle name="_Tenaska Comparison_PCA 9 - Exhibit D June 2010 GRC" xfId="920"/>
    <cellStyle name="_Tenaska Comparison_Power Costs - Comparison bx Rbtl-Staff-Jt-PC" xfId="921"/>
    <cellStyle name="_Tenaska Comparison_Power Costs - Comparison bx Rbtl-Staff-Jt-PC_Adj Bench DR 3 for Initial Briefs (Electric)" xfId="922"/>
    <cellStyle name="_Tenaska Comparison_Power Costs - Comparison bx Rbtl-Staff-Jt-PC_Electric Rev Req Model (2009 GRC) Rebuttal" xfId="923"/>
    <cellStyle name="_Tenaska Comparison_Power Costs - Comparison bx Rbtl-Staff-Jt-PC_Electric Rev Req Model (2009 GRC) Rebuttal REmoval of New  WH Solar AdjustMI" xfId="924"/>
    <cellStyle name="_Tenaska Comparison_Power Costs - Comparison bx Rbtl-Staff-Jt-PC_Electric Rev Req Model (2009 GRC) Revised 01-18-2010" xfId="925"/>
    <cellStyle name="_Tenaska Comparison_Power Costs - Comparison bx Rbtl-Staff-Jt-PC_Final Order Electric EXHIBIT A-1" xfId="926"/>
    <cellStyle name="_Tenaska Comparison_Rebuttal Power Costs" xfId="927"/>
    <cellStyle name="_Tenaska Comparison_Rebuttal Power Costs_Adj Bench DR 3 for Initial Briefs (Electric)" xfId="928"/>
    <cellStyle name="_Tenaska Comparison_Rebuttal Power Costs_Electric Rev Req Model (2009 GRC) Rebuttal" xfId="929"/>
    <cellStyle name="_Tenaska Comparison_Rebuttal Power Costs_Electric Rev Req Model (2009 GRC) Rebuttal REmoval of New  WH Solar AdjustMI" xfId="930"/>
    <cellStyle name="_Tenaska Comparison_Rebuttal Power Costs_Electric Rev Req Model (2009 GRC) Revised 01-18-2010" xfId="931"/>
    <cellStyle name="_Tenaska Comparison_Rebuttal Power Costs_Final Order Electric EXHIBIT A-1" xfId="932"/>
    <cellStyle name="_x0013__TENASKA REGULATORY ASSET" xfId="933"/>
    <cellStyle name="_Value Copy 11 30 05 gas 12 09 05 AURORA at 12 14 05" xfId="934"/>
    <cellStyle name="_Value Copy 11 30 05 gas 12 09 05 AURORA at 12 14 05_04 07E Wild Horse Wind Expansion (C) (2)" xfId="935"/>
    <cellStyle name="_Value Copy 11 30 05 gas 12 09 05 AURORA at 12 14 05_04 07E Wild Horse Wind Expansion (C) (2)_Adj Bench DR 3 for Initial Briefs (Electric)" xfId="936"/>
    <cellStyle name="_Value Copy 11 30 05 gas 12 09 05 AURORA at 12 14 05_04 07E Wild Horse Wind Expansion (C) (2)_Electric Rev Req Model (2009 GRC) " xfId="937"/>
    <cellStyle name="_Value Copy 11 30 05 gas 12 09 05 AURORA at 12 14 05_04 07E Wild Horse Wind Expansion (C) (2)_Electric Rev Req Model (2009 GRC) Rebuttal" xfId="938"/>
    <cellStyle name="_Value Copy 11 30 05 gas 12 09 05 AURORA at 12 14 05_04 07E Wild Horse Wind Expansion (C) (2)_Electric Rev Req Model (2009 GRC) Rebuttal REmoval of New  WH Solar AdjustMI" xfId="939"/>
    <cellStyle name="_Value Copy 11 30 05 gas 12 09 05 AURORA at 12 14 05_04 07E Wild Horse Wind Expansion (C) (2)_Electric Rev Req Model (2009 GRC) Revised 01-18-2010" xfId="940"/>
    <cellStyle name="_Value Copy 11 30 05 gas 12 09 05 AURORA at 12 14 05_04 07E Wild Horse Wind Expansion (C) (2)_Final Order Electric EXHIBIT A-1" xfId="941"/>
    <cellStyle name="_Value Copy 11 30 05 gas 12 09 05 AURORA at 12 14 05_04 07E Wild Horse Wind Expansion (C) (2)_TENASKA REGULATORY ASSET" xfId="942"/>
    <cellStyle name="_Value Copy 11 30 05 gas 12 09 05 AURORA at 12 14 05_16.37E Wild Horse Expansion DeferralRevwrkingfile SF" xfId="943"/>
    <cellStyle name="_Value Copy 11 30 05 gas 12 09 05 AURORA at 12 14 05_2009 Compliance Filing PCA Exhibits for GRC" xfId="944"/>
    <cellStyle name="_Value Copy 11 30 05 gas 12 09 05 AURORA at 12 14 05_4 31 Regulatory Assets and Liabilities  7 06- Exhibit D" xfId="945"/>
    <cellStyle name="_Value Copy 11 30 05 gas 12 09 05 AURORA at 12 14 05_4 32 Regulatory Assets and Liabilities  7 06- Exhibit D" xfId="946"/>
    <cellStyle name="_Value Copy 11 30 05 gas 12 09 05 AURORA at 12 14 05_Book2" xfId="947"/>
    <cellStyle name="_Value Copy 11 30 05 gas 12 09 05 AURORA at 12 14 05_Book2_Adj Bench DR 3 for Initial Briefs (Electric)" xfId="948"/>
    <cellStyle name="_Value Copy 11 30 05 gas 12 09 05 AURORA at 12 14 05_Book2_Electric Rev Req Model (2009 GRC) Rebuttal" xfId="949"/>
    <cellStyle name="_Value Copy 11 30 05 gas 12 09 05 AURORA at 12 14 05_Book2_Electric Rev Req Model (2009 GRC) Rebuttal REmoval of New  WH Solar AdjustMI" xfId="950"/>
    <cellStyle name="_Value Copy 11 30 05 gas 12 09 05 AURORA at 12 14 05_Book2_Electric Rev Req Model (2009 GRC) Revised 01-18-2010" xfId="951"/>
    <cellStyle name="_Value Copy 11 30 05 gas 12 09 05 AURORA at 12 14 05_Book2_Final Order Electric EXHIBIT A-1" xfId="952"/>
    <cellStyle name="_Value Copy 11 30 05 gas 12 09 05 AURORA at 12 14 05_Book4" xfId="953"/>
    <cellStyle name="_Value Copy 11 30 05 gas 12 09 05 AURORA at 12 14 05_Book9" xfId="954"/>
    <cellStyle name="_Value Copy 11 30 05 gas 12 09 05 AURORA at 12 14 05_Exhibit D fr R Gho 12-31-08" xfId="955"/>
    <cellStyle name="_Value Copy 11 30 05 gas 12 09 05 AURORA at 12 14 05_Exhibit D fr R Gho 12-31-08 v2" xfId="956"/>
    <cellStyle name="_Value Copy 11 30 05 gas 12 09 05 AURORA at 12 14 05_PCA 7 - Exhibit D update 11_30_08 (2)" xfId="957"/>
    <cellStyle name="_Value Copy 11 30 05 gas 12 09 05 AURORA at 12 14 05_PCA 8 - Exhibit D update 12_31_09" xfId="958"/>
    <cellStyle name="_Value Copy 11 30 05 gas 12 09 05 AURORA at 12 14 05_PCA 9 -  Exhibit D April 2010" xfId="959"/>
    <cellStyle name="_Value Copy 11 30 05 gas 12 09 05 AURORA at 12 14 05_PCA 9 -  Exhibit D Feb 2010" xfId="960"/>
    <cellStyle name="_Value Copy 11 30 05 gas 12 09 05 AURORA at 12 14 05_PCA 9 -  Exhibit D Feb 2010 v2" xfId="961"/>
    <cellStyle name="_Value Copy 11 30 05 gas 12 09 05 AURORA at 12 14 05_PCA 9 -  Exhibit D Feb 2010 WF" xfId="962"/>
    <cellStyle name="_Value Copy 11 30 05 gas 12 09 05 AURORA at 12 14 05_PCA 9 -  Exhibit D Jan 2010" xfId="963"/>
    <cellStyle name="_Value Copy 11 30 05 gas 12 09 05 AURORA at 12 14 05_PCA 9 -  Exhibit D March 2010 (2)" xfId="964"/>
    <cellStyle name="_Value Copy 11 30 05 gas 12 09 05 AURORA at 12 14 05_PCA 9 -  Exhibit D Nov 2010" xfId="965"/>
    <cellStyle name="_Value Copy 11 30 05 gas 12 09 05 AURORA at 12 14 05_PCA 9 - Exhibit D at August 2010" xfId="966"/>
    <cellStyle name="_Value Copy 11 30 05 gas 12 09 05 AURORA at 12 14 05_PCA 9 - Exhibit D June 2010 GRC" xfId="967"/>
    <cellStyle name="_Value Copy 11 30 05 gas 12 09 05 AURORA at 12 14 05_Power Costs - Comparison bx Rbtl-Staff-Jt-PC" xfId="968"/>
    <cellStyle name="_Value Copy 11 30 05 gas 12 09 05 AURORA at 12 14 05_Power Costs - Comparison bx Rbtl-Staff-Jt-PC_Adj Bench DR 3 for Initial Briefs (Electric)" xfId="969"/>
    <cellStyle name="_Value Copy 11 30 05 gas 12 09 05 AURORA at 12 14 05_Power Costs - Comparison bx Rbtl-Staff-Jt-PC_Electric Rev Req Model (2009 GRC) Rebuttal" xfId="970"/>
    <cellStyle name="_Value Copy 11 30 05 gas 12 09 05 AURORA at 12 14 05_Power Costs - Comparison bx Rbtl-Staff-Jt-PC_Electric Rev Req Model (2009 GRC) Rebuttal REmoval of New  WH Solar AdjustMI" xfId="971"/>
    <cellStyle name="_Value Copy 11 30 05 gas 12 09 05 AURORA at 12 14 05_Power Costs - Comparison bx Rbtl-Staff-Jt-PC_Electric Rev Req Model (2009 GRC) Revised 01-18-2010" xfId="972"/>
    <cellStyle name="_Value Copy 11 30 05 gas 12 09 05 AURORA at 12 14 05_Power Costs - Comparison bx Rbtl-Staff-Jt-PC_Final Order Electric EXHIBIT A-1" xfId="973"/>
    <cellStyle name="_Value Copy 11 30 05 gas 12 09 05 AURORA at 12 14 05_Rebuttal Power Costs" xfId="974"/>
    <cellStyle name="_Value Copy 11 30 05 gas 12 09 05 AURORA at 12 14 05_Rebuttal Power Costs_Adj Bench DR 3 for Initial Briefs (Electric)" xfId="975"/>
    <cellStyle name="_Value Copy 11 30 05 gas 12 09 05 AURORA at 12 14 05_Rebuttal Power Costs_Electric Rev Req Model (2009 GRC) Rebuttal" xfId="976"/>
    <cellStyle name="_Value Copy 11 30 05 gas 12 09 05 AURORA at 12 14 05_Rebuttal Power Costs_Electric Rev Req Model (2009 GRC) Rebuttal REmoval of New  WH Solar AdjustMI" xfId="977"/>
    <cellStyle name="_Value Copy 11 30 05 gas 12 09 05 AURORA at 12 14 05_Rebuttal Power Costs_Electric Rev Req Model (2009 GRC) Revised 01-18-2010" xfId="978"/>
    <cellStyle name="_Value Copy 11 30 05 gas 12 09 05 AURORA at 12 14 05_Rebuttal Power Costs_Final Order Electric EXHIBIT A-1" xfId="979"/>
    <cellStyle name="_VC 6.15.06 update on 06GRC power costs.xls Chart 1" xfId="980"/>
    <cellStyle name="_VC 6.15.06 update on 06GRC power costs.xls Chart 1_04 07E Wild Horse Wind Expansion (C) (2)" xfId="981"/>
    <cellStyle name="_VC 6.15.06 update on 06GRC power costs.xls Chart 1_04 07E Wild Horse Wind Expansion (C) (2)_Adj Bench DR 3 for Initial Briefs (Electric)" xfId="982"/>
    <cellStyle name="_VC 6.15.06 update on 06GRC power costs.xls Chart 1_04 07E Wild Horse Wind Expansion (C) (2)_Electric Rev Req Model (2009 GRC) " xfId="983"/>
    <cellStyle name="_VC 6.15.06 update on 06GRC power costs.xls Chart 1_04 07E Wild Horse Wind Expansion (C) (2)_Electric Rev Req Model (2009 GRC) Rebuttal" xfId="984"/>
    <cellStyle name="_VC 6.15.06 update on 06GRC power costs.xls Chart 1_04 07E Wild Horse Wind Expansion (C) (2)_Electric Rev Req Model (2009 GRC) Rebuttal REmoval of New  WH Solar AdjustMI" xfId="985"/>
    <cellStyle name="_VC 6.15.06 update on 06GRC power costs.xls Chart 1_04 07E Wild Horse Wind Expansion (C) (2)_Electric Rev Req Model (2009 GRC) Revised 01-18-2010" xfId="986"/>
    <cellStyle name="_VC 6.15.06 update on 06GRC power costs.xls Chart 1_04 07E Wild Horse Wind Expansion (C) (2)_Final Order Electric EXHIBIT A-1" xfId="987"/>
    <cellStyle name="_VC 6.15.06 update on 06GRC power costs.xls Chart 1_04 07E Wild Horse Wind Expansion (C) (2)_TENASKA REGULATORY ASSET" xfId="988"/>
    <cellStyle name="_VC 6.15.06 update on 06GRC power costs.xls Chart 1_16.37E Wild Horse Expansion DeferralRevwrkingfile SF" xfId="989"/>
    <cellStyle name="_VC 6.15.06 update on 06GRC power costs.xls Chart 1_2009 Compliance Filing PCA Exhibits for GRC" xfId="990"/>
    <cellStyle name="_VC 6.15.06 update on 06GRC power costs.xls Chart 1_2009 GRC Compl Filing - Exhibit D" xfId="991"/>
    <cellStyle name="_VC 6.15.06 update on 06GRC power costs.xls Chart 1_4 31 Regulatory Assets and Liabilities  7 06- Exhibit D" xfId="992"/>
    <cellStyle name="_VC 6.15.06 update on 06GRC power costs.xls Chart 1_4 32 Regulatory Assets and Liabilities  7 06- Exhibit D" xfId="993"/>
    <cellStyle name="_VC 6.15.06 update on 06GRC power costs.xls Chart 1_Book2" xfId="994"/>
    <cellStyle name="_VC 6.15.06 update on 06GRC power costs.xls Chart 1_Book2_Adj Bench DR 3 for Initial Briefs (Electric)" xfId="995"/>
    <cellStyle name="_VC 6.15.06 update on 06GRC power costs.xls Chart 1_Book2_Electric Rev Req Model (2009 GRC) Rebuttal" xfId="996"/>
    <cellStyle name="_VC 6.15.06 update on 06GRC power costs.xls Chart 1_Book2_Electric Rev Req Model (2009 GRC) Rebuttal REmoval of New  WH Solar AdjustMI" xfId="997"/>
    <cellStyle name="_VC 6.15.06 update on 06GRC power costs.xls Chart 1_Book2_Electric Rev Req Model (2009 GRC) Revised 01-18-2010" xfId="998"/>
    <cellStyle name="_VC 6.15.06 update on 06GRC power costs.xls Chart 1_Book2_Final Order Electric EXHIBIT A-1" xfId="999"/>
    <cellStyle name="_VC 6.15.06 update on 06GRC power costs.xls Chart 1_Book4" xfId="1000"/>
    <cellStyle name="_VC 6.15.06 update on 06GRC power costs.xls Chart 1_Book9" xfId="1001"/>
    <cellStyle name="_VC 6.15.06 update on 06GRC power costs.xls Chart 1_PCA 9 -  Exhibit D April 2010" xfId="1002"/>
    <cellStyle name="_VC 6.15.06 update on 06GRC power costs.xls Chart 1_PCA 9 -  Exhibit D Nov 2010" xfId="1003"/>
    <cellStyle name="_VC 6.15.06 update on 06GRC power costs.xls Chart 1_PCA 9 - Exhibit D at August 2010" xfId="1004"/>
    <cellStyle name="_VC 6.15.06 update on 06GRC power costs.xls Chart 1_PCA 9 - Exhibit D June 2010 GRC" xfId="1005"/>
    <cellStyle name="_VC 6.15.06 update on 06GRC power costs.xls Chart 1_Power Costs - Comparison bx Rbtl-Staff-Jt-PC" xfId="1006"/>
    <cellStyle name="_VC 6.15.06 update on 06GRC power costs.xls Chart 1_Power Costs - Comparison bx Rbtl-Staff-Jt-PC_Adj Bench DR 3 for Initial Briefs (Electric)" xfId="1007"/>
    <cellStyle name="_VC 6.15.06 update on 06GRC power costs.xls Chart 1_Power Costs - Comparison bx Rbtl-Staff-Jt-PC_Electric Rev Req Model (2009 GRC) Rebuttal" xfId="1008"/>
    <cellStyle name="_VC 6.15.06 update on 06GRC power costs.xls Chart 1_Power Costs - Comparison bx Rbtl-Staff-Jt-PC_Electric Rev Req Model (2009 GRC) Rebuttal REmoval of New  WH Solar AdjustMI" xfId="1009"/>
    <cellStyle name="_VC 6.15.06 update on 06GRC power costs.xls Chart 1_Power Costs - Comparison bx Rbtl-Staff-Jt-PC_Electric Rev Req Model (2009 GRC) Revised 01-18-2010" xfId="1010"/>
    <cellStyle name="_VC 6.15.06 update on 06GRC power costs.xls Chart 1_Power Costs - Comparison bx Rbtl-Staff-Jt-PC_Final Order Electric EXHIBIT A-1" xfId="1011"/>
    <cellStyle name="_VC 6.15.06 update on 06GRC power costs.xls Chart 1_Rebuttal Power Costs" xfId="1012"/>
    <cellStyle name="_VC 6.15.06 update on 06GRC power costs.xls Chart 1_Rebuttal Power Costs_Adj Bench DR 3 for Initial Briefs (Electric)" xfId="1013"/>
    <cellStyle name="_VC 6.15.06 update on 06GRC power costs.xls Chart 1_Rebuttal Power Costs_Electric Rev Req Model (2009 GRC) Rebuttal" xfId="1014"/>
    <cellStyle name="_VC 6.15.06 update on 06GRC power costs.xls Chart 1_Rebuttal Power Costs_Electric Rev Req Model (2009 GRC) Rebuttal REmoval of New  WH Solar AdjustMI" xfId="1015"/>
    <cellStyle name="_VC 6.15.06 update on 06GRC power costs.xls Chart 1_Rebuttal Power Costs_Electric Rev Req Model (2009 GRC) Revised 01-18-2010" xfId="1016"/>
    <cellStyle name="_VC 6.15.06 update on 06GRC power costs.xls Chart 1_Rebuttal Power Costs_Final Order Electric EXHIBIT A-1" xfId="1017"/>
    <cellStyle name="_VC 6.15.06 update on 06GRC power costs.xls Chart 2" xfId="1018"/>
    <cellStyle name="_VC 6.15.06 update on 06GRC power costs.xls Chart 2_04 07E Wild Horse Wind Expansion (C) (2)" xfId="1019"/>
    <cellStyle name="_VC 6.15.06 update on 06GRC power costs.xls Chart 2_04 07E Wild Horse Wind Expansion (C) (2)_Adj Bench DR 3 for Initial Briefs (Electric)" xfId="1020"/>
    <cellStyle name="_VC 6.15.06 update on 06GRC power costs.xls Chart 2_04 07E Wild Horse Wind Expansion (C) (2)_Electric Rev Req Model (2009 GRC) " xfId="1021"/>
    <cellStyle name="_VC 6.15.06 update on 06GRC power costs.xls Chart 2_04 07E Wild Horse Wind Expansion (C) (2)_Electric Rev Req Model (2009 GRC) Rebuttal" xfId="1022"/>
    <cellStyle name="_VC 6.15.06 update on 06GRC power costs.xls Chart 2_04 07E Wild Horse Wind Expansion (C) (2)_Electric Rev Req Model (2009 GRC) Rebuttal REmoval of New  WH Solar AdjustMI" xfId="1023"/>
    <cellStyle name="_VC 6.15.06 update on 06GRC power costs.xls Chart 2_04 07E Wild Horse Wind Expansion (C) (2)_Electric Rev Req Model (2009 GRC) Revised 01-18-2010" xfId="1024"/>
    <cellStyle name="_VC 6.15.06 update on 06GRC power costs.xls Chart 2_04 07E Wild Horse Wind Expansion (C) (2)_Final Order Electric EXHIBIT A-1" xfId="1025"/>
    <cellStyle name="_VC 6.15.06 update on 06GRC power costs.xls Chart 2_04 07E Wild Horse Wind Expansion (C) (2)_TENASKA REGULATORY ASSET" xfId="1026"/>
    <cellStyle name="_VC 6.15.06 update on 06GRC power costs.xls Chart 2_16.37E Wild Horse Expansion DeferralRevwrkingfile SF" xfId="1027"/>
    <cellStyle name="_VC 6.15.06 update on 06GRC power costs.xls Chart 2_2009 Compliance Filing PCA Exhibits for GRC" xfId="1028"/>
    <cellStyle name="_VC 6.15.06 update on 06GRC power costs.xls Chart 2_2009 GRC Compl Filing - Exhibit D" xfId="1029"/>
    <cellStyle name="_VC 6.15.06 update on 06GRC power costs.xls Chart 2_4 31 Regulatory Assets and Liabilities  7 06- Exhibit D" xfId="1030"/>
    <cellStyle name="_VC 6.15.06 update on 06GRC power costs.xls Chart 2_4 32 Regulatory Assets and Liabilities  7 06- Exhibit D" xfId="1031"/>
    <cellStyle name="_VC 6.15.06 update on 06GRC power costs.xls Chart 2_Book2" xfId="1032"/>
    <cellStyle name="_VC 6.15.06 update on 06GRC power costs.xls Chart 2_Book2_Adj Bench DR 3 for Initial Briefs (Electric)" xfId="1033"/>
    <cellStyle name="_VC 6.15.06 update on 06GRC power costs.xls Chart 2_Book2_Electric Rev Req Model (2009 GRC) Rebuttal" xfId="1034"/>
    <cellStyle name="_VC 6.15.06 update on 06GRC power costs.xls Chart 2_Book2_Electric Rev Req Model (2009 GRC) Rebuttal REmoval of New  WH Solar AdjustMI" xfId="1035"/>
    <cellStyle name="_VC 6.15.06 update on 06GRC power costs.xls Chart 2_Book2_Electric Rev Req Model (2009 GRC) Revised 01-18-2010" xfId="1036"/>
    <cellStyle name="_VC 6.15.06 update on 06GRC power costs.xls Chart 2_Book2_Final Order Electric EXHIBIT A-1" xfId="1037"/>
    <cellStyle name="_VC 6.15.06 update on 06GRC power costs.xls Chart 2_Book4" xfId="1038"/>
    <cellStyle name="_VC 6.15.06 update on 06GRC power costs.xls Chart 2_Book9" xfId="1039"/>
    <cellStyle name="_VC 6.15.06 update on 06GRC power costs.xls Chart 2_PCA 9 -  Exhibit D April 2010" xfId="1040"/>
    <cellStyle name="_VC 6.15.06 update on 06GRC power costs.xls Chart 2_PCA 9 -  Exhibit D Nov 2010" xfId="1041"/>
    <cellStyle name="_VC 6.15.06 update on 06GRC power costs.xls Chart 2_PCA 9 - Exhibit D at August 2010" xfId="1042"/>
    <cellStyle name="_VC 6.15.06 update on 06GRC power costs.xls Chart 2_PCA 9 - Exhibit D June 2010 GRC" xfId="1043"/>
    <cellStyle name="_VC 6.15.06 update on 06GRC power costs.xls Chart 2_Power Costs - Comparison bx Rbtl-Staff-Jt-PC" xfId="1044"/>
    <cellStyle name="_VC 6.15.06 update on 06GRC power costs.xls Chart 2_Power Costs - Comparison bx Rbtl-Staff-Jt-PC_Adj Bench DR 3 for Initial Briefs (Electric)" xfId="1045"/>
    <cellStyle name="_VC 6.15.06 update on 06GRC power costs.xls Chart 2_Power Costs - Comparison bx Rbtl-Staff-Jt-PC_Electric Rev Req Model (2009 GRC) Rebuttal" xfId="1046"/>
    <cellStyle name="_VC 6.15.06 update on 06GRC power costs.xls Chart 2_Power Costs - Comparison bx Rbtl-Staff-Jt-PC_Electric Rev Req Model (2009 GRC) Rebuttal REmoval of New  WH Solar AdjustMI" xfId="1047"/>
    <cellStyle name="_VC 6.15.06 update on 06GRC power costs.xls Chart 2_Power Costs - Comparison bx Rbtl-Staff-Jt-PC_Electric Rev Req Model (2009 GRC) Revised 01-18-2010" xfId="1048"/>
    <cellStyle name="_VC 6.15.06 update on 06GRC power costs.xls Chart 2_Power Costs - Comparison bx Rbtl-Staff-Jt-PC_Final Order Electric EXHIBIT A-1" xfId="1049"/>
    <cellStyle name="_VC 6.15.06 update on 06GRC power costs.xls Chart 2_Rebuttal Power Costs" xfId="1050"/>
    <cellStyle name="_VC 6.15.06 update on 06GRC power costs.xls Chart 2_Rebuttal Power Costs_Adj Bench DR 3 for Initial Briefs (Electric)" xfId="1051"/>
    <cellStyle name="_VC 6.15.06 update on 06GRC power costs.xls Chart 2_Rebuttal Power Costs_Electric Rev Req Model (2009 GRC) Rebuttal" xfId="1052"/>
    <cellStyle name="_VC 6.15.06 update on 06GRC power costs.xls Chart 2_Rebuttal Power Costs_Electric Rev Req Model (2009 GRC) Rebuttal REmoval of New  WH Solar AdjustMI" xfId="1053"/>
    <cellStyle name="_VC 6.15.06 update on 06GRC power costs.xls Chart 2_Rebuttal Power Costs_Electric Rev Req Model (2009 GRC) Revised 01-18-2010" xfId="1054"/>
    <cellStyle name="_VC 6.15.06 update on 06GRC power costs.xls Chart 2_Rebuttal Power Costs_Final Order Electric EXHIBIT A-1" xfId="1055"/>
    <cellStyle name="_VC 6.15.06 update on 06GRC power costs.xls Chart 3" xfId="1056"/>
    <cellStyle name="_VC 6.15.06 update on 06GRC power costs.xls Chart 3_04 07E Wild Horse Wind Expansion (C) (2)" xfId="1057"/>
    <cellStyle name="_VC 6.15.06 update on 06GRC power costs.xls Chart 3_04 07E Wild Horse Wind Expansion (C) (2)_Adj Bench DR 3 for Initial Briefs (Electric)" xfId="1058"/>
    <cellStyle name="_VC 6.15.06 update on 06GRC power costs.xls Chart 3_04 07E Wild Horse Wind Expansion (C) (2)_Electric Rev Req Model (2009 GRC) " xfId="1059"/>
    <cellStyle name="_VC 6.15.06 update on 06GRC power costs.xls Chart 3_04 07E Wild Horse Wind Expansion (C) (2)_Electric Rev Req Model (2009 GRC) Rebuttal" xfId="1060"/>
    <cellStyle name="_VC 6.15.06 update on 06GRC power costs.xls Chart 3_04 07E Wild Horse Wind Expansion (C) (2)_Electric Rev Req Model (2009 GRC) Rebuttal REmoval of New  WH Solar AdjustMI" xfId="1061"/>
    <cellStyle name="_VC 6.15.06 update on 06GRC power costs.xls Chart 3_04 07E Wild Horse Wind Expansion (C) (2)_Electric Rev Req Model (2009 GRC) Revised 01-18-2010" xfId="1062"/>
    <cellStyle name="_VC 6.15.06 update on 06GRC power costs.xls Chart 3_04 07E Wild Horse Wind Expansion (C) (2)_Final Order Electric EXHIBIT A-1" xfId="1063"/>
    <cellStyle name="_VC 6.15.06 update on 06GRC power costs.xls Chart 3_04 07E Wild Horse Wind Expansion (C) (2)_TENASKA REGULATORY ASSET" xfId="1064"/>
    <cellStyle name="_VC 6.15.06 update on 06GRC power costs.xls Chart 3_16.37E Wild Horse Expansion DeferralRevwrkingfile SF" xfId="1065"/>
    <cellStyle name="_VC 6.15.06 update on 06GRC power costs.xls Chart 3_2009 Compliance Filing PCA Exhibits for GRC" xfId="1066"/>
    <cellStyle name="_VC 6.15.06 update on 06GRC power costs.xls Chart 3_2009 GRC Compl Filing - Exhibit D" xfId="1067"/>
    <cellStyle name="_VC 6.15.06 update on 06GRC power costs.xls Chart 3_4 31 Regulatory Assets and Liabilities  7 06- Exhibit D" xfId="1068"/>
    <cellStyle name="_VC 6.15.06 update on 06GRC power costs.xls Chart 3_4 32 Regulatory Assets and Liabilities  7 06- Exhibit D" xfId="1069"/>
    <cellStyle name="_VC 6.15.06 update on 06GRC power costs.xls Chart 3_Book2" xfId="1070"/>
    <cellStyle name="_VC 6.15.06 update on 06GRC power costs.xls Chart 3_Book2_Adj Bench DR 3 for Initial Briefs (Electric)" xfId="1071"/>
    <cellStyle name="_VC 6.15.06 update on 06GRC power costs.xls Chart 3_Book2_Electric Rev Req Model (2009 GRC) Rebuttal" xfId="1072"/>
    <cellStyle name="_VC 6.15.06 update on 06GRC power costs.xls Chart 3_Book2_Electric Rev Req Model (2009 GRC) Rebuttal REmoval of New  WH Solar AdjustMI" xfId="1073"/>
    <cellStyle name="_VC 6.15.06 update on 06GRC power costs.xls Chart 3_Book2_Electric Rev Req Model (2009 GRC) Revised 01-18-2010" xfId="1074"/>
    <cellStyle name="_VC 6.15.06 update on 06GRC power costs.xls Chart 3_Book2_Final Order Electric EXHIBIT A-1" xfId="1075"/>
    <cellStyle name="_VC 6.15.06 update on 06GRC power costs.xls Chart 3_Book4" xfId="1076"/>
    <cellStyle name="_VC 6.15.06 update on 06GRC power costs.xls Chart 3_Book9" xfId="1077"/>
    <cellStyle name="_VC 6.15.06 update on 06GRC power costs.xls Chart 3_PCA 9 -  Exhibit D April 2010" xfId="1078"/>
    <cellStyle name="_VC 6.15.06 update on 06GRC power costs.xls Chart 3_PCA 9 -  Exhibit D Nov 2010" xfId="1079"/>
    <cellStyle name="_VC 6.15.06 update on 06GRC power costs.xls Chart 3_PCA 9 - Exhibit D at August 2010" xfId="1080"/>
    <cellStyle name="_VC 6.15.06 update on 06GRC power costs.xls Chart 3_PCA 9 - Exhibit D June 2010 GRC" xfId="1081"/>
    <cellStyle name="_VC 6.15.06 update on 06GRC power costs.xls Chart 3_Power Costs - Comparison bx Rbtl-Staff-Jt-PC" xfId="1082"/>
    <cellStyle name="_VC 6.15.06 update on 06GRC power costs.xls Chart 3_Power Costs - Comparison bx Rbtl-Staff-Jt-PC_Adj Bench DR 3 for Initial Briefs (Electric)" xfId="1083"/>
    <cellStyle name="_VC 6.15.06 update on 06GRC power costs.xls Chart 3_Power Costs - Comparison bx Rbtl-Staff-Jt-PC_Electric Rev Req Model (2009 GRC) Rebuttal" xfId="1084"/>
    <cellStyle name="_VC 6.15.06 update on 06GRC power costs.xls Chart 3_Power Costs - Comparison bx Rbtl-Staff-Jt-PC_Electric Rev Req Model (2009 GRC) Rebuttal REmoval of New  WH Solar AdjustMI" xfId="1085"/>
    <cellStyle name="_VC 6.15.06 update on 06GRC power costs.xls Chart 3_Power Costs - Comparison bx Rbtl-Staff-Jt-PC_Electric Rev Req Model (2009 GRC) Revised 01-18-2010" xfId="1086"/>
    <cellStyle name="_VC 6.15.06 update on 06GRC power costs.xls Chart 3_Power Costs - Comparison bx Rbtl-Staff-Jt-PC_Final Order Electric EXHIBIT A-1" xfId="1087"/>
    <cellStyle name="_VC 6.15.06 update on 06GRC power costs.xls Chart 3_Rebuttal Power Costs" xfId="1088"/>
    <cellStyle name="_VC 6.15.06 update on 06GRC power costs.xls Chart 3_Rebuttal Power Costs_Adj Bench DR 3 for Initial Briefs (Electric)" xfId="1089"/>
    <cellStyle name="_VC 6.15.06 update on 06GRC power costs.xls Chart 3_Rebuttal Power Costs_Electric Rev Req Model (2009 GRC) Rebuttal" xfId="1090"/>
    <cellStyle name="_VC 6.15.06 update on 06GRC power costs.xls Chart 3_Rebuttal Power Costs_Electric Rev Req Model (2009 GRC) Rebuttal REmoval of New  WH Solar AdjustMI" xfId="1091"/>
    <cellStyle name="_VC 6.15.06 update on 06GRC power costs.xls Chart 3_Rebuttal Power Costs_Electric Rev Req Model (2009 GRC) Revised 01-18-2010" xfId="1092"/>
    <cellStyle name="_VC 6.15.06 update on 06GRC power costs.xls Chart 3_Rebuttal Power Costs_Final Order Electric EXHIBIT A-1" xfId="1093"/>
    <cellStyle name="0,0&#13;&#10;NA&#13;&#10;" xfId="1094"/>
    <cellStyle name="20% - Accent1" xfId="1095"/>
    <cellStyle name="20% - Accent1 2" xfId="1096"/>
    <cellStyle name="20% - Accent1 2 2" xfId="1097"/>
    <cellStyle name="20% - Accent1 2_2009 GRC Compl Filing - Exhibit D" xfId="1098"/>
    <cellStyle name="20% - Accent1 3" xfId="1099"/>
    <cellStyle name="20% - Accent2" xfId="1100"/>
    <cellStyle name="20% - Accent2 2" xfId="1101"/>
    <cellStyle name="20% - Accent2 2 2" xfId="1102"/>
    <cellStyle name="20% - Accent2 2_2009 GRC Compl Filing - Exhibit D" xfId="1103"/>
    <cellStyle name="20% - Accent2 3" xfId="1104"/>
    <cellStyle name="20% - Accent3" xfId="1105"/>
    <cellStyle name="20% - Accent3 2" xfId="1106"/>
    <cellStyle name="20% - Accent3 2 2" xfId="1107"/>
    <cellStyle name="20% - Accent3 2_2009 GRC Compl Filing - Exhibit D" xfId="1108"/>
    <cellStyle name="20% - Accent3 3" xfId="1109"/>
    <cellStyle name="20% - Accent4" xfId="1110"/>
    <cellStyle name="20% - Accent4 2" xfId="1111"/>
    <cellStyle name="20% - Accent4 2 2" xfId="1112"/>
    <cellStyle name="20% - Accent4 2_2009 GRC Compl Filing - Exhibit D" xfId="1113"/>
    <cellStyle name="20% - Accent4 3" xfId="1114"/>
    <cellStyle name="20% - Accent5" xfId="1115"/>
    <cellStyle name="20% - Accent5 2" xfId="1116"/>
    <cellStyle name="20% - Accent5 2 2" xfId="1117"/>
    <cellStyle name="20% - Accent5 2_2009 GRC Compl Filing - Exhibit D" xfId="1118"/>
    <cellStyle name="20% - Accent5 3" xfId="1119"/>
    <cellStyle name="20% - Accent6" xfId="1120"/>
    <cellStyle name="20% - Accent6 2" xfId="1121"/>
    <cellStyle name="20% - Accent6 2 2" xfId="1122"/>
    <cellStyle name="20% - Accent6 2_2009 GRC Compl Filing - Exhibit D" xfId="1123"/>
    <cellStyle name="20% - Accent6 3" xfId="1124"/>
    <cellStyle name="40% - Accent1" xfId="1125"/>
    <cellStyle name="40% - Accent1 2" xfId="1126"/>
    <cellStyle name="40% - Accent1 2 2" xfId="1127"/>
    <cellStyle name="40% - Accent1 2_2009 GRC Compl Filing - Exhibit D" xfId="1128"/>
    <cellStyle name="40% - Accent1 3" xfId="1129"/>
    <cellStyle name="40% - Accent2" xfId="1130"/>
    <cellStyle name="40% - Accent2 2" xfId="1131"/>
    <cellStyle name="40% - Accent2 2 2" xfId="1132"/>
    <cellStyle name="40% - Accent2 2_2009 GRC Compl Filing - Exhibit D" xfId="1133"/>
    <cellStyle name="40% - Accent2 3" xfId="1134"/>
    <cellStyle name="40% - Accent3" xfId="1135"/>
    <cellStyle name="40% - Accent3 2" xfId="1136"/>
    <cellStyle name="40% - Accent3 2 2" xfId="1137"/>
    <cellStyle name="40% - Accent3 2_2009 GRC Compl Filing - Exhibit D" xfId="1138"/>
    <cellStyle name="40% - Accent3 3" xfId="1139"/>
    <cellStyle name="40% - Accent4" xfId="1140"/>
    <cellStyle name="40% - Accent4 2" xfId="1141"/>
    <cellStyle name="40% - Accent4 2 2" xfId="1142"/>
    <cellStyle name="40% - Accent4 2_2009 GRC Compl Filing - Exhibit D" xfId="1143"/>
    <cellStyle name="40% - Accent4 3" xfId="1144"/>
    <cellStyle name="40% - Accent5" xfId="1145"/>
    <cellStyle name="40% - Accent5 2" xfId="1146"/>
    <cellStyle name="40% - Accent5 2 2" xfId="1147"/>
    <cellStyle name="40% - Accent5 2_2009 GRC Compl Filing - Exhibit D" xfId="1148"/>
    <cellStyle name="40% - Accent5 3" xfId="1149"/>
    <cellStyle name="40% - Accent6" xfId="1150"/>
    <cellStyle name="40% - Accent6 2" xfId="1151"/>
    <cellStyle name="40% - Accent6 2 2" xfId="1152"/>
    <cellStyle name="40% - Accent6 2_2009 GRC Compl Filing - Exhibit D" xfId="1153"/>
    <cellStyle name="40% - Accent6 3" xfId="1154"/>
    <cellStyle name="60% - Accent1" xfId="1155"/>
    <cellStyle name="60% - Accent1 2 2" xfId="1156"/>
    <cellStyle name="60% - Accent2" xfId="1157"/>
    <cellStyle name="60% - Accent2 2 2" xfId="1158"/>
    <cellStyle name="60% - Accent3" xfId="1159"/>
    <cellStyle name="60% - Accent3 2 2" xfId="1160"/>
    <cellStyle name="60% - Accent4" xfId="1161"/>
    <cellStyle name="60% - Accent4 2 2" xfId="1162"/>
    <cellStyle name="60% - Accent5" xfId="1163"/>
    <cellStyle name="60% - Accent5 2 2" xfId="1164"/>
    <cellStyle name="60% - Accent6" xfId="1165"/>
    <cellStyle name="60% - Accent6 2 2" xfId="1166"/>
    <cellStyle name="Accent1" xfId="1167"/>
    <cellStyle name="Accent1 2 2" xfId="1168"/>
    <cellStyle name="Accent2" xfId="1169"/>
    <cellStyle name="Accent2 2 2" xfId="1170"/>
    <cellStyle name="Accent3" xfId="1171"/>
    <cellStyle name="Accent3 2 2" xfId="1172"/>
    <cellStyle name="Accent4" xfId="1173"/>
    <cellStyle name="Accent4 2 2" xfId="1174"/>
    <cellStyle name="Accent5" xfId="1175"/>
    <cellStyle name="Accent5 2 2" xfId="1176"/>
    <cellStyle name="Accent6" xfId="1177"/>
    <cellStyle name="Accent6 2 2" xfId="1178"/>
    <cellStyle name="Bad" xfId="1179"/>
    <cellStyle name="Bad 2 2" xfId="1180"/>
    <cellStyle name="Calc Currency (0)" xfId="1181"/>
    <cellStyle name="Calculation" xfId="1182"/>
    <cellStyle name="Calculation 2 2" xfId="1183"/>
    <cellStyle name="Check Cell" xfId="1184"/>
    <cellStyle name="Check Cell 2 2" xfId="1185"/>
    <cellStyle name="CheckCell" xfId="1186"/>
    <cellStyle name="Comma" xfId="1187"/>
    <cellStyle name="Comma [0]" xfId="1188"/>
    <cellStyle name="Comma 10" xfId="1189"/>
    <cellStyle name="Comma 10 2" xfId="1190"/>
    <cellStyle name="Comma 11" xfId="1191"/>
    <cellStyle name="Comma 12" xfId="1192"/>
    <cellStyle name="Comma 13" xfId="1193"/>
    <cellStyle name="Comma 14" xfId="1194"/>
    <cellStyle name="Comma 15" xfId="1195"/>
    <cellStyle name="Comma 16" xfId="1196"/>
    <cellStyle name="Comma 17" xfId="1197"/>
    <cellStyle name="Comma 18" xfId="1198"/>
    <cellStyle name="Comma 2" xfId="1199"/>
    <cellStyle name="Comma 2 2" xfId="1200"/>
    <cellStyle name="Comma 2 2 2" xfId="1201"/>
    <cellStyle name="Comma 2 2 3" xfId="1202"/>
    <cellStyle name="Comma 2 3" xfId="1203"/>
    <cellStyle name="Comma 2 4" xfId="1204"/>
    <cellStyle name="Comma 2 5" xfId="1205"/>
    <cellStyle name="Comma 2 6" xfId="1206"/>
    <cellStyle name="Comma 2 7" xfId="1207"/>
    <cellStyle name="Comma 2 8" xfId="1208"/>
    <cellStyle name="Comma 26" xfId="1209"/>
    <cellStyle name="Comma 27" xfId="1210"/>
    <cellStyle name="Comma 28" xfId="1211"/>
    <cellStyle name="Comma 3" xfId="1212"/>
    <cellStyle name="Comma 4" xfId="1213"/>
    <cellStyle name="Comma 4 2" xfId="1214"/>
    <cellStyle name="Comma 5" xfId="1215"/>
    <cellStyle name="Comma 6" xfId="1216"/>
    <cellStyle name="Comma 7" xfId="1217"/>
    <cellStyle name="Comma 8" xfId="1218"/>
    <cellStyle name="Comma 9" xfId="1219"/>
    <cellStyle name="Comma_09.27.04 Exh A-1 Power Cost.Update" xfId="1220"/>
    <cellStyle name="Comma_2009 Compliance Filing PCA Exhibits for GRC" xfId="1221"/>
    <cellStyle name="Comma_4.05 Exhibit A-2 " xfId="1222"/>
    <cellStyle name="Comma_4.05 Exhibit A-2  2" xfId="1223"/>
    <cellStyle name="Comma_Attachment F - PCA Exhibit UE-072300 (2)" xfId="1224"/>
    <cellStyle name="Comma_Book2" xfId="1225"/>
    <cellStyle name="Comma_JHS Rebuttal Exhs 11-14 internal" xfId="1226"/>
    <cellStyle name="Comma_JHS Rebuttal Exhs 11-14 internal 2" xfId="1227"/>
    <cellStyle name="Comma_PCA 9 -  Exhibit D Nov 2010" xfId="1228"/>
    <cellStyle name="Comma_PCA Adj Agrmt Exhibit A3" xfId="1229"/>
    <cellStyle name="Comma0" xfId="1230"/>
    <cellStyle name="Comma0 - Style2" xfId="1231"/>
    <cellStyle name="Comma0 - Style4" xfId="1232"/>
    <cellStyle name="Comma0 - Style5" xfId="1233"/>
    <cellStyle name="Comma0 2" xfId="1234"/>
    <cellStyle name="Comma0 3" xfId="1235"/>
    <cellStyle name="Comma0 4" xfId="1236"/>
    <cellStyle name="Comma0_00COS Ind Allocators" xfId="1237"/>
    <cellStyle name="Comma1 - Style1" xfId="1238"/>
    <cellStyle name="Copied" xfId="1239"/>
    <cellStyle name="COST1" xfId="1240"/>
    <cellStyle name="Curren - Style1" xfId="1241"/>
    <cellStyle name="Curren - Style2" xfId="1242"/>
    <cellStyle name="Curren - Style5" xfId="1243"/>
    <cellStyle name="Curren - Style6" xfId="1244"/>
    <cellStyle name="Currency" xfId="1245"/>
    <cellStyle name="Currency [0]" xfId="1246"/>
    <cellStyle name="Currency 10" xfId="1247"/>
    <cellStyle name="Currency 11" xfId="1248"/>
    <cellStyle name="Currency 12" xfId="1249"/>
    <cellStyle name="Currency 12 2" xfId="1250"/>
    <cellStyle name="Currency 12 3" xfId="1251"/>
    <cellStyle name="Currency 12 4" xfId="1252"/>
    <cellStyle name="Currency 2" xfId="1253"/>
    <cellStyle name="Currency 2 2" xfId="1254"/>
    <cellStyle name="Currency 2 2 2" xfId="1255"/>
    <cellStyle name="Currency 2 3" xfId="1256"/>
    <cellStyle name="Currency 2 4" xfId="1257"/>
    <cellStyle name="Currency 2 5" xfId="1258"/>
    <cellStyle name="Currency 2 6" xfId="1259"/>
    <cellStyle name="Currency 2 7" xfId="1260"/>
    <cellStyle name="Currency 2 8" xfId="1261"/>
    <cellStyle name="Currency 3" xfId="1262"/>
    <cellStyle name="Currency 4" xfId="1263"/>
    <cellStyle name="Currency 4 2" xfId="1264"/>
    <cellStyle name="Currency 4_2009 GRC Compliance Filing (Electric) for Exh A-1" xfId="1265"/>
    <cellStyle name="Currency 5" xfId="1266"/>
    <cellStyle name="Currency 6" xfId="1267"/>
    <cellStyle name="Currency 7" xfId="1268"/>
    <cellStyle name="Currency 8" xfId="1269"/>
    <cellStyle name="Currency 9" xfId="1270"/>
    <cellStyle name="Currency_2009 Compliance Filing PCA Exhibits for GRC" xfId="1271"/>
    <cellStyle name="Currency_4.05 Exhibit A-2 " xfId="1272"/>
    <cellStyle name="Currency_4.05 Exhibit A-2  2" xfId="1273"/>
    <cellStyle name="Currency_Attachment F - PCA Exhibit UE-072300 (2)" xfId="1274"/>
    <cellStyle name="Currency_Book2" xfId="1275"/>
    <cellStyle name="Currency_JHS Rebuttal Exhs 11-14 internal" xfId="1276"/>
    <cellStyle name="Currency_JHS Rebuttal Exhs 11-14 internal 2" xfId="1277"/>
    <cellStyle name="Currency_PCA Adj Agrmt Exhibit A3" xfId="1278"/>
    <cellStyle name="Currency0" xfId="1279"/>
    <cellStyle name="Date" xfId="1280"/>
    <cellStyle name="Date 2" xfId="1281"/>
    <cellStyle name="Date 3" xfId="1282"/>
    <cellStyle name="Date 4" xfId="1283"/>
    <cellStyle name="Entered" xfId="1284"/>
    <cellStyle name="Euro" xfId="1285"/>
    <cellStyle name="Explanatory Text" xfId="1286"/>
    <cellStyle name="Explanatory Text 2 2" xfId="1287"/>
    <cellStyle name="Fixed" xfId="1288"/>
    <cellStyle name="Fixed3 - Style3" xfId="1289"/>
    <cellStyle name="Followed Hyperlink" xfId="1290"/>
    <cellStyle name="Good" xfId="1291"/>
    <cellStyle name="Good 2 2" xfId="1292"/>
    <cellStyle name="Grey" xfId="1293"/>
    <cellStyle name="Grey 2" xfId="1294"/>
    <cellStyle name="Grey 3" xfId="1295"/>
    <cellStyle name="Grey 4" xfId="1296"/>
    <cellStyle name="Grey_(C) WHE Proforma with ITC cash grant 10 Yr Amort_for deferral_102809" xfId="1297"/>
    <cellStyle name="Header1" xfId="1298"/>
    <cellStyle name="Header2" xfId="1299"/>
    <cellStyle name="Heading 1" xfId="1300"/>
    <cellStyle name="Heading 1 2 2" xfId="1301"/>
    <cellStyle name="Heading 2" xfId="1302"/>
    <cellStyle name="Heading 2 2 2" xfId="1303"/>
    <cellStyle name="Heading 3" xfId="1304"/>
    <cellStyle name="Heading 3 2 2" xfId="1305"/>
    <cellStyle name="Heading 4" xfId="1306"/>
    <cellStyle name="Heading 4 2 2" xfId="1307"/>
    <cellStyle name="Heading1" xfId="1308"/>
    <cellStyle name="Heading2" xfId="1309"/>
    <cellStyle name="Hyperlink" xfId="1310"/>
    <cellStyle name="Input" xfId="1311"/>
    <cellStyle name="Input [yellow]" xfId="1312"/>
    <cellStyle name="Input [yellow] 2" xfId="1313"/>
    <cellStyle name="Input [yellow] 3" xfId="1314"/>
    <cellStyle name="Input [yellow] 4" xfId="1315"/>
    <cellStyle name="Input [yellow]_(C) WHE Proforma with ITC cash grant 10 Yr Amort_for deferral_102809" xfId="1316"/>
    <cellStyle name="Input 2 2" xfId="1317"/>
    <cellStyle name="Input Cells" xfId="1318"/>
    <cellStyle name="Input Cells Percent" xfId="1319"/>
    <cellStyle name="Input Cells_4.34E Mint Farm Deferral" xfId="1320"/>
    <cellStyle name="Lines" xfId="1321"/>
    <cellStyle name="LINKED" xfId="1322"/>
    <cellStyle name="Linked Cell" xfId="1323"/>
    <cellStyle name="Linked Cell 2 2" xfId="1324"/>
    <cellStyle name="modified border" xfId="1325"/>
    <cellStyle name="modified border 2" xfId="1326"/>
    <cellStyle name="modified border 3" xfId="1327"/>
    <cellStyle name="modified border 4" xfId="1328"/>
    <cellStyle name="modified border_4.34E Mint Farm Deferral" xfId="1329"/>
    <cellStyle name="modified border1" xfId="1330"/>
    <cellStyle name="modified border1 2" xfId="1331"/>
    <cellStyle name="modified border1 3" xfId="1332"/>
    <cellStyle name="modified border1 4" xfId="1333"/>
    <cellStyle name="modified border1_4.34E Mint Farm Deferral" xfId="1334"/>
    <cellStyle name="Neutral" xfId="1335"/>
    <cellStyle name="Neutral 2 2" xfId="1336"/>
    <cellStyle name="no dec" xfId="1337"/>
    <cellStyle name="Normal - Style1" xfId="1338"/>
    <cellStyle name="Normal - Style1 2" xfId="1339"/>
    <cellStyle name="Normal - Style1 3" xfId="1340"/>
    <cellStyle name="Normal - Style1 4" xfId="1341"/>
    <cellStyle name="Normal - Style1 5" xfId="1342"/>
    <cellStyle name="Normal - Style1_(C) WHE Proforma with ITC cash grant 10 Yr Amort_for deferral_102809" xfId="1343"/>
    <cellStyle name="Normal 10" xfId="1344"/>
    <cellStyle name="Normal 10 2" xfId="1345"/>
    <cellStyle name="Normal 10 2 2" xfId="1346"/>
    <cellStyle name="Normal 10 3" xfId="1347"/>
    <cellStyle name="Normal 10_04.07E Wild Horse Wind Expansion" xfId="1348"/>
    <cellStyle name="Normal 11" xfId="1349"/>
    <cellStyle name="Normal 12" xfId="1350"/>
    <cellStyle name="Normal 13" xfId="1351"/>
    <cellStyle name="Normal 14" xfId="1352"/>
    <cellStyle name="Normal 15" xfId="1353"/>
    <cellStyle name="Normal 16" xfId="1354"/>
    <cellStyle name="Normal 17" xfId="1355"/>
    <cellStyle name="Normal 18" xfId="1356"/>
    <cellStyle name="Normal 19" xfId="1357"/>
    <cellStyle name="Normal 2" xfId="1358"/>
    <cellStyle name="Normal 2 10" xfId="1359"/>
    <cellStyle name="Normal 2 11" xfId="1360"/>
    <cellStyle name="Normal 2 2" xfId="1361"/>
    <cellStyle name="Normal 2 2 2" xfId="1362"/>
    <cellStyle name="Normal 2 2 3" xfId="1363"/>
    <cellStyle name="Normal 2 3" xfId="1364"/>
    <cellStyle name="Normal 2 4" xfId="1365"/>
    <cellStyle name="Normal 2 5" xfId="1366"/>
    <cellStyle name="Normal 2 6" xfId="1367"/>
    <cellStyle name="Normal 2 7" xfId="1368"/>
    <cellStyle name="Normal 2 8" xfId="1369"/>
    <cellStyle name="Normal 2 9" xfId="1370"/>
    <cellStyle name="Normal 2_16.37E Wild Horse Expansion DeferralRevwrkingfile SF" xfId="1371"/>
    <cellStyle name="Normal 20" xfId="1372"/>
    <cellStyle name="Normal 21" xfId="1373"/>
    <cellStyle name="Normal 22" xfId="1374"/>
    <cellStyle name="Normal 23" xfId="1375"/>
    <cellStyle name="Normal 24" xfId="1376"/>
    <cellStyle name="Normal 3" xfId="1377"/>
    <cellStyle name="Normal 3 2" xfId="1378"/>
    <cellStyle name="Normal 3 3" xfId="1379"/>
    <cellStyle name="Normal 3 3 2" xfId="1380"/>
    <cellStyle name="Normal 3 4" xfId="1381"/>
    <cellStyle name="Normal 3_2009 GRC Compl Filing - Exhibit D" xfId="1382"/>
    <cellStyle name="Normal 4" xfId="1383"/>
    <cellStyle name="Normal 4 2" xfId="1384"/>
    <cellStyle name="Normal 5" xfId="1385"/>
    <cellStyle name="Normal 5 2" xfId="1386"/>
    <cellStyle name="Normal 5 3" xfId="1387"/>
    <cellStyle name="Normal 6" xfId="1388"/>
    <cellStyle name="Normal 6 2" xfId="1389"/>
    <cellStyle name="Normal 6 3" xfId="1390"/>
    <cellStyle name="Normal 7" xfId="1391"/>
    <cellStyle name="Normal 7 2" xfId="1392"/>
    <cellStyle name="Normal 8" xfId="1393"/>
    <cellStyle name="Normal 8 2" xfId="1394"/>
    <cellStyle name="Normal 9" xfId="1395"/>
    <cellStyle name="Normal_03. PCA4 Story direct attachment 2 (C) (PSE) (08-31-06)" xfId="1396"/>
    <cellStyle name="Normal_2009 Compliance Filing PCA Exhibits for GRC" xfId="1397"/>
    <cellStyle name="Normal_4.05 Exhibit A-2 " xfId="1398"/>
    <cellStyle name="Normal_4.05 Exhibit A-2  2" xfId="1399"/>
    <cellStyle name="Normal_CopyOfBook1_1" xfId="1400"/>
    <cellStyle name="Normal_CopyOfBook1_1 2" xfId="1401"/>
    <cellStyle name="Normal_CopyOfBook1_1 3" xfId="1402"/>
    <cellStyle name="Normal_Exhibit A-1 2005 PCORC" xfId="1403"/>
    <cellStyle name="Normal_JHS Rebuttal Exhs 11-14 internal" xfId="1404"/>
    <cellStyle name="Normal_JHS Rebuttal Exhs 11-14 internal 2" xfId="1405"/>
    <cellStyle name="Normal_PCA 9 -  Exhibit D Nov 2010" xfId="1406"/>
    <cellStyle name="Normal_PCA Adj Agrmt Exhibit A3" xfId="1407"/>
    <cellStyle name="Normal_PCA Adj Agrmt Exhibit A3 2" xfId="1408"/>
    <cellStyle name="Normal_PCA Adj Agrmt Exhibit A3_2009 Compliance Filing PCA Exhibits for GRC" xfId="1409"/>
    <cellStyle name="Normal_Reg Asset Amortization PCORC TY 0603 RY 0305 2" xfId="1410"/>
    <cellStyle name="Note" xfId="1411"/>
    <cellStyle name="Note 2" xfId="1412"/>
    <cellStyle name="Note 2 2" xfId="1413"/>
    <cellStyle name="Note 3" xfId="1414"/>
    <cellStyle name="Note 4" xfId="1415"/>
    <cellStyle name="Note 5" xfId="1416"/>
    <cellStyle name="Note 6" xfId="1417"/>
    <cellStyle name="Note 7" xfId="1418"/>
    <cellStyle name="Note 8" xfId="1419"/>
    <cellStyle name="Note 9" xfId="1420"/>
    <cellStyle name="Output" xfId="1421"/>
    <cellStyle name="Output 2 2" xfId="1422"/>
    <cellStyle name="Percen - Style1" xfId="1423"/>
    <cellStyle name="Percen - Style2" xfId="1424"/>
    <cellStyle name="Percen - Style3" xfId="1425"/>
    <cellStyle name="Percent" xfId="1426"/>
    <cellStyle name="Percent [2]" xfId="1427"/>
    <cellStyle name="Percent 2" xfId="1428"/>
    <cellStyle name="Percent 2 2" xfId="1429"/>
    <cellStyle name="Percent 2 2 2" xfId="1430"/>
    <cellStyle name="Percent 3" xfId="1431"/>
    <cellStyle name="Percent 4" xfId="1432"/>
    <cellStyle name="Percent 4 2" xfId="1433"/>
    <cellStyle name="Percent 5" xfId="1434"/>
    <cellStyle name="Percent 6" xfId="1435"/>
    <cellStyle name="Percent 7" xfId="1436"/>
    <cellStyle name="Percent 8" xfId="1437"/>
    <cellStyle name="Processing" xfId="1438"/>
    <cellStyle name="PSChar" xfId="1439"/>
    <cellStyle name="PSDate" xfId="1440"/>
    <cellStyle name="PSDec" xfId="1441"/>
    <cellStyle name="PSHeading" xfId="1442"/>
    <cellStyle name="PSInt" xfId="1443"/>
    <cellStyle name="PSSpacer" xfId="1444"/>
    <cellStyle name="purple - Style8" xfId="1445"/>
    <cellStyle name="RED" xfId="1446"/>
    <cellStyle name="Red - Style7" xfId="1447"/>
    <cellStyle name="RED_04 07E Wild Horse Wind Expansion (C) (2)" xfId="1448"/>
    <cellStyle name="Report" xfId="1449"/>
    <cellStyle name="Report Bar" xfId="1450"/>
    <cellStyle name="Report Heading" xfId="1451"/>
    <cellStyle name="Report Percent" xfId="1452"/>
    <cellStyle name="Report Unit Cost" xfId="1453"/>
    <cellStyle name="Report_Adj Bench DR 3 for Initial Briefs (Electric)" xfId="1454"/>
    <cellStyle name="Reports" xfId="1455"/>
    <cellStyle name="Reports Total" xfId="1456"/>
    <cellStyle name="Reports Unit Cost Total" xfId="1457"/>
    <cellStyle name="Reports_16.37E Wild Horse Expansion DeferralRevwrkingfile SF" xfId="1458"/>
    <cellStyle name="RevList" xfId="1459"/>
    <cellStyle name="round100" xfId="1460"/>
    <cellStyle name="SAPBEXaggData" xfId="1461"/>
    <cellStyle name="SAPBEXaggDataEmph" xfId="1462"/>
    <cellStyle name="SAPBEXaggItem" xfId="1463"/>
    <cellStyle name="SAPBEXaggItemX" xfId="1464"/>
    <cellStyle name="SAPBEXchaText" xfId="1465"/>
    <cellStyle name="SAPBEXexcBad7" xfId="1466"/>
    <cellStyle name="SAPBEXexcBad8" xfId="1467"/>
    <cellStyle name="SAPBEXexcBad9" xfId="1468"/>
    <cellStyle name="SAPBEXexcCritical4" xfId="1469"/>
    <cellStyle name="SAPBEXexcCritical5" xfId="1470"/>
    <cellStyle name="SAPBEXexcCritical6" xfId="1471"/>
    <cellStyle name="SAPBEXexcGood1" xfId="1472"/>
    <cellStyle name="SAPBEXexcGood2" xfId="1473"/>
    <cellStyle name="SAPBEXexcGood3" xfId="1474"/>
    <cellStyle name="SAPBEXfilterDrill" xfId="1475"/>
    <cellStyle name="SAPBEXfilterItem" xfId="1476"/>
    <cellStyle name="SAPBEXfilterText" xfId="1477"/>
    <cellStyle name="SAPBEXformats" xfId="1478"/>
    <cellStyle name="SAPBEXheaderItem" xfId="1479"/>
    <cellStyle name="SAPBEXheaderText" xfId="1480"/>
    <cellStyle name="SAPBEXHLevel0" xfId="1481"/>
    <cellStyle name="SAPBEXHLevel0X" xfId="1482"/>
    <cellStyle name="SAPBEXHLevel1" xfId="1483"/>
    <cellStyle name="SAPBEXHLevel1X" xfId="1484"/>
    <cellStyle name="SAPBEXHLevel2" xfId="1485"/>
    <cellStyle name="SAPBEXHLevel2X" xfId="1486"/>
    <cellStyle name="SAPBEXHLevel3" xfId="1487"/>
    <cellStyle name="SAPBEXHLevel3X" xfId="1488"/>
    <cellStyle name="SAPBEXresData" xfId="1489"/>
    <cellStyle name="SAPBEXresDataEmph" xfId="1490"/>
    <cellStyle name="SAPBEXresItem" xfId="1491"/>
    <cellStyle name="SAPBEXresItemX" xfId="1492"/>
    <cellStyle name="SAPBEXstdData" xfId="1493"/>
    <cellStyle name="SAPBEXstdDataEmph" xfId="1494"/>
    <cellStyle name="SAPBEXstdItem" xfId="1495"/>
    <cellStyle name="SAPBEXstdItemX" xfId="1496"/>
    <cellStyle name="SAPBEXtitle" xfId="1497"/>
    <cellStyle name="SAPBEXundefined" xfId="1498"/>
    <cellStyle name="shade" xfId="1499"/>
    <cellStyle name="StmtTtl1" xfId="1500"/>
    <cellStyle name="StmtTtl1 2" xfId="1501"/>
    <cellStyle name="StmtTtl1 3" xfId="1502"/>
    <cellStyle name="StmtTtl1 4" xfId="1503"/>
    <cellStyle name="StmtTtl1_(C) WHE Proforma with ITC cash grant 10 Yr Amort_for deferral_102809" xfId="1504"/>
    <cellStyle name="StmtTtl2" xfId="1505"/>
    <cellStyle name="STYL1 - Style1" xfId="1506"/>
    <cellStyle name="Style 1" xfId="1507"/>
    <cellStyle name="Style 1 2" xfId="1508"/>
    <cellStyle name="Style 1 3" xfId="1509"/>
    <cellStyle name="Style 1 3 2" xfId="1510"/>
    <cellStyle name="Style 1 3 3" xfId="1511"/>
    <cellStyle name="Style 1 4" xfId="1512"/>
    <cellStyle name="Style 1 5" xfId="1513"/>
    <cellStyle name="Style 1 6" xfId="1514"/>
    <cellStyle name="Style 1 6 2" xfId="1515"/>
    <cellStyle name="Style 1 6 3" xfId="1516"/>
    <cellStyle name="Style 1 6 4" xfId="1517"/>
    <cellStyle name="Style 1 6 5" xfId="1518"/>
    <cellStyle name="Style 1_04.07E Wild Horse Wind Expansion" xfId="1519"/>
    <cellStyle name="Subtotal" xfId="1520"/>
    <cellStyle name="Sub-total" xfId="1521"/>
    <cellStyle name="Title" xfId="1522"/>
    <cellStyle name="Title 2 2" xfId="1523"/>
    <cellStyle name="Title: Major" xfId="1524"/>
    <cellStyle name="Title: Minor" xfId="1525"/>
    <cellStyle name="Title: Worksheet" xfId="1526"/>
    <cellStyle name="Total" xfId="1527"/>
    <cellStyle name="Total 2 2" xfId="1528"/>
    <cellStyle name="Total4 - Style4" xfId="1529"/>
    <cellStyle name="Warning Text" xfId="1530"/>
    <cellStyle name="Warning Text 2 2" xfId="1531"/>
  </cellStyles>
  <dxfs count="2">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2057400</xdr:colOff>
      <xdr:row>81</xdr:row>
      <xdr:rowOff>0</xdr:rowOff>
    </xdr:from>
    <xdr:to>
      <xdr:col>2</xdr:col>
      <xdr:colOff>2057400</xdr:colOff>
      <xdr:row>81</xdr:row>
      <xdr:rowOff>0</xdr:rowOff>
    </xdr:to>
    <xdr:sp>
      <xdr:nvSpPr>
        <xdr:cNvPr id="1" name="Line 1"/>
        <xdr:cNvSpPr>
          <a:spLocks/>
        </xdr:cNvSpPr>
      </xdr:nvSpPr>
      <xdr:spPr>
        <a:xfrm flipH="1">
          <a:off x="3362325" y="134207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2057400</xdr:colOff>
      <xdr:row>81</xdr:row>
      <xdr:rowOff>0</xdr:rowOff>
    </xdr:from>
    <xdr:to>
      <xdr:col>2</xdr:col>
      <xdr:colOff>2057400</xdr:colOff>
      <xdr:row>81</xdr:row>
      <xdr:rowOff>0</xdr:rowOff>
    </xdr:to>
    <xdr:sp>
      <xdr:nvSpPr>
        <xdr:cNvPr id="1" name="Line 2"/>
        <xdr:cNvSpPr>
          <a:spLocks/>
        </xdr:cNvSpPr>
      </xdr:nvSpPr>
      <xdr:spPr>
        <a:xfrm flipH="1">
          <a:off x="3362325" y="134874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Cost%20Accounting\Resource%20Costs\QF\QF%20Nooksack\Nooksack_wbo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_1"/>
      <sheetName val="Sheet1"/>
      <sheetName val="Tab_1 strat plan 05"/>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8"/>
  <sheetViews>
    <sheetView zoomScalePageLayoutView="0" workbookViewId="0" topLeftCell="A1">
      <pane xSplit="2" ySplit="5" topLeftCell="G6" activePane="bottomRight" state="frozen"/>
      <selection pane="topLeft" activeCell="L28" sqref="L28"/>
      <selection pane="topRight" activeCell="L28" sqref="L28"/>
      <selection pane="bottomLeft" activeCell="L28" sqref="L28"/>
      <selection pane="bottomRight" activeCell="G36" sqref="G36"/>
    </sheetView>
  </sheetViews>
  <sheetFormatPr defaultColWidth="9.140625" defaultRowHeight="12.75"/>
  <cols>
    <col min="1" max="1" width="2.7109375" style="461" customWidth="1"/>
    <col min="2" max="2" width="47.7109375" style="461" customWidth="1"/>
    <col min="3" max="10" width="20.7109375" style="461" customWidth="1"/>
    <col min="11" max="11" width="20.7109375" style="490" customWidth="1"/>
    <col min="12" max="12" width="20.7109375" style="461" customWidth="1"/>
    <col min="13" max="13" width="13.57421875" style="461" customWidth="1"/>
    <col min="14" max="14" width="12.7109375" style="461" customWidth="1"/>
    <col min="15" max="18" width="12.57421875" style="461" customWidth="1"/>
    <col min="19" max="19" width="12.8515625" style="461" customWidth="1"/>
    <col min="20" max="20" width="13.140625" style="461" customWidth="1"/>
    <col min="21" max="21" width="0.13671875" style="461" customWidth="1"/>
    <col min="22" max="22" width="13.7109375" style="461" customWidth="1"/>
    <col min="23" max="23" width="13.421875" style="461" customWidth="1"/>
    <col min="24" max="24" width="14.140625" style="461" customWidth="1"/>
    <col min="25" max="26" width="13.421875" style="461" customWidth="1"/>
    <col min="27" max="27" width="18.421875" style="461" customWidth="1"/>
    <col min="28" max="28" width="17.421875" style="461" customWidth="1"/>
    <col min="29" max="29" width="14.8515625" style="461" customWidth="1"/>
    <col min="30" max="30" width="15.7109375" style="461" customWidth="1"/>
    <col min="31" max="31" width="15.421875" style="461" customWidth="1"/>
    <col min="32" max="32" width="13.8515625" style="461" customWidth="1"/>
    <col min="33" max="33" width="11.7109375" style="461" customWidth="1"/>
    <col min="34" max="35" width="13.421875" style="461" customWidth="1"/>
    <col min="36" max="16384" width="9.140625" style="461" customWidth="1"/>
  </cols>
  <sheetData>
    <row r="1" spans="2:3" ht="15.75">
      <c r="B1" s="462"/>
      <c r="C1" s="463"/>
    </row>
    <row r="2" spans="2:3" ht="15.75">
      <c r="B2" s="462"/>
      <c r="C2" s="463"/>
    </row>
    <row r="3" spans="2:3" ht="15.75">
      <c r="B3" s="462"/>
      <c r="C3" s="463"/>
    </row>
    <row r="4" spans="2:11" ht="15.75" thickBot="1">
      <c r="B4" s="464"/>
      <c r="D4" s="465"/>
      <c r="E4" s="465"/>
      <c r="F4" s="465"/>
      <c r="G4" s="465"/>
      <c r="H4" s="465"/>
      <c r="I4" s="465"/>
      <c r="J4" s="465"/>
      <c r="K4" s="491"/>
    </row>
    <row r="5" spans="2:12" ht="27" thickBot="1">
      <c r="B5" s="466" t="s">
        <v>309</v>
      </c>
      <c r="C5" s="467"/>
      <c r="D5" s="468"/>
      <c r="E5" s="468"/>
      <c r="F5" s="468"/>
      <c r="G5" s="468"/>
      <c r="H5" s="468"/>
      <c r="I5" s="468"/>
      <c r="J5" s="468"/>
      <c r="K5" s="492"/>
      <c r="L5" s="468"/>
    </row>
    <row r="6" spans="2:12" ht="22.5" customHeight="1">
      <c r="B6" s="469"/>
      <c r="C6" s="470" t="s">
        <v>430</v>
      </c>
      <c r="D6" s="470" t="s">
        <v>430</v>
      </c>
      <c r="E6" s="470" t="s">
        <v>430</v>
      </c>
      <c r="F6" s="470" t="s">
        <v>430</v>
      </c>
      <c r="G6" s="470" t="s">
        <v>430</v>
      </c>
      <c r="H6" s="470" t="s">
        <v>430</v>
      </c>
      <c r="I6" s="470" t="s">
        <v>430</v>
      </c>
      <c r="J6" s="470" t="s">
        <v>430</v>
      </c>
      <c r="L6" s="469"/>
    </row>
    <row r="7" spans="3:24" s="469" customFormat="1" ht="15">
      <c r="C7" s="471" t="s">
        <v>310</v>
      </c>
      <c r="D7" s="471" t="s">
        <v>311</v>
      </c>
      <c r="E7" s="471" t="s">
        <v>312</v>
      </c>
      <c r="F7" s="471" t="s">
        <v>313</v>
      </c>
      <c r="G7" s="471" t="s">
        <v>314</v>
      </c>
      <c r="H7" s="471" t="s">
        <v>315</v>
      </c>
      <c r="I7" s="471" t="s">
        <v>316</v>
      </c>
      <c r="J7" s="471" t="s">
        <v>317</v>
      </c>
      <c r="K7" s="471" t="s">
        <v>337</v>
      </c>
      <c r="L7" s="471" t="s">
        <v>294</v>
      </c>
      <c r="M7" s="472"/>
      <c r="N7" s="473"/>
      <c r="O7" s="474"/>
      <c r="P7" s="473"/>
      <c r="Q7" s="473"/>
      <c r="R7" s="473"/>
      <c r="S7" s="474"/>
      <c r="T7" s="473"/>
      <c r="U7" s="473"/>
      <c r="V7" s="474"/>
      <c r="W7" s="474"/>
      <c r="X7" s="473"/>
    </row>
    <row r="8" spans="3:24" s="469" customFormat="1" ht="15">
      <c r="C8" s="475" t="s">
        <v>318</v>
      </c>
      <c r="D8" s="475" t="s">
        <v>319</v>
      </c>
      <c r="E8" s="475" t="s">
        <v>320</v>
      </c>
      <c r="F8" s="475" t="s">
        <v>321</v>
      </c>
      <c r="G8" s="475" t="s">
        <v>322</v>
      </c>
      <c r="H8" s="475" t="s">
        <v>323</v>
      </c>
      <c r="I8" s="475" t="s">
        <v>324</v>
      </c>
      <c r="J8" s="475" t="s">
        <v>325</v>
      </c>
      <c r="K8" s="475" t="s">
        <v>338</v>
      </c>
      <c r="L8" s="475" t="s">
        <v>326</v>
      </c>
      <c r="M8" s="472"/>
      <c r="N8" s="473"/>
      <c r="O8" s="473"/>
      <c r="P8" s="473"/>
      <c r="Q8" s="473"/>
      <c r="R8" s="473"/>
      <c r="S8" s="474"/>
      <c r="T8" s="474"/>
      <c r="U8" s="473"/>
      <c r="V8" s="474"/>
      <c r="W8" s="474"/>
      <c r="X8" s="474"/>
    </row>
    <row r="9" spans="2:29" s="469" customFormat="1" ht="15.75">
      <c r="B9" s="476" t="s">
        <v>327</v>
      </c>
      <c r="F9" s="477"/>
      <c r="G9" s="477"/>
      <c r="H9" s="477"/>
      <c r="I9" s="477"/>
      <c r="J9" s="477"/>
      <c r="K9" s="477"/>
      <c r="M9" s="472"/>
      <c r="N9" s="473"/>
      <c r="O9" s="473"/>
      <c r="P9" s="473"/>
      <c r="Q9" s="473"/>
      <c r="R9" s="473"/>
      <c r="S9" s="474"/>
      <c r="T9" s="478"/>
      <c r="U9" s="473"/>
      <c r="V9" s="473"/>
      <c r="W9" s="478"/>
      <c r="X9" s="473"/>
      <c r="Y9" s="478"/>
      <c r="Z9" s="478"/>
      <c r="AA9" s="478"/>
      <c r="AB9" s="478"/>
      <c r="AC9" s="478"/>
    </row>
    <row r="10" spans="2:29" s="469" customFormat="1" ht="15">
      <c r="B10" s="469" t="s">
        <v>301</v>
      </c>
      <c r="C10" s="479">
        <v>844964750</v>
      </c>
      <c r="D10" s="480">
        <v>902349263.9702471</v>
      </c>
      <c r="E10" s="480">
        <v>959374104.0313904</v>
      </c>
      <c r="F10" s="480">
        <v>1062847819.7545457</v>
      </c>
      <c r="G10" s="480">
        <v>596418335.1941009</v>
      </c>
      <c r="H10" s="480">
        <v>1222865319.6180968</v>
      </c>
      <c r="I10" s="480">
        <v>1328235789.0171254</v>
      </c>
      <c r="J10" s="480">
        <v>1405906834.8157759</v>
      </c>
      <c r="K10" s="480">
        <f>Schedule_B!U57</f>
        <v>1375178784.7777412</v>
      </c>
      <c r="L10" s="480">
        <f>SUM(C10:K10)</f>
        <v>9698141001.179022</v>
      </c>
      <c r="M10" s="472"/>
      <c r="N10" s="473"/>
      <c r="O10" s="473"/>
      <c r="P10" s="473"/>
      <c r="Q10" s="473"/>
      <c r="R10" s="473"/>
      <c r="S10" s="474"/>
      <c r="T10" s="478"/>
      <c r="U10" s="473"/>
      <c r="V10" s="473"/>
      <c r="W10" s="481"/>
      <c r="X10" s="482"/>
      <c r="Y10" s="478"/>
      <c r="Z10" s="478"/>
      <c r="AA10" s="478"/>
      <c r="AB10" s="478"/>
      <c r="AC10" s="478"/>
    </row>
    <row r="11" spans="1:24" s="469" customFormat="1" ht="15">
      <c r="A11" s="483"/>
      <c r="B11" s="469" t="s">
        <v>295</v>
      </c>
      <c r="C11" s="484">
        <v>843126410</v>
      </c>
      <c r="D11" s="484">
        <v>872785984.5935246</v>
      </c>
      <c r="E11" s="484">
        <v>949412458.913749</v>
      </c>
      <c r="F11" s="484">
        <v>1075227682.880441</v>
      </c>
      <c r="G11" s="479">
        <v>597089566.8487219</v>
      </c>
      <c r="H11" s="479">
        <v>1253089187.2173302</v>
      </c>
      <c r="I11" s="479">
        <v>1329880671.323267</v>
      </c>
      <c r="J11" s="479">
        <v>1374588966.0130439</v>
      </c>
      <c r="K11" s="479">
        <f>Schedule_B!U62+Schedule_B!U63</f>
        <v>1336852575.7359295</v>
      </c>
      <c r="L11" s="480">
        <f>SUM(C11:K11)</f>
        <v>9632053503.526007</v>
      </c>
      <c r="N11" s="473"/>
      <c r="O11" s="473"/>
      <c r="P11" s="473"/>
      <c r="Q11" s="473"/>
      <c r="R11" s="473"/>
      <c r="T11" s="473"/>
      <c r="U11" s="473"/>
      <c r="V11" s="473"/>
      <c r="W11" s="473"/>
      <c r="X11" s="473"/>
    </row>
    <row r="12" spans="1:15" s="469" customFormat="1" ht="15">
      <c r="A12" s="483"/>
      <c r="B12" s="469" t="s">
        <v>48</v>
      </c>
      <c r="C12" s="485">
        <f aca="true" t="shared" si="0" ref="C12:H12">+C10-C11</f>
        <v>1838340</v>
      </c>
      <c r="D12" s="485">
        <f t="shared" si="0"/>
        <v>29563279.376722574</v>
      </c>
      <c r="E12" s="485">
        <f t="shared" si="0"/>
        <v>9961645.117641449</v>
      </c>
      <c r="F12" s="485">
        <f t="shared" si="0"/>
        <v>-12379863.125895262</v>
      </c>
      <c r="G12" s="485">
        <f t="shared" si="0"/>
        <v>-671231.6546210051</v>
      </c>
      <c r="H12" s="485">
        <f t="shared" si="0"/>
        <v>-30223867.59923339</v>
      </c>
      <c r="I12" s="485">
        <f>+I10-I11</f>
        <v>-1644882.306141615</v>
      </c>
      <c r="J12" s="485">
        <f>+J10-J11</f>
        <v>31317868.80273199</v>
      </c>
      <c r="K12" s="485">
        <f>+K10-K11</f>
        <v>38326209.041811705</v>
      </c>
      <c r="L12" s="485">
        <f>SUM(C12:K12)</f>
        <v>66087497.65301645</v>
      </c>
      <c r="O12" s="473"/>
    </row>
    <row r="13" spans="1:15" s="469" customFormat="1" ht="15">
      <c r="A13" s="483"/>
      <c r="B13" s="469" t="s">
        <v>328</v>
      </c>
      <c r="C13" s="484">
        <v>-10041.857816</v>
      </c>
      <c r="D13" s="484">
        <v>-11955.56486819593</v>
      </c>
      <c r="E13" s="484">
        <v>-4084.5046275270583</v>
      </c>
      <c r="F13" s="484">
        <v>4375.265846627066</v>
      </c>
      <c r="G13" s="484">
        <v>198.48320027138107</v>
      </c>
      <c r="H13" s="484">
        <v>11197.107687541837</v>
      </c>
      <c r="I13" s="484">
        <v>512.9871501773596</v>
      </c>
      <c r="J13" s="484">
        <v>-11262.218800146606</v>
      </c>
      <c r="K13" s="484">
        <f>Schedule_B!U68-Schedule_B!U65</f>
        <v>-13747.910650730133</v>
      </c>
      <c r="L13" s="484">
        <f>SUM(C13:K13)</f>
        <v>-34808.212877982085</v>
      </c>
      <c r="O13" s="473"/>
    </row>
    <row r="14" spans="1:15" s="469" customFormat="1" ht="15">
      <c r="A14" s="483"/>
      <c r="B14" s="469" t="s">
        <v>329</v>
      </c>
      <c r="C14" s="480">
        <f aca="true" t="shared" si="1" ref="C14:H14">SUM(C12:C13)</f>
        <v>1828298.142184</v>
      </c>
      <c r="D14" s="480">
        <f>SUM(D12:D13)</f>
        <v>29551323.811854377</v>
      </c>
      <c r="E14" s="480">
        <f t="shared" si="1"/>
        <v>9957560.613013921</v>
      </c>
      <c r="F14" s="480">
        <f t="shared" si="1"/>
        <v>-12375487.860048635</v>
      </c>
      <c r="G14" s="480">
        <f t="shared" si="1"/>
        <v>-671033.1714207337</v>
      </c>
      <c r="H14" s="480">
        <f t="shared" si="1"/>
        <v>-30212670.49154585</v>
      </c>
      <c r="I14" s="480">
        <f>SUM(I12:I13)</f>
        <v>-1644369.3189914376</v>
      </c>
      <c r="J14" s="480">
        <f>SUM(J12:J13)</f>
        <v>31306606.583931845</v>
      </c>
      <c r="K14" s="480">
        <f>SUM(K12:K13)</f>
        <v>38312461.131160975</v>
      </c>
      <c r="L14" s="480">
        <f>SUM(C14:K14)</f>
        <v>66052689.44013846</v>
      </c>
      <c r="O14" s="473"/>
    </row>
    <row r="15" spans="1:15" s="469" customFormat="1" ht="15">
      <c r="A15" s="483"/>
      <c r="C15" s="480"/>
      <c r="D15" s="480" t="s">
        <v>330</v>
      </c>
      <c r="E15" s="480"/>
      <c r="F15" s="480"/>
      <c r="G15" s="480"/>
      <c r="H15" s="480"/>
      <c r="I15" s="480"/>
      <c r="J15" s="480"/>
      <c r="K15" s="480"/>
      <c r="L15" s="480"/>
      <c r="O15" s="473"/>
    </row>
    <row r="16" spans="1:15" s="469" customFormat="1" ht="15">
      <c r="A16" s="483"/>
      <c r="C16" s="480"/>
      <c r="D16" s="480"/>
      <c r="E16" s="480"/>
      <c r="F16" s="480"/>
      <c r="G16" s="480"/>
      <c r="H16" s="480"/>
      <c r="I16" s="480"/>
      <c r="J16" s="480"/>
      <c r="K16" s="480"/>
      <c r="L16" s="480"/>
      <c r="O16" s="473"/>
    </row>
    <row r="17" spans="1:15" s="469" customFormat="1" ht="15">
      <c r="A17" s="483"/>
      <c r="C17" s="480"/>
      <c r="D17" s="480"/>
      <c r="E17" s="480"/>
      <c r="F17" s="480"/>
      <c r="G17" s="480"/>
      <c r="H17" s="480"/>
      <c r="I17" s="480"/>
      <c r="J17" s="480"/>
      <c r="K17" s="480"/>
      <c r="L17" s="480"/>
      <c r="O17" s="473"/>
    </row>
    <row r="18" spans="1:15" s="469" customFormat="1" ht="15">
      <c r="A18" s="483"/>
      <c r="B18" s="476" t="s">
        <v>331</v>
      </c>
      <c r="C18" s="480"/>
      <c r="D18" s="480"/>
      <c r="E18" s="480"/>
      <c r="F18" s="480"/>
      <c r="G18" s="480"/>
      <c r="H18" s="480"/>
      <c r="I18" s="480"/>
      <c r="J18" s="480"/>
      <c r="K18" s="480"/>
      <c r="L18" s="480"/>
      <c r="O18" s="473"/>
    </row>
    <row r="19" spans="1:31" s="469" customFormat="1" ht="15">
      <c r="A19" s="483"/>
      <c r="B19" s="483" t="s">
        <v>258</v>
      </c>
      <c r="C19" s="479">
        <v>1828298.1421840005</v>
      </c>
      <c r="D19" s="479">
        <v>24775661.905927196</v>
      </c>
      <c r="E19" s="479">
        <f>E14</f>
        <v>9957560.613013921</v>
      </c>
      <c r="F19" s="479">
        <f>F14</f>
        <v>-12375487.860048635</v>
      </c>
      <c r="G19" s="479">
        <f>G14</f>
        <v>-671033.1714207337</v>
      </c>
      <c r="H19" s="479">
        <v>-25106334.74577293</v>
      </c>
      <c r="I19" s="479">
        <v>-1644369.318991579</v>
      </c>
      <c r="J19" s="479">
        <v>25653303.29196599</v>
      </c>
      <c r="K19" s="479">
        <v>29156230.565580484</v>
      </c>
      <c r="L19" s="480">
        <f>SUM(C19:K19)</f>
        <v>51573829.42243771</v>
      </c>
      <c r="M19" s="469" t="s">
        <v>266</v>
      </c>
      <c r="O19" s="473"/>
      <c r="AD19" s="483"/>
      <c r="AE19" s="483"/>
    </row>
    <row r="20" spans="1:31" s="469" customFormat="1" ht="15">
      <c r="A20" s="483"/>
      <c r="B20" s="483" t="s">
        <v>332</v>
      </c>
      <c r="C20" s="484">
        <v>0</v>
      </c>
      <c r="D20" s="588">
        <f aca="true" t="shared" si="2" ref="D20:K20">D14-D19</f>
        <v>4775661.905927181</v>
      </c>
      <c r="E20" s="588">
        <f t="shared" si="2"/>
        <v>0</v>
      </c>
      <c r="F20" s="588">
        <f t="shared" si="2"/>
        <v>0</v>
      </c>
      <c r="G20" s="588">
        <f t="shared" si="2"/>
        <v>0</v>
      </c>
      <c r="H20" s="484">
        <f t="shared" si="2"/>
        <v>-5106335.745772917</v>
      </c>
      <c r="I20" s="588">
        <f t="shared" si="2"/>
        <v>1.4156103134155273E-07</v>
      </c>
      <c r="J20" s="484">
        <f t="shared" si="2"/>
        <v>5653303.291965853</v>
      </c>
      <c r="K20" s="484">
        <f t="shared" si="2"/>
        <v>9156230.565580491</v>
      </c>
      <c r="L20" s="480">
        <f>SUM(C20:K20)</f>
        <v>14478860.01770075</v>
      </c>
      <c r="M20" s="469" t="s">
        <v>266</v>
      </c>
      <c r="O20" s="473"/>
      <c r="AD20" s="483"/>
      <c r="AE20" s="483"/>
    </row>
    <row r="21" spans="2:15" s="469" customFormat="1" ht="15">
      <c r="B21" s="469" t="s">
        <v>333</v>
      </c>
      <c r="C21" s="480">
        <f aca="true" t="shared" si="3" ref="C21:H21">SUM(C19:C20)</f>
        <v>1828298.1421840005</v>
      </c>
      <c r="D21" s="480">
        <f t="shared" si="3"/>
        <v>29551323.811854377</v>
      </c>
      <c r="E21" s="480">
        <f>SUM(E19:E20)</f>
        <v>9957560.613013921</v>
      </c>
      <c r="F21" s="480">
        <f t="shared" si="3"/>
        <v>-12375487.860048635</v>
      </c>
      <c r="G21" s="480">
        <f t="shared" si="3"/>
        <v>-671033.1714207337</v>
      </c>
      <c r="H21" s="480">
        <f t="shared" si="3"/>
        <v>-30212670.49154585</v>
      </c>
      <c r="I21" s="480">
        <f>SUM(I19:I20)</f>
        <v>-1644369.3189914376</v>
      </c>
      <c r="J21" s="480">
        <f>SUM(J19:J20)</f>
        <v>31306606.583931845</v>
      </c>
      <c r="K21" s="480">
        <f>SUM(K19:K20)</f>
        <v>38312461.131160975</v>
      </c>
      <c r="L21" s="485">
        <f>SUM(C21:K21)</f>
        <v>66052689.44013846</v>
      </c>
      <c r="O21" s="473"/>
    </row>
    <row r="22" s="469" customFormat="1" ht="15">
      <c r="O22" s="473"/>
    </row>
    <row r="23" s="469" customFormat="1" ht="15">
      <c r="O23" s="473"/>
    </row>
    <row r="24" s="469" customFormat="1" ht="15">
      <c r="O24" s="473"/>
    </row>
    <row r="25" spans="2:15" s="469" customFormat="1" ht="15">
      <c r="B25" s="486" t="s">
        <v>334</v>
      </c>
      <c r="C25" s="480"/>
      <c r="D25" s="480"/>
      <c r="E25" s="480"/>
      <c r="F25" s="480"/>
      <c r="G25" s="480"/>
      <c r="H25" s="480"/>
      <c r="I25" s="480"/>
      <c r="J25" s="480"/>
      <c r="K25" s="480"/>
      <c r="L25" s="480"/>
      <c r="O25" s="473"/>
    </row>
    <row r="26" spans="2:15" s="469" customFormat="1" ht="15">
      <c r="B26" s="483" t="s">
        <v>335</v>
      </c>
      <c r="C26" s="480">
        <f aca="true" t="shared" si="4" ref="C26:H26">C20</f>
        <v>0</v>
      </c>
      <c r="D26" s="480">
        <f t="shared" si="4"/>
        <v>4775661.905927181</v>
      </c>
      <c r="E26" s="480">
        <f t="shared" si="4"/>
        <v>0</v>
      </c>
      <c r="F26" s="480">
        <f t="shared" si="4"/>
        <v>0</v>
      </c>
      <c r="G26" s="480">
        <f t="shared" si="4"/>
        <v>0</v>
      </c>
      <c r="H26" s="480">
        <f t="shared" si="4"/>
        <v>-5106335.745772917</v>
      </c>
      <c r="I26" s="589">
        <f>I20</f>
        <v>1.4156103134155273E-07</v>
      </c>
      <c r="J26" s="480">
        <f>J20</f>
        <v>5653303.291965853</v>
      </c>
      <c r="K26" s="480">
        <f>K20</f>
        <v>9156230.565580491</v>
      </c>
      <c r="L26" s="480">
        <f>SUM(C26:K26)</f>
        <v>14478860.01770075</v>
      </c>
      <c r="O26" s="473"/>
    </row>
    <row r="27" spans="2:15" s="469" customFormat="1" ht="15">
      <c r="B27" s="483" t="s">
        <v>263</v>
      </c>
      <c r="C27" s="484">
        <v>0</v>
      </c>
      <c r="D27" s="484">
        <v>59850.54</v>
      </c>
      <c r="E27" s="484">
        <v>318471.18</v>
      </c>
      <c r="F27" s="484">
        <v>633012.99</v>
      </c>
      <c r="G27" s="484">
        <v>97548.88</v>
      </c>
      <c r="H27" s="484">
        <v>-57570.27999999998</v>
      </c>
      <c r="I27" s="484">
        <v>-140263.15999999997</v>
      </c>
      <c r="J27" s="484">
        <v>-27576.45</v>
      </c>
      <c r="K27" s="484">
        <v>255508.71</v>
      </c>
      <c r="L27" s="480">
        <f>SUM(C27:K27)</f>
        <v>1138982.41</v>
      </c>
      <c r="O27" s="473"/>
    </row>
    <row r="28" spans="2:15" s="469" customFormat="1" ht="15">
      <c r="B28" s="483" t="s">
        <v>336</v>
      </c>
      <c r="C28" s="479">
        <f aca="true" t="shared" si="5" ref="C28:H28">SUM(C26:C27)</f>
        <v>0</v>
      </c>
      <c r="D28" s="479">
        <f t="shared" si="5"/>
        <v>4835512.445927181</v>
      </c>
      <c r="E28" s="479">
        <f t="shared" si="5"/>
        <v>318471.18</v>
      </c>
      <c r="F28" s="479">
        <f t="shared" si="5"/>
        <v>633012.99</v>
      </c>
      <c r="G28" s="479">
        <f t="shared" si="5"/>
        <v>97548.88</v>
      </c>
      <c r="H28" s="479">
        <f t="shared" si="5"/>
        <v>-5163906.025772917</v>
      </c>
      <c r="I28" s="479">
        <f>SUM(I26:I27)</f>
        <v>-140263.1599998584</v>
      </c>
      <c r="J28" s="479">
        <f>SUM(J26:J27)</f>
        <v>5625726.841965853</v>
      </c>
      <c r="K28" s="479">
        <f>SUM(K26:K27)</f>
        <v>9411739.275580492</v>
      </c>
      <c r="L28" s="485">
        <f>SUM(C28:K28)</f>
        <v>15617842.42770075</v>
      </c>
      <c r="O28" s="473"/>
    </row>
    <row r="29" spans="4:11" s="469" customFormat="1" ht="15">
      <c r="D29" s="479"/>
      <c r="E29" s="479"/>
      <c r="F29" s="479"/>
      <c r="G29" s="479"/>
      <c r="H29" s="479"/>
      <c r="I29" s="479"/>
      <c r="J29" s="479"/>
      <c r="K29" s="494"/>
    </row>
    <row r="30" spans="2:11" s="469" customFormat="1" ht="15">
      <c r="B30" s="487"/>
      <c r="K30" s="493"/>
    </row>
    <row r="31" spans="2:12" ht="15">
      <c r="B31" s="590" t="s">
        <v>431</v>
      </c>
      <c r="C31" s="469"/>
      <c r="D31" s="469"/>
      <c r="E31" s="469"/>
      <c r="F31" s="469"/>
      <c r="G31" s="469"/>
      <c r="L31" s="469"/>
    </row>
    <row r="32" ht="15">
      <c r="L32" s="469"/>
    </row>
    <row r="33" ht="15">
      <c r="L33" s="469"/>
    </row>
    <row r="34" ht="15">
      <c r="L34" s="469"/>
    </row>
    <row r="35" ht="15">
      <c r="L35" s="469"/>
    </row>
    <row r="43" spans="2:3" ht="15">
      <c r="B43" s="488"/>
      <c r="C43" s="488"/>
    </row>
    <row r="47" ht="15.75">
      <c r="L47" s="489"/>
    </row>
    <row r="48" ht="15.75">
      <c r="L48" s="489"/>
    </row>
  </sheetData>
  <sheetProtection/>
  <printOptions horizontalCentered="1"/>
  <pageMargins left="0.2" right="0.23" top="0.81" bottom="0.69" header="0.36" footer="0.4"/>
  <pageSetup horizontalDpi="600" verticalDpi="600" orientation="landscape" scale="50" r:id="rId1"/>
  <headerFooter alignWithMargins="0">
    <oddHeader>&amp;C&amp;"Arial,Bold"PUGET SOUND ENERGY
PCA MECHANISM ANNUAL REPORT - PCA 9
TWELVE MONTHS ENDED DECEMBER 31, 2010&amp;R
</oddHeader>
    <oddFooter xml:space="preserve">&amp;C&amp;12 </oddFooter>
  </headerFooter>
</worksheet>
</file>

<file path=xl/worksheets/sheet10.xml><?xml version="1.0" encoding="utf-8"?>
<worksheet xmlns="http://schemas.openxmlformats.org/spreadsheetml/2006/main" xmlns:r="http://schemas.openxmlformats.org/officeDocument/2006/relationships">
  <dimension ref="A1:Q45"/>
  <sheetViews>
    <sheetView zoomScale="88" zoomScaleNormal="88" zoomScaleSheetLayoutView="88"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E11" sqref="E11"/>
    </sheetView>
  </sheetViews>
  <sheetFormatPr defaultColWidth="9.140625" defaultRowHeight="12.75"/>
  <cols>
    <col min="1" max="1" width="6.28125" style="821" customWidth="1"/>
    <col min="2" max="2" width="12.421875" style="806" customWidth="1"/>
    <col min="3" max="3" width="2.00390625" style="806" customWidth="1"/>
    <col min="4" max="4" width="14.00390625" style="806" bestFit="1" customWidth="1"/>
    <col min="5" max="5" width="13.8515625" style="806" customWidth="1"/>
    <col min="6" max="6" width="0.85546875" style="809" customWidth="1"/>
    <col min="7" max="7" width="13.140625" style="910" customWidth="1"/>
    <col min="8" max="8" width="13.7109375" style="910" bestFit="1" customWidth="1"/>
    <col min="9" max="9" width="7.8515625" style="809" bestFit="1" customWidth="1"/>
    <col min="10" max="10" width="1.1484375" style="809" customWidth="1"/>
    <col min="11" max="11" width="11.00390625" style="803" bestFit="1" customWidth="1"/>
    <col min="12" max="12" width="12.57421875" style="806" customWidth="1"/>
    <col min="13" max="13" width="12.421875" style="806" bestFit="1" customWidth="1"/>
    <col min="14" max="14" width="11.57421875" style="833" bestFit="1" customWidth="1"/>
    <col min="15" max="16384" width="9.140625" style="806" customWidth="1"/>
  </cols>
  <sheetData>
    <row r="1" spans="3:14" s="800" customFormat="1" ht="12.75">
      <c r="C1" s="801"/>
      <c r="D1" s="801"/>
      <c r="E1" s="801"/>
      <c r="F1" s="802"/>
      <c r="K1" s="803"/>
      <c r="L1" s="801"/>
      <c r="M1" s="801"/>
      <c r="N1" s="804"/>
    </row>
    <row r="2" spans="1:17" s="800" customFormat="1" ht="12.75">
      <c r="A2" s="805" t="s">
        <v>543</v>
      </c>
      <c r="C2" s="801"/>
      <c r="G2" s="801"/>
      <c r="J2" s="805"/>
      <c r="K2" s="802"/>
      <c r="N2" s="805"/>
      <c r="Q2" s="803"/>
    </row>
    <row r="3" spans="1:14" s="800" customFormat="1" ht="12.75">
      <c r="A3" s="805" t="s">
        <v>544</v>
      </c>
      <c r="C3" s="801"/>
      <c r="F3" s="802"/>
      <c r="K3" s="803"/>
      <c r="L3" s="801"/>
      <c r="M3" s="801"/>
      <c r="N3" s="804"/>
    </row>
    <row r="4" spans="1:14" ht="13.5" customHeight="1">
      <c r="A4" s="806"/>
      <c r="C4" s="807"/>
      <c r="D4" s="808" t="s">
        <v>545</v>
      </c>
      <c r="E4" s="808"/>
      <c r="G4" s="810" t="s">
        <v>284</v>
      </c>
      <c r="H4" s="810"/>
      <c r="I4" s="811"/>
      <c r="J4" s="811"/>
      <c r="K4" s="812"/>
      <c r="L4" s="813"/>
      <c r="M4" s="813"/>
      <c r="N4" s="813"/>
    </row>
    <row r="5" spans="1:14" ht="13.5" customHeight="1">
      <c r="A5" s="806"/>
      <c r="C5" s="807"/>
      <c r="D5" s="814"/>
      <c r="E5" s="814" t="s">
        <v>259</v>
      </c>
      <c r="G5" s="815"/>
      <c r="H5" s="816" t="s">
        <v>546</v>
      </c>
      <c r="I5" s="817"/>
      <c r="J5" s="817"/>
      <c r="K5" s="818"/>
      <c r="L5" s="819"/>
      <c r="M5" s="819"/>
      <c r="N5" s="820"/>
    </row>
    <row r="6" spans="3:14" ht="13.5" customHeight="1">
      <c r="C6" s="807"/>
      <c r="D6" s="807"/>
      <c r="E6" s="822" t="s">
        <v>54</v>
      </c>
      <c r="G6" s="815"/>
      <c r="H6" s="822" t="s">
        <v>54</v>
      </c>
      <c r="I6" s="817"/>
      <c r="J6" s="817"/>
      <c r="K6" s="823" t="s">
        <v>299</v>
      </c>
      <c r="L6" s="813"/>
      <c r="M6" s="823"/>
      <c r="N6" s="813"/>
    </row>
    <row r="7" spans="1:14" ht="12.75">
      <c r="A7" s="824" t="s">
        <v>46</v>
      </c>
      <c r="B7" s="825" t="s">
        <v>35</v>
      </c>
      <c r="C7" s="826"/>
      <c r="D7" s="827" t="s">
        <v>47</v>
      </c>
      <c r="E7" s="824" t="s">
        <v>55</v>
      </c>
      <c r="F7" s="828"/>
      <c r="G7" s="827" t="s">
        <v>47</v>
      </c>
      <c r="H7" s="824" t="s">
        <v>55</v>
      </c>
      <c r="I7" s="829"/>
      <c r="J7" s="828"/>
      <c r="K7" s="830" t="s">
        <v>50</v>
      </c>
      <c r="L7" s="831" t="s">
        <v>51</v>
      </c>
      <c r="M7" s="824" t="s">
        <v>300</v>
      </c>
      <c r="N7" s="824" t="s">
        <v>262</v>
      </c>
    </row>
    <row r="8" spans="1:14" ht="12.75">
      <c r="A8" s="832"/>
      <c r="B8" s="833"/>
      <c r="C8" s="820"/>
      <c r="D8" s="834"/>
      <c r="E8" s="834" t="s">
        <v>56</v>
      </c>
      <c r="F8" s="835"/>
      <c r="G8" s="834"/>
      <c r="H8" s="834" t="s">
        <v>56</v>
      </c>
      <c r="I8" s="836"/>
      <c r="J8" s="837"/>
      <c r="K8" s="838"/>
      <c r="L8" s="839"/>
      <c r="M8" s="840"/>
      <c r="N8" s="840"/>
    </row>
    <row r="9" spans="1:14" ht="12.75">
      <c r="A9" s="832">
        <f>ROW()</f>
        <v>9</v>
      </c>
      <c r="B9" s="833"/>
      <c r="C9" s="820"/>
      <c r="D9" s="840"/>
      <c r="E9" s="841"/>
      <c r="F9" s="837"/>
      <c r="G9" s="842"/>
      <c r="H9" s="815"/>
      <c r="I9" s="836"/>
      <c r="J9" s="837"/>
      <c r="K9" s="838"/>
      <c r="L9" s="839"/>
      <c r="M9" s="840"/>
      <c r="N9" s="840"/>
    </row>
    <row r="10" spans="1:14" ht="12.75">
      <c r="A10" s="832">
        <f>ROW()</f>
        <v>10</v>
      </c>
      <c r="B10" s="816" t="s">
        <v>547</v>
      </c>
      <c r="C10" s="820"/>
      <c r="D10" s="840"/>
      <c r="E10" s="841"/>
      <c r="F10" s="837"/>
      <c r="G10" s="843" t="s">
        <v>548</v>
      </c>
      <c r="H10" s="815"/>
      <c r="I10" s="836"/>
      <c r="J10" s="837"/>
      <c r="K10" s="838"/>
      <c r="L10" s="839"/>
      <c r="M10" s="840"/>
      <c r="N10" s="841"/>
    </row>
    <row r="11" spans="1:14" ht="12.75">
      <c r="A11" s="832">
        <f>ROW()</f>
        <v>11</v>
      </c>
      <c r="B11" s="844" t="s">
        <v>549</v>
      </c>
      <c r="C11" s="845" t="s">
        <v>265</v>
      </c>
      <c r="D11" s="846">
        <v>0</v>
      </c>
      <c r="E11" s="846">
        <v>0</v>
      </c>
      <c r="F11" s="847"/>
      <c r="G11" s="848">
        <v>0</v>
      </c>
      <c r="H11" s="846">
        <v>0</v>
      </c>
      <c r="I11" s="849">
        <v>40178</v>
      </c>
      <c r="J11" s="847"/>
      <c r="K11" s="850">
        <v>0.07</v>
      </c>
      <c r="L11" s="851">
        <f>H11*K11</f>
        <v>0</v>
      </c>
      <c r="M11" s="851">
        <f>L11/0.65</f>
        <v>0</v>
      </c>
      <c r="N11" s="851">
        <f>M11/12</f>
        <v>0</v>
      </c>
    </row>
    <row r="12" spans="1:14" ht="12.75">
      <c r="A12" s="832">
        <f>ROW()</f>
        <v>12</v>
      </c>
      <c r="B12" s="844"/>
      <c r="C12" s="845"/>
      <c r="D12" s="846"/>
      <c r="E12" s="846"/>
      <c r="F12" s="847"/>
      <c r="G12" s="848"/>
      <c r="H12" s="846"/>
      <c r="I12" s="849"/>
      <c r="J12" s="847"/>
      <c r="K12" s="850"/>
      <c r="L12" s="851"/>
      <c r="M12" s="851"/>
      <c r="N12" s="851"/>
    </row>
    <row r="13" spans="1:14" ht="12.75">
      <c r="A13" s="832">
        <f>ROW()</f>
        <v>13</v>
      </c>
      <c r="B13" s="816" t="s">
        <v>267</v>
      </c>
      <c r="C13" s="845"/>
      <c r="D13" s="846"/>
      <c r="E13" s="846"/>
      <c r="F13" s="847"/>
      <c r="G13" s="852" t="s">
        <v>57</v>
      </c>
      <c r="H13" s="846"/>
      <c r="I13" s="849"/>
      <c r="J13" s="847"/>
      <c r="K13" s="838"/>
      <c r="L13" s="853"/>
      <c r="M13" s="853"/>
      <c r="N13" s="804"/>
    </row>
    <row r="14" spans="1:14" ht="12.75">
      <c r="A14" s="832">
        <f>ROW()</f>
        <v>14</v>
      </c>
      <c r="B14" s="844" t="s">
        <v>549</v>
      </c>
      <c r="C14" s="845" t="s">
        <v>265</v>
      </c>
      <c r="D14" s="846">
        <v>-32676000</v>
      </c>
      <c r="E14" s="846">
        <v>74153000</v>
      </c>
      <c r="F14" s="847"/>
      <c r="G14" s="848">
        <v>-32676000</v>
      </c>
      <c r="H14" s="854">
        <v>89519208.33333333</v>
      </c>
      <c r="I14" s="849">
        <v>40178</v>
      </c>
      <c r="J14" s="847"/>
      <c r="K14" s="850">
        <v>0.07</v>
      </c>
      <c r="L14" s="851">
        <f>H14*K14</f>
        <v>6266344.583333334</v>
      </c>
      <c r="M14" s="851">
        <f>L14/0.65</f>
        <v>9640530.128205128</v>
      </c>
      <c r="N14" s="851">
        <f>M14/12</f>
        <v>803377.5106837606</v>
      </c>
    </row>
    <row r="15" spans="1:14" ht="12.75">
      <c r="A15" s="832">
        <f>ROW()</f>
        <v>15</v>
      </c>
      <c r="B15" s="844"/>
      <c r="C15" s="845"/>
      <c r="D15" s="846"/>
      <c r="E15" s="846"/>
      <c r="F15" s="847"/>
      <c r="G15" s="848"/>
      <c r="H15" s="854"/>
      <c r="I15" s="849"/>
      <c r="J15" s="847"/>
      <c r="K15" s="850"/>
      <c r="L15" s="851"/>
      <c r="M15" s="851"/>
      <c r="N15" s="851"/>
    </row>
    <row r="16" spans="1:14" ht="12.75">
      <c r="A16" s="832">
        <f>ROW()</f>
        <v>16</v>
      </c>
      <c r="B16" s="816" t="s">
        <v>268</v>
      </c>
      <c r="C16" s="845"/>
      <c r="D16" s="846"/>
      <c r="E16" s="846"/>
      <c r="F16" s="847"/>
      <c r="G16" s="852" t="s">
        <v>550</v>
      </c>
      <c r="H16" s="846"/>
      <c r="I16" s="849"/>
      <c r="J16" s="847"/>
      <c r="K16" s="838"/>
      <c r="L16" s="851"/>
      <c r="M16" s="851"/>
      <c r="N16" s="855"/>
    </row>
    <row r="17" spans="1:14" ht="12.75">
      <c r="A17" s="832">
        <f>ROW()</f>
        <v>17</v>
      </c>
      <c r="B17" s="844" t="s">
        <v>549</v>
      </c>
      <c r="C17" s="845" t="s">
        <v>265</v>
      </c>
      <c r="D17" s="846">
        <v>-3526620</v>
      </c>
      <c r="E17" s="846">
        <v>18010863.00999999</v>
      </c>
      <c r="F17" s="847"/>
      <c r="G17" s="856">
        <v>-3526620</v>
      </c>
      <c r="H17" s="854">
        <v>19210173.00999999</v>
      </c>
      <c r="I17" s="849">
        <v>40178</v>
      </c>
      <c r="J17" s="847"/>
      <c r="K17" s="850">
        <v>0.07</v>
      </c>
      <c r="L17" s="851">
        <f>H17*K17</f>
        <v>1344712.1106999994</v>
      </c>
      <c r="M17" s="851">
        <f>L17/0.65</f>
        <v>2068787.8626153837</v>
      </c>
      <c r="N17" s="851">
        <f>M17/12</f>
        <v>172398.98855128197</v>
      </c>
    </row>
    <row r="18" spans="1:14" ht="12.75">
      <c r="A18" s="832">
        <f>ROW()</f>
        <v>18</v>
      </c>
      <c r="B18" s="844"/>
      <c r="C18" s="845"/>
      <c r="D18" s="846"/>
      <c r="E18" s="846"/>
      <c r="F18" s="847"/>
      <c r="G18" s="856"/>
      <c r="H18" s="854"/>
      <c r="I18" s="849"/>
      <c r="J18" s="847"/>
      <c r="K18" s="850"/>
      <c r="L18" s="851"/>
      <c r="M18" s="851"/>
      <c r="N18" s="851"/>
    </row>
    <row r="19" spans="1:14" ht="12.75">
      <c r="A19" s="832">
        <f>ROW()</f>
        <v>19</v>
      </c>
      <c r="B19" s="816" t="s">
        <v>212</v>
      </c>
      <c r="C19" s="845"/>
      <c r="D19" s="846"/>
      <c r="E19" s="846"/>
      <c r="F19" s="847"/>
      <c r="G19" s="852" t="s">
        <v>551</v>
      </c>
      <c r="H19" s="846"/>
      <c r="I19" s="849"/>
      <c r="J19" s="857"/>
      <c r="K19" s="857"/>
      <c r="L19" s="851"/>
      <c r="M19" s="851"/>
      <c r="N19" s="855"/>
    </row>
    <row r="20" spans="1:14" ht="12.75">
      <c r="A20" s="832">
        <f>ROW()</f>
        <v>20</v>
      </c>
      <c r="B20" s="844" t="s">
        <v>549</v>
      </c>
      <c r="C20" s="845" t="s">
        <v>265</v>
      </c>
      <c r="D20" s="846"/>
      <c r="E20" s="858">
        <v>21740383.889999997</v>
      </c>
      <c r="F20" s="847"/>
      <c r="G20" s="856">
        <v>0</v>
      </c>
      <c r="H20" s="854">
        <v>21740383.889999993</v>
      </c>
      <c r="I20" s="849">
        <v>40178</v>
      </c>
      <c r="J20" s="847"/>
      <c r="K20" s="850">
        <v>0.07</v>
      </c>
      <c r="L20" s="851">
        <f>H20*K20</f>
        <v>1521826.8722999997</v>
      </c>
      <c r="M20" s="851">
        <f>L20/0.65</f>
        <v>2341272.1112307687</v>
      </c>
      <c r="N20" s="851">
        <f>M20/12</f>
        <v>195106.00926923074</v>
      </c>
    </row>
    <row r="21" spans="1:14" ht="12.75">
      <c r="A21" s="832">
        <f>ROW()</f>
        <v>21</v>
      </c>
      <c r="B21" s="844"/>
      <c r="C21" s="845"/>
      <c r="D21" s="846"/>
      <c r="E21" s="858"/>
      <c r="F21" s="847"/>
      <c r="G21" s="856"/>
      <c r="H21" s="854"/>
      <c r="I21" s="849"/>
      <c r="J21" s="847"/>
      <c r="K21" s="850"/>
      <c r="L21" s="851"/>
      <c r="M21" s="851"/>
      <c r="N21" s="851"/>
    </row>
    <row r="22" spans="1:14" ht="12.75">
      <c r="A22" s="832">
        <f>ROW()</f>
        <v>22</v>
      </c>
      <c r="B22" s="816" t="s">
        <v>53</v>
      </c>
      <c r="C22" s="845"/>
      <c r="D22" s="846"/>
      <c r="E22" s="846"/>
      <c r="F22" s="847"/>
      <c r="G22" s="852" t="s">
        <v>552</v>
      </c>
      <c r="H22" s="846"/>
      <c r="I22" s="849"/>
      <c r="J22" s="857"/>
      <c r="K22" s="857"/>
      <c r="L22" s="851"/>
      <c r="M22" s="851"/>
      <c r="N22" s="855"/>
    </row>
    <row r="23" spans="1:14" ht="12.75">
      <c r="A23" s="832">
        <f>ROW()</f>
        <v>23</v>
      </c>
      <c r="B23" s="859" t="s">
        <v>549</v>
      </c>
      <c r="C23" s="845" t="s">
        <v>265</v>
      </c>
      <c r="D23" s="846">
        <v>-1494701.7220710255</v>
      </c>
      <c r="E23" s="846">
        <v>32272999.54591213</v>
      </c>
      <c r="F23" s="847"/>
      <c r="G23" s="856">
        <v>-1494701.7220710237</v>
      </c>
      <c r="H23" s="854">
        <v>33192922.906947643</v>
      </c>
      <c r="I23" s="849">
        <v>40178</v>
      </c>
      <c r="J23" s="847"/>
      <c r="K23" s="850">
        <v>0.07</v>
      </c>
      <c r="L23" s="851">
        <f>H23*K23</f>
        <v>2323504.6034863354</v>
      </c>
      <c r="M23" s="851">
        <f>L23/0.65</f>
        <v>3574622.4669020544</v>
      </c>
      <c r="N23" s="851">
        <f>M23/12</f>
        <v>297885.2055751712</v>
      </c>
    </row>
    <row r="24" spans="1:14" ht="12.75">
      <c r="A24" s="832">
        <f>ROW()</f>
        <v>24</v>
      </c>
      <c r="B24" s="859"/>
      <c r="C24" s="845"/>
      <c r="D24" s="846"/>
      <c r="E24" s="846"/>
      <c r="F24" s="847"/>
      <c r="G24" s="856"/>
      <c r="H24" s="854"/>
      <c r="I24" s="849"/>
      <c r="J24" s="847"/>
      <c r="K24" s="850"/>
      <c r="L24" s="851"/>
      <c r="M24" s="851"/>
      <c r="N24" s="851"/>
    </row>
    <row r="25" spans="1:14" ht="12.75">
      <c r="A25" s="832">
        <f>ROW()</f>
        <v>25</v>
      </c>
      <c r="B25" s="816" t="s">
        <v>553</v>
      </c>
      <c r="C25" s="845"/>
      <c r="D25" s="846"/>
      <c r="E25" s="846"/>
      <c r="F25" s="847"/>
      <c r="G25" s="852" t="s">
        <v>554</v>
      </c>
      <c r="H25" s="846"/>
      <c r="I25" s="849"/>
      <c r="J25" s="857"/>
      <c r="K25" s="857"/>
      <c r="L25" s="851"/>
      <c r="M25" s="851"/>
      <c r="N25" s="855"/>
    </row>
    <row r="26" spans="1:14" ht="12.75">
      <c r="A26" s="832">
        <f>ROW()</f>
        <v>26</v>
      </c>
      <c r="B26" s="844" t="s">
        <v>549</v>
      </c>
      <c r="C26" s="845" t="s">
        <v>265</v>
      </c>
      <c r="D26" s="846">
        <v>0</v>
      </c>
      <c r="E26" s="846">
        <v>0</v>
      </c>
      <c r="F26" s="847"/>
      <c r="G26" s="856">
        <v>0</v>
      </c>
      <c r="H26" s="854">
        <v>0</v>
      </c>
      <c r="I26" s="849">
        <v>40178</v>
      </c>
      <c r="J26" s="847"/>
      <c r="K26" s="850">
        <v>0.07</v>
      </c>
      <c r="L26" s="851">
        <f>H26*K26</f>
        <v>0</v>
      </c>
      <c r="M26" s="851">
        <f>L26/0.65</f>
        <v>0</v>
      </c>
      <c r="N26" s="851">
        <f>M26/12</f>
        <v>0</v>
      </c>
    </row>
    <row r="27" spans="1:14" ht="12.75">
      <c r="A27" s="832">
        <f>ROW()</f>
        <v>27</v>
      </c>
      <c r="B27" s="844"/>
      <c r="C27" s="845"/>
      <c r="D27" s="846"/>
      <c r="E27" s="846"/>
      <c r="F27" s="847"/>
      <c r="G27" s="856"/>
      <c r="H27" s="854"/>
      <c r="I27" s="849"/>
      <c r="J27" s="847"/>
      <c r="K27" s="850"/>
      <c r="L27" s="851"/>
      <c r="M27" s="851"/>
      <c r="N27" s="851"/>
    </row>
    <row r="28" spans="1:14" ht="12.75">
      <c r="A28" s="832">
        <f>ROW()</f>
        <v>28</v>
      </c>
      <c r="B28" s="816" t="s">
        <v>214</v>
      </c>
      <c r="C28" s="860"/>
      <c r="D28" s="846"/>
      <c r="E28" s="846"/>
      <c r="F28" s="861"/>
      <c r="G28" s="862" t="s">
        <v>555</v>
      </c>
      <c r="H28" s="846"/>
      <c r="I28" s="863"/>
      <c r="J28" s="864"/>
      <c r="K28" s="865"/>
      <c r="L28" s="851"/>
      <c r="M28" s="851"/>
      <c r="N28" s="866"/>
    </row>
    <row r="29" spans="1:14" ht="12.75">
      <c r="A29" s="832">
        <f>ROW()</f>
        <v>29</v>
      </c>
      <c r="B29" s="844" t="s">
        <v>549</v>
      </c>
      <c r="C29" s="845" t="s">
        <v>265</v>
      </c>
      <c r="D29" s="846">
        <v>-2056242.92</v>
      </c>
      <c r="E29" s="846">
        <v>3235104.95</v>
      </c>
      <c r="F29" s="861"/>
      <c r="G29" s="856">
        <v>-2056242.92</v>
      </c>
      <c r="H29" s="846">
        <v>4273840.349166668</v>
      </c>
      <c r="I29" s="849">
        <v>40178</v>
      </c>
      <c r="J29" s="864"/>
      <c r="K29" s="867">
        <v>0.07</v>
      </c>
      <c r="L29" s="851">
        <f>H29*K29</f>
        <v>299168.8244416668</v>
      </c>
      <c r="M29" s="851">
        <f>L29/0.65</f>
        <v>460259.7299102566</v>
      </c>
      <c r="N29" s="851">
        <f>M29/12</f>
        <v>38354.97749252138</v>
      </c>
    </row>
    <row r="30" spans="1:14" ht="12.75">
      <c r="A30" s="832">
        <f>ROW()</f>
        <v>30</v>
      </c>
      <c r="B30" s="844"/>
      <c r="C30" s="845"/>
      <c r="D30" s="846"/>
      <c r="E30" s="846"/>
      <c r="F30" s="861"/>
      <c r="G30" s="846"/>
      <c r="H30" s="846"/>
      <c r="I30" s="849"/>
      <c r="J30" s="864"/>
      <c r="K30" s="867"/>
      <c r="L30" s="851"/>
      <c r="M30" s="851"/>
      <c r="N30" s="851"/>
    </row>
    <row r="31" spans="1:14" ht="12.75">
      <c r="A31" s="832">
        <f>ROW()</f>
        <v>31</v>
      </c>
      <c r="B31" s="816" t="s">
        <v>116</v>
      </c>
      <c r="C31" s="860"/>
      <c r="D31" s="846"/>
      <c r="E31" s="846"/>
      <c r="F31" s="861"/>
      <c r="G31" s="862"/>
      <c r="H31" s="846"/>
      <c r="I31" s="863"/>
      <c r="J31" s="864"/>
      <c r="K31" s="865"/>
      <c r="L31" s="851"/>
      <c r="M31" s="851"/>
      <c r="N31" s="866"/>
    </row>
    <row r="32" spans="1:14" ht="12.75">
      <c r="A32" s="832">
        <f>ROW()</f>
        <v>32</v>
      </c>
      <c r="B32" s="844" t="s">
        <v>549</v>
      </c>
      <c r="C32" s="845" t="s">
        <v>265</v>
      </c>
      <c r="D32" s="846">
        <v>-1451500</v>
      </c>
      <c r="E32" s="846">
        <v>-786229.166666667</v>
      </c>
      <c r="F32" s="861"/>
      <c r="G32" s="856">
        <v>-1451500</v>
      </c>
      <c r="H32" s="846">
        <v>-1257966.6666666665</v>
      </c>
      <c r="I32" s="849">
        <v>40178</v>
      </c>
      <c r="J32" s="864"/>
      <c r="K32" s="867">
        <v>0.07</v>
      </c>
      <c r="L32" s="851">
        <f>H32*K32</f>
        <v>-88057.66666666666</v>
      </c>
      <c r="M32" s="851">
        <f>L32/0.65</f>
        <v>-135473.3333333333</v>
      </c>
      <c r="N32" s="851">
        <f>M32/12</f>
        <v>-11289.444444444443</v>
      </c>
    </row>
    <row r="33" spans="1:14" ht="12.75">
      <c r="A33" s="832">
        <f>ROW()</f>
        <v>33</v>
      </c>
      <c r="B33" s="844"/>
      <c r="C33" s="845"/>
      <c r="D33" s="846"/>
      <c r="E33" s="846"/>
      <c r="F33" s="861"/>
      <c r="G33" s="846"/>
      <c r="H33" s="846"/>
      <c r="I33" s="849"/>
      <c r="J33" s="864"/>
      <c r="K33" s="867"/>
      <c r="L33" s="851"/>
      <c r="M33" s="851"/>
      <c r="N33" s="851"/>
    </row>
    <row r="34" spans="1:14" ht="12.75">
      <c r="A34" s="832">
        <f>ROW()</f>
        <v>34</v>
      </c>
      <c r="B34" s="816" t="s">
        <v>115</v>
      </c>
      <c r="C34" s="868"/>
      <c r="D34" s="846"/>
      <c r="E34" s="846"/>
      <c r="F34" s="861"/>
      <c r="G34" s="862"/>
      <c r="H34" s="846"/>
      <c r="I34" s="863"/>
      <c r="J34" s="864"/>
      <c r="K34" s="865"/>
      <c r="L34" s="851"/>
      <c r="M34" s="851"/>
      <c r="N34" s="866"/>
    </row>
    <row r="35" spans="1:14" ht="12.75">
      <c r="A35" s="832">
        <f>ROW()</f>
        <v>35</v>
      </c>
      <c r="B35" s="859" t="s">
        <v>549</v>
      </c>
      <c r="C35" s="869" t="s">
        <v>265</v>
      </c>
      <c r="D35" s="846">
        <v>-4162153.8237249996</v>
      </c>
      <c r="E35" s="846">
        <v>4959653.390466045</v>
      </c>
      <c r="F35" s="861"/>
      <c r="G35" s="856">
        <v>-4162153.8237249996</v>
      </c>
      <c r="H35" s="846">
        <v>6312353.383176669</v>
      </c>
      <c r="I35" s="849">
        <v>40178</v>
      </c>
      <c r="J35" s="864"/>
      <c r="K35" s="867">
        <v>0.07</v>
      </c>
      <c r="L35" s="851">
        <f>H35*K35</f>
        <v>441864.73682236683</v>
      </c>
      <c r="M35" s="851">
        <f>L35/0.65</f>
        <v>679791.9028036413</v>
      </c>
      <c r="N35" s="851">
        <f>M35/12</f>
        <v>56649.32523363677</v>
      </c>
    </row>
    <row r="36" spans="1:13" ht="12.75">
      <c r="A36" s="832">
        <f>ROW()</f>
        <v>36</v>
      </c>
      <c r="B36" s="870"/>
      <c r="C36" s="860"/>
      <c r="D36" s="860"/>
      <c r="E36" s="860"/>
      <c r="F36" s="871"/>
      <c r="G36" s="860"/>
      <c r="H36" s="860"/>
      <c r="I36" s="872"/>
      <c r="J36" s="871"/>
      <c r="K36" s="838"/>
      <c r="L36" s="873"/>
      <c r="M36" s="873"/>
    </row>
    <row r="37" spans="1:14" ht="12.75">
      <c r="A37" s="832">
        <f>ROW()</f>
        <v>37</v>
      </c>
      <c r="B37" s="874"/>
      <c r="C37" s="875"/>
      <c r="D37" s="876"/>
      <c r="E37" s="876"/>
      <c r="F37" s="877"/>
      <c r="G37" s="878"/>
      <c r="H37" s="878"/>
      <c r="I37" s="879"/>
      <c r="J37" s="880"/>
      <c r="K37" s="878"/>
      <c r="L37" s="881"/>
      <c r="M37" s="881"/>
      <c r="N37" s="882"/>
    </row>
    <row r="38" spans="1:14" ht="12.75">
      <c r="A38" s="832">
        <f>ROW()</f>
        <v>38</v>
      </c>
      <c r="B38" s="883"/>
      <c r="C38" s="884"/>
      <c r="D38" s="885"/>
      <c r="E38" s="885"/>
      <c r="F38" s="837"/>
      <c r="G38" s="886"/>
      <c r="H38" s="886"/>
      <c r="I38" s="849"/>
      <c r="J38" s="871"/>
      <c r="K38" s="887" t="s">
        <v>299</v>
      </c>
      <c r="L38" s="888"/>
      <c r="M38" s="888"/>
      <c r="N38" s="889"/>
    </row>
    <row r="39" spans="1:14" ht="12.75">
      <c r="A39" s="832">
        <f>ROW()</f>
        <v>39</v>
      </c>
      <c r="B39" s="890" t="s">
        <v>264</v>
      </c>
      <c r="C39" s="825"/>
      <c r="D39" s="891" t="s">
        <v>269</v>
      </c>
      <c r="E39" s="891" t="s">
        <v>270</v>
      </c>
      <c r="F39" s="892"/>
      <c r="G39" s="827" t="s">
        <v>47</v>
      </c>
      <c r="H39" s="810" t="s">
        <v>556</v>
      </c>
      <c r="I39" s="829"/>
      <c r="J39" s="828"/>
      <c r="K39" s="830" t="s">
        <v>50</v>
      </c>
      <c r="L39" s="830" t="s">
        <v>51</v>
      </c>
      <c r="M39" s="887" t="s">
        <v>300</v>
      </c>
      <c r="N39" s="893" t="s">
        <v>262</v>
      </c>
    </row>
    <row r="40" spans="1:14" ht="12.75">
      <c r="A40" s="832">
        <f>ROW()</f>
        <v>40</v>
      </c>
      <c r="B40" s="883"/>
      <c r="C40" s="884"/>
      <c r="D40" s="885"/>
      <c r="E40" s="885"/>
      <c r="F40" s="837"/>
      <c r="G40" s="886"/>
      <c r="H40" s="886"/>
      <c r="I40" s="849"/>
      <c r="J40" s="871"/>
      <c r="K40" s="886"/>
      <c r="L40" s="894" t="s">
        <v>78</v>
      </c>
      <c r="M40" s="894"/>
      <c r="N40" s="889"/>
    </row>
    <row r="41" spans="1:14" ht="12.75">
      <c r="A41" s="832">
        <f>ROW()</f>
        <v>41</v>
      </c>
      <c r="B41" s="895" t="s">
        <v>557</v>
      </c>
      <c r="C41" s="884"/>
      <c r="D41" s="896">
        <v>39814</v>
      </c>
      <c r="E41" s="896">
        <v>40178</v>
      </c>
      <c r="F41" s="837"/>
      <c r="G41" s="897">
        <v>-45367218.46579602</v>
      </c>
      <c r="H41" s="897">
        <v>172990915.20595762</v>
      </c>
      <c r="I41" s="849">
        <v>40178</v>
      </c>
      <c r="J41" s="871"/>
      <c r="K41" s="867">
        <v>0.07</v>
      </c>
      <c r="L41" s="898">
        <f>SUM(L10:L40)</f>
        <v>12109364.064417036</v>
      </c>
      <c r="M41" s="899">
        <f>SUM(M10:M40)</f>
        <v>18629790.868333902</v>
      </c>
      <c r="N41" s="900">
        <f>SUM(N10:N40)</f>
        <v>1552482.5723611582</v>
      </c>
    </row>
    <row r="42" spans="1:14" ht="12.75">
      <c r="A42" s="832">
        <f>ROW()</f>
        <v>42</v>
      </c>
      <c r="B42" s="901"/>
      <c r="C42" s="884"/>
      <c r="D42" s="885"/>
      <c r="E42" s="885"/>
      <c r="F42" s="837"/>
      <c r="G42" s="902">
        <f>SUMIF($I$11:$I$26,$I42,G$11:G$26)</f>
        <v>0</v>
      </c>
      <c r="H42" s="902">
        <f>SUMIF($I$11:$I$26,$I42,H$11:H$26)</f>
        <v>0</v>
      </c>
      <c r="I42" s="903"/>
      <c r="J42" s="871"/>
      <c r="K42" s="904"/>
      <c r="L42" s="905"/>
      <c r="M42" s="905"/>
      <c r="N42" s="906"/>
    </row>
    <row r="43" spans="1:13" ht="12.75">
      <c r="A43" s="832">
        <f>ROW()</f>
        <v>43</v>
      </c>
      <c r="B43" s="907"/>
      <c r="C43" s="875"/>
      <c r="D43" s="876"/>
      <c r="E43" s="876"/>
      <c r="F43" s="877"/>
      <c r="G43" s="878"/>
      <c r="H43" s="878"/>
      <c r="I43" s="879"/>
      <c r="J43" s="880"/>
      <c r="K43" s="908"/>
      <c r="L43" s="878"/>
      <c r="M43" s="878"/>
    </row>
    <row r="44" spans="1:2" ht="12.75">
      <c r="A44" s="832">
        <f>ROW()</f>
        <v>44</v>
      </c>
      <c r="B44" s="909" t="s">
        <v>77</v>
      </c>
    </row>
    <row r="45" spans="1:14" ht="12.75">
      <c r="A45" s="832"/>
      <c r="B45" s="909"/>
      <c r="L45" s="898"/>
      <c r="M45" s="898"/>
      <c r="N45" s="911"/>
    </row>
  </sheetData>
  <sheetProtection/>
  <printOptions horizontalCentered="1"/>
  <pageMargins left="0.25" right="0.25" top="0.77" bottom="0.35" header="0.25" footer="0"/>
  <pageSetup firstPageNumber="7" useFirstPageNumber="1" horizontalDpi="600" verticalDpi="600" orientation="landscape" scale="90" r:id="rId1"/>
  <headerFooter alignWithMargins="0">
    <oddHeader>&amp;C&amp;"Arial,Bold"PUGET SOUND ENERGY
PCA MECHANISM REPORT - PCA 8
TWELVE MONTHS ENDED DECEMBER 31, 2009</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M52"/>
  <sheetViews>
    <sheetView zoomScale="88" zoomScaleNormal="88" zoomScalePageLayoutView="0" workbookViewId="0" topLeftCell="A1">
      <pane xSplit="2" ySplit="4" topLeftCell="C5" activePane="bottomRight" state="frozen"/>
      <selection pane="topLeft" activeCell="L28" sqref="L28"/>
      <selection pane="topRight" activeCell="L28" sqref="L28"/>
      <selection pane="bottomLeft" activeCell="L28" sqref="L28"/>
      <selection pane="bottomRight" activeCell="F19" sqref="F19"/>
    </sheetView>
  </sheetViews>
  <sheetFormatPr defaultColWidth="9.140625" defaultRowHeight="12.75"/>
  <cols>
    <col min="1" max="1" width="8.00390625" style="283" bestFit="1" customWidth="1"/>
    <col min="2" max="2" width="33.57421875" style="281" customWidth="1"/>
    <col min="3" max="3" width="14.7109375" style="281" customWidth="1"/>
    <col min="4" max="4" width="17.421875" style="281" bestFit="1" customWidth="1"/>
    <col min="5" max="5" width="14.8515625" style="281" bestFit="1" customWidth="1"/>
    <col min="6" max="6" width="17.140625" style="281" customWidth="1"/>
    <col min="7" max="7" width="11.00390625" style="281" customWidth="1"/>
    <col min="8" max="9" width="3.140625" style="281" customWidth="1"/>
    <col min="10" max="10" width="13.8515625" style="79" customWidth="1"/>
    <col min="11" max="11" width="12.7109375" style="79" bestFit="1" customWidth="1"/>
    <col min="12" max="12" width="15.421875" style="79" customWidth="1"/>
    <col min="13" max="13" width="12.7109375" style="79" customWidth="1"/>
    <col min="14" max="16384" width="9.140625" style="281" customWidth="1"/>
  </cols>
  <sheetData>
    <row r="1" spans="1:13" ht="12.75">
      <c r="A1" s="280"/>
      <c r="J1" s="282"/>
      <c r="K1" s="282"/>
      <c r="L1" s="282" t="s">
        <v>2</v>
      </c>
      <c r="M1" s="282"/>
    </row>
    <row r="2" spans="1:13" ht="13.5" thickBot="1">
      <c r="A2" s="280"/>
      <c r="J2" s="282"/>
      <c r="K2" s="282"/>
      <c r="L2" s="282" t="s">
        <v>3</v>
      </c>
      <c r="M2" s="282"/>
    </row>
    <row r="3" spans="10:13" ht="14.25" thickBot="1" thickTop="1">
      <c r="J3" s="281"/>
      <c r="K3" s="281"/>
      <c r="L3" s="284" t="s">
        <v>4</v>
      </c>
      <c r="M3" s="281"/>
    </row>
    <row r="4" spans="2:13" ht="18.75" thickTop="1">
      <c r="B4" s="285" t="s">
        <v>290</v>
      </c>
      <c r="C4" s="283"/>
      <c r="D4" s="283" t="s">
        <v>5</v>
      </c>
      <c r="E4" s="283" t="s">
        <v>155</v>
      </c>
      <c r="F4" s="283" t="s">
        <v>6</v>
      </c>
      <c r="G4" s="286"/>
      <c r="H4" s="286"/>
      <c r="I4" s="286"/>
      <c r="L4" s="287" t="s">
        <v>7</v>
      </c>
      <c r="M4" s="287"/>
    </row>
    <row r="5" spans="1:13" ht="12.75">
      <c r="A5" s="283" t="s">
        <v>236</v>
      </c>
      <c r="B5" s="288"/>
      <c r="C5" s="283"/>
      <c r="D5" s="289" t="s">
        <v>79</v>
      </c>
      <c r="E5" s="289" t="s">
        <v>79</v>
      </c>
      <c r="F5" s="289" t="s">
        <v>79</v>
      </c>
      <c r="G5" s="286"/>
      <c r="H5" s="286"/>
      <c r="I5" s="286"/>
      <c r="J5" s="70"/>
      <c r="K5" s="70"/>
      <c r="L5" s="70"/>
      <c r="M5" s="70"/>
    </row>
    <row r="6" spans="1:9" ht="12.75">
      <c r="A6" s="283">
        <v>3</v>
      </c>
      <c r="B6" s="290" t="s">
        <v>147</v>
      </c>
      <c r="C6" s="291"/>
      <c r="D6" s="72">
        <v>74428625.40907961</v>
      </c>
      <c r="E6" s="72">
        <v>48402483.2</v>
      </c>
      <c r="F6" s="72">
        <v>122831108.74241295</v>
      </c>
      <c r="G6" s="292"/>
      <c r="H6" s="292"/>
      <c r="I6" s="292"/>
    </row>
    <row r="7" spans="1:9" ht="12.75">
      <c r="A7" s="283">
        <v>4</v>
      </c>
      <c r="B7" s="290" t="s">
        <v>271</v>
      </c>
      <c r="C7" s="283"/>
      <c r="D7" s="287">
        <v>102337939.79583335</v>
      </c>
      <c r="E7" s="287"/>
      <c r="F7" s="287">
        <v>102337939.79583335</v>
      </c>
      <c r="G7" s="292"/>
      <c r="H7" s="292"/>
      <c r="I7" s="292"/>
    </row>
    <row r="8" spans="1:9" ht="12.75">
      <c r="A8" s="283">
        <v>5</v>
      </c>
      <c r="B8" s="290" t="s">
        <v>272</v>
      </c>
      <c r="C8" s="283"/>
      <c r="D8" s="77">
        <v>1461119262.9974282</v>
      </c>
      <c r="E8" s="77"/>
      <c r="F8" s="77">
        <v>1461119262.9974282</v>
      </c>
      <c r="G8" s="292"/>
      <c r="H8" s="292"/>
      <c r="I8" s="292"/>
    </row>
    <row r="9" spans="1:13" ht="12.75">
      <c r="A9" s="283">
        <v>6</v>
      </c>
      <c r="D9" s="80">
        <f>SUM(D6:D8)</f>
        <v>1637885828.202341</v>
      </c>
      <c r="E9" s="80">
        <f>SUM(E6:E8)</f>
        <v>48402483.2</v>
      </c>
      <c r="F9" s="80">
        <f>SUM(F6:F8)</f>
        <v>1686288311.5356746</v>
      </c>
      <c r="G9" s="292"/>
      <c r="H9" s="292"/>
      <c r="I9" s="292"/>
      <c r="J9" s="81" t="s">
        <v>43</v>
      </c>
      <c r="K9" s="81"/>
      <c r="L9" s="81"/>
      <c r="M9" s="81"/>
    </row>
    <row r="10" spans="1:13" ht="12.75">
      <c r="A10" s="283">
        <v>7</v>
      </c>
      <c r="B10" s="290" t="s">
        <v>273</v>
      </c>
      <c r="C10" s="283"/>
      <c r="D10" s="293">
        <v>0.069</v>
      </c>
      <c r="E10" s="293">
        <v>0.069</v>
      </c>
      <c r="F10" s="293">
        <v>0.069</v>
      </c>
      <c r="G10" s="294"/>
      <c r="H10" s="292"/>
      <c r="I10" s="292"/>
      <c r="J10" s="81" t="s">
        <v>44</v>
      </c>
      <c r="K10" s="81"/>
      <c r="L10" s="81"/>
      <c r="M10" s="81"/>
    </row>
    <row r="11" spans="1:13" ht="12.75">
      <c r="A11" s="283">
        <v>8</v>
      </c>
      <c r="B11" s="290"/>
      <c r="C11" s="283"/>
      <c r="D11" s="79"/>
      <c r="E11" s="79"/>
      <c r="F11" s="79"/>
      <c r="G11" s="291" t="s">
        <v>80</v>
      </c>
      <c r="H11" s="292"/>
      <c r="I11" s="292"/>
      <c r="J11" s="85">
        <v>1.0176</v>
      </c>
      <c r="K11" s="85"/>
      <c r="L11" s="85"/>
      <c r="M11" s="81"/>
    </row>
    <row r="12" spans="1:13" ht="12.75">
      <c r="A12" s="283">
        <v>9</v>
      </c>
      <c r="D12" s="79"/>
      <c r="E12" s="79"/>
      <c r="F12" s="79"/>
      <c r="G12" s="295" t="s">
        <v>274</v>
      </c>
      <c r="H12" s="296"/>
      <c r="I12" s="296"/>
      <c r="J12" s="88" t="s">
        <v>45</v>
      </c>
      <c r="K12" s="297" t="s">
        <v>8</v>
      </c>
      <c r="L12" s="297"/>
      <c r="M12" s="81"/>
    </row>
    <row r="13" spans="1:13" ht="12.75">
      <c r="A13" s="283">
        <v>10</v>
      </c>
      <c r="B13" s="290" t="s">
        <v>81</v>
      </c>
      <c r="D13" s="72">
        <f>(D6*D10)/0.65</f>
        <v>7900884.851117683</v>
      </c>
      <c r="E13" s="72">
        <f>(E6*E10)/0.65</f>
        <v>5138109.755076923</v>
      </c>
      <c r="F13" s="72">
        <f aca="true" t="shared" si="0" ref="F13:F36">D13+E13</f>
        <v>13038994.606194606</v>
      </c>
      <c r="G13" s="90">
        <f aca="true" t="shared" si="1" ref="G13:G36">ROUND(F13/$F$40,3)</f>
        <v>0.598</v>
      </c>
      <c r="H13" s="296"/>
      <c r="I13" s="296" t="s">
        <v>275</v>
      </c>
      <c r="M13" s="81"/>
    </row>
    <row r="14" spans="1:13" ht="12.75">
      <c r="A14" s="283">
        <v>11</v>
      </c>
      <c r="B14" s="281" t="s">
        <v>82</v>
      </c>
      <c r="D14" s="95">
        <f>(D7*D10)/0.65</f>
        <v>10863565.916788464</v>
      </c>
      <c r="E14" s="95"/>
      <c r="F14" s="72">
        <f t="shared" si="0"/>
        <v>10863565.916788464</v>
      </c>
      <c r="G14" s="90">
        <f t="shared" si="1"/>
        <v>0.498</v>
      </c>
      <c r="H14" s="296" t="s">
        <v>276</v>
      </c>
      <c r="I14" s="296"/>
      <c r="J14" s="79">
        <f>F14</f>
        <v>10863565.916788464</v>
      </c>
      <c r="K14" s="298">
        <f>J14/12</f>
        <v>905297.159732372</v>
      </c>
      <c r="L14" s="299"/>
      <c r="M14" s="81"/>
    </row>
    <row r="15" spans="1:13" ht="12.75">
      <c r="A15" s="283">
        <v>12</v>
      </c>
      <c r="B15" s="281" t="s">
        <v>83</v>
      </c>
      <c r="D15" s="95">
        <f>(D8*D10)/0.65</f>
        <v>155103429.45665008</v>
      </c>
      <c r="E15" s="95"/>
      <c r="F15" s="95">
        <f t="shared" si="0"/>
        <v>155103429.45665008</v>
      </c>
      <c r="G15" s="90">
        <f t="shared" si="1"/>
        <v>7.108</v>
      </c>
      <c r="H15" s="296" t="s">
        <v>276</v>
      </c>
      <c r="I15" s="296"/>
      <c r="J15" s="79">
        <f>F15/$J$11</f>
        <v>152420822.97233695</v>
      </c>
      <c r="K15" s="300">
        <f>J15/12</f>
        <v>12701735.247694746</v>
      </c>
      <c r="L15" s="336">
        <f>SUM(K14:K15)</f>
        <v>13607032.407427117</v>
      </c>
      <c r="M15" s="81"/>
    </row>
    <row r="16" spans="1:13" ht="12.75">
      <c r="A16" s="283">
        <v>13</v>
      </c>
      <c r="B16" s="296" t="s">
        <v>36</v>
      </c>
      <c r="D16" s="79">
        <v>83611735.76243547</v>
      </c>
      <c r="E16" s="79"/>
      <c r="F16" s="79">
        <f t="shared" si="0"/>
        <v>83611735.76243547</v>
      </c>
      <c r="G16" s="90">
        <f t="shared" si="1"/>
        <v>3.832</v>
      </c>
      <c r="H16" s="296"/>
      <c r="I16" s="296" t="s">
        <v>275</v>
      </c>
      <c r="M16" s="81"/>
    </row>
    <row r="17" spans="1:13" ht="12.75">
      <c r="A17" s="283">
        <v>14</v>
      </c>
      <c r="B17" s="301" t="s">
        <v>59</v>
      </c>
      <c r="C17" s="302"/>
      <c r="D17" s="101">
        <v>620691166.3221685</v>
      </c>
      <c r="E17" s="101"/>
      <c r="F17" s="101">
        <f t="shared" si="0"/>
        <v>620691166.3221685</v>
      </c>
      <c r="G17" s="90">
        <f t="shared" si="1"/>
        <v>28.444</v>
      </c>
      <c r="H17" s="296"/>
      <c r="I17" s="296" t="s">
        <v>275</v>
      </c>
      <c r="K17" s="95"/>
      <c r="M17" s="81"/>
    </row>
    <row r="18" spans="1:9" ht="12.75">
      <c r="A18" s="283" t="s">
        <v>37</v>
      </c>
      <c r="B18" s="301" t="s">
        <v>149</v>
      </c>
      <c r="C18" s="302"/>
      <c r="D18" s="101">
        <v>-1151345.8701862805</v>
      </c>
      <c r="E18" s="101">
        <v>-4040908.7107424955</v>
      </c>
      <c r="F18" s="101">
        <f t="shared" si="0"/>
        <v>-5192254.580928776</v>
      </c>
      <c r="G18" s="90">
        <f t="shared" si="1"/>
        <v>-0.238</v>
      </c>
      <c r="H18" s="296"/>
      <c r="I18" s="296" t="s">
        <v>275</v>
      </c>
    </row>
    <row r="19" spans="1:11" ht="12.75">
      <c r="A19" s="283">
        <v>15</v>
      </c>
      <c r="B19" s="301" t="s">
        <v>38</v>
      </c>
      <c r="C19" s="302"/>
      <c r="D19" s="101">
        <v>6711778.448448002</v>
      </c>
      <c r="E19" s="101"/>
      <c r="F19" s="101">
        <f t="shared" si="0"/>
        <v>6711778.448448002</v>
      </c>
      <c r="G19" s="90">
        <f t="shared" si="1"/>
        <v>0.308</v>
      </c>
      <c r="H19" s="296" t="s">
        <v>276</v>
      </c>
      <c r="I19" s="296"/>
      <c r="J19" s="79">
        <f>F19/$J$11</f>
        <v>6595694.230000002</v>
      </c>
      <c r="K19" s="298">
        <f>J19/12</f>
        <v>549641.1858333335</v>
      </c>
    </row>
    <row r="20" spans="1:13" ht="12.75">
      <c r="A20" s="283" t="s">
        <v>75</v>
      </c>
      <c r="B20" s="303" t="s">
        <v>150</v>
      </c>
      <c r="C20" s="302"/>
      <c r="D20" s="95">
        <v>3797087.9996248544</v>
      </c>
      <c r="E20" s="95"/>
      <c r="F20" s="95">
        <f t="shared" si="0"/>
        <v>3797087.9996248544</v>
      </c>
      <c r="G20" s="90">
        <f t="shared" si="1"/>
        <v>0.174</v>
      </c>
      <c r="H20" s="296" t="s">
        <v>276</v>
      </c>
      <c r="I20" s="296"/>
      <c r="J20" s="79">
        <f>F20/$J$11</f>
        <v>3731415.093970965</v>
      </c>
      <c r="K20" s="304">
        <f>J20/12</f>
        <v>310951.25783091376</v>
      </c>
      <c r="L20" s="299"/>
      <c r="M20" s="299"/>
    </row>
    <row r="21" spans="1:13" ht="12.75">
      <c r="A21" s="283" t="s">
        <v>84</v>
      </c>
      <c r="B21" s="303" t="s">
        <v>85</v>
      </c>
      <c r="C21" s="302"/>
      <c r="D21" s="95">
        <v>3657009.5145383663</v>
      </c>
      <c r="E21" s="95"/>
      <c r="F21" s="95">
        <f t="shared" si="0"/>
        <v>3657009.5145383663</v>
      </c>
      <c r="G21" s="90">
        <f t="shared" si="1"/>
        <v>0.168</v>
      </c>
      <c r="H21" s="296" t="s">
        <v>276</v>
      </c>
      <c r="I21" s="296"/>
      <c r="J21" s="79">
        <f>F21/$J$11</f>
        <v>3593759.3499787403</v>
      </c>
      <c r="K21" s="304">
        <f>J21/12</f>
        <v>299479.9458315617</v>
      </c>
      <c r="L21" s="299"/>
      <c r="M21" s="299"/>
    </row>
    <row r="22" spans="1:13" ht="12.75">
      <c r="A22" s="283" t="s">
        <v>86</v>
      </c>
      <c r="B22" s="303" t="s">
        <v>87</v>
      </c>
      <c r="C22" s="302"/>
      <c r="D22" s="95">
        <v>1832147.370441024</v>
      </c>
      <c r="E22" s="95"/>
      <c r="F22" s="95">
        <f t="shared" si="0"/>
        <v>1832147.370441024</v>
      </c>
      <c r="G22" s="90">
        <f t="shared" si="1"/>
        <v>0.084</v>
      </c>
      <c r="H22" s="296" t="s">
        <v>276</v>
      </c>
      <c r="I22" s="296"/>
      <c r="J22" s="79">
        <f>F22/$J$11</f>
        <v>1800459.28699</v>
      </c>
      <c r="K22" s="304">
        <f>J22/12</f>
        <v>150038.27391583333</v>
      </c>
      <c r="L22" s="299"/>
      <c r="M22" s="299"/>
    </row>
    <row r="23" spans="1:13" ht="12.75">
      <c r="A23" s="283" t="s">
        <v>88</v>
      </c>
      <c r="B23" s="303" t="s">
        <v>89</v>
      </c>
      <c r="C23" s="302"/>
      <c r="D23" s="95">
        <v>1598567.4009162337</v>
      </c>
      <c r="E23" s="95"/>
      <c r="F23" s="95">
        <f t="shared" si="0"/>
        <v>1598567.4009162337</v>
      </c>
      <c r="G23" s="90">
        <f t="shared" si="1"/>
        <v>0.073</v>
      </c>
      <c r="H23" s="296" t="s">
        <v>276</v>
      </c>
      <c r="I23" s="296"/>
      <c r="J23" s="79">
        <f>F23/$J$11</f>
        <v>1570919.2225984999</v>
      </c>
      <c r="K23" s="304">
        <f>J23/12</f>
        <v>130909.93521654165</v>
      </c>
      <c r="L23" s="299"/>
      <c r="M23" s="299"/>
    </row>
    <row r="24" spans="1:13" ht="12.75">
      <c r="A24" s="283">
        <v>16</v>
      </c>
      <c r="B24" s="301" t="s">
        <v>39</v>
      </c>
      <c r="C24" s="302"/>
      <c r="D24" s="101">
        <v>216976084.47845083</v>
      </c>
      <c r="E24" s="101"/>
      <c r="F24" s="101">
        <f t="shared" si="0"/>
        <v>216976084.47845083</v>
      </c>
      <c r="G24" s="90">
        <f t="shared" si="1"/>
        <v>9.943</v>
      </c>
      <c r="H24" s="296"/>
      <c r="I24" s="296" t="s">
        <v>275</v>
      </c>
      <c r="K24" s="304"/>
      <c r="L24" s="299"/>
      <c r="M24" s="299"/>
    </row>
    <row r="25" spans="1:13" ht="12.75">
      <c r="A25" s="283">
        <v>17</v>
      </c>
      <c r="B25" s="301" t="s">
        <v>40</v>
      </c>
      <c r="C25" s="302"/>
      <c r="D25" s="95">
        <v>81105953.70331313</v>
      </c>
      <c r="E25" s="95"/>
      <c r="F25" s="95">
        <f t="shared" si="0"/>
        <v>81105953.70331313</v>
      </c>
      <c r="G25" s="90">
        <f t="shared" si="1"/>
        <v>3.717</v>
      </c>
      <c r="H25" s="296"/>
      <c r="I25" s="296" t="s">
        <v>275</v>
      </c>
      <c r="K25" s="304"/>
      <c r="L25" s="299"/>
      <c r="M25" s="299"/>
    </row>
    <row r="26" spans="1:13" ht="12.75">
      <c r="A26" s="283">
        <v>18</v>
      </c>
      <c r="B26" s="302" t="s">
        <v>277</v>
      </c>
      <c r="C26" s="302"/>
      <c r="D26" s="79">
        <v>-5569166.054400001</v>
      </c>
      <c r="E26" s="79"/>
      <c r="F26" s="79">
        <f t="shared" si="0"/>
        <v>-5569166.054400001</v>
      </c>
      <c r="G26" s="90">
        <f t="shared" si="1"/>
        <v>-0.255</v>
      </c>
      <c r="H26" s="296"/>
      <c r="I26" s="296" t="s">
        <v>275</v>
      </c>
      <c r="K26" s="304"/>
      <c r="L26" s="299"/>
      <c r="M26" s="299"/>
    </row>
    <row r="27" spans="1:13" ht="12.75">
      <c r="A27" s="283">
        <v>19</v>
      </c>
      <c r="B27" s="301" t="s">
        <v>26</v>
      </c>
      <c r="C27" s="302"/>
      <c r="D27" s="79">
        <v>107091100.11474323</v>
      </c>
      <c r="E27" s="79"/>
      <c r="F27" s="79">
        <f t="shared" si="0"/>
        <v>107091100.11474323</v>
      </c>
      <c r="G27" s="90">
        <f t="shared" si="1"/>
        <v>4.908</v>
      </c>
      <c r="H27" s="296" t="s">
        <v>276</v>
      </c>
      <c r="I27" s="296"/>
      <c r="J27" s="79">
        <f>F27/$J$11</f>
        <v>105238895.55301024</v>
      </c>
      <c r="K27" s="305">
        <f>J27/12</f>
        <v>8769907.962750854</v>
      </c>
      <c r="L27" s="336">
        <f>SUM(K19:K35)</f>
        <v>17098452.327508423</v>
      </c>
      <c r="M27" s="306"/>
    </row>
    <row r="28" spans="1:13" ht="12.75">
      <c r="A28" s="283">
        <v>20</v>
      </c>
      <c r="B28" s="301" t="s">
        <v>27</v>
      </c>
      <c r="C28" s="302"/>
      <c r="D28" s="79">
        <v>-29152007.953466386</v>
      </c>
      <c r="E28" s="79"/>
      <c r="F28" s="79">
        <f t="shared" si="0"/>
        <v>-29152007.953466386</v>
      </c>
      <c r="G28" s="90">
        <f t="shared" si="1"/>
        <v>-1.336</v>
      </c>
      <c r="H28" s="296"/>
      <c r="I28" s="296" t="s">
        <v>275</v>
      </c>
      <c r="K28" s="304"/>
      <c r="L28" s="299"/>
      <c r="M28" s="299"/>
    </row>
    <row r="29" spans="1:13" s="311" customFormat="1" ht="12.75">
      <c r="A29" s="307">
        <v>21</v>
      </c>
      <c r="B29" s="301" t="s">
        <v>28</v>
      </c>
      <c r="C29" s="308"/>
      <c r="D29" s="105">
        <v>-289997.24280388287</v>
      </c>
      <c r="E29" s="105"/>
      <c r="F29" s="105">
        <f t="shared" si="0"/>
        <v>-289997.24280388287</v>
      </c>
      <c r="G29" s="106">
        <f t="shared" si="1"/>
        <v>-0.013</v>
      </c>
      <c r="H29" s="309"/>
      <c r="I29" s="309" t="s">
        <v>275</v>
      </c>
      <c r="J29" s="105"/>
      <c r="K29" s="310"/>
      <c r="L29" s="299"/>
      <c r="M29" s="299"/>
    </row>
    <row r="30" spans="1:13" ht="12.75">
      <c r="A30" s="283">
        <v>22</v>
      </c>
      <c r="B30" s="302" t="s">
        <v>278</v>
      </c>
      <c r="C30" s="302"/>
      <c r="D30" s="79">
        <v>1523616.864</v>
      </c>
      <c r="E30" s="79"/>
      <c r="F30" s="79">
        <f t="shared" si="0"/>
        <v>1523616.864</v>
      </c>
      <c r="G30" s="90">
        <f t="shared" si="1"/>
        <v>0.07</v>
      </c>
      <c r="H30" s="296" t="s">
        <v>276</v>
      </c>
      <c r="I30" s="296"/>
      <c r="J30" s="79">
        <f>F30/$J$11</f>
        <v>1497265</v>
      </c>
      <c r="K30" s="304">
        <f>J30/12</f>
        <v>124772.08333333333</v>
      </c>
      <c r="L30" s="299"/>
      <c r="M30" s="299"/>
    </row>
    <row r="31" spans="1:13" ht="12.75">
      <c r="A31" s="283">
        <v>23</v>
      </c>
      <c r="B31" s="312" t="s">
        <v>151</v>
      </c>
      <c r="C31" s="302"/>
      <c r="D31" s="79">
        <v>61370846.20783714</v>
      </c>
      <c r="E31" s="79"/>
      <c r="F31" s="79">
        <f t="shared" si="0"/>
        <v>61370846.20783714</v>
      </c>
      <c r="G31" s="90">
        <f t="shared" si="1"/>
        <v>2.812</v>
      </c>
      <c r="H31" s="296" t="s">
        <v>276</v>
      </c>
      <c r="I31" s="296"/>
      <c r="J31" s="79">
        <f>F31/$J$11</f>
        <v>60309400.75455694</v>
      </c>
      <c r="K31" s="304">
        <f>J31/12</f>
        <v>5025783.396213078</v>
      </c>
      <c r="L31" s="299"/>
      <c r="M31" s="299"/>
    </row>
    <row r="32" spans="1:13" ht="12.75">
      <c r="A32" s="283">
        <v>24</v>
      </c>
      <c r="B32" s="288" t="s">
        <v>296</v>
      </c>
      <c r="C32" s="313"/>
      <c r="D32" s="79">
        <v>4056906.114</v>
      </c>
      <c r="E32" s="79"/>
      <c r="F32" s="79">
        <f t="shared" si="0"/>
        <v>4056906.114</v>
      </c>
      <c r="G32" s="90">
        <f t="shared" si="1"/>
        <v>0.186</v>
      </c>
      <c r="H32" s="296" t="s">
        <v>276</v>
      </c>
      <c r="I32" s="296"/>
      <c r="J32" s="79">
        <f>F32</f>
        <v>4056906.114</v>
      </c>
      <c r="K32" s="304">
        <f>J32/12</f>
        <v>338075.5095</v>
      </c>
      <c r="L32" s="299"/>
      <c r="M32" s="299"/>
    </row>
    <row r="33" spans="1:13" ht="12.75">
      <c r="A33" s="314">
        <v>25</v>
      </c>
      <c r="B33" s="312" t="s">
        <v>152</v>
      </c>
      <c r="C33" s="302"/>
      <c r="D33" s="95">
        <v>15830395.469520438</v>
      </c>
      <c r="E33" s="95">
        <v>38979567.77142857</v>
      </c>
      <c r="F33" s="95">
        <f t="shared" si="0"/>
        <v>54809963.240949005</v>
      </c>
      <c r="G33" s="90">
        <f t="shared" si="1"/>
        <v>2.512</v>
      </c>
      <c r="H33" s="309"/>
      <c r="I33" s="309" t="s">
        <v>275</v>
      </c>
      <c r="K33" s="304"/>
      <c r="L33" s="299"/>
      <c r="M33" s="299"/>
    </row>
    <row r="34" spans="1:13" ht="12.75">
      <c r="A34" s="283">
        <v>26</v>
      </c>
      <c r="B34" s="281" t="s">
        <v>297</v>
      </c>
      <c r="C34" s="313" t="s">
        <v>266</v>
      </c>
      <c r="D34" s="95">
        <v>13855000.512</v>
      </c>
      <c r="E34" s="95"/>
      <c r="F34" s="95">
        <f t="shared" si="0"/>
        <v>13855000.512</v>
      </c>
      <c r="G34" s="115">
        <f t="shared" si="1"/>
        <v>0.635</v>
      </c>
      <c r="H34" s="301" t="s">
        <v>276</v>
      </c>
      <c r="I34" s="301"/>
      <c r="J34" s="79">
        <f>F34/$J$11</f>
        <v>13615370</v>
      </c>
      <c r="K34" s="304">
        <f>J34/12</f>
        <v>1134614.1666666667</v>
      </c>
      <c r="L34" s="299"/>
      <c r="M34" s="299"/>
    </row>
    <row r="35" spans="1:13" ht="12.75">
      <c r="A35" s="283">
        <f aca="true" t="shared" si="2" ref="A35:A50">A34+1</f>
        <v>27</v>
      </c>
      <c r="B35" s="281" t="s">
        <v>298</v>
      </c>
      <c r="C35" s="283"/>
      <c r="D35" s="95">
        <v>3171343.324995635</v>
      </c>
      <c r="E35" s="95"/>
      <c r="F35" s="95">
        <f t="shared" si="0"/>
        <v>3171343.324995635</v>
      </c>
      <c r="G35" s="115">
        <f t="shared" si="1"/>
        <v>0.145</v>
      </c>
      <c r="H35" s="301" t="s">
        <v>276</v>
      </c>
      <c r="I35" s="301"/>
      <c r="J35" s="95">
        <f>F35</f>
        <v>3171343.324995635</v>
      </c>
      <c r="K35" s="315">
        <f>J35/12</f>
        <v>264278.6104163029</v>
      </c>
      <c r="L35" s="299"/>
      <c r="M35" s="299"/>
    </row>
    <row r="36" spans="1:10" ht="12.75">
      <c r="A36" s="283">
        <f t="shared" si="2"/>
        <v>28</v>
      </c>
      <c r="B36" s="316" t="s">
        <v>96</v>
      </c>
      <c r="C36" s="283"/>
      <c r="D36" s="118">
        <v>311301.434304</v>
      </c>
      <c r="E36" s="118"/>
      <c r="F36" s="118">
        <f t="shared" si="0"/>
        <v>311301.434304</v>
      </c>
      <c r="G36" s="119">
        <f t="shared" si="1"/>
        <v>0.014</v>
      </c>
      <c r="H36" s="317"/>
      <c r="I36" s="309" t="s">
        <v>275</v>
      </c>
      <c r="J36" s="118"/>
    </row>
    <row r="37" spans="1:13" ht="13.5" thickBot="1">
      <c r="A37" s="283">
        <f t="shared" si="2"/>
        <v>29</v>
      </c>
      <c r="B37" s="281" t="s">
        <v>153</v>
      </c>
      <c r="C37" s="318"/>
      <c r="D37" s="72">
        <f>SUM(D13:D36)</f>
        <v>1364897404.1454365</v>
      </c>
      <c r="E37" s="72">
        <f>SUM(E13:E36)</f>
        <v>40076768.815763</v>
      </c>
      <c r="F37" s="72">
        <f>SUM(F13:F36)</f>
        <v>1404974172.9611995</v>
      </c>
      <c r="G37" s="122">
        <f>SUM(G13:G36)</f>
        <v>64.387</v>
      </c>
      <c r="H37" s="1043" t="s">
        <v>279</v>
      </c>
      <c r="I37" s="1043"/>
      <c r="J37" s="79">
        <f>SUM(J13:J36)</f>
        <v>368465816.81922644</v>
      </c>
      <c r="K37" s="319">
        <f>SUM(K14:K36)</f>
        <v>30705484.734935537</v>
      </c>
      <c r="L37" s="319">
        <f>SUM(L15:L36)</f>
        <v>30705484.73493554</v>
      </c>
      <c r="M37" s="95"/>
    </row>
    <row r="38" spans="1:9" ht="12.75">
      <c r="A38" s="283">
        <f t="shared" si="2"/>
        <v>30</v>
      </c>
      <c r="B38" s="281" t="s">
        <v>280</v>
      </c>
      <c r="D38" s="124">
        <f>F38</f>
        <v>0.955788</v>
      </c>
      <c r="E38" s="124">
        <f>F38</f>
        <v>0.955788</v>
      </c>
      <c r="F38" s="124">
        <v>0.955788</v>
      </c>
      <c r="G38" s="125"/>
      <c r="H38" s="296"/>
      <c r="I38" s="296"/>
    </row>
    <row r="39" spans="1:13" ht="12.75">
      <c r="A39" s="283">
        <f t="shared" si="2"/>
        <v>31</v>
      </c>
      <c r="D39" s="72">
        <f>D37/D38</f>
        <v>1428033626.8559937</v>
      </c>
      <c r="E39" s="72">
        <f>E37/E38</f>
        <v>41930604.7112571</v>
      </c>
      <c r="F39" s="72">
        <f>F37/F38</f>
        <v>1469964231.567251</v>
      </c>
      <c r="G39" s="79"/>
      <c r="H39" s="296"/>
      <c r="I39" s="296"/>
      <c r="J39" s="95"/>
      <c r="K39" s="95"/>
      <c r="L39" s="95"/>
      <c r="M39" s="95"/>
    </row>
    <row r="40" spans="1:9" ht="12.75">
      <c r="A40" s="283">
        <f t="shared" si="2"/>
        <v>32</v>
      </c>
      <c r="B40" s="281" t="s">
        <v>90</v>
      </c>
      <c r="D40" s="118">
        <f>F40</f>
        <v>21821674</v>
      </c>
      <c r="E40" s="118">
        <f>F40</f>
        <v>21821674</v>
      </c>
      <c r="F40" s="118">
        <v>21821674</v>
      </c>
      <c r="G40" s="95" t="s">
        <v>291</v>
      </c>
      <c r="H40" s="296"/>
      <c r="I40" s="296"/>
    </row>
    <row r="41" spans="1:9" ht="12.75">
      <c r="A41" s="283">
        <f t="shared" si="2"/>
        <v>33</v>
      </c>
      <c r="B41" s="316"/>
      <c r="C41" s="316"/>
      <c r="D41" s="320"/>
      <c r="E41" s="320"/>
      <c r="F41" s="320"/>
      <c r="G41" s="320"/>
      <c r="H41" s="296"/>
      <c r="I41" s="296"/>
    </row>
    <row r="42" spans="1:9" ht="12.75">
      <c r="A42" s="283">
        <f t="shared" si="2"/>
        <v>34</v>
      </c>
      <c r="B42" s="316" t="s">
        <v>9</v>
      </c>
      <c r="C42" s="316"/>
      <c r="D42" s="321">
        <f>ROUND(D37,-6)/D40+0.001</f>
        <v>62.55348795303238</v>
      </c>
      <c r="E42" s="321">
        <f>ROUND(E37,-6)/E40</f>
        <v>1.833039940015601</v>
      </c>
      <c r="F42" s="321">
        <f>ROUND(F37,-6)/F40+0.001</f>
        <v>64.38652789304798</v>
      </c>
      <c r="G42" s="320"/>
      <c r="H42" s="296"/>
      <c r="I42" s="296"/>
    </row>
    <row r="43" spans="1:9" ht="12.75">
      <c r="A43" s="283">
        <f t="shared" si="2"/>
        <v>35</v>
      </c>
      <c r="B43" s="316"/>
      <c r="C43" s="316"/>
      <c r="D43" s="316"/>
      <c r="E43" s="316"/>
      <c r="F43" s="320"/>
      <c r="G43" s="320"/>
      <c r="H43" s="296"/>
      <c r="I43" s="296"/>
    </row>
    <row r="44" spans="1:13" ht="12.75">
      <c r="A44" s="283">
        <f t="shared" si="2"/>
        <v>36</v>
      </c>
      <c r="B44" s="316"/>
      <c r="C44" s="316"/>
      <c r="D44" s="316"/>
      <c r="E44" s="316"/>
      <c r="F44" s="322" t="s">
        <v>60</v>
      </c>
      <c r="G44" s="296"/>
      <c r="H44" s="323"/>
      <c r="I44" s="324" t="s">
        <v>67</v>
      </c>
      <c r="J44" s="325"/>
      <c r="K44" s="325"/>
      <c r="L44" s="325"/>
      <c r="M44" s="325"/>
    </row>
    <row r="45" spans="1:13" ht="12.75">
      <c r="A45" s="283">
        <f t="shared" si="2"/>
        <v>37</v>
      </c>
      <c r="B45" s="316"/>
      <c r="C45" s="316"/>
      <c r="D45" s="316"/>
      <c r="E45" s="316"/>
      <c r="F45" s="326" t="s">
        <v>68</v>
      </c>
      <c r="G45" s="296"/>
      <c r="H45" s="323"/>
      <c r="I45" s="327" t="s">
        <v>68</v>
      </c>
      <c r="J45" s="328"/>
      <c r="K45" s="328"/>
      <c r="L45" s="328"/>
      <c r="M45" s="328"/>
    </row>
    <row r="46" spans="1:13" ht="12.75" customHeight="1">
      <c r="A46" s="283">
        <f t="shared" si="2"/>
        <v>38</v>
      </c>
      <c r="B46" s="329" t="s">
        <v>41</v>
      </c>
      <c r="C46" s="316"/>
      <c r="D46" s="316"/>
      <c r="E46" s="316"/>
      <c r="F46" s="330"/>
      <c r="G46" s="296"/>
      <c r="H46" s="296"/>
      <c r="I46" s="331"/>
      <c r="J46" s="328"/>
      <c r="K46" s="328"/>
      <c r="L46" s="328"/>
      <c r="M46" s="328"/>
    </row>
    <row r="47" spans="1:13" ht="12.75">
      <c r="A47" s="283">
        <f t="shared" si="2"/>
        <v>39</v>
      </c>
      <c r="B47" s="316" t="s">
        <v>42</v>
      </c>
      <c r="C47" s="316"/>
      <c r="D47" s="316"/>
      <c r="E47" s="316"/>
      <c r="F47" s="332">
        <f>G37</f>
        <v>64.387</v>
      </c>
      <c r="G47" s="1041">
        <f>+G37/$F$38</f>
        <v>67.36535717125555</v>
      </c>
      <c r="H47" s="1042"/>
      <c r="I47" s="1042"/>
      <c r="J47" s="328"/>
      <c r="K47" s="328"/>
      <c r="L47" s="328"/>
      <c r="M47" s="328"/>
    </row>
    <row r="48" spans="1:13" ht="13.5" customHeight="1">
      <c r="A48" s="283">
        <f t="shared" si="2"/>
        <v>40</v>
      </c>
      <c r="B48" s="333" t="s">
        <v>281</v>
      </c>
      <c r="C48" s="316"/>
      <c r="D48" s="316"/>
      <c r="E48" s="316"/>
      <c r="F48" s="332">
        <f>SUMIF($H$13:$H$36,"(a)",G13:G36)</f>
        <v>17.169</v>
      </c>
      <c r="G48" s="1041">
        <f>F48/$F$38</f>
        <v>17.96318848949767</v>
      </c>
      <c r="H48" s="1042"/>
      <c r="I48" s="1042"/>
      <c r="J48" s="325"/>
      <c r="K48" s="325"/>
      <c r="L48" s="325"/>
      <c r="M48" s="325"/>
    </row>
    <row r="49" spans="1:9" ht="12.75">
      <c r="A49" s="283">
        <f t="shared" si="2"/>
        <v>41</v>
      </c>
      <c r="B49" s="316" t="s">
        <v>282</v>
      </c>
      <c r="C49" s="316"/>
      <c r="D49" s="316"/>
      <c r="E49" s="316"/>
      <c r="F49" s="332">
        <f>G37</f>
        <v>64.387</v>
      </c>
      <c r="G49" s="1041">
        <f>F49/$F$38</f>
        <v>67.36535717125555</v>
      </c>
      <c r="H49" s="1042"/>
      <c r="I49" s="1042"/>
    </row>
    <row r="50" spans="1:9" ht="12.75">
      <c r="A50" s="283">
        <f t="shared" si="2"/>
        <v>42</v>
      </c>
      <c r="B50" s="333" t="s">
        <v>283</v>
      </c>
      <c r="C50" s="334"/>
      <c r="D50" s="334"/>
      <c r="E50" s="334"/>
      <c r="F50" s="332">
        <f>SUMIF($I$13:$I$36,"(c)",G13:G36)</f>
        <v>47.217999999999996</v>
      </c>
      <c r="G50" s="1041">
        <f>F50/$F$38</f>
        <v>49.40216868175788</v>
      </c>
      <c r="H50" s="1042"/>
      <c r="I50" s="1042"/>
    </row>
    <row r="51" spans="1:9" ht="13.5">
      <c r="A51" s="335"/>
      <c r="D51" s="296"/>
      <c r="E51" s="296"/>
      <c r="F51" s="296"/>
      <c r="G51" s="296"/>
      <c r="H51" s="296"/>
      <c r="I51" s="296"/>
    </row>
    <row r="52" spans="4:9" ht="12.75">
      <c r="D52" s="296"/>
      <c r="E52" s="296"/>
      <c r="F52" s="296"/>
      <c r="G52" s="296"/>
      <c r="H52" s="296"/>
      <c r="I52" s="296"/>
    </row>
  </sheetData>
  <sheetProtection/>
  <mergeCells count="5">
    <mergeCell ref="G48:I48"/>
    <mergeCell ref="G49:I49"/>
    <mergeCell ref="G50:I50"/>
    <mergeCell ref="H37:I37"/>
    <mergeCell ref="G47:I47"/>
  </mergeCells>
  <printOptions horizontalCentered="1"/>
  <pageMargins left="0.5" right="0.5" top="0.72" bottom="0.71" header="0.5" footer="0.28"/>
  <pageSetup fitToHeight="1" fitToWidth="1" horizontalDpi="600" verticalDpi="600" orientation="landscape" scale="78" r:id="rId1"/>
  <headerFooter alignWithMargins="0">
    <oddHeader>&amp;R&amp;"Helv,Bold"&amp;10
</oddHeader>
    <oddFooter>&amp;R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57"/>
  <sheetViews>
    <sheetView zoomScalePageLayoutView="0" workbookViewId="0" topLeftCell="A16">
      <selection activeCell="L28" sqref="L28"/>
    </sheetView>
  </sheetViews>
  <sheetFormatPr defaultColWidth="9.8515625" defaultRowHeight="12.75"/>
  <cols>
    <col min="1" max="1" width="5.00390625" style="541" bestFit="1" customWidth="1"/>
    <col min="2" max="2" width="11.140625" style="541" customWidth="1"/>
    <col min="3" max="3" width="28.421875" style="541" customWidth="1"/>
    <col min="4" max="4" width="2.28125" style="542" customWidth="1"/>
    <col min="5" max="5" width="16.421875" style="541" customWidth="1"/>
    <col min="6" max="6" width="18.28125" style="541" customWidth="1"/>
    <col min="7" max="7" width="15.140625" style="541" bestFit="1" customWidth="1"/>
    <col min="8" max="8" width="2.140625" style="541" customWidth="1"/>
    <col min="9" max="9" width="14.00390625" style="541" customWidth="1"/>
    <col min="10" max="10" width="8.8515625" style="541" customWidth="1"/>
    <col min="11" max="11" width="11.57421875" style="541" customWidth="1"/>
    <col min="12" max="12" width="13.28125" style="541" customWidth="1"/>
    <col min="13" max="16384" width="9.8515625" style="541" customWidth="1"/>
  </cols>
  <sheetData>
    <row r="1" spans="7:9" ht="12.75">
      <c r="G1" s="543"/>
      <c r="I1" s="282" t="s">
        <v>2</v>
      </c>
    </row>
    <row r="2" spans="7:9" ht="13.5" thickBot="1">
      <c r="G2" s="543"/>
      <c r="I2" s="537" t="s">
        <v>3</v>
      </c>
    </row>
    <row r="3" spans="7:9" ht="14.25" thickBot="1" thickTop="1">
      <c r="G3" s="543"/>
      <c r="I3" s="538" t="s">
        <v>4</v>
      </c>
    </row>
    <row r="4" spans="1:7" ht="18.75" thickTop="1">
      <c r="A4" s="544" t="s">
        <v>340</v>
      </c>
      <c r="G4" s="543"/>
    </row>
    <row r="6" spans="1:9" ht="12.75">
      <c r="A6" s="545" t="s">
        <v>236</v>
      </c>
      <c r="B6" s="541" t="s">
        <v>266</v>
      </c>
      <c r="E6" s="545" t="s">
        <v>100</v>
      </c>
      <c r="F6" s="545" t="s">
        <v>341</v>
      </c>
      <c r="G6" s="545"/>
      <c r="H6" s="546"/>
      <c r="I6" s="545" t="s">
        <v>342</v>
      </c>
    </row>
    <row r="7" spans="1:9" ht="12.75">
      <c r="A7" s="545">
        <f>ROW()</f>
        <v>7</v>
      </c>
      <c r="B7" s="547"/>
      <c r="E7" s="548" t="s">
        <v>414</v>
      </c>
      <c r="F7" s="549" t="s">
        <v>344</v>
      </c>
      <c r="G7" s="549" t="s">
        <v>345</v>
      </c>
      <c r="H7" s="550"/>
      <c r="I7" s="548" t="s">
        <v>232</v>
      </c>
    </row>
    <row r="8" spans="1:2" ht="12.75">
      <c r="A8" s="545">
        <f>ROW()</f>
        <v>8</v>
      </c>
      <c r="B8" s="547"/>
    </row>
    <row r="9" spans="1:8" ht="12.75">
      <c r="A9" s="545">
        <v>6</v>
      </c>
      <c r="B9" s="551"/>
      <c r="C9" s="552" t="s">
        <v>346</v>
      </c>
      <c r="D9" s="552"/>
      <c r="H9" s="542"/>
    </row>
    <row r="10" spans="1:9" ht="12.75">
      <c r="A10" s="545">
        <v>7</v>
      </c>
      <c r="B10" s="551" t="s">
        <v>347</v>
      </c>
      <c r="C10" s="552" t="s">
        <v>349</v>
      </c>
      <c r="D10" s="552"/>
      <c r="E10" s="543">
        <v>10246.74</v>
      </c>
      <c r="F10" s="543">
        <v>0</v>
      </c>
      <c r="G10" s="553">
        <f>SUM(E10:F10)</f>
        <v>10246.74</v>
      </c>
      <c r="H10" s="554"/>
      <c r="I10" s="553"/>
    </row>
    <row r="11" spans="1:9" ht="12.75">
      <c r="A11" s="545">
        <v>8</v>
      </c>
      <c r="B11" s="551" t="s">
        <v>350</v>
      </c>
      <c r="C11" s="552" t="s">
        <v>352</v>
      </c>
      <c r="D11" s="552"/>
      <c r="E11" s="543">
        <v>685926.52</v>
      </c>
      <c r="F11" s="543">
        <v>-381747.35</v>
      </c>
      <c r="G11" s="555">
        <f aca="true" t="shared" si="0" ref="G11:G16">SUM(E11:F11)</f>
        <v>304179.17000000004</v>
      </c>
      <c r="H11" s="556"/>
      <c r="I11" s="555">
        <v>13032.6</v>
      </c>
    </row>
    <row r="12" spans="1:9" ht="12.75">
      <c r="A12" s="545">
        <v>9</v>
      </c>
      <c r="B12" s="551" t="s">
        <v>353</v>
      </c>
      <c r="C12" s="552" t="s">
        <v>355</v>
      </c>
      <c r="D12" s="552"/>
      <c r="E12" s="543">
        <v>1231130.94</v>
      </c>
      <c r="F12" s="543">
        <v>-918566.3</v>
      </c>
      <c r="G12" s="555">
        <f t="shared" si="0"/>
        <v>312564.6399999999</v>
      </c>
      <c r="H12" s="556"/>
      <c r="I12" s="555">
        <v>25976.88</v>
      </c>
    </row>
    <row r="13" spans="1:9" ht="12.75">
      <c r="A13" s="545">
        <v>10</v>
      </c>
      <c r="B13" s="551" t="s">
        <v>356</v>
      </c>
      <c r="C13" s="552" t="s">
        <v>358</v>
      </c>
      <c r="D13" s="552"/>
      <c r="E13" s="543">
        <v>14495853</v>
      </c>
      <c r="F13" s="543">
        <v>-8492048.785</v>
      </c>
      <c r="G13" s="555">
        <f t="shared" si="0"/>
        <v>6003804.215</v>
      </c>
      <c r="H13" s="556"/>
      <c r="I13" s="555">
        <v>242133.04</v>
      </c>
    </row>
    <row r="14" spans="1:9" ht="12.75">
      <c r="A14" s="545">
        <v>11</v>
      </c>
      <c r="B14" s="551" t="s">
        <v>359</v>
      </c>
      <c r="C14" s="552" t="s">
        <v>361</v>
      </c>
      <c r="D14" s="552"/>
      <c r="E14" s="543">
        <v>49007</v>
      </c>
      <c r="F14" s="543">
        <v>-46565.1</v>
      </c>
      <c r="G14" s="555">
        <f t="shared" si="0"/>
        <v>2441.9000000000015</v>
      </c>
      <c r="H14" s="556"/>
      <c r="I14" s="555">
        <v>1480.08</v>
      </c>
    </row>
    <row r="15" spans="1:9" ht="12.75">
      <c r="A15" s="545">
        <v>12</v>
      </c>
      <c r="B15" s="551" t="s">
        <v>362</v>
      </c>
      <c r="C15" s="552" t="s">
        <v>364</v>
      </c>
      <c r="D15" s="552"/>
      <c r="E15" s="543">
        <v>13158152.71</v>
      </c>
      <c r="F15" s="543">
        <v>-8305550.9</v>
      </c>
      <c r="G15" s="555">
        <f t="shared" si="0"/>
        <v>4852601.8100000005</v>
      </c>
      <c r="H15" s="556"/>
      <c r="I15" s="555">
        <v>277686.62</v>
      </c>
    </row>
    <row r="16" spans="1:9" ht="12.75">
      <c r="A16" s="545">
        <v>13</v>
      </c>
      <c r="B16" s="551" t="s">
        <v>365</v>
      </c>
      <c r="C16" s="552" t="s">
        <v>367</v>
      </c>
      <c r="D16" s="552"/>
      <c r="E16" s="543">
        <v>113968.39</v>
      </c>
      <c r="F16" s="543">
        <v>-63379.4</v>
      </c>
      <c r="G16" s="555">
        <f t="shared" si="0"/>
        <v>50588.99</v>
      </c>
      <c r="H16" s="556"/>
      <c r="I16" s="555">
        <v>1629.72</v>
      </c>
    </row>
    <row r="17" spans="1:9" ht="12.75">
      <c r="A17" s="545">
        <v>14</v>
      </c>
      <c r="B17" s="551"/>
      <c r="C17" s="557"/>
      <c r="D17" s="557"/>
      <c r="E17" s="558">
        <v>29744285.3</v>
      </c>
      <c r="F17" s="558">
        <v>-18207857.835</v>
      </c>
      <c r="G17" s="559">
        <f>SUM(G10:G16)</f>
        <v>11536427.465000002</v>
      </c>
      <c r="H17" s="560"/>
      <c r="I17" s="559">
        <v>561938.94</v>
      </c>
    </row>
    <row r="18" spans="1:9" ht="12.75">
      <c r="A18" s="545">
        <v>15</v>
      </c>
      <c r="B18" s="551"/>
      <c r="C18" s="552"/>
      <c r="D18" s="552"/>
      <c r="E18" s="558"/>
      <c r="F18" s="558"/>
      <c r="G18" s="559"/>
      <c r="H18" s="560"/>
      <c r="I18" s="559"/>
    </row>
    <row r="19" spans="1:9" ht="12.75">
      <c r="A19" s="545">
        <v>16</v>
      </c>
      <c r="B19" s="551"/>
      <c r="C19" s="552" t="s">
        <v>369</v>
      </c>
      <c r="D19" s="552"/>
      <c r="E19" s="561"/>
      <c r="F19" s="561"/>
      <c r="G19" s="562"/>
      <c r="H19" s="560"/>
      <c r="I19" s="562"/>
    </row>
    <row r="20" spans="1:9" ht="12.75">
      <c r="A20" s="545">
        <v>17</v>
      </c>
      <c r="B20" s="551" t="s">
        <v>350</v>
      </c>
      <c r="C20" s="552" t="s">
        <v>352</v>
      </c>
      <c r="D20" s="552"/>
      <c r="E20" s="543">
        <v>1071124.09</v>
      </c>
      <c r="F20" s="543">
        <v>-583872.05</v>
      </c>
      <c r="G20" s="555">
        <f aca="true" t="shared" si="1" ref="G20:G26">SUM(E20:F20)</f>
        <v>487252.04000000004</v>
      </c>
      <c r="H20" s="556"/>
      <c r="I20" s="543">
        <v>20351.4</v>
      </c>
    </row>
    <row r="21" spans="1:9" ht="12.75">
      <c r="A21" s="545">
        <v>18</v>
      </c>
      <c r="B21" s="551" t="s">
        <v>371</v>
      </c>
      <c r="C21" s="552" t="s">
        <v>123</v>
      </c>
      <c r="D21" s="552"/>
      <c r="E21" s="543">
        <v>496711.33</v>
      </c>
      <c r="F21" s="543">
        <v>-273029.75</v>
      </c>
      <c r="G21" s="555">
        <f t="shared" si="1"/>
        <v>223681.58000000002</v>
      </c>
      <c r="H21" s="556"/>
      <c r="I21" s="543">
        <v>8444.04</v>
      </c>
    </row>
    <row r="22" spans="1:9" ht="12.75">
      <c r="A22" s="545">
        <v>19</v>
      </c>
      <c r="B22" s="551" t="s">
        <v>353</v>
      </c>
      <c r="C22" s="552" t="s">
        <v>355</v>
      </c>
      <c r="D22" s="552"/>
      <c r="E22" s="543">
        <v>18421673</v>
      </c>
      <c r="F22" s="543">
        <v>-10620107.185</v>
      </c>
      <c r="G22" s="555">
        <f t="shared" si="1"/>
        <v>7801565.8149999995</v>
      </c>
      <c r="H22" s="556"/>
      <c r="I22" s="543">
        <v>391289.9</v>
      </c>
    </row>
    <row r="23" spans="1:9" ht="12.75">
      <c r="A23" s="545">
        <v>20</v>
      </c>
      <c r="B23" s="551" t="s">
        <v>356</v>
      </c>
      <c r="C23" s="552" t="s">
        <v>358</v>
      </c>
      <c r="D23" s="552"/>
      <c r="E23" s="543">
        <v>20567247</v>
      </c>
      <c r="F23" s="543">
        <v>-11722820.48</v>
      </c>
      <c r="G23" s="555">
        <f t="shared" si="1"/>
        <v>8844426.52</v>
      </c>
      <c r="H23" s="556"/>
      <c r="I23" s="543">
        <v>343210.09</v>
      </c>
    </row>
    <row r="24" spans="1:9" ht="12.75">
      <c r="A24" s="545">
        <v>21</v>
      </c>
      <c r="B24" s="551" t="s">
        <v>359</v>
      </c>
      <c r="C24" s="552" t="s">
        <v>361</v>
      </c>
      <c r="D24" s="552"/>
      <c r="E24" s="543">
        <v>88691.66</v>
      </c>
      <c r="F24" s="543">
        <v>-29143.95</v>
      </c>
      <c r="G24" s="555">
        <f t="shared" si="1"/>
        <v>59547.71000000001</v>
      </c>
      <c r="H24" s="556"/>
      <c r="I24" s="543">
        <v>2678.52</v>
      </c>
    </row>
    <row r="25" spans="1:9" ht="12.75">
      <c r="A25" s="545">
        <v>22</v>
      </c>
      <c r="B25" s="551" t="s">
        <v>362</v>
      </c>
      <c r="C25" s="552" t="s">
        <v>364</v>
      </c>
      <c r="D25" s="552"/>
      <c r="E25" s="543">
        <v>19991225.77</v>
      </c>
      <c r="F25" s="543">
        <v>-12357296.4</v>
      </c>
      <c r="G25" s="555">
        <f t="shared" si="1"/>
        <v>7633929.369999999</v>
      </c>
      <c r="H25" s="556"/>
      <c r="I25" s="543">
        <v>421784.76</v>
      </c>
    </row>
    <row r="26" spans="1:9" ht="12.75">
      <c r="A26" s="545">
        <v>23</v>
      </c>
      <c r="B26" s="551" t="s">
        <v>365</v>
      </c>
      <c r="C26" s="552" t="s">
        <v>367</v>
      </c>
      <c r="D26" s="552"/>
      <c r="E26" s="543">
        <v>341015.23</v>
      </c>
      <c r="F26" s="543">
        <v>-186913.4</v>
      </c>
      <c r="G26" s="555">
        <f t="shared" si="1"/>
        <v>154101.83</v>
      </c>
      <c r="H26" s="556"/>
      <c r="I26" s="543">
        <v>4876.56</v>
      </c>
    </row>
    <row r="27" spans="1:9" ht="12.75">
      <c r="A27" s="545">
        <v>24</v>
      </c>
      <c r="B27" s="551"/>
      <c r="C27" s="557"/>
      <c r="D27" s="557"/>
      <c r="E27" s="558">
        <v>60977688.07999999</v>
      </c>
      <c r="F27" s="558">
        <v>-35773183.215</v>
      </c>
      <c r="G27" s="559">
        <f>SUM(G20:G26)</f>
        <v>25204504.864999995</v>
      </c>
      <c r="H27" s="560"/>
      <c r="I27" s="559">
        <v>1192635.27</v>
      </c>
    </row>
    <row r="28" spans="1:9" ht="12.75">
      <c r="A28" s="545">
        <v>25</v>
      </c>
      <c r="B28" s="551"/>
      <c r="C28" s="563"/>
      <c r="D28" s="563"/>
      <c r="E28" s="558"/>
      <c r="F28" s="558"/>
      <c r="G28" s="559"/>
      <c r="H28" s="560"/>
      <c r="I28" s="559"/>
    </row>
    <row r="29" spans="1:9" ht="12.75">
      <c r="A29" s="545">
        <v>26</v>
      </c>
      <c r="B29" s="551"/>
      <c r="C29" s="552" t="s">
        <v>379</v>
      </c>
      <c r="D29" s="552"/>
      <c r="E29" s="561"/>
      <c r="F29" s="561"/>
      <c r="G29" s="562"/>
      <c r="H29" s="560"/>
      <c r="I29" s="562"/>
    </row>
    <row r="30" spans="1:9" ht="12.75">
      <c r="A30" s="545">
        <v>27</v>
      </c>
      <c r="B30" s="564" t="s">
        <v>347</v>
      </c>
      <c r="C30" s="565" t="s">
        <v>349</v>
      </c>
      <c r="D30" s="552"/>
      <c r="E30" s="543">
        <v>1769178.02</v>
      </c>
      <c r="F30" s="543">
        <v>0</v>
      </c>
      <c r="G30" s="555">
        <f aca="true" t="shared" si="2" ref="G30:G36">SUM(E30:F30)</f>
        <v>1769178.02</v>
      </c>
      <c r="H30" s="556"/>
      <c r="I30" s="555">
        <v>0</v>
      </c>
    </row>
    <row r="31" spans="1:9" ht="12.75">
      <c r="A31" s="545">
        <v>28</v>
      </c>
      <c r="B31" s="564" t="s">
        <v>371</v>
      </c>
      <c r="C31" s="565" t="s">
        <v>123</v>
      </c>
      <c r="D31" s="552"/>
      <c r="E31" s="543">
        <v>1276263.66</v>
      </c>
      <c r="F31" s="543">
        <v>-348009.4</v>
      </c>
      <c r="G31" s="555">
        <f t="shared" si="2"/>
        <v>928254.2599999999</v>
      </c>
      <c r="H31" s="556"/>
      <c r="I31" s="555">
        <v>21696.48</v>
      </c>
    </row>
    <row r="32" spans="1:9" ht="12.75">
      <c r="A32" s="545">
        <v>29</v>
      </c>
      <c r="B32" s="564" t="s">
        <v>353</v>
      </c>
      <c r="C32" s="565" t="s">
        <v>355</v>
      </c>
      <c r="D32" s="552"/>
      <c r="E32" s="543">
        <v>32194258</v>
      </c>
      <c r="F32" s="543">
        <v>-10684069.95</v>
      </c>
      <c r="G32" s="555">
        <f t="shared" si="2"/>
        <v>21510188.05</v>
      </c>
      <c r="H32" s="556"/>
      <c r="I32" s="555">
        <v>684498.72</v>
      </c>
    </row>
    <row r="33" spans="1:9" ht="12.75">
      <c r="A33" s="545">
        <v>30</v>
      </c>
      <c r="B33" s="564" t="s">
        <v>356</v>
      </c>
      <c r="C33" s="565" t="s">
        <v>358</v>
      </c>
      <c r="D33" s="552"/>
      <c r="E33" s="543">
        <v>22781416.95</v>
      </c>
      <c r="F33" s="543">
        <v>-6335929.95</v>
      </c>
      <c r="G33" s="555">
        <f t="shared" si="2"/>
        <v>16445487</v>
      </c>
      <c r="H33" s="556"/>
      <c r="I33" s="555">
        <v>380449.56</v>
      </c>
    </row>
    <row r="34" spans="1:9" ht="12.75">
      <c r="A34" s="545">
        <v>31</v>
      </c>
      <c r="B34" s="564" t="s">
        <v>359</v>
      </c>
      <c r="C34" s="565" t="s">
        <v>361</v>
      </c>
      <c r="D34" s="552"/>
      <c r="E34" s="543">
        <v>204200</v>
      </c>
      <c r="F34" s="543">
        <v>-58389.4</v>
      </c>
      <c r="G34" s="555">
        <f t="shared" si="2"/>
        <v>145810.6</v>
      </c>
      <c r="H34" s="556"/>
      <c r="I34" s="555">
        <v>6166.92</v>
      </c>
    </row>
    <row r="35" spans="1:9" ht="12.75">
      <c r="A35" s="545">
        <v>32</v>
      </c>
      <c r="B35" s="564" t="s">
        <v>362</v>
      </c>
      <c r="C35" s="565" t="s">
        <v>364</v>
      </c>
      <c r="D35" s="552"/>
      <c r="E35" s="543">
        <v>23498389.01</v>
      </c>
      <c r="F35" s="543">
        <v>-8830961.1</v>
      </c>
      <c r="G35" s="555">
        <f t="shared" si="2"/>
        <v>14667427.910000002</v>
      </c>
      <c r="H35" s="556"/>
      <c r="I35" s="555">
        <v>495816</v>
      </c>
    </row>
    <row r="36" spans="1:9" ht="12.75">
      <c r="A36" s="545">
        <v>33</v>
      </c>
      <c r="B36" s="564" t="s">
        <v>365</v>
      </c>
      <c r="C36" s="565" t="s">
        <v>367</v>
      </c>
      <c r="D36" s="552"/>
      <c r="E36" s="543">
        <v>59215.29</v>
      </c>
      <c r="F36" s="543">
        <v>-8629.25</v>
      </c>
      <c r="G36" s="555">
        <f t="shared" si="2"/>
        <v>50586.04</v>
      </c>
      <c r="H36" s="556"/>
      <c r="I36" s="555">
        <v>846.72</v>
      </c>
    </row>
    <row r="37" spans="1:9" ht="12.75">
      <c r="A37" s="545">
        <v>35</v>
      </c>
      <c r="B37" s="551"/>
      <c r="C37" s="557"/>
      <c r="D37" s="557"/>
      <c r="E37" s="558">
        <v>81782920.93</v>
      </c>
      <c r="F37" s="558">
        <v>-26265989.049999997</v>
      </c>
      <c r="G37" s="559">
        <f>SUM(G30:G36)</f>
        <v>55516931.88</v>
      </c>
      <c r="H37" s="560"/>
      <c r="I37" s="559">
        <v>1589474.4</v>
      </c>
    </row>
    <row r="38" spans="1:9" ht="12.75">
      <c r="A38" s="545">
        <v>36</v>
      </c>
      <c r="B38" s="551"/>
      <c r="C38" s="563"/>
      <c r="D38" s="563"/>
      <c r="E38" s="558"/>
      <c r="F38" s="558"/>
      <c r="G38" s="559"/>
      <c r="H38" s="560"/>
      <c r="I38" s="559"/>
    </row>
    <row r="39" spans="1:9" ht="12.75">
      <c r="A39" s="545">
        <v>37</v>
      </c>
      <c r="B39" s="551"/>
      <c r="C39" s="552" t="s">
        <v>389</v>
      </c>
      <c r="D39" s="552"/>
      <c r="E39" s="561"/>
      <c r="F39" s="561"/>
      <c r="G39" s="562"/>
      <c r="H39" s="560"/>
      <c r="I39" s="562"/>
    </row>
    <row r="40" spans="1:9" ht="12.75">
      <c r="A40" s="545">
        <v>38</v>
      </c>
      <c r="B40" s="564" t="s">
        <v>347</v>
      </c>
      <c r="C40" s="565" t="s">
        <v>349</v>
      </c>
      <c r="D40" s="552"/>
      <c r="E40" s="543">
        <v>30604.26</v>
      </c>
      <c r="F40" s="543">
        <v>0</v>
      </c>
      <c r="G40" s="555">
        <f>SUM(E40:F40)</f>
        <v>30604.26</v>
      </c>
      <c r="H40" s="556"/>
      <c r="I40" s="555"/>
    </row>
    <row r="41" spans="1:9" ht="12.75">
      <c r="A41" s="545">
        <v>39</v>
      </c>
      <c r="B41" s="564" t="s">
        <v>356</v>
      </c>
      <c r="C41" s="565" t="s">
        <v>358</v>
      </c>
      <c r="D41" s="552"/>
      <c r="E41" s="543">
        <v>5744097.42</v>
      </c>
      <c r="F41" s="543">
        <v>-1299145.55</v>
      </c>
      <c r="G41" s="555">
        <f>SUM(E41:F41)</f>
        <v>4444951.87</v>
      </c>
      <c r="H41" s="556"/>
      <c r="I41" s="555">
        <v>95926.44</v>
      </c>
    </row>
    <row r="42" spans="1:9" ht="12.75">
      <c r="A42" s="545">
        <v>40</v>
      </c>
      <c r="B42" s="564" t="s">
        <v>359</v>
      </c>
      <c r="C42" s="565" t="s">
        <v>361</v>
      </c>
      <c r="D42" s="552"/>
      <c r="E42" s="543">
        <v>3409904.12</v>
      </c>
      <c r="F42" s="543">
        <v>-1063404.5</v>
      </c>
      <c r="G42" s="555">
        <f>SUM(E42:F42)</f>
        <v>2346499.62</v>
      </c>
      <c r="H42" s="556"/>
      <c r="I42" s="555">
        <v>102889.08</v>
      </c>
    </row>
    <row r="43" spans="1:9" ht="12.75">
      <c r="A43" s="545">
        <v>41</v>
      </c>
      <c r="B43" s="564" t="s">
        <v>362</v>
      </c>
      <c r="C43" s="565" t="s">
        <v>364</v>
      </c>
      <c r="D43" s="552"/>
      <c r="E43" s="543">
        <v>12602797.53</v>
      </c>
      <c r="F43" s="543">
        <v>-3731405.3</v>
      </c>
      <c r="G43" s="555">
        <f>SUM(E43:F43)</f>
        <v>8871392.23</v>
      </c>
      <c r="H43" s="556"/>
      <c r="I43" s="555">
        <v>265919.04</v>
      </c>
    </row>
    <row r="44" spans="1:9" ht="12.75">
      <c r="A44" s="545">
        <v>44</v>
      </c>
      <c r="B44" s="551"/>
      <c r="C44" s="557"/>
      <c r="D44" s="557"/>
      <c r="E44" s="558">
        <v>21787403.33</v>
      </c>
      <c r="F44" s="558">
        <v>-6093955.35</v>
      </c>
      <c r="G44" s="559">
        <f>SUM(G40:G43)</f>
        <v>15693447.98</v>
      </c>
      <c r="H44" s="560"/>
      <c r="I44" s="559">
        <v>464734.56</v>
      </c>
    </row>
    <row r="45" spans="1:9" ht="12.75">
      <c r="A45" s="545">
        <v>45</v>
      </c>
      <c r="B45" s="551"/>
      <c r="C45" s="566"/>
      <c r="D45" s="566"/>
      <c r="E45" s="559"/>
      <c r="F45" s="559"/>
      <c r="G45" s="559"/>
      <c r="H45" s="560"/>
      <c r="I45" s="559"/>
    </row>
    <row r="46" spans="1:9" ht="12.75">
      <c r="A46" s="545">
        <v>46</v>
      </c>
      <c r="B46" s="551"/>
      <c r="C46" s="563"/>
      <c r="D46" s="563"/>
      <c r="E46" s="562"/>
      <c r="F46" s="562"/>
      <c r="G46" s="562"/>
      <c r="H46" s="560"/>
      <c r="I46" s="562"/>
    </row>
    <row r="47" spans="1:9" ht="13.5" thickBot="1">
      <c r="A47" s="545">
        <v>47</v>
      </c>
      <c r="B47" s="552" t="s">
        <v>402</v>
      </c>
      <c r="C47" s="557"/>
      <c r="D47" s="557"/>
      <c r="E47" s="567">
        <v>194292297.64</v>
      </c>
      <c r="F47" s="567">
        <v>-86340985.44999999</v>
      </c>
      <c r="G47" s="567">
        <f>G17+G27+G37+G44</f>
        <v>107951312.19000001</v>
      </c>
      <c r="H47" s="554"/>
      <c r="I47" s="567">
        <f>I17+I27+I37+I44</f>
        <v>3808783.17</v>
      </c>
    </row>
    <row r="48" spans="1:9" ht="13.5" thickTop="1">
      <c r="A48" s="545">
        <v>48</v>
      </c>
      <c r="B48" s="541" t="s">
        <v>403</v>
      </c>
      <c r="C48" s="557"/>
      <c r="D48" s="557"/>
      <c r="E48" s="560">
        <f>F47</f>
        <v>-86340985.44999999</v>
      </c>
      <c r="F48" s="560"/>
      <c r="G48" s="560"/>
      <c r="H48" s="560"/>
      <c r="I48" s="560"/>
    </row>
    <row r="49" spans="1:9" ht="12.75">
      <c r="A49" s="545">
        <v>49</v>
      </c>
      <c r="B49" s="541" t="s">
        <v>404</v>
      </c>
      <c r="C49" s="557"/>
      <c r="D49" s="557"/>
      <c r="E49" s="560">
        <v>-9572114.541666677</v>
      </c>
      <c r="F49" s="557"/>
      <c r="G49" s="557"/>
      <c r="H49" s="568"/>
      <c r="I49" s="557"/>
    </row>
    <row r="50" spans="1:9" ht="12.75">
      <c r="A50" s="545">
        <v>50</v>
      </c>
      <c r="B50" s="541" t="s">
        <v>405</v>
      </c>
      <c r="C50" s="557"/>
      <c r="D50" s="557"/>
      <c r="F50" s="542"/>
      <c r="G50" s="542"/>
      <c r="H50" s="542"/>
      <c r="I50" s="542"/>
    </row>
    <row r="51" spans="1:9" ht="12.75">
      <c r="A51" s="545">
        <v>51</v>
      </c>
      <c r="B51" s="569" t="s">
        <v>406</v>
      </c>
      <c r="C51" s="557"/>
      <c r="D51" s="557"/>
      <c r="E51" s="560">
        <v>3407401.4100000323</v>
      </c>
      <c r="F51" s="560"/>
      <c r="G51" s="560"/>
      <c r="H51" s="560"/>
      <c r="I51" s="560">
        <v>213630.15</v>
      </c>
    </row>
    <row r="52" spans="1:9" ht="12.75">
      <c r="A52" s="545">
        <v>52</v>
      </c>
      <c r="B52" s="569" t="s">
        <v>407</v>
      </c>
      <c r="C52" s="557"/>
      <c r="D52" s="557"/>
      <c r="E52" s="570">
        <v>551340.7375</v>
      </c>
      <c r="F52" s="560"/>
      <c r="G52" s="570"/>
      <c r="H52" s="560"/>
      <c r="I52" s="560">
        <v>34492.794</v>
      </c>
    </row>
    <row r="53" spans="1:9" ht="12.75">
      <c r="A53" s="545">
        <v>53</v>
      </c>
      <c r="C53" s="557"/>
      <c r="D53" s="557"/>
      <c r="E53" s="559"/>
      <c r="F53" s="560"/>
      <c r="G53" s="560"/>
      <c r="H53" s="560"/>
      <c r="I53" s="559"/>
    </row>
    <row r="54" spans="1:9" ht="13.5" thickBot="1">
      <c r="A54" s="545">
        <v>54</v>
      </c>
      <c r="B54" s="541" t="s">
        <v>408</v>
      </c>
      <c r="C54" s="557"/>
      <c r="D54" s="557"/>
      <c r="E54" s="567">
        <f>SUM(E47:E53)</f>
        <v>102337939.79583335</v>
      </c>
      <c r="F54" s="554"/>
      <c r="G54" s="554"/>
      <c r="H54" s="554"/>
      <c r="I54" s="567">
        <f>SUM(I47:I53)</f>
        <v>4056906.114</v>
      </c>
    </row>
    <row r="55" ht="13.5" thickTop="1"/>
    <row r="57" ht="12.75">
      <c r="A57" s="571"/>
    </row>
  </sheetData>
  <sheetProtection/>
  <printOptions horizontalCentered="1"/>
  <pageMargins left="0.5" right="0.5" top="0.75" bottom="0.25" header="0.32" footer="0.27"/>
  <pageSetup fitToHeight="1" fitToWidth="1" horizontalDpi="600" verticalDpi="600" orientation="portrait" scale="84" r:id="rId1"/>
</worksheet>
</file>

<file path=xl/worksheets/sheet13.xml><?xml version="1.0" encoding="utf-8"?>
<worksheet xmlns="http://schemas.openxmlformats.org/spreadsheetml/2006/main" xmlns:r="http://schemas.openxmlformats.org/officeDocument/2006/relationships">
  <dimension ref="A1:X129"/>
  <sheetViews>
    <sheetView zoomScalePageLayoutView="0" workbookViewId="0" topLeftCell="A49">
      <selection activeCell="C81" sqref="C81"/>
    </sheetView>
  </sheetViews>
  <sheetFormatPr defaultColWidth="9.140625" defaultRowHeight="12.75"/>
  <cols>
    <col min="1" max="1" width="6.8515625" style="337" customWidth="1"/>
    <col min="2" max="2" width="12.7109375" style="339" customWidth="1"/>
    <col min="3" max="3" width="36.8515625" style="339" customWidth="1"/>
    <col min="4" max="4" width="14.8515625" style="339" customWidth="1"/>
    <col min="5" max="5" width="15.421875" style="339" customWidth="1"/>
    <col min="6" max="6" width="16.140625" style="339" customWidth="1"/>
    <col min="7" max="7" width="16.57421875" style="339" customWidth="1"/>
    <col min="8" max="8" width="16.421875" style="339" customWidth="1"/>
    <col min="9" max="9" width="16.140625" style="339" customWidth="1"/>
    <col min="10" max="10" width="17.28125" style="339" customWidth="1"/>
    <col min="11" max="11" width="12.8515625" style="339" bestFit="1" customWidth="1"/>
    <col min="12" max="16384" width="9.140625" style="339" customWidth="1"/>
  </cols>
  <sheetData>
    <row r="1" spans="2:9" ht="18">
      <c r="B1" s="338" t="s">
        <v>98</v>
      </c>
      <c r="H1" s="340"/>
      <c r="I1" s="282" t="s">
        <v>2</v>
      </c>
    </row>
    <row r="2" spans="1:9" ht="13.5" thickBot="1">
      <c r="A2" s="337" t="s">
        <v>236</v>
      </c>
      <c r="B2" s="341" t="s">
        <v>99</v>
      </c>
      <c r="H2" s="340"/>
      <c r="I2" s="282" t="s">
        <v>3</v>
      </c>
    </row>
    <row r="3" spans="1:9" ht="14.25" thickBot="1" thickTop="1">
      <c r="A3" s="337">
        <f>ROW()</f>
        <v>3</v>
      </c>
      <c r="C3" s="339" t="s">
        <v>100</v>
      </c>
      <c r="D3" s="156">
        <f>F67</f>
        <v>728146067.5649999</v>
      </c>
      <c r="H3" s="340"/>
      <c r="I3" s="284" t="s">
        <v>4</v>
      </c>
    </row>
    <row r="4" spans="1:9" ht="13.5" thickTop="1">
      <c r="A4" s="337">
        <f>ROW()</f>
        <v>4</v>
      </c>
      <c r="C4" s="339" t="s">
        <v>101</v>
      </c>
      <c r="D4" s="342">
        <f>I67</f>
        <v>-431600070.94499993</v>
      </c>
      <c r="H4" s="340"/>
      <c r="I4" s="343"/>
    </row>
    <row r="5" spans="1:9" ht="12.75">
      <c r="A5" s="337">
        <f>ROW()</f>
        <v>5</v>
      </c>
      <c r="C5" s="344" t="s">
        <v>10</v>
      </c>
      <c r="D5" s="160">
        <v>-63386506.00000001</v>
      </c>
      <c r="H5" s="340"/>
      <c r="I5" s="340"/>
    </row>
    <row r="6" spans="1:9" ht="12.75">
      <c r="A6" s="337">
        <f>ROW()</f>
        <v>6</v>
      </c>
      <c r="C6" s="339" t="s">
        <v>102</v>
      </c>
      <c r="D6" s="345">
        <f>SUM(D3:D5)</f>
        <v>233159490.62</v>
      </c>
      <c r="H6" s="346" t="s">
        <v>161</v>
      </c>
      <c r="I6" s="340"/>
    </row>
    <row r="7" spans="1:4" ht="12.75">
      <c r="A7" s="337">
        <f>ROW()</f>
        <v>7</v>
      </c>
      <c r="C7" s="339" t="s">
        <v>103</v>
      </c>
      <c r="D7" s="56">
        <v>0.07339999999999999</v>
      </c>
    </row>
    <row r="8" spans="1:5" ht="12.75">
      <c r="A8" s="337">
        <f>ROW()</f>
        <v>8</v>
      </c>
      <c r="C8" s="339" t="s">
        <v>104</v>
      </c>
      <c r="D8" s="347">
        <f>D6*D7</f>
        <v>17113906.611507997</v>
      </c>
      <c r="E8" s="339" t="s">
        <v>105</v>
      </c>
    </row>
    <row r="9" spans="1:8" ht="12.75">
      <c r="A9" s="337">
        <f>ROW()</f>
        <v>9</v>
      </c>
      <c r="C9" s="339" t="s">
        <v>106</v>
      </c>
      <c r="D9" s="347">
        <f>D8/(1-0.35)</f>
        <v>26329087.094627686</v>
      </c>
      <c r="E9" s="339" t="s">
        <v>107</v>
      </c>
      <c r="H9" s="164">
        <v>0.35</v>
      </c>
    </row>
    <row r="10" spans="1:4" ht="12.75">
      <c r="A10" s="337">
        <f>ROW()</f>
        <v>10</v>
      </c>
      <c r="C10" s="339" t="s">
        <v>108</v>
      </c>
      <c r="D10" s="348">
        <f>D108</f>
        <v>59382539.88299</v>
      </c>
    </row>
    <row r="11" spans="1:5" ht="12.75">
      <c r="A11" s="337">
        <f>ROW()</f>
        <v>11</v>
      </c>
      <c r="C11" s="339" t="s">
        <v>109</v>
      </c>
      <c r="D11" s="625">
        <f>D10+D9</f>
        <v>85711626.97761768</v>
      </c>
      <c r="E11" s="339" t="s">
        <v>110</v>
      </c>
    </row>
    <row r="12" ht="12.75">
      <c r="A12" s="337">
        <f>ROW()</f>
        <v>12</v>
      </c>
    </row>
    <row r="13" spans="1:2" ht="12.75">
      <c r="A13" s="337">
        <f>ROW()</f>
        <v>13</v>
      </c>
      <c r="B13" s="339" t="s">
        <v>111</v>
      </c>
    </row>
    <row r="14" spans="1:9" s="353" customFormat="1" ht="25.5">
      <c r="A14" s="349">
        <f>ROW()</f>
        <v>14</v>
      </c>
      <c r="B14" s="350" t="s">
        <v>112</v>
      </c>
      <c r="C14" s="350" t="s">
        <v>113</v>
      </c>
      <c r="D14" s="351" t="s">
        <v>11</v>
      </c>
      <c r="E14" s="351" t="s">
        <v>12</v>
      </c>
      <c r="F14" s="352" t="s">
        <v>118</v>
      </c>
      <c r="G14" s="352" t="s">
        <v>119</v>
      </c>
      <c r="H14" s="352" t="s">
        <v>120</v>
      </c>
      <c r="I14" s="352" t="s">
        <v>175</v>
      </c>
    </row>
    <row r="15" spans="1:10" s="359" customFormat="1" ht="12.75">
      <c r="A15" s="354">
        <f>ROW()</f>
        <v>15</v>
      </c>
      <c r="B15" s="355"/>
      <c r="C15" s="356" t="s">
        <v>121</v>
      </c>
      <c r="D15" s="174"/>
      <c r="E15" s="174"/>
      <c r="F15" s="175"/>
      <c r="G15" s="57"/>
      <c r="H15" s="175"/>
      <c r="I15" s="357"/>
      <c r="J15" s="358"/>
    </row>
    <row r="16" spans="1:9" s="358" customFormat="1" ht="12.75">
      <c r="A16" s="354">
        <f>ROW()</f>
        <v>16</v>
      </c>
      <c r="B16" s="355" t="s">
        <v>122</v>
      </c>
      <c r="C16" s="356" t="s">
        <v>123</v>
      </c>
      <c r="D16" s="360">
        <v>7556</v>
      </c>
      <c r="E16" s="360">
        <v>7813</v>
      </c>
      <c r="F16" s="175">
        <v>7714283</v>
      </c>
      <c r="G16" s="58">
        <v>0.0174</v>
      </c>
      <c r="H16" s="175">
        <v>133717.15</v>
      </c>
      <c r="I16" s="174">
        <v>-4854610.285</v>
      </c>
    </row>
    <row r="17" spans="1:9" s="358" customFormat="1" ht="12.75">
      <c r="A17" s="354">
        <f>ROW()</f>
        <v>17</v>
      </c>
      <c r="B17" s="355" t="s">
        <v>124</v>
      </c>
      <c r="C17" s="356" t="s">
        <v>125</v>
      </c>
      <c r="D17" s="360">
        <v>58225</v>
      </c>
      <c r="E17" s="360">
        <v>63085</v>
      </c>
      <c r="F17" s="175">
        <v>63102694</v>
      </c>
      <c r="G17" s="58">
        <v>0.0169</v>
      </c>
      <c r="H17" s="175">
        <v>1025075.83</v>
      </c>
      <c r="I17" s="174">
        <v>-39110825.53</v>
      </c>
    </row>
    <row r="18" spans="1:9" s="358" customFormat="1" ht="12.75">
      <c r="A18" s="354">
        <f>ROW()</f>
        <v>18</v>
      </c>
      <c r="B18" s="355" t="s">
        <v>126</v>
      </c>
      <c r="C18" s="356" t="s">
        <v>127</v>
      </c>
      <c r="D18" s="360">
        <v>22496</v>
      </c>
      <c r="E18" s="360">
        <v>22250</v>
      </c>
      <c r="F18" s="175">
        <v>22348601</v>
      </c>
      <c r="G18" s="58">
        <v>0.0236</v>
      </c>
      <c r="H18" s="175">
        <v>528005.85</v>
      </c>
      <c r="I18" s="174">
        <v>-9783891.4</v>
      </c>
    </row>
    <row r="19" spans="1:9" s="358" customFormat="1" ht="12.75">
      <c r="A19" s="354">
        <f>ROW()</f>
        <v>19</v>
      </c>
      <c r="B19" s="355" t="s">
        <v>128</v>
      </c>
      <c r="C19" s="356" t="s">
        <v>129</v>
      </c>
      <c r="D19" s="360">
        <v>7180</v>
      </c>
      <c r="E19" s="360">
        <v>7238</v>
      </c>
      <c r="F19" s="175">
        <v>7214849</v>
      </c>
      <c r="G19" s="58">
        <v>0.0093</v>
      </c>
      <c r="H19" s="175">
        <v>67047.24</v>
      </c>
      <c r="I19" s="174">
        <v>-5712650.59</v>
      </c>
    </row>
    <row r="20" spans="1:9" s="358" customFormat="1" ht="12.75">
      <c r="A20" s="354">
        <f>ROW()</f>
        <v>20</v>
      </c>
      <c r="B20" s="355" t="s">
        <v>130</v>
      </c>
      <c r="C20" s="356" t="s">
        <v>131</v>
      </c>
      <c r="D20" s="360">
        <v>804</v>
      </c>
      <c r="E20" s="360">
        <v>924</v>
      </c>
      <c r="F20" s="175">
        <v>869668</v>
      </c>
      <c r="G20" s="58">
        <v>0.0231</v>
      </c>
      <c r="H20" s="175">
        <v>19955.13</v>
      </c>
      <c r="I20" s="174">
        <v>-369307.42</v>
      </c>
    </row>
    <row r="21" spans="1:9" s="358" customFormat="1" ht="12.75">
      <c r="A21" s="354">
        <f>ROW()</f>
        <v>21</v>
      </c>
      <c r="B21" s="355"/>
      <c r="C21" s="356" t="s">
        <v>132</v>
      </c>
      <c r="D21" s="180">
        <f>SUM(D16:D20)</f>
        <v>96261</v>
      </c>
      <c r="E21" s="180">
        <f>SUM(E16:E20)</f>
        <v>101310</v>
      </c>
      <c r="F21" s="180">
        <f>SUM(F16:F20)</f>
        <v>101250095</v>
      </c>
      <c r="G21" s="59">
        <f>ROUND(+H21/F21,4)</f>
        <v>0.0175</v>
      </c>
      <c r="H21" s="181">
        <f>SUM(H16:H20)</f>
        <v>1773801.2</v>
      </c>
      <c r="I21" s="181">
        <f>SUM(I16:I20)</f>
        <v>-59831285.224999994</v>
      </c>
    </row>
    <row r="22" spans="1:9" s="358" customFormat="1" ht="12.75">
      <c r="A22" s="354">
        <f>ROW()</f>
        <v>22</v>
      </c>
      <c r="B22" s="355"/>
      <c r="C22" s="356" t="s">
        <v>133</v>
      </c>
      <c r="D22" s="174"/>
      <c r="E22" s="174"/>
      <c r="F22" s="175"/>
      <c r="G22" s="57"/>
      <c r="H22" s="175"/>
      <c r="I22" s="357"/>
    </row>
    <row r="23" spans="1:9" s="358" customFormat="1" ht="12.75">
      <c r="A23" s="354">
        <f>ROW()</f>
        <v>23</v>
      </c>
      <c r="B23" s="355" t="s">
        <v>122</v>
      </c>
      <c r="C23" s="356" t="s">
        <v>123</v>
      </c>
      <c r="D23" s="174">
        <v>5943</v>
      </c>
      <c r="E23" s="174">
        <v>6200</v>
      </c>
      <c r="F23" s="175">
        <v>6101224</v>
      </c>
      <c r="G23" s="58">
        <v>0.0132</v>
      </c>
      <c r="H23" s="175">
        <v>80148.25</v>
      </c>
      <c r="I23" s="174">
        <v>-4493956.42</v>
      </c>
    </row>
    <row r="24" spans="1:9" s="358" customFormat="1" ht="12.75">
      <c r="A24" s="354">
        <f>ROW()</f>
        <v>24</v>
      </c>
      <c r="B24" s="355" t="s">
        <v>124</v>
      </c>
      <c r="C24" s="356" t="s">
        <v>125</v>
      </c>
      <c r="D24" s="174">
        <v>49814</v>
      </c>
      <c r="E24" s="174">
        <v>59733</v>
      </c>
      <c r="F24" s="175">
        <v>54857460</v>
      </c>
      <c r="G24" s="58">
        <v>0.0178</v>
      </c>
      <c r="H24" s="175">
        <v>974968.26</v>
      </c>
      <c r="I24" s="174">
        <v>-32592566.085</v>
      </c>
    </row>
    <row r="25" spans="1:9" s="358" customFormat="1" ht="12.75">
      <c r="A25" s="354">
        <f>ROW()</f>
        <v>25</v>
      </c>
      <c r="B25" s="355" t="s">
        <v>126</v>
      </c>
      <c r="C25" s="356" t="s">
        <v>127</v>
      </c>
      <c r="D25" s="174">
        <v>20626</v>
      </c>
      <c r="E25" s="174">
        <v>26718</v>
      </c>
      <c r="F25" s="175">
        <v>23709296</v>
      </c>
      <c r="G25" s="58">
        <v>0.0229</v>
      </c>
      <c r="H25" s="175">
        <v>542087.88</v>
      </c>
      <c r="I25" s="174">
        <v>-9352306.055</v>
      </c>
    </row>
    <row r="26" spans="1:9" s="358" customFormat="1" ht="12.75">
      <c r="A26" s="354">
        <f>ROW()</f>
        <v>26</v>
      </c>
      <c r="B26" s="355" t="s">
        <v>128</v>
      </c>
      <c r="C26" s="356" t="s">
        <v>129</v>
      </c>
      <c r="D26" s="174">
        <v>5088</v>
      </c>
      <c r="E26" s="174">
        <v>5140</v>
      </c>
      <c r="F26" s="175">
        <v>5122131</v>
      </c>
      <c r="G26" s="58">
        <v>0.0136</v>
      </c>
      <c r="H26" s="175">
        <v>69552.89</v>
      </c>
      <c r="I26" s="174">
        <v>-3436092.465</v>
      </c>
    </row>
    <row r="27" spans="1:9" s="358" customFormat="1" ht="12.75">
      <c r="A27" s="354">
        <f>ROW()</f>
        <v>27</v>
      </c>
      <c r="B27" s="355" t="s">
        <v>130</v>
      </c>
      <c r="C27" s="356" t="s">
        <v>131</v>
      </c>
      <c r="D27" s="174">
        <v>829</v>
      </c>
      <c r="E27" s="174">
        <v>954</v>
      </c>
      <c r="F27" s="175">
        <v>894667</v>
      </c>
      <c r="G27" s="58">
        <v>0.0238</v>
      </c>
      <c r="H27" s="175">
        <v>21212.62</v>
      </c>
      <c r="I27" s="174">
        <v>-367317.13</v>
      </c>
    </row>
    <row r="28" spans="1:9" s="358" customFormat="1" ht="12.75">
      <c r="A28" s="354">
        <f>ROW()</f>
        <v>28</v>
      </c>
      <c r="B28" s="355"/>
      <c r="C28" s="356" t="s">
        <v>132</v>
      </c>
      <c r="D28" s="180">
        <f>SUM(D23:D27)</f>
        <v>82300</v>
      </c>
      <c r="E28" s="180">
        <f>SUM(E23:E27)</f>
        <v>98745</v>
      </c>
      <c r="F28" s="180">
        <f>SUM(F23:F27)</f>
        <v>90684778</v>
      </c>
      <c r="G28" s="59">
        <f>ROUND(+H28/F28,4)</f>
        <v>0.0186</v>
      </c>
      <c r="H28" s="181">
        <f>SUM(H23:H27)</f>
        <v>1687969.9000000001</v>
      </c>
      <c r="I28" s="180">
        <f>SUM(I23:I27)</f>
        <v>-50242238.15500001</v>
      </c>
    </row>
    <row r="29" spans="1:9" s="358" customFormat="1" ht="12.75">
      <c r="A29" s="354">
        <f>ROW()</f>
        <v>29</v>
      </c>
      <c r="B29" s="355"/>
      <c r="C29" s="356" t="s">
        <v>134</v>
      </c>
      <c r="D29" s="174"/>
      <c r="E29" s="174"/>
      <c r="F29" s="175"/>
      <c r="G29" s="57"/>
      <c r="H29" s="175"/>
      <c r="I29" s="357"/>
    </row>
    <row r="30" spans="1:9" s="358" customFormat="1" ht="12.75">
      <c r="A30" s="354">
        <f>ROW()</f>
        <v>30</v>
      </c>
      <c r="B30" s="355" t="s">
        <v>122</v>
      </c>
      <c r="C30" s="356" t="s">
        <v>123</v>
      </c>
      <c r="D30" s="174">
        <v>31349</v>
      </c>
      <c r="E30" s="174">
        <v>31278</v>
      </c>
      <c r="F30" s="175">
        <v>31346065</v>
      </c>
      <c r="G30" s="58">
        <v>0.0123</v>
      </c>
      <c r="H30" s="175">
        <v>297019.65</v>
      </c>
      <c r="I30" s="174">
        <v>-24894140.7</v>
      </c>
    </row>
    <row r="31" spans="1:9" s="358" customFormat="1" ht="12.75">
      <c r="A31" s="354">
        <f>ROW()</f>
        <v>31</v>
      </c>
      <c r="B31" s="355" t="s">
        <v>124</v>
      </c>
      <c r="C31" s="356" t="s">
        <v>125</v>
      </c>
      <c r="D31" s="174">
        <v>6222</v>
      </c>
      <c r="E31" s="174">
        <v>6222</v>
      </c>
      <c r="F31" s="175">
        <v>6222182</v>
      </c>
      <c r="G31" s="58">
        <v>0.0127</v>
      </c>
      <c r="H31" s="175">
        <v>79021.68</v>
      </c>
      <c r="I31" s="174">
        <v>-4623583.8</v>
      </c>
    </row>
    <row r="32" spans="1:9" s="358" customFormat="1" ht="12.75">
      <c r="A32" s="354">
        <f>ROW()</f>
        <v>32</v>
      </c>
      <c r="B32" s="355" t="s">
        <v>126</v>
      </c>
      <c r="C32" s="356" t="s">
        <v>127</v>
      </c>
      <c r="D32" s="174">
        <v>3844</v>
      </c>
      <c r="E32" s="174">
        <v>3844</v>
      </c>
      <c r="F32" s="175">
        <v>3844103</v>
      </c>
      <c r="G32" s="58">
        <v>0.0124</v>
      </c>
      <c r="H32" s="175">
        <v>47666.88</v>
      </c>
      <c r="I32" s="174">
        <v>-3154542.6</v>
      </c>
    </row>
    <row r="33" spans="1:9" s="358" customFormat="1" ht="12.75">
      <c r="A33" s="354">
        <f>ROW()</f>
        <v>33</v>
      </c>
      <c r="B33" s="355" t="s">
        <v>128</v>
      </c>
      <c r="C33" s="356" t="s">
        <v>129</v>
      </c>
      <c r="D33" s="174">
        <v>2375</v>
      </c>
      <c r="E33" s="174">
        <v>2375</v>
      </c>
      <c r="F33" s="175">
        <v>2375376</v>
      </c>
      <c r="G33" s="58">
        <v>0.0114</v>
      </c>
      <c r="H33" s="175">
        <v>27079.32</v>
      </c>
      <c r="I33" s="174">
        <v>-1772102.05</v>
      </c>
    </row>
    <row r="34" spans="1:9" s="358" customFormat="1" ht="12.75">
      <c r="A34" s="354">
        <f>ROW()</f>
        <v>34</v>
      </c>
      <c r="B34" s="355" t="s">
        <v>130</v>
      </c>
      <c r="C34" s="356" t="s">
        <v>131</v>
      </c>
      <c r="D34" s="174">
        <v>6273</v>
      </c>
      <c r="E34" s="174">
        <v>6273</v>
      </c>
      <c r="F34" s="175">
        <v>6272869</v>
      </c>
      <c r="G34" s="58">
        <v>0.014</v>
      </c>
      <c r="H34" s="175">
        <v>87820.2</v>
      </c>
      <c r="I34" s="174">
        <v>-4556485.6</v>
      </c>
    </row>
    <row r="35" spans="1:9" s="358" customFormat="1" ht="12.75">
      <c r="A35" s="354">
        <f>ROW()</f>
        <v>35</v>
      </c>
      <c r="B35" s="355" t="s">
        <v>135</v>
      </c>
      <c r="C35" s="356" t="s">
        <v>136</v>
      </c>
      <c r="D35" s="174">
        <v>540</v>
      </c>
      <c r="E35" s="174">
        <v>540</v>
      </c>
      <c r="F35" s="175">
        <v>540097</v>
      </c>
      <c r="G35" s="58">
        <v>0</v>
      </c>
      <c r="H35" s="175">
        <v>15431</v>
      </c>
      <c r="I35" s="174">
        <v>-439792</v>
      </c>
    </row>
    <row r="36" spans="1:9" s="358" customFormat="1" ht="12.75">
      <c r="A36" s="354">
        <f>ROW()</f>
        <v>36</v>
      </c>
      <c r="B36" s="355"/>
      <c r="C36" s="356" t="s">
        <v>132</v>
      </c>
      <c r="D36" s="180">
        <f>SUM(D30:D35)</f>
        <v>50603</v>
      </c>
      <c r="E36" s="180">
        <f>SUM(E30:E35)</f>
        <v>50532</v>
      </c>
      <c r="F36" s="180">
        <f>SUM(F30:F35)</f>
        <v>50600692</v>
      </c>
      <c r="G36" s="59">
        <f>ROUND(+H36/F36,4)</f>
        <v>0.0109</v>
      </c>
      <c r="H36" s="181">
        <f>SUM(H30:H35)</f>
        <v>554038.73</v>
      </c>
      <c r="I36" s="181">
        <f>SUM(I30:I35)</f>
        <v>-39440646.75</v>
      </c>
    </row>
    <row r="37" spans="1:9" s="358" customFormat="1" ht="12.75">
      <c r="A37" s="354">
        <f>ROW()</f>
        <v>37</v>
      </c>
      <c r="B37" s="355"/>
      <c r="C37" s="356" t="s">
        <v>137</v>
      </c>
      <c r="D37" s="174"/>
      <c r="E37" s="174"/>
      <c r="F37" s="175"/>
      <c r="G37" s="57"/>
      <c r="H37" s="175"/>
      <c r="I37" s="357"/>
    </row>
    <row r="38" spans="1:9" s="358" customFormat="1" ht="12.75">
      <c r="A38" s="354">
        <f>ROW()</f>
        <v>38</v>
      </c>
      <c r="B38" s="355" t="s">
        <v>122</v>
      </c>
      <c r="C38" s="356" t="s">
        <v>123</v>
      </c>
      <c r="D38" s="174">
        <v>29059</v>
      </c>
      <c r="E38" s="174">
        <v>29123</v>
      </c>
      <c r="F38" s="175">
        <v>29092312</v>
      </c>
      <c r="G38" s="58">
        <v>0.0133</v>
      </c>
      <c r="H38" s="175">
        <v>386907.97</v>
      </c>
      <c r="I38" s="174">
        <v>-18831112.345</v>
      </c>
    </row>
    <row r="39" spans="1:9" s="358" customFormat="1" ht="12.75">
      <c r="A39" s="354">
        <f>ROW()</f>
        <v>39</v>
      </c>
      <c r="B39" s="355" t="s">
        <v>124</v>
      </c>
      <c r="C39" s="356" t="s">
        <v>125</v>
      </c>
      <c r="D39" s="174">
        <v>123948</v>
      </c>
      <c r="E39" s="174">
        <v>125116</v>
      </c>
      <c r="F39" s="175">
        <v>124763575</v>
      </c>
      <c r="G39" s="58">
        <v>0.0144</v>
      </c>
      <c r="H39" s="175">
        <v>1793256.43</v>
      </c>
      <c r="I39" s="174">
        <v>-80229153.575</v>
      </c>
    </row>
    <row r="40" spans="1:9" s="358" customFormat="1" ht="12.75">
      <c r="A40" s="354">
        <f>ROW()</f>
        <v>40</v>
      </c>
      <c r="B40" s="355" t="s">
        <v>126</v>
      </c>
      <c r="C40" s="356" t="s">
        <v>127</v>
      </c>
      <c r="D40" s="174">
        <v>39774</v>
      </c>
      <c r="E40" s="174">
        <v>38556</v>
      </c>
      <c r="F40" s="175">
        <v>39760916</v>
      </c>
      <c r="G40" s="58">
        <v>0.0187</v>
      </c>
      <c r="H40" s="175">
        <v>732387.26</v>
      </c>
      <c r="I40" s="174">
        <v>-17927707.755</v>
      </c>
    </row>
    <row r="41" spans="1:9" s="358" customFormat="1" ht="12.75">
      <c r="A41" s="354">
        <f>ROW()</f>
        <v>41</v>
      </c>
      <c r="B41" s="355" t="s">
        <v>128</v>
      </c>
      <c r="C41" s="356" t="s">
        <v>129</v>
      </c>
      <c r="D41" s="174">
        <v>6461</v>
      </c>
      <c r="E41" s="174">
        <v>6461</v>
      </c>
      <c r="F41" s="175">
        <v>6460699</v>
      </c>
      <c r="G41" s="58">
        <v>0.0128</v>
      </c>
      <c r="H41" s="175">
        <v>82696.92</v>
      </c>
      <c r="I41" s="174">
        <v>-3917808.7</v>
      </c>
    </row>
    <row r="42" spans="1:9" s="358" customFormat="1" ht="12.75">
      <c r="A42" s="354">
        <f>ROW()</f>
        <v>42</v>
      </c>
      <c r="B42" s="355" t="s">
        <v>130</v>
      </c>
      <c r="C42" s="356" t="s">
        <v>131</v>
      </c>
      <c r="D42" s="174">
        <v>708</v>
      </c>
      <c r="E42" s="174">
        <v>782</v>
      </c>
      <c r="F42" s="175">
        <v>748895</v>
      </c>
      <c r="G42" s="58">
        <v>0.0201</v>
      </c>
      <c r="H42" s="175">
        <v>14972.16</v>
      </c>
      <c r="I42" s="174">
        <v>-288324.035</v>
      </c>
    </row>
    <row r="43" spans="1:9" s="358" customFormat="1" ht="12.75">
      <c r="A43" s="354">
        <f>ROW()</f>
        <v>43</v>
      </c>
      <c r="B43" s="355"/>
      <c r="C43" s="356" t="s">
        <v>132</v>
      </c>
      <c r="D43" s="180">
        <f>SUM(D38:D42)</f>
        <v>199950</v>
      </c>
      <c r="E43" s="180">
        <f>SUM(E38:E42)</f>
        <v>200038</v>
      </c>
      <c r="F43" s="180">
        <f>SUM(F38:F42)</f>
        <v>200826397</v>
      </c>
      <c r="G43" s="59">
        <f>ROUND(+H43/F43,4)</f>
        <v>0.015</v>
      </c>
      <c r="H43" s="181">
        <f>SUM(H38:H42)</f>
        <v>3010220.74</v>
      </c>
      <c r="I43" s="181">
        <f>SUM(I38:I42)</f>
        <v>-121194106.41</v>
      </c>
    </row>
    <row r="44" spans="1:9" s="358" customFormat="1" ht="12.75">
      <c r="A44" s="354">
        <f>ROW()</f>
        <v>44</v>
      </c>
      <c r="B44" s="355"/>
      <c r="C44" s="356" t="s">
        <v>138</v>
      </c>
      <c r="D44" s="174"/>
      <c r="E44" s="174"/>
      <c r="F44" s="175"/>
      <c r="G44" s="57"/>
      <c r="H44" s="175"/>
      <c r="I44" s="357"/>
    </row>
    <row r="45" spans="1:9" s="358" customFormat="1" ht="12.75">
      <c r="A45" s="354">
        <f>ROW()</f>
        <v>45</v>
      </c>
      <c r="B45" s="355" t="s">
        <v>122</v>
      </c>
      <c r="C45" s="356" t="s">
        <v>123</v>
      </c>
      <c r="D45" s="174">
        <v>26601</v>
      </c>
      <c r="E45" s="174">
        <v>26665</v>
      </c>
      <c r="F45" s="175">
        <v>26634323</v>
      </c>
      <c r="G45" s="58">
        <v>0.0142</v>
      </c>
      <c r="H45" s="175">
        <v>378186.26</v>
      </c>
      <c r="I45" s="174">
        <v>-16049762.97</v>
      </c>
    </row>
    <row r="46" spans="1:9" s="358" customFormat="1" ht="12.75">
      <c r="A46" s="354">
        <f>ROW()</f>
        <v>46</v>
      </c>
      <c r="B46" s="355" t="s">
        <v>124</v>
      </c>
      <c r="C46" s="356" t="s">
        <v>125</v>
      </c>
      <c r="D46" s="174">
        <v>107641</v>
      </c>
      <c r="E46" s="174">
        <v>108737</v>
      </c>
      <c r="F46" s="175">
        <v>108149373</v>
      </c>
      <c r="G46" s="58">
        <v>0.0164</v>
      </c>
      <c r="H46" s="175">
        <v>1774301.87</v>
      </c>
      <c r="I46" s="174">
        <v>-62159670.435</v>
      </c>
    </row>
    <row r="47" spans="1:9" s="358" customFormat="1" ht="12.75">
      <c r="A47" s="354">
        <f>ROW()</f>
        <v>47</v>
      </c>
      <c r="B47" s="355" t="s">
        <v>126</v>
      </c>
      <c r="C47" s="356" t="s">
        <v>127</v>
      </c>
      <c r="D47" s="174">
        <v>37161</v>
      </c>
      <c r="E47" s="174">
        <v>36578</v>
      </c>
      <c r="F47" s="175">
        <v>37174577</v>
      </c>
      <c r="G47" s="58">
        <v>0.0192</v>
      </c>
      <c r="H47" s="175">
        <v>707899.16</v>
      </c>
      <c r="I47" s="174">
        <v>-16716826.115</v>
      </c>
    </row>
    <row r="48" spans="1:9" s="358" customFormat="1" ht="12.75">
      <c r="A48" s="354">
        <f>ROW()</f>
        <v>48</v>
      </c>
      <c r="B48" s="355" t="s">
        <v>128</v>
      </c>
      <c r="C48" s="356" t="s">
        <v>129</v>
      </c>
      <c r="D48" s="174">
        <v>5671</v>
      </c>
      <c r="E48" s="174">
        <v>5671</v>
      </c>
      <c r="F48" s="175">
        <v>5670535</v>
      </c>
      <c r="G48" s="58">
        <v>0.014</v>
      </c>
      <c r="H48" s="175">
        <v>79387.44</v>
      </c>
      <c r="I48" s="174">
        <v>-3127220.5</v>
      </c>
    </row>
    <row r="49" spans="1:9" s="358" customFormat="1" ht="12.75">
      <c r="A49" s="354">
        <f>ROW()</f>
        <v>49</v>
      </c>
      <c r="B49" s="355" t="s">
        <v>130</v>
      </c>
      <c r="C49" s="356" t="s">
        <v>131</v>
      </c>
      <c r="D49" s="174">
        <v>903</v>
      </c>
      <c r="E49" s="174">
        <v>973</v>
      </c>
      <c r="F49" s="175">
        <v>942407</v>
      </c>
      <c r="G49" s="58">
        <v>0.0193</v>
      </c>
      <c r="H49" s="175">
        <v>18098.83</v>
      </c>
      <c r="I49" s="174">
        <v>-384724.265</v>
      </c>
    </row>
    <row r="50" spans="1:9" s="358" customFormat="1" ht="12.75">
      <c r="A50" s="354">
        <f>ROW()</f>
        <v>50</v>
      </c>
      <c r="B50" s="355"/>
      <c r="C50" s="356" t="s">
        <v>132</v>
      </c>
      <c r="D50" s="180">
        <f>SUM(D45:D49)</f>
        <v>177977</v>
      </c>
      <c r="E50" s="180">
        <f>SUM(E45:E49)</f>
        <v>178624</v>
      </c>
      <c r="F50" s="180">
        <f>SUM(F45:F49)</f>
        <v>178571215</v>
      </c>
      <c r="G50" s="59">
        <f>ROUND(+H50/F50,4)</f>
        <v>0.0166</v>
      </c>
      <c r="H50" s="181">
        <f>SUM(H45:H49)</f>
        <v>2957873.56</v>
      </c>
      <c r="I50" s="181">
        <f>SUM(I45:I49)</f>
        <v>-98438204.285</v>
      </c>
    </row>
    <row r="51" spans="1:9" s="358" customFormat="1" ht="12.75">
      <c r="A51" s="354">
        <f>ROW()</f>
        <v>51</v>
      </c>
      <c r="B51" s="355"/>
      <c r="C51" s="356" t="s">
        <v>139</v>
      </c>
      <c r="D51" s="174"/>
      <c r="E51" s="174"/>
      <c r="F51" s="175"/>
      <c r="G51" s="57"/>
      <c r="H51" s="175"/>
      <c r="I51" s="357"/>
    </row>
    <row r="52" spans="1:9" s="358" customFormat="1" ht="12.75">
      <c r="A52" s="354">
        <f>ROW()</f>
        <v>52</v>
      </c>
      <c r="B52" s="355" t="s">
        <v>122</v>
      </c>
      <c r="C52" s="356" t="s">
        <v>123</v>
      </c>
      <c r="D52" s="174">
        <v>70568</v>
      </c>
      <c r="E52" s="174">
        <v>70553</v>
      </c>
      <c r="F52" s="175">
        <v>70566623</v>
      </c>
      <c r="G52" s="58">
        <v>0.0131</v>
      </c>
      <c r="H52" s="175">
        <v>1201267.08</v>
      </c>
      <c r="I52" s="174">
        <v>-45541113.72</v>
      </c>
    </row>
    <row r="53" spans="1:9" s="358" customFormat="1" ht="12.75">
      <c r="A53" s="354">
        <f>ROW()</f>
        <v>53</v>
      </c>
      <c r="B53" s="355" t="s">
        <v>124</v>
      </c>
      <c r="C53" s="356" t="s">
        <v>125</v>
      </c>
      <c r="D53" s="174">
        <v>16975</v>
      </c>
      <c r="E53" s="174">
        <v>16957</v>
      </c>
      <c r="F53" s="175">
        <v>16973911</v>
      </c>
      <c r="G53" s="58">
        <v>0.0149</v>
      </c>
      <c r="H53" s="175">
        <v>252791.91</v>
      </c>
      <c r="I53" s="174">
        <v>-9701623.6</v>
      </c>
    </row>
    <row r="54" spans="1:9" s="358" customFormat="1" ht="12.75">
      <c r="A54" s="354">
        <f>ROW()</f>
        <v>54</v>
      </c>
      <c r="B54" s="355" t="s">
        <v>126</v>
      </c>
      <c r="C54" s="356" t="s">
        <v>127</v>
      </c>
      <c r="D54" s="174">
        <v>11</v>
      </c>
      <c r="E54" s="174">
        <v>11</v>
      </c>
      <c r="F54" s="175">
        <v>10515</v>
      </c>
      <c r="G54" s="58">
        <v>0.2655</v>
      </c>
      <c r="H54" s="175">
        <v>2791.8</v>
      </c>
      <c r="I54" s="174">
        <v>110522.55</v>
      </c>
    </row>
    <row r="55" spans="1:9" s="358" customFormat="1" ht="12.75">
      <c r="A55" s="354">
        <f>ROW()</f>
        <v>55</v>
      </c>
      <c r="B55" s="355" t="s">
        <v>128</v>
      </c>
      <c r="C55" s="356" t="s">
        <v>129</v>
      </c>
      <c r="D55" s="174">
        <v>7652</v>
      </c>
      <c r="E55" s="174">
        <v>7652</v>
      </c>
      <c r="F55" s="175">
        <v>7652070</v>
      </c>
      <c r="G55" s="58">
        <v>0.0128</v>
      </c>
      <c r="H55" s="175">
        <v>97946.52</v>
      </c>
      <c r="I55" s="174">
        <v>-4533012.9</v>
      </c>
    </row>
    <row r="56" spans="1:9" s="358" customFormat="1" ht="12.75">
      <c r="A56" s="354">
        <f>ROW()</f>
        <v>56</v>
      </c>
      <c r="B56" s="355" t="s">
        <v>130</v>
      </c>
      <c r="C56" s="356" t="s">
        <v>131</v>
      </c>
      <c r="D56" s="174">
        <v>4594</v>
      </c>
      <c r="E56" s="174">
        <v>4594</v>
      </c>
      <c r="F56" s="175">
        <v>4594270</v>
      </c>
      <c r="G56" s="58">
        <v>0.0163</v>
      </c>
      <c r="H56" s="175">
        <v>74886.6</v>
      </c>
      <c r="I56" s="174">
        <v>-2407722.35</v>
      </c>
    </row>
    <row r="57" spans="1:9" s="358" customFormat="1" ht="12.75">
      <c r="A57" s="354">
        <f>ROW()</f>
        <v>57</v>
      </c>
      <c r="B57" s="355" t="s">
        <v>135</v>
      </c>
      <c r="C57" s="356" t="s">
        <v>136</v>
      </c>
      <c r="D57" s="174">
        <v>334</v>
      </c>
      <c r="E57" s="174">
        <v>334</v>
      </c>
      <c r="F57" s="175">
        <v>333978</v>
      </c>
      <c r="G57" s="58">
        <v>0</v>
      </c>
      <c r="H57" s="175">
        <v>7590</v>
      </c>
      <c r="I57" s="174">
        <v>-216325</v>
      </c>
    </row>
    <row r="58" spans="1:9" s="358" customFormat="1" ht="12.75">
      <c r="A58" s="354">
        <f>ROW()</f>
        <v>58</v>
      </c>
      <c r="B58" s="355"/>
      <c r="C58" s="356" t="s">
        <v>132</v>
      </c>
      <c r="D58" s="180">
        <f>SUM(D52:D57)</f>
        <v>100134</v>
      </c>
      <c r="E58" s="180">
        <f>SUM(E52:E57)</f>
        <v>100101</v>
      </c>
      <c r="F58" s="180">
        <f>SUM(F52:F57)</f>
        <v>100131367</v>
      </c>
      <c r="G58" s="59">
        <f>ROUND(+H58/F58,4)</f>
        <v>0.0164</v>
      </c>
      <c r="H58" s="181">
        <f>SUM(H52:H57)</f>
        <v>1637273.9100000001</v>
      </c>
      <c r="I58" s="181">
        <f>SUM(I52:I57)</f>
        <v>-62289275.02</v>
      </c>
    </row>
    <row r="59" spans="1:9" s="358" customFormat="1" ht="12.75">
      <c r="A59" s="354">
        <f>ROW()</f>
        <v>59</v>
      </c>
      <c r="B59" s="355"/>
      <c r="C59" s="356" t="s">
        <v>140</v>
      </c>
      <c r="D59" s="174"/>
      <c r="E59" s="174"/>
      <c r="F59" s="175"/>
      <c r="G59" s="60"/>
      <c r="H59" s="175"/>
      <c r="I59" s="357"/>
    </row>
    <row r="60" spans="1:9" s="358" customFormat="1" ht="12.75">
      <c r="A60" s="354">
        <f>ROW()</f>
        <v>60</v>
      </c>
      <c r="B60" s="355" t="s">
        <v>130</v>
      </c>
      <c r="C60" s="356" t="s">
        <v>141</v>
      </c>
      <c r="D60" s="174">
        <v>252</v>
      </c>
      <c r="E60" s="174">
        <v>252</v>
      </c>
      <c r="F60" s="175">
        <v>251534</v>
      </c>
      <c r="G60" s="57">
        <v>0.0138</v>
      </c>
      <c r="H60" s="175">
        <v>3471.12</v>
      </c>
      <c r="I60" s="174">
        <v>-164315.1</v>
      </c>
    </row>
    <row r="61" spans="1:9" s="358" customFormat="1" ht="12.75">
      <c r="A61" s="354">
        <f>ROW()</f>
        <v>61</v>
      </c>
      <c r="B61" s="355"/>
      <c r="C61" s="356" t="s">
        <v>132</v>
      </c>
      <c r="D61" s="180">
        <f>SUM(D60)</f>
        <v>252</v>
      </c>
      <c r="E61" s="180">
        <f>SUM(E60)</f>
        <v>252</v>
      </c>
      <c r="F61" s="180">
        <f>SUM(F60)</f>
        <v>251534</v>
      </c>
      <c r="G61" s="59">
        <f>ROUND(+H61/F61,4)</f>
        <v>0.0138</v>
      </c>
      <c r="H61" s="181">
        <f>SUM(H60:H60)</f>
        <v>3471.12</v>
      </c>
      <c r="I61" s="180">
        <f>SUM(I60)</f>
        <v>-164315.1</v>
      </c>
    </row>
    <row r="62" spans="1:9" s="358" customFormat="1" ht="12.75">
      <c r="A62" s="354">
        <f>ROW()</f>
        <v>62</v>
      </c>
      <c r="B62" s="355"/>
      <c r="C62" s="356"/>
      <c r="D62" s="174"/>
      <c r="E62" s="174"/>
      <c r="F62" s="174"/>
      <c r="G62" s="57"/>
      <c r="H62" s="175"/>
      <c r="I62" s="174"/>
    </row>
    <row r="63" spans="1:9" s="358" customFormat="1" ht="12.75">
      <c r="A63" s="354">
        <f>ROW()</f>
        <v>63</v>
      </c>
      <c r="B63" s="361" t="s">
        <v>142</v>
      </c>
      <c r="C63" s="356"/>
      <c r="D63" s="174">
        <f>D21+D28+D36+D43+D50+D58+D61</f>
        <v>707477</v>
      </c>
      <c r="E63" s="174">
        <f>E21+E28+E36+E43+E50+E58+E61</f>
        <v>729602</v>
      </c>
      <c r="F63" s="174">
        <f>F21+F28+F36+F43+F50+F58+F61</f>
        <v>722316078</v>
      </c>
      <c r="G63" s="57">
        <f>H63/F63</f>
        <v>0.016093576640557626</v>
      </c>
      <c r="H63" s="174">
        <f>H21+H28+H36+H43+H50+H58+H61</f>
        <v>11624649.16</v>
      </c>
      <c r="I63" s="174">
        <f>I21+I28+I36+I43+I50+I58+I61</f>
        <v>-431600070.94499993</v>
      </c>
    </row>
    <row r="64" spans="1:9" s="358" customFormat="1" ht="12.75">
      <c r="A64" s="354">
        <f>ROW()</f>
        <v>64</v>
      </c>
      <c r="B64" s="355" t="s">
        <v>143</v>
      </c>
      <c r="C64" s="356"/>
      <c r="D64" s="174"/>
      <c r="E64" s="174"/>
      <c r="F64" s="174">
        <v>-2045650.8049999997</v>
      </c>
      <c r="G64" s="57"/>
      <c r="H64" s="175">
        <v>111231.32</v>
      </c>
      <c r="I64" s="174"/>
    </row>
    <row r="65" spans="1:8" s="358" customFormat="1" ht="12.75">
      <c r="A65" s="354">
        <f>ROW()</f>
        <v>65</v>
      </c>
      <c r="B65" s="356" t="s">
        <v>144</v>
      </c>
      <c r="D65" s="174"/>
      <c r="F65" s="174">
        <v>5656965.369999937</v>
      </c>
      <c r="G65" s="175"/>
      <c r="H65" s="174">
        <v>354668.76000000536</v>
      </c>
    </row>
    <row r="66" spans="1:10" ht="12.75">
      <c r="A66" s="354">
        <f>ROW()</f>
        <v>66</v>
      </c>
      <c r="B66" s="356" t="s">
        <v>145</v>
      </c>
      <c r="C66" s="358"/>
      <c r="D66" s="174"/>
      <c r="E66" s="358"/>
      <c r="F66" s="183">
        <v>2218675</v>
      </c>
      <c r="G66" s="184"/>
      <c r="H66" s="183">
        <v>104311.20599999999</v>
      </c>
      <c r="I66" s="362"/>
      <c r="J66" s="358"/>
    </row>
    <row r="67" spans="1:9" ht="12.75">
      <c r="A67" s="354">
        <f>ROW()</f>
        <v>67</v>
      </c>
      <c r="D67" s="345" t="s">
        <v>180</v>
      </c>
      <c r="F67" s="345">
        <f>SUM(F63:F66)</f>
        <v>728146067.5649999</v>
      </c>
      <c r="G67" s="57">
        <f>H67/F67</f>
        <v>0.016747821610547116</v>
      </c>
      <c r="H67" s="345">
        <f>SUM(H63:H66)</f>
        <v>12194860.446000006</v>
      </c>
      <c r="I67" s="363">
        <f>SUM(I63:I66)</f>
        <v>-431600070.94499993</v>
      </c>
    </row>
    <row r="68" spans="1:9" ht="12.75">
      <c r="A68" s="354"/>
      <c r="I68" s="364"/>
    </row>
    <row r="69" spans="1:9" ht="12.75">
      <c r="A69" s="354"/>
      <c r="I69" s="364"/>
    </row>
    <row r="70" spans="1:9" ht="12.75">
      <c r="A70" s="354"/>
      <c r="I70" s="364"/>
    </row>
    <row r="71" spans="1:9" ht="12.75">
      <c r="A71" s="354"/>
      <c r="I71" s="364"/>
    </row>
    <row r="72" spans="1:9" ht="12.75">
      <c r="A72" s="354"/>
      <c r="I72" s="364"/>
    </row>
    <row r="73" spans="1:9" ht="12.75">
      <c r="A73" s="354"/>
      <c r="I73" s="364"/>
    </row>
    <row r="74" spans="1:9" ht="18">
      <c r="A74" s="354" t="s">
        <v>292</v>
      </c>
      <c r="B74" s="338" t="s">
        <v>98</v>
      </c>
      <c r="D74" s="345"/>
      <c r="F74" s="345"/>
      <c r="I74" s="282" t="s">
        <v>2</v>
      </c>
    </row>
    <row r="75" spans="1:9" ht="13.5" thickBot="1">
      <c r="A75" s="354">
        <f>ROW()</f>
        <v>75</v>
      </c>
      <c r="D75" s="345"/>
      <c r="I75" s="282" t="s">
        <v>3</v>
      </c>
    </row>
    <row r="76" spans="1:9" ht="14.25" thickBot="1" thickTop="1">
      <c r="A76" s="354">
        <f>ROW()</f>
        <v>76</v>
      </c>
      <c r="D76" s="345"/>
      <c r="F76" s="365" t="s">
        <v>176</v>
      </c>
      <c r="I76" s="284" t="s">
        <v>4</v>
      </c>
    </row>
    <row r="77" spans="1:9" ht="13.5" thickTop="1">
      <c r="A77" s="354">
        <f>ROW()</f>
        <v>77</v>
      </c>
      <c r="D77" s="345"/>
      <c r="F77" s="364"/>
      <c r="I77" s="343"/>
    </row>
    <row r="78" spans="1:6" ht="12.75">
      <c r="A78" s="354">
        <f>ROW()</f>
        <v>78</v>
      </c>
      <c r="D78" s="345"/>
      <c r="F78" s="364"/>
    </row>
    <row r="79" spans="1:6" ht="12.75">
      <c r="A79" s="354">
        <f>ROW()</f>
        <v>79</v>
      </c>
      <c r="B79" s="339" t="s">
        <v>181</v>
      </c>
      <c r="F79" s="364"/>
    </row>
    <row r="80" spans="1:6" ht="12.75">
      <c r="A80" s="354">
        <f>ROW()</f>
        <v>80</v>
      </c>
      <c r="D80" s="366" t="s">
        <v>182</v>
      </c>
      <c r="E80" s="366"/>
      <c r="F80" s="364"/>
    </row>
    <row r="81" spans="1:4" ht="12.75">
      <c r="A81" s="354">
        <f>ROW()</f>
        <v>81</v>
      </c>
      <c r="B81" s="339" t="s">
        <v>183</v>
      </c>
      <c r="C81" s="339" t="s">
        <v>35</v>
      </c>
      <c r="D81" s="367" t="s">
        <v>184</v>
      </c>
    </row>
    <row r="82" spans="1:24" s="340" customFormat="1" ht="12.75">
      <c r="A82" s="354">
        <f>ROW()</f>
        <v>82</v>
      </c>
      <c r="B82" s="368">
        <v>50004011</v>
      </c>
      <c r="C82" s="340" t="s">
        <v>185</v>
      </c>
      <c r="D82" s="369">
        <v>77817.08</v>
      </c>
      <c r="E82" s="370"/>
      <c r="F82" s="371"/>
      <c r="G82" s="339"/>
      <c r="H82" s="372"/>
      <c r="I82" s="373"/>
      <c r="J82" s="372"/>
      <c r="K82" s="372"/>
      <c r="L82" s="372"/>
      <c r="M82" s="372"/>
      <c r="N82" s="372"/>
      <c r="O82" s="372"/>
      <c r="P82" s="372"/>
      <c r="Q82" s="372"/>
      <c r="R82" s="372"/>
      <c r="S82" s="372"/>
      <c r="T82" s="372"/>
      <c r="U82" s="372"/>
      <c r="V82" s="372"/>
      <c r="W82" s="372"/>
      <c r="X82" s="372"/>
    </row>
    <row r="83" spans="1:24" s="340" customFormat="1" ht="12.75">
      <c r="A83" s="354">
        <f>ROW()</f>
        <v>83</v>
      </c>
      <c r="B83" s="368">
        <v>50005011</v>
      </c>
      <c r="C83" s="340" t="s">
        <v>186</v>
      </c>
      <c r="D83" s="374">
        <v>64128.65</v>
      </c>
      <c r="E83" s="370"/>
      <c r="F83" s="371"/>
      <c r="G83" s="375"/>
      <c r="H83" s="372"/>
      <c r="I83" s="373"/>
      <c r="J83" s="372"/>
      <c r="K83" s="372"/>
      <c r="L83" s="372"/>
      <c r="M83" s="372"/>
      <c r="N83" s="372"/>
      <c r="O83" s="372"/>
      <c r="P83" s="372"/>
      <c r="Q83" s="372"/>
      <c r="R83" s="372"/>
      <c r="S83" s="372"/>
      <c r="T83" s="372"/>
      <c r="U83" s="372"/>
      <c r="V83" s="372"/>
      <c r="W83" s="372"/>
      <c r="X83" s="372"/>
    </row>
    <row r="84" spans="1:24" s="340" customFormat="1" ht="25.5">
      <c r="A84" s="354">
        <f>ROW()</f>
        <v>84</v>
      </c>
      <c r="B84" s="368">
        <v>50204001</v>
      </c>
      <c r="C84" s="340" t="s">
        <v>187</v>
      </c>
      <c r="D84" s="374">
        <v>3333797.4</v>
      </c>
      <c r="E84" s="370"/>
      <c r="F84" s="371"/>
      <c r="G84" s="375"/>
      <c r="H84" s="372"/>
      <c r="I84" s="373"/>
      <c r="J84" s="372"/>
      <c r="K84" s="372"/>
      <c r="L84" s="372"/>
      <c r="M84" s="372"/>
      <c r="N84" s="372"/>
      <c r="O84" s="372"/>
      <c r="P84" s="372"/>
      <c r="Q84" s="372"/>
      <c r="R84" s="372"/>
      <c r="S84" s="372"/>
      <c r="T84" s="372"/>
      <c r="U84" s="372"/>
      <c r="V84" s="372"/>
      <c r="W84" s="372"/>
      <c r="X84" s="372"/>
    </row>
    <row r="85" spans="1:24" s="340" customFormat="1" ht="25.5">
      <c r="A85" s="354">
        <f>ROW()</f>
        <v>85</v>
      </c>
      <c r="B85" s="368">
        <v>50205001</v>
      </c>
      <c r="C85" s="340" t="s">
        <v>188</v>
      </c>
      <c r="D85" s="374">
        <v>2284715.42</v>
      </c>
      <c r="E85" s="370"/>
      <c r="F85" s="371"/>
      <c r="G85" s="375"/>
      <c r="H85" s="372"/>
      <c r="I85" s="373"/>
      <c r="J85" s="372"/>
      <c r="K85" s="372"/>
      <c r="L85" s="372"/>
      <c r="M85" s="372"/>
      <c r="N85" s="372"/>
      <c r="O85" s="372"/>
      <c r="P85" s="372"/>
      <c r="Q85" s="372"/>
      <c r="R85" s="372"/>
      <c r="S85" s="372"/>
      <c r="T85" s="372"/>
      <c r="U85" s="372"/>
      <c r="V85" s="372"/>
      <c r="W85" s="372"/>
      <c r="X85" s="372"/>
    </row>
    <row r="86" spans="1:24" s="340" customFormat="1" ht="12.75">
      <c r="A86" s="354">
        <f>ROW()</f>
        <v>86</v>
      </c>
      <c r="B86" s="368">
        <v>50504001</v>
      </c>
      <c r="C86" s="340" t="s">
        <v>189</v>
      </c>
      <c r="D86" s="374">
        <v>74472</v>
      </c>
      <c r="E86" s="370"/>
      <c r="F86" s="371"/>
      <c r="G86" s="375"/>
      <c r="H86" s="372"/>
      <c r="I86" s="373"/>
      <c r="J86" s="372"/>
      <c r="K86" s="372"/>
      <c r="L86" s="372"/>
      <c r="M86" s="372"/>
      <c r="N86" s="372"/>
      <c r="O86" s="372"/>
      <c r="P86" s="372"/>
      <c r="Q86" s="372"/>
      <c r="R86" s="372"/>
      <c r="S86" s="372"/>
      <c r="T86" s="372"/>
      <c r="U86" s="372"/>
      <c r="V86" s="372"/>
      <c r="W86" s="372"/>
      <c r="X86" s="372"/>
    </row>
    <row r="87" spans="1:24" s="340" customFormat="1" ht="12.75">
      <c r="A87" s="354">
        <f>ROW()</f>
        <v>87</v>
      </c>
      <c r="B87" s="368">
        <v>50505001</v>
      </c>
      <c r="C87" s="340" t="s">
        <v>190</v>
      </c>
      <c r="D87" s="374">
        <v>50120.92</v>
      </c>
      <c r="E87" s="370"/>
      <c r="F87" s="371"/>
      <c r="G87" s="375"/>
      <c r="H87" s="372"/>
      <c r="I87" s="370"/>
      <c r="J87" s="372"/>
      <c r="K87" s="372"/>
      <c r="L87" s="372"/>
      <c r="M87" s="372"/>
      <c r="N87" s="372"/>
      <c r="O87" s="372"/>
      <c r="P87" s="372"/>
      <c r="Q87" s="372"/>
      <c r="R87" s="372"/>
      <c r="S87" s="372"/>
      <c r="T87" s="372"/>
      <c r="U87" s="372"/>
      <c r="V87" s="372"/>
      <c r="W87" s="372"/>
      <c r="X87" s="372"/>
    </row>
    <row r="88" spans="1:24" s="340" customFormat="1" ht="12.75">
      <c r="A88" s="354">
        <f>ROW()</f>
        <v>88</v>
      </c>
      <c r="B88" s="368">
        <v>50604001</v>
      </c>
      <c r="C88" s="340" t="s">
        <v>191</v>
      </c>
      <c r="D88" s="374">
        <v>4178276.6</v>
      </c>
      <c r="E88" s="370"/>
      <c r="F88" s="371"/>
      <c r="G88" s="375"/>
      <c r="H88" s="372"/>
      <c r="I88" s="373"/>
      <c r="J88" s="372"/>
      <c r="K88" s="372"/>
      <c r="L88" s="372"/>
      <c r="M88" s="372"/>
      <c r="N88" s="372"/>
      <c r="O88" s="372"/>
      <c r="P88" s="372"/>
      <c r="Q88" s="372"/>
      <c r="R88" s="372"/>
      <c r="S88" s="372"/>
      <c r="T88" s="372"/>
      <c r="U88" s="372"/>
      <c r="V88" s="372"/>
      <c r="W88" s="372"/>
      <c r="X88" s="372"/>
    </row>
    <row r="89" spans="1:24" s="340" customFormat="1" ht="12.75">
      <c r="A89" s="354">
        <f>ROW()</f>
        <v>89</v>
      </c>
      <c r="B89" s="368">
        <v>50605001</v>
      </c>
      <c r="C89" s="340" t="s">
        <v>192</v>
      </c>
      <c r="D89" s="374">
        <v>2603296.48</v>
      </c>
      <c r="E89" s="370"/>
      <c r="F89" s="371"/>
      <c r="G89" s="375"/>
      <c r="H89" s="372"/>
      <c r="I89" s="373"/>
      <c r="J89" s="372"/>
      <c r="K89" s="372"/>
      <c r="L89" s="372"/>
      <c r="M89" s="372"/>
      <c r="N89" s="372"/>
      <c r="O89" s="372"/>
      <c r="P89" s="372"/>
      <c r="Q89" s="372"/>
      <c r="R89" s="372"/>
      <c r="S89" s="372"/>
      <c r="T89" s="372"/>
      <c r="U89" s="372"/>
      <c r="V89" s="372"/>
      <c r="W89" s="372"/>
      <c r="X89" s="372"/>
    </row>
    <row r="90" spans="1:24" s="340" customFormat="1" ht="12.75">
      <c r="A90" s="354">
        <f>ROW()</f>
        <v>90</v>
      </c>
      <c r="B90" s="368">
        <v>50704001</v>
      </c>
      <c r="C90" s="340" t="s">
        <v>193</v>
      </c>
      <c r="D90" s="374">
        <v>5765.41</v>
      </c>
      <c r="E90" s="370"/>
      <c r="F90" s="371"/>
      <c r="G90" s="375"/>
      <c r="H90" s="372"/>
      <c r="I90" s="373"/>
      <c r="J90" s="372"/>
      <c r="K90" s="372"/>
      <c r="L90" s="372"/>
      <c r="M90" s="372"/>
      <c r="N90" s="372"/>
      <c r="O90" s="372"/>
      <c r="P90" s="372"/>
      <c r="Q90" s="372"/>
      <c r="R90" s="372"/>
      <c r="S90" s="372"/>
      <c r="T90" s="372"/>
      <c r="U90" s="372"/>
      <c r="V90" s="372"/>
      <c r="W90" s="372"/>
      <c r="X90" s="372"/>
    </row>
    <row r="91" spans="1:24" s="340" customFormat="1" ht="12.75">
      <c r="A91" s="354">
        <f>ROW()</f>
        <v>91</v>
      </c>
      <c r="B91" s="368">
        <v>50705001</v>
      </c>
      <c r="C91" s="340" t="s">
        <v>194</v>
      </c>
      <c r="D91" s="374">
        <v>49869.87</v>
      </c>
      <c r="E91" s="370"/>
      <c r="F91" s="371"/>
      <c r="G91" s="375"/>
      <c r="H91" s="372"/>
      <c r="I91" s="373"/>
      <c r="J91" s="372"/>
      <c r="K91" s="372"/>
      <c r="L91" s="372"/>
      <c r="M91" s="372"/>
      <c r="N91" s="372"/>
      <c r="O91" s="372"/>
      <c r="P91" s="372"/>
      <c r="Q91" s="372"/>
      <c r="R91" s="372"/>
      <c r="S91" s="372"/>
      <c r="T91" s="372"/>
      <c r="U91" s="372"/>
      <c r="V91" s="372"/>
      <c r="W91" s="372"/>
      <c r="X91" s="372"/>
    </row>
    <row r="92" spans="1:24" s="340" customFormat="1" ht="12.75">
      <c r="A92" s="354">
        <f>ROW()</f>
        <v>92</v>
      </c>
      <c r="B92" s="368">
        <v>51004001</v>
      </c>
      <c r="C92" s="340" t="s">
        <v>195</v>
      </c>
      <c r="D92" s="374">
        <v>955091.29</v>
      </c>
      <c r="E92" s="370"/>
      <c r="F92" s="371"/>
      <c r="G92" s="375"/>
      <c r="H92" s="372"/>
      <c r="I92" s="373"/>
      <c r="J92" s="372"/>
      <c r="K92" s="372"/>
      <c r="L92" s="372"/>
      <c r="M92" s="372"/>
      <c r="N92" s="372"/>
      <c r="O92" s="372"/>
      <c r="P92" s="372"/>
      <c r="Q92" s="372"/>
      <c r="R92" s="372"/>
      <c r="S92" s="372"/>
      <c r="T92" s="372"/>
      <c r="U92" s="372"/>
      <c r="V92" s="372"/>
      <c r="W92" s="372"/>
      <c r="X92" s="372"/>
    </row>
    <row r="93" spans="1:24" s="340" customFormat="1" ht="12.75">
      <c r="A93" s="354">
        <f>ROW()</f>
        <v>93</v>
      </c>
      <c r="B93" s="368">
        <v>51005001</v>
      </c>
      <c r="C93" s="340" t="s">
        <v>196</v>
      </c>
      <c r="D93" s="374">
        <v>614707.07</v>
      </c>
      <c r="E93" s="370"/>
      <c r="F93" s="371"/>
      <c r="G93" s="375"/>
      <c r="H93" s="372"/>
      <c r="I93" s="373"/>
      <c r="J93" s="372"/>
      <c r="K93" s="372"/>
      <c r="L93" s="372"/>
      <c r="M93" s="372"/>
      <c r="N93" s="372"/>
      <c r="O93" s="372"/>
      <c r="P93" s="372"/>
      <c r="Q93" s="372"/>
      <c r="R93" s="372"/>
      <c r="S93" s="372"/>
      <c r="T93" s="372"/>
      <c r="U93" s="372"/>
      <c r="V93" s="372"/>
      <c r="W93" s="372"/>
      <c r="X93" s="372"/>
    </row>
    <row r="94" spans="1:24" s="340" customFormat="1" ht="12.75">
      <c r="A94" s="354">
        <f>ROW()</f>
        <v>94</v>
      </c>
      <c r="B94" s="368">
        <v>51104001</v>
      </c>
      <c r="C94" s="340" t="s">
        <v>197</v>
      </c>
      <c r="D94" s="374">
        <v>698097.28</v>
      </c>
      <c r="E94" s="370"/>
      <c r="F94" s="371"/>
      <c r="G94" s="375"/>
      <c r="H94" s="372"/>
      <c r="I94" s="373"/>
      <c r="J94" s="372"/>
      <c r="K94" s="372"/>
      <c r="L94" s="372"/>
      <c r="M94" s="372"/>
      <c r="N94" s="372"/>
      <c r="O94" s="372"/>
      <c r="P94" s="372"/>
      <c r="Q94" s="372"/>
      <c r="R94" s="372"/>
      <c r="S94" s="372"/>
      <c r="T94" s="372"/>
      <c r="U94" s="372"/>
      <c r="V94" s="372"/>
      <c r="W94" s="372"/>
      <c r="X94" s="372"/>
    </row>
    <row r="95" spans="1:24" s="340" customFormat="1" ht="12.75">
      <c r="A95" s="354">
        <f>ROW()</f>
        <v>95</v>
      </c>
      <c r="B95" s="368">
        <v>51105001</v>
      </c>
      <c r="C95" s="340" t="s">
        <v>198</v>
      </c>
      <c r="D95" s="374">
        <v>734251.1</v>
      </c>
      <c r="E95" s="370"/>
      <c r="F95" s="371"/>
      <c r="G95" s="375"/>
      <c r="H95" s="372"/>
      <c r="I95" s="373"/>
      <c r="J95" s="372"/>
      <c r="K95" s="372"/>
      <c r="L95" s="372"/>
      <c r="M95" s="372"/>
      <c r="N95" s="372"/>
      <c r="O95" s="372"/>
      <c r="P95" s="372"/>
      <c r="Q95" s="372"/>
      <c r="R95" s="372"/>
      <c r="S95" s="372"/>
      <c r="T95" s="372"/>
      <c r="U95" s="372"/>
      <c r="V95" s="372"/>
      <c r="W95" s="372"/>
      <c r="X95" s="372"/>
    </row>
    <row r="96" spans="1:24" s="340" customFormat="1" ht="12.75">
      <c r="A96" s="354">
        <f>ROW()</f>
        <v>96</v>
      </c>
      <c r="B96" s="368">
        <v>51204001</v>
      </c>
      <c r="C96" s="340" t="s">
        <v>199</v>
      </c>
      <c r="D96" s="374">
        <v>7418214.33</v>
      </c>
      <c r="E96" s="370"/>
      <c r="F96" s="371"/>
      <c r="G96" s="375"/>
      <c r="H96" s="372"/>
      <c r="I96" s="373"/>
      <c r="J96" s="372"/>
      <c r="K96" s="372"/>
      <c r="L96" s="372"/>
      <c r="M96" s="372"/>
      <c r="N96" s="372"/>
      <c r="O96" s="372"/>
      <c r="P96" s="372"/>
      <c r="Q96" s="372"/>
      <c r="R96" s="372"/>
      <c r="S96" s="372"/>
      <c r="T96" s="372"/>
      <c r="U96" s="372"/>
      <c r="V96" s="372"/>
      <c r="W96" s="372"/>
      <c r="X96" s="372"/>
    </row>
    <row r="97" spans="1:24" s="340" customFormat="1" ht="12.75">
      <c r="A97" s="354">
        <f>ROW()</f>
        <v>97</v>
      </c>
      <c r="B97" s="368">
        <v>51205001</v>
      </c>
      <c r="C97" s="340" t="s">
        <v>200</v>
      </c>
      <c r="D97" s="374">
        <v>4153468.66</v>
      </c>
      <c r="E97" s="370"/>
      <c r="F97" s="371"/>
      <c r="G97" s="375"/>
      <c r="H97" s="372"/>
      <c r="I97" s="373"/>
      <c r="J97" s="372"/>
      <c r="K97" s="372"/>
      <c r="L97" s="372"/>
      <c r="M97" s="372"/>
      <c r="N97" s="372"/>
      <c r="O97" s="372"/>
      <c r="P97" s="372"/>
      <c r="Q97" s="372"/>
      <c r="R97" s="372"/>
      <c r="S97" s="372"/>
      <c r="T97" s="372"/>
      <c r="U97" s="372"/>
      <c r="V97" s="372"/>
      <c r="W97" s="372"/>
      <c r="X97" s="372"/>
    </row>
    <row r="98" spans="1:24" s="340" customFormat="1" ht="12.75">
      <c r="A98" s="354">
        <f>ROW()</f>
        <v>98</v>
      </c>
      <c r="B98" s="368">
        <v>51304001</v>
      </c>
      <c r="C98" s="340" t="s">
        <v>201</v>
      </c>
      <c r="D98" s="374">
        <v>1873014.76</v>
      </c>
      <c r="E98" s="370"/>
      <c r="F98" s="371"/>
      <c r="G98" s="375"/>
      <c r="H98" s="372"/>
      <c r="I98" s="373"/>
      <c r="J98" s="372"/>
      <c r="K98" s="372"/>
      <c r="L98" s="372"/>
      <c r="M98" s="372"/>
      <c r="N98" s="372"/>
      <c r="O98" s="372"/>
      <c r="P98" s="372"/>
      <c r="Q98" s="372"/>
      <c r="R98" s="372"/>
      <c r="S98" s="372"/>
      <c r="T98" s="372"/>
      <c r="U98" s="372"/>
      <c r="V98" s="372"/>
      <c r="W98" s="372"/>
      <c r="X98" s="372"/>
    </row>
    <row r="99" spans="1:24" s="340" customFormat="1" ht="12.75">
      <c r="A99" s="354">
        <f>ROW()</f>
        <v>99</v>
      </c>
      <c r="B99" s="368">
        <v>51305001</v>
      </c>
      <c r="C99" s="340" t="s">
        <v>202</v>
      </c>
      <c r="D99" s="374">
        <v>520661.2</v>
      </c>
      <c r="E99" s="370"/>
      <c r="F99" s="371"/>
      <c r="G99" s="375"/>
      <c r="H99" s="372"/>
      <c r="I99" s="373"/>
      <c r="J99" s="372"/>
      <c r="K99" s="372"/>
      <c r="L99" s="372"/>
      <c r="M99" s="372"/>
      <c r="N99" s="372"/>
      <c r="O99" s="372"/>
      <c r="P99" s="372"/>
      <c r="Q99" s="372"/>
      <c r="R99" s="372"/>
      <c r="S99" s="372"/>
      <c r="T99" s="372"/>
      <c r="U99" s="372"/>
      <c r="V99" s="372"/>
      <c r="W99" s="372"/>
      <c r="X99" s="372"/>
    </row>
    <row r="100" spans="1:24" s="340" customFormat="1" ht="12.75">
      <c r="A100" s="354">
        <f>ROW()</f>
        <v>100</v>
      </c>
      <c r="B100" s="368">
        <v>51404001</v>
      </c>
      <c r="C100" s="340" t="s">
        <v>207</v>
      </c>
      <c r="D100" s="374">
        <v>1529780.29</v>
      </c>
      <c r="E100" s="370"/>
      <c r="F100" s="371"/>
      <c r="G100" s="375"/>
      <c r="H100" s="372"/>
      <c r="I100" s="373"/>
      <c r="J100" s="372"/>
      <c r="K100" s="372"/>
      <c r="L100" s="372"/>
      <c r="M100" s="372"/>
      <c r="N100" s="372"/>
      <c r="O100" s="372"/>
      <c r="P100" s="372"/>
      <c r="Q100" s="372"/>
      <c r="R100" s="372"/>
      <c r="S100" s="372"/>
      <c r="T100" s="372"/>
      <c r="U100" s="372"/>
      <c r="V100" s="372"/>
      <c r="W100" s="372"/>
      <c r="X100" s="372"/>
    </row>
    <row r="101" spans="1:24" s="340" customFormat="1" ht="12.75">
      <c r="A101" s="354">
        <f>ROW()</f>
        <v>101</v>
      </c>
      <c r="B101" s="368">
        <v>51405001</v>
      </c>
      <c r="C101" s="340" t="s">
        <v>208</v>
      </c>
      <c r="D101" s="376">
        <v>781195.34</v>
      </c>
      <c r="E101" s="370"/>
      <c r="F101" s="371"/>
      <c r="G101" s="375"/>
      <c r="H101" s="372"/>
      <c r="I101" s="373"/>
      <c r="J101" s="372"/>
      <c r="K101" s="372"/>
      <c r="L101" s="372"/>
      <c r="M101" s="372"/>
      <c r="N101" s="372"/>
      <c r="O101" s="372"/>
      <c r="P101" s="372"/>
      <c r="Q101" s="372"/>
      <c r="R101" s="372"/>
      <c r="S101" s="372"/>
      <c r="T101" s="372"/>
      <c r="U101" s="372"/>
      <c r="V101" s="372"/>
      <c r="W101" s="372"/>
      <c r="X101" s="372"/>
    </row>
    <row r="102" spans="1:24" s="340" customFormat="1" ht="12.75">
      <c r="A102" s="354">
        <f>ROW()</f>
        <v>102</v>
      </c>
      <c r="B102" s="377"/>
      <c r="C102" s="372" t="s">
        <v>177</v>
      </c>
      <c r="D102" s="375">
        <f>SUM(D82:D101)</f>
        <v>32000741.15</v>
      </c>
      <c r="E102" s="375"/>
      <c r="F102" s="371"/>
      <c r="G102" s="371"/>
      <c r="H102" s="372"/>
      <c r="I102" s="373"/>
      <c r="J102" s="372"/>
      <c r="K102" s="372"/>
      <c r="L102" s="372"/>
      <c r="M102" s="372"/>
      <c r="N102" s="372"/>
      <c r="O102" s="372"/>
      <c r="P102" s="372"/>
      <c r="Q102" s="372"/>
      <c r="R102" s="372"/>
      <c r="S102" s="372"/>
      <c r="T102" s="372"/>
      <c r="U102" s="372"/>
      <c r="V102" s="372"/>
      <c r="W102" s="372"/>
      <c r="X102" s="372"/>
    </row>
    <row r="103" spans="1:24" s="340" customFormat="1" ht="12.75">
      <c r="A103" s="354">
        <f>ROW()</f>
        <v>103</v>
      </c>
      <c r="B103" s="377"/>
      <c r="C103" s="378" t="s">
        <v>178</v>
      </c>
      <c r="D103" s="375">
        <f>-1784940+4992077</f>
        <v>3207137</v>
      </c>
      <c r="E103" s="375"/>
      <c r="F103" s="371"/>
      <c r="G103" s="371"/>
      <c r="H103" s="372"/>
      <c r="I103" s="373"/>
      <c r="J103" s="372"/>
      <c r="K103" s="372"/>
      <c r="L103" s="372"/>
      <c r="M103" s="372"/>
      <c r="N103" s="372"/>
      <c r="O103" s="372"/>
      <c r="P103" s="372"/>
      <c r="Q103" s="372"/>
      <c r="R103" s="372"/>
      <c r="S103" s="372"/>
      <c r="T103" s="372"/>
      <c r="U103" s="372"/>
      <c r="V103" s="372"/>
      <c r="W103" s="372"/>
      <c r="X103" s="372"/>
    </row>
    <row r="104" spans="1:4" ht="12.75">
      <c r="A104" s="354">
        <f>ROW()</f>
        <v>104</v>
      </c>
      <c r="B104" s="379"/>
      <c r="C104" s="339" t="s">
        <v>209</v>
      </c>
      <c r="D104" s="203">
        <f>SUM(D102:D103)</f>
        <v>35207878.15</v>
      </c>
    </row>
    <row r="105" spans="1:4" ht="12.75">
      <c r="A105" s="354">
        <f>ROW()</f>
        <v>105</v>
      </c>
      <c r="B105" s="379"/>
      <c r="C105" s="380" t="s">
        <v>210</v>
      </c>
      <c r="D105" s="204">
        <v>10179342</v>
      </c>
    </row>
    <row r="106" spans="1:4" ht="12.75">
      <c r="A106" s="354">
        <f>ROW()</f>
        <v>106</v>
      </c>
      <c r="B106" s="379"/>
      <c r="C106" s="380" t="s">
        <v>211</v>
      </c>
      <c r="D106" s="363">
        <v>1800459.28699</v>
      </c>
    </row>
    <row r="107" spans="1:4" ht="12.75">
      <c r="A107" s="354">
        <f>ROW()</f>
        <v>107</v>
      </c>
      <c r="B107" s="379" t="s">
        <v>231</v>
      </c>
      <c r="C107" s="339" t="s">
        <v>232</v>
      </c>
      <c r="D107" s="203">
        <f>H67</f>
        <v>12194860.446000006</v>
      </c>
    </row>
    <row r="108" spans="1:4" ht="13.5" thickBot="1">
      <c r="A108" s="354">
        <f>ROW()</f>
        <v>108</v>
      </c>
      <c r="B108" s="379"/>
      <c r="D108" s="205">
        <f>D104+D105+D106+D107</f>
        <v>59382539.88299</v>
      </c>
    </row>
    <row r="109" ht="13.5" thickTop="1"/>
    <row r="110" ht="12.75">
      <c r="F110" s="364"/>
    </row>
    <row r="111" spans="2:6" ht="18">
      <c r="B111" s="381"/>
      <c r="F111" s="364"/>
    </row>
    <row r="112" ht="12.75">
      <c r="F112" s="364"/>
    </row>
    <row r="113" ht="12.75">
      <c r="F113" s="364"/>
    </row>
    <row r="114" ht="12.75">
      <c r="I114" s="364"/>
    </row>
    <row r="115" ht="12.75">
      <c r="I115" s="364"/>
    </row>
    <row r="116" ht="12.75">
      <c r="I116" s="364"/>
    </row>
    <row r="117" ht="12.75">
      <c r="I117" s="364"/>
    </row>
    <row r="118" ht="12.75">
      <c r="I118" s="364"/>
    </row>
    <row r="119" ht="12.75">
      <c r="I119" s="364"/>
    </row>
    <row r="120" ht="12.75">
      <c r="I120" s="364"/>
    </row>
    <row r="121" ht="12.75">
      <c r="I121" s="364"/>
    </row>
    <row r="122" ht="12.75">
      <c r="I122" s="364"/>
    </row>
    <row r="123" ht="12.75">
      <c r="I123" s="364"/>
    </row>
    <row r="124" ht="12.75">
      <c r="I124" s="364"/>
    </row>
    <row r="125" ht="12.75">
      <c r="I125" s="364"/>
    </row>
    <row r="126" ht="12.75">
      <c r="I126" s="364"/>
    </row>
    <row r="127" ht="12.75">
      <c r="I127" s="364"/>
    </row>
    <row r="128" ht="12.75">
      <c r="I128" s="364"/>
    </row>
    <row r="129" ht="12.75">
      <c r="I129" s="364"/>
    </row>
  </sheetData>
  <sheetProtection/>
  <printOptions horizontalCentered="1"/>
  <pageMargins left="0.25" right="0.25" top="0.66" bottom="1" header="0.4" footer="0.5"/>
  <pageSetup fitToHeight="2" horizontalDpi="600" verticalDpi="600" orientation="portrait" scale="61" r:id="rId2"/>
  <headerFooter alignWithMargins="0">
    <oddHeader>&amp;R&amp;"Arial,Bold"
</oddHeader>
  </headerFooter>
  <rowBreaks count="1" manualBreakCount="1">
    <brk id="71" max="255"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E123"/>
  <sheetViews>
    <sheetView zoomScalePageLayoutView="0" workbookViewId="0" topLeftCell="A82">
      <selection activeCell="L28" sqref="L28"/>
    </sheetView>
  </sheetViews>
  <sheetFormatPr defaultColWidth="9.140625" defaultRowHeight="12.75"/>
  <cols>
    <col min="1" max="1" width="5.8515625" style="724" customWidth="1"/>
    <col min="2" max="2" width="53.421875" style="724" customWidth="1"/>
    <col min="3" max="3" width="19.421875" style="724" customWidth="1"/>
    <col min="4" max="4" width="14.57421875" style="724" customWidth="1"/>
    <col min="5" max="5" width="18.140625" style="724" customWidth="1"/>
    <col min="6" max="16384" width="9.140625" style="725" customWidth="1"/>
  </cols>
  <sheetData>
    <row r="1" spans="1:5" ht="12.75">
      <c r="A1" s="723"/>
      <c r="D1" s="537"/>
      <c r="E1" s="537" t="s">
        <v>2</v>
      </c>
    </row>
    <row r="2" spans="1:5" ht="13.5" thickBot="1">
      <c r="A2" s="726"/>
      <c r="E2" s="537" t="s">
        <v>3</v>
      </c>
    </row>
    <row r="3" spans="1:5" ht="14.25" thickBot="1" thickTop="1">
      <c r="A3" s="726"/>
      <c r="B3" s="723" t="s">
        <v>438</v>
      </c>
      <c r="D3" s="537"/>
      <c r="E3" s="538" t="s">
        <v>4</v>
      </c>
    </row>
    <row r="4" spans="1:4" ht="13.5" thickTop="1">
      <c r="A4" s="723"/>
      <c r="B4" s="723"/>
      <c r="D4" s="771"/>
    </row>
    <row r="5" spans="1:5" ht="12.75">
      <c r="A5" s="723"/>
      <c r="B5" s="723"/>
      <c r="C5" s="723"/>
      <c r="D5" s="723"/>
      <c r="E5" s="723"/>
    </row>
    <row r="6" spans="1:5" ht="12.75">
      <c r="A6" s="729" t="s">
        <v>437</v>
      </c>
      <c r="B6" s="730"/>
      <c r="C6" s="730"/>
      <c r="D6" s="730"/>
      <c r="E6" s="730"/>
    </row>
    <row r="7" spans="1:5" ht="12.75">
      <c r="A7" s="730" t="s">
        <v>439</v>
      </c>
      <c r="B7" s="730"/>
      <c r="C7" s="730"/>
      <c r="D7" s="730"/>
      <c r="E7" s="772"/>
    </row>
    <row r="8" spans="1:5" ht="12.75">
      <c r="A8" s="730" t="s">
        <v>411</v>
      </c>
      <c r="B8" s="730"/>
      <c r="C8" s="730"/>
      <c r="D8" s="730"/>
      <c r="E8" s="773"/>
    </row>
    <row r="9" spans="1:5" ht="12.75">
      <c r="A9" s="730" t="s">
        <v>440</v>
      </c>
      <c r="B9" s="730"/>
      <c r="C9" s="730"/>
      <c r="D9" s="730"/>
      <c r="E9" s="773"/>
    </row>
    <row r="10" spans="1:5" ht="12.75">
      <c r="A10" s="723"/>
      <c r="C10" s="741"/>
      <c r="D10" s="723"/>
      <c r="E10" s="723"/>
    </row>
    <row r="11" spans="1:5" ht="12.75">
      <c r="A11" s="735" t="s">
        <v>441</v>
      </c>
      <c r="B11" s="723"/>
      <c r="C11" s="732" t="s">
        <v>442</v>
      </c>
      <c r="D11" s="732" t="s">
        <v>443</v>
      </c>
      <c r="E11" s="732" t="s">
        <v>444</v>
      </c>
    </row>
    <row r="12" spans="1:5" ht="12.75">
      <c r="A12" s="736" t="s">
        <v>445</v>
      </c>
      <c r="B12" s="737" t="s">
        <v>113</v>
      </c>
      <c r="C12" s="736" t="s">
        <v>446</v>
      </c>
      <c r="D12" s="774">
        <v>-0.0176</v>
      </c>
      <c r="E12" s="775">
        <v>0.35</v>
      </c>
    </row>
    <row r="13" ht="12.75">
      <c r="D13" s="760"/>
    </row>
    <row r="14" spans="1:4" ht="12.75">
      <c r="A14" s="741">
        <v>1</v>
      </c>
      <c r="B14" s="776" t="s">
        <v>447</v>
      </c>
      <c r="D14" s="760"/>
    </row>
    <row r="15" spans="1:5" ht="12.75">
      <c r="A15" s="741">
        <f aca="true" t="shared" si="0" ref="A15:A78">A14+1</f>
        <v>2</v>
      </c>
      <c r="B15" s="540" t="s">
        <v>512</v>
      </c>
      <c r="C15" s="762"/>
      <c r="D15" s="762"/>
      <c r="E15" s="762"/>
    </row>
    <row r="16" spans="1:5" ht="12.75">
      <c r="A16" s="741">
        <f t="shared" si="0"/>
        <v>3</v>
      </c>
      <c r="B16" s="777" t="s">
        <v>449</v>
      </c>
      <c r="C16" s="755">
        <v>31612</v>
      </c>
      <c r="D16" s="755">
        <v>556.3712</v>
      </c>
      <c r="E16" s="755">
        <v>-195</v>
      </c>
    </row>
    <row r="17" spans="1:5" ht="12.75">
      <c r="A17" s="741">
        <f t="shared" si="0"/>
        <v>4</v>
      </c>
      <c r="B17" s="777" t="s">
        <v>450</v>
      </c>
      <c r="C17" s="747">
        <v>212582</v>
      </c>
      <c r="D17" s="747">
        <v>3741.4432</v>
      </c>
      <c r="E17" s="747">
        <v>-1310</v>
      </c>
    </row>
    <row r="18" spans="1:5" ht="12.75">
      <c r="A18" s="741">
        <f t="shared" si="0"/>
        <v>5</v>
      </c>
      <c r="B18" s="724" t="s">
        <v>451</v>
      </c>
      <c r="C18" s="778">
        <f>SUM(C15:C17)</f>
        <v>244194</v>
      </c>
      <c r="D18" s="778">
        <f>SUM(D15:D17)</f>
        <v>4297.8144</v>
      </c>
      <c r="E18" s="778">
        <f>SUM(E15:E17)</f>
        <v>-1505</v>
      </c>
    </row>
    <row r="19" spans="1:5" ht="12.75">
      <c r="A19" s="741">
        <f t="shared" si="0"/>
        <v>6</v>
      </c>
      <c r="C19" s="778"/>
      <c r="D19" s="778"/>
      <c r="E19" s="778"/>
    </row>
    <row r="20" spans="1:5" ht="12.75">
      <c r="A20" s="741">
        <f t="shared" si="0"/>
        <v>7</v>
      </c>
      <c r="B20" s="724" t="s">
        <v>452</v>
      </c>
      <c r="C20" s="779"/>
      <c r="D20" s="779"/>
      <c r="E20" s="779"/>
    </row>
    <row r="21" spans="1:5" ht="12.75">
      <c r="A21" s="741">
        <f t="shared" si="0"/>
        <v>8</v>
      </c>
      <c r="B21" s="777" t="s">
        <v>453</v>
      </c>
      <c r="C21" s="779">
        <v>3731415.0939709656</v>
      </c>
      <c r="D21" s="779">
        <v>65672.905653889</v>
      </c>
      <c r="E21" s="779">
        <v>-22986</v>
      </c>
    </row>
    <row r="22" spans="1:5" ht="12.75">
      <c r="A22" s="741">
        <f t="shared" si="0"/>
        <v>9</v>
      </c>
      <c r="B22" s="777" t="s">
        <v>454</v>
      </c>
      <c r="C22" s="780">
        <v>3593759.3499787403</v>
      </c>
      <c r="D22" s="780">
        <v>63250.16455962583</v>
      </c>
      <c r="E22" s="780">
        <v>-22138</v>
      </c>
    </row>
    <row r="23" spans="1:5" ht="12.75">
      <c r="A23" s="741">
        <f t="shared" si="0"/>
        <v>10</v>
      </c>
      <c r="B23" s="540" t="s">
        <v>455</v>
      </c>
      <c r="C23" s="778">
        <f>SUM(C21:C22)</f>
        <v>7325174.443949706</v>
      </c>
      <c r="D23" s="778">
        <f>SUM(D21:D22)</f>
        <v>128923.07021351483</v>
      </c>
      <c r="E23" s="778">
        <f>SUM(E21:E22)</f>
        <v>-45124</v>
      </c>
    </row>
    <row r="24" spans="1:5" ht="12.75">
      <c r="A24" s="741">
        <f t="shared" si="0"/>
        <v>11</v>
      </c>
      <c r="B24" s="540"/>
      <c r="C24" s="778"/>
      <c r="D24" s="778"/>
      <c r="E24" s="778"/>
    </row>
    <row r="25" spans="1:2" ht="12.75">
      <c r="A25" s="741">
        <f t="shared" si="0"/>
        <v>12</v>
      </c>
      <c r="B25" s="540" t="s">
        <v>456</v>
      </c>
    </row>
    <row r="26" spans="1:5" ht="12.75">
      <c r="A26" s="741">
        <f t="shared" si="0"/>
        <v>13</v>
      </c>
      <c r="B26" s="777" t="s">
        <v>457</v>
      </c>
      <c r="C26" s="779">
        <v>49206798.35455694</v>
      </c>
      <c r="D26" s="779">
        <v>866039.6510402022</v>
      </c>
      <c r="E26" s="779">
        <v>-433789.8469712708</v>
      </c>
    </row>
    <row r="27" spans="1:5" ht="12.75">
      <c r="A27" s="741">
        <f t="shared" si="0"/>
        <v>14</v>
      </c>
      <c r="B27" s="777" t="s">
        <v>513</v>
      </c>
      <c r="C27" s="747">
        <v>11102602.4</v>
      </c>
      <c r="D27" s="747">
        <v>195405.80224000002</v>
      </c>
      <c r="E27" s="747">
        <v>-66174.93703093505</v>
      </c>
    </row>
    <row r="28" spans="1:5" ht="12.75">
      <c r="A28" s="741">
        <f t="shared" si="0"/>
        <v>15</v>
      </c>
      <c r="B28" s="724" t="s">
        <v>458</v>
      </c>
      <c r="C28" s="778">
        <f>SUM(C26:C27)</f>
        <v>60309400.75455694</v>
      </c>
      <c r="D28" s="778">
        <f>SUM(D26:D27)</f>
        <v>1061445.4532802023</v>
      </c>
      <c r="E28" s="778">
        <f>SUM(E26:E27)</f>
        <v>-499964.7840022058</v>
      </c>
    </row>
    <row r="29" spans="1:5" ht="12.75">
      <c r="A29" s="741">
        <f t="shared" si="0"/>
        <v>16</v>
      </c>
      <c r="C29" s="778"/>
      <c r="D29" s="778"/>
      <c r="E29" s="778"/>
    </row>
    <row r="30" spans="1:5" ht="12.75">
      <c r="A30" s="741">
        <f t="shared" si="0"/>
        <v>17</v>
      </c>
      <c r="B30" s="540" t="s">
        <v>459</v>
      </c>
      <c r="C30" s="779"/>
      <c r="D30" s="779"/>
      <c r="E30" s="779"/>
    </row>
    <row r="31" spans="1:5" ht="12.75">
      <c r="A31" s="741">
        <f t="shared" si="0"/>
        <v>18</v>
      </c>
      <c r="B31" s="777" t="s">
        <v>460</v>
      </c>
      <c r="C31" s="747">
        <v>5879725</v>
      </c>
      <c r="D31" s="747">
        <v>103483.16</v>
      </c>
      <c r="E31" s="747">
        <v>-36219</v>
      </c>
    </row>
    <row r="32" spans="1:5" ht="12.75">
      <c r="A32" s="741">
        <f t="shared" si="0"/>
        <v>19</v>
      </c>
      <c r="B32" s="777" t="s">
        <v>461</v>
      </c>
      <c r="C32" s="747">
        <v>7735645</v>
      </c>
      <c r="D32" s="747">
        <v>136147.352</v>
      </c>
      <c r="E32" s="747">
        <v>-47652</v>
      </c>
    </row>
    <row r="33" spans="1:5" ht="12.75">
      <c r="A33" s="741">
        <f t="shared" si="0"/>
        <v>20</v>
      </c>
      <c r="B33" s="777" t="s">
        <v>462</v>
      </c>
      <c r="C33" s="747">
        <v>1800459.28699</v>
      </c>
      <c r="D33" s="747">
        <v>31688.083451024002</v>
      </c>
      <c r="E33" s="747">
        <v>-11091</v>
      </c>
    </row>
    <row r="34" spans="1:5" ht="12.75">
      <c r="A34" s="741">
        <f t="shared" si="0"/>
        <v>21</v>
      </c>
      <c r="B34" s="777" t="s">
        <v>463</v>
      </c>
      <c r="C34" s="747">
        <v>1570919.2225985</v>
      </c>
      <c r="D34" s="747">
        <v>27648.178317733604</v>
      </c>
      <c r="E34" s="747">
        <v>-9677</v>
      </c>
    </row>
    <row r="35" spans="1:5" ht="12.75">
      <c r="A35" s="741">
        <f t="shared" si="0"/>
        <v>22</v>
      </c>
      <c r="B35" s="540" t="s">
        <v>464</v>
      </c>
      <c r="C35" s="778">
        <f>SUM(C30:C34)</f>
        <v>16986748.5095885</v>
      </c>
      <c r="D35" s="778">
        <f>SUM(D30:D34)</f>
        <v>298966.7737687576</v>
      </c>
      <c r="E35" s="778">
        <f>SUM(E30:E34)</f>
        <v>-104639</v>
      </c>
    </row>
    <row r="36" spans="1:5" ht="12.75">
      <c r="A36" s="741">
        <f t="shared" si="0"/>
        <v>23</v>
      </c>
      <c r="B36" s="540"/>
      <c r="C36" s="778"/>
      <c r="D36" s="778"/>
      <c r="E36" s="778"/>
    </row>
    <row r="37" spans="1:5" ht="12.75">
      <c r="A37" s="741">
        <f t="shared" si="0"/>
        <v>24</v>
      </c>
      <c r="B37" s="781" t="s">
        <v>514</v>
      </c>
      <c r="C37" s="779"/>
      <c r="D37" s="779"/>
      <c r="E37" s="779"/>
    </row>
    <row r="38" spans="1:5" ht="12.75">
      <c r="A38" s="741">
        <f t="shared" si="0"/>
        <v>25</v>
      </c>
      <c r="B38" s="540" t="s">
        <v>499</v>
      </c>
      <c r="C38" s="779">
        <v>60053639.572076</v>
      </c>
      <c r="D38" s="779">
        <v>1056944.0564685378</v>
      </c>
      <c r="E38" s="779">
        <v>-369930</v>
      </c>
    </row>
    <row r="39" spans="1:5" ht="12.75">
      <c r="A39" s="741">
        <f t="shared" si="0"/>
        <v>26</v>
      </c>
      <c r="B39" s="540" t="s">
        <v>449</v>
      </c>
      <c r="C39" s="779">
        <v>0</v>
      </c>
      <c r="D39" s="779">
        <v>0</v>
      </c>
      <c r="E39" s="779">
        <v>0</v>
      </c>
    </row>
    <row r="40" spans="1:5" ht="12.75">
      <c r="A40" s="741">
        <f t="shared" si="0"/>
        <v>27</v>
      </c>
      <c r="B40" s="540" t="s">
        <v>504</v>
      </c>
      <c r="C40" s="779">
        <v>6596375.80405256</v>
      </c>
      <c r="D40" s="779">
        <v>116096.21415132505</v>
      </c>
      <c r="E40" s="779">
        <v>-40634</v>
      </c>
    </row>
    <row r="41" spans="1:5" ht="12.75">
      <c r="A41" s="741">
        <f t="shared" si="0"/>
        <v>28</v>
      </c>
      <c r="B41" s="540" t="s">
        <v>495</v>
      </c>
      <c r="C41" s="779">
        <v>0</v>
      </c>
      <c r="D41" s="779">
        <v>0</v>
      </c>
      <c r="E41" s="779">
        <v>0</v>
      </c>
    </row>
    <row r="42" spans="1:5" ht="12.75">
      <c r="A42" s="741">
        <f t="shared" si="0"/>
        <v>29</v>
      </c>
      <c r="B42" s="540" t="s">
        <v>515</v>
      </c>
      <c r="C42" s="780">
        <v>7166873.703269307</v>
      </c>
      <c r="D42" s="780">
        <v>126136.9771775398</v>
      </c>
      <c r="E42" s="780">
        <v>-44148</v>
      </c>
    </row>
    <row r="43" spans="1:5" ht="12.75">
      <c r="A43" s="741">
        <f t="shared" si="0"/>
        <v>30</v>
      </c>
      <c r="B43" s="540" t="s">
        <v>516</v>
      </c>
      <c r="C43" s="779">
        <f>SUM(C38:C42)</f>
        <v>73816889.07939787</v>
      </c>
      <c r="D43" s="779">
        <f>SUM(D38:D42)</f>
        <v>1299177.2477974026</v>
      </c>
      <c r="E43" s="779">
        <f>SUM(E38:E42)</f>
        <v>-454712</v>
      </c>
    </row>
    <row r="44" spans="1:5" ht="12.75">
      <c r="A44" s="741">
        <f t="shared" si="0"/>
        <v>31</v>
      </c>
      <c r="B44" s="540"/>
      <c r="C44" s="779"/>
      <c r="D44" s="779"/>
      <c r="E44" s="779"/>
    </row>
    <row r="45" spans="1:5" ht="12.75">
      <c r="A45" s="741">
        <f t="shared" si="0"/>
        <v>32</v>
      </c>
      <c r="B45" s="776" t="s">
        <v>465</v>
      </c>
      <c r="C45" s="779"/>
      <c r="D45" s="779"/>
      <c r="E45" s="779"/>
    </row>
    <row r="46" spans="1:5" ht="12.75">
      <c r="A46" s="741">
        <f t="shared" si="0"/>
        <v>33</v>
      </c>
      <c r="B46" s="777" t="s">
        <v>409</v>
      </c>
      <c r="C46" s="782">
        <v>0</v>
      </c>
      <c r="D46" s="782">
        <v>0</v>
      </c>
      <c r="E46" s="782">
        <v>0</v>
      </c>
    </row>
    <row r="47" spans="1:5" ht="12.75">
      <c r="A47" s="741">
        <f t="shared" si="0"/>
        <v>34</v>
      </c>
      <c r="B47" s="777" t="s">
        <v>410</v>
      </c>
      <c r="C47" s="747">
        <v>6051142.857142857</v>
      </c>
      <c r="D47" s="747">
        <v>106500.1142857143</v>
      </c>
      <c r="E47" s="747">
        <v>-37275</v>
      </c>
    </row>
    <row r="48" spans="1:5" ht="12.75">
      <c r="A48" s="741">
        <f t="shared" si="0"/>
        <v>35</v>
      </c>
      <c r="B48" s="777" t="s">
        <v>268</v>
      </c>
      <c r="C48" s="758">
        <v>3526620</v>
      </c>
      <c r="D48" s="758">
        <v>62068.512</v>
      </c>
      <c r="E48" s="758">
        <v>-21724</v>
      </c>
    </row>
    <row r="49" spans="1:5" ht="12.75">
      <c r="A49" s="741">
        <f t="shared" si="0"/>
        <v>36</v>
      </c>
      <c r="B49" s="777" t="s">
        <v>156</v>
      </c>
      <c r="C49" s="758">
        <v>1494701.7220710255</v>
      </c>
      <c r="D49" s="758">
        <v>26306.75030845005</v>
      </c>
      <c r="E49" s="758">
        <v>-9207</v>
      </c>
    </row>
    <row r="50" spans="1:5" ht="12.75">
      <c r="A50" s="741">
        <f t="shared" si="0"/>
        <v>37</v>
      </c>
      <c r="B50" s="777" t="s">
        <v>157</v>
      </c>
      <c r="C50" s="758">
        <v>0</v>
      </c>
      <c r="D50" s="758">
        <v>0</v>
      </c>
      <c r="E50" s="758">
        <v>0</v>
      </c>
    </row>
    <row r="51" spans="1:5" ht="12.75">
      <c r="A51" s="741">
        <f t="shared" si="0"/>
        <v>38</v>
      </c>
      <c r="B51" s="777" t="s">
        <v>158</v>
      </c>
      <c r="C51" s="758">
        <v>0</v>
      </c>
      <c r="D51" s="758">
        <v>0</v>
      </c>
      <c r="E51" s="758">
        <v>0</v>
      </c>
    </row>
    <row r="52" spans="1:5" ht="12.75">
      <c r="A52" s="741">
        <f t="shared" si="0"/>
        <v>39</v>
      </c>
      <c r="B52" s="777" t="s">
        <v>159</v>
      </c>
      <c r="C52" s="758">
        <v>1925091.1600000034</v>
      </c>
      <c r="D52" s="758">
        <v>33881.60441600006</v>
      </c>
      <c r="E52" s="758">
        <v>-11859</v>
      </c>
    </row>
    <row r="53" spans="1:5" ht="12.75">
      <c r="A53" s="741">
        <f t="shared" si="0"/>
        <v>40</v>
      </c>
      <c r="B53" s="783" t="s">
        <v>517</v>
      </c>
      <c r="C53" s="758">
        <v>4162153.8237249996</v>
      </c>
      <c r="D53" s="758">
        <v>73253.90729756</v>
      </c>
      <c r="E53" s="758">
        <v>-25639</v>
      </c>
    </row>
    <row r="54" spans="1:5" ht="12.75">
      <c r="A54" s="741">
        <f t="shared" si="0"/>
        <v>41</v>
      </c>
      <c r="B54" s="777" t="s">
        <v>466</v>
      </c>
      <c r="C54" s="758">
        <v>-846708.3333333334</v>
      </c>
      <c r="D54" s="758">
        <v>-14902.066666666668</v>
      </c>
      <c r="E54" s="758">
        <v>5216</v>
      </c>
    </row>
    <row r="55" spans="1:5" ht="12.75">
      <c r="A55" s="741">
        <f t="shared" si="0"/>
        <v>42</v>
      </c>
      <c r="B55" s="783" t="s">
        <v>518</v>
      </c>
      <c r="C55" s="758">
        <v>8403570.2</v>
      </c>
      <c r="D55" s="758">
        <v>147902.83552</v>
      </c>
      <c r="E55" s="758">
        <v>-51766</v>
      </c>
    </row>
    <row r="56" spans="1:5" ht="12.75">
      <c r="A56" s="741">
        <f t="shared" si="0"/>
        <v>43</v>
      </c>
      <c r="B56" s="783" t="s">
        <v>519</v>
      </c>
      <c r="C56" s="758">
        <v>-392150</v>
      </c>
      <c r="D56" s="758">
        <v>-6901.84</v>
      </c>
      <c r="E56" s="758">
        <v>2416</v>
      </c>
    </row>
    <row r="57" spans="1:5" ht="12.75">
      <c r="A57" s="741">
        <f t="shared" si="0"/>
        <v>44</v>
      </c>
      <c r="B57" s="783" t="s">
        <v>520</v>
      </c>
      <c r="C57" s="758">
        <v>2880318.5</v>
      </c>
      <c r="D57" s="758">
        <v>50693.6056</v>
      </c>
      <c r="E57" s="758">
        <v>-17743</v>
      </c>
    </row>
    <row r="58" spans="1:5" ht="12.75">
      <c r="A58" s="741">
        <f t="shared" si="0"/>
        <v>45</v>
      </c>
      <c r="B58" s="783" t="s">
        <v>521</v>
      </c>
      <c r="C58" s="758">
        <v>0</v>
      </c>
      <c r="D58" s="758">
        <v>0</v>
      </c>
      <c r="E58" s="758">
        <v>0</v>
      </c>
    </row>
    <row r="59" spans="1:5" ht="12.75">
      <c r="A59" s="741">
        <f t="shared" si="0"/>
        <v>46</v>
      </c>
      <c r="B59" s="783" t="s">
        <v>522</v>
      </c>
      <c r="C59" s="758">
        <v>2806572.449</v>
      </c>
      <c r="D59" s="758">
        <v>49395.675102400004</v>
      </c>
      <c r="E59" s="758">
        <v>-17288</v>
      </c>
    </row>
    <row r="60" spans="1:5" ht="12.75">
      <c r="A60" s="741">
        <f t="shared" si="0"/>
        <v>47</v>
      </c>
      <c r="B60" s="724" t="s">
        <v>523</v>
      </c>
      <c r="C60" s="784">
        <f>SUM(C46:C59)</f>
        <v>30011312.378605552</v>
      </c>
      <c r="D60" s="784">
        <f>SUM(D46:D59)</f>
        <v>528199.0978634577</v>
      </c>
      <c r="E60" s="784">
        <f>SUM(E46:E59)</f>
        <v>-184869</v>
      </c>
    </row>
    <row r="61" spans="1:5" ht="12.75">
      <c r="A61" s="741">
        <f t="shared" si="0"/>
        <v>48</v>
      </c>
      <c r="C61" s="785"/>
      <c r="D61" s="785"/>
      <c r="E61" s="785"/>
    </row>
    <row r="62" spans="1:5" ht="12.75">
      <c r="A62" s="741">
        <f t="shared" si="0"/>
        <v>49</v>
      </c>
      <c r="B62" s="724" t="s">
        <v>524</v>
      </c>
      <c r="C62" s="786">
        <v>32254250</v>
      </c>
      <c r="D62" s="786">
        <v>567674.8</v>
      </c>
      <c r="E62" s="786">
        <v>0</v>
      </c>
    </row>
    <row r="63" spans="1:5" ht="12.75">
      <c r="A63" s="741">
        <f t="shared" si="0"/>
        <v>50</v>
      </c>
      <c r="C63" s="787"/>
      <c r="D63" s="787"/>
      <c r="E63" s="787"/>
    </row>
    <row r="64" spans="1:5" ht="12.75">
      <c r="A64" s="741">
        <f t="shared" si="0"/>
        <v>51</v>
      </c>
      <c r="B64" s="724" t="s">
        <v>525</v>
      </c>
      <c r="C64" s="786">
        <f>C60+C62</f>
        <v>62265562.37860555</v>
      </c>
      <c r="D64" s="786">
        <f>D60+D62</f>
        <v>1095873.897863458</v>
      </c>
      <c r="E64" s="786">
        <f>E60+E62</f>
        <v>-184869</v>
      </c>
    </row>
    <row r="65" spans="1:5" ht="12.75">
      <c r="A65" s="741">
        <f t="shared" si="0"/>
        <v>52</v>
      </c>
      <c r="C65" s="786"/>
      <c r="D65" s="786"/>
      <c r="E65" s="786"/>
    </row>
    <row r="66" spans="1:5" ht="12.75">
      <c r="A66" s="741">
        <f t="shared" si="0"/>
        <v>53</v>
      </c>
      <c r="B66" s="540" t="s">
        <v>469</v>
      </c>
      <c r="C66" s="779"/>
      <c r="D66" s="788"/>
      <c r="E66" s="779">
        <f>D35+D28+D23+D18+D64+D43</f>
        <v>3888684.2573233354</v>
      </c>
    </row>
    <row r="67" spans="1:5" ht="12.75">
      <c r="A67" s="741">
        <f t="shared" si="0"/>
        <v>54</v>
      </c>
      <c r="B67" s="540" t="s">
        <v>470</v>
      </c>
      <c r="C67" s="747"/>
      <c r="D67" s="747"/>
      <c r="E67" s="747">
        <f>+E18+E23+E28+E35+E60+E43</f>
        <v>-1290813.7840022058</v>
      </c>
    </row>
    <row r="68" spans="1:5" ht="13.5" thickBot="1">
      <c r="A68" s="741">
        <f t="shared" si="0"/>
        <v>55</v>
      </c>
      <c r="B68" s="540" t="s">
        <v>471</v>
      </c>
      <c r="C68" s="747"/>
      <c r="D68" s="747"/>
      <c r="E68" s="789">
        <f>-E66-E67</f>
        <v>-2597870.4733211296</v>
      </c>
    </row>
    <row r="69" spans="1:5" ht="13.5" thickTop="1">
      <c r="A69" s="741">
        <f t="shared" si="0"/>
        <v>56</v>
      </c>
      <c r="C69" s="747"/>
      <c r="D69" s="747"/>
      <c r="E69" s="747"/>
    </row>
    <row r="70" spans="1:5" ht="12.75">
      <c r="A70" s="741">
        <f t="shared" si="0"/>
        <v>57</v>
      </c>
      <c r="B70" s="776" t="s">
        <v>472</v>
      </c>
      <c r="C70" s="747"/>
      <c r="D70" s="747"/>
      <c r="E70" s="747"/>
    </row>
    <row r="71" spans="1:5" ht="12.75">
      <c r="A71" s="741">
        <f t="shared" si="0"/>
        <v>58</v>
      </c>
      <c r="B71" s="777" t="s">
        <v>473</v>
      </c>
      <c r="C71" s="782">
        <v>2464118728.838333</v>
      </c>
      <c r="D71" s="755">
        <f aca="true" t="shared" si="1" ref="D71:D78">+C71*-$D$12</f>
        <v>43368489.62755466</v>
      </c>
      <c r="E71" s="747"/>
    </row>
    <row r="72" spans="1:4" ht="12.75">
      <c r="A72" s="741">
        <f t="shared" si="0"/>
        <v>59</v>
      </c>
      <c r="B72" s="777" t="s">
        <v>474</v>
      </c>
      <c r="C72" s="744">
        <v>-1096690156.3382769</v>
      </c>
      <c r="D72" s="779">
        <f t="shared" si="1"/>
        <v>-19301746.751553673</v>
      </c>
    </row>
    <row r="73" spans="1:4" ht="12.75">
      <c r="A73" s="741">
        <f t="shared" si="0"/>
        <v>60</v>
      </c>
      <c r="B73" s="777" t="s">
        <v>526</v>
      </c>
      <c r="C73" s="744">
        <v>94327207.29965985</v>
      </c>
      <c r="D73" s="779">
        <f t="shared" si="1"/>
        <v>1660158.8484740134</v>
      </c>
    </row>
    <row r="74" spans="1:4" ht="12.75">
      <c r="A74" s="741">
        <f t="shared" si="0"/>
        <v>61</v>
      </c>
      <c r="B74" s="777" t="s">
        <v>527</v>
      </c>
      <c r="C74" s="744">
        <v>-8458621.729166666</v>
      </c>
      <c r="D74" s="779">
        <f t="shared" si="1"/>
        <v>-148871.74243333333</v>
      </c>
    </row>
    <row r="75" spans="1:5" ht="12.75">
      <c r="A75" s="741">
        <f t="shared" si="0"/>
        <v>62</v>
      </c>
      <c r="B75" s="777" t="s">
        <v>477</v>
      </c>
      <c r="C75" s="758">
        <v>5656965</v>
      </c>
      <c r="D75" s="747">
        <f t="shared" si="1"/>
        <v>99562.584</v>
      </c>
      <c r="E75" s="747"/>
    </row>
    <row r="76" spans="1:5" ht="12.75">
      <c r="A76" s="741">
        <f t="shared" si="0"/>
        <v>63</v>
      </c>
      <c r="B76" s="777" t="s">
        <v>478</v>
      </c>
      <c r="C76" s="758">
        <v>1667334.26</v>
      </c>
      <c r="D76" s="747">
        <f t="shared" si="1"/>
        <v>29345.082976</v>
      </c>
      <c r="E76" s="747"/>
    </row>
    <row r="77" spans="1:5" ht="12.75">
      <c r="A77" s="741">
        <f t="shared" si="0"/>
        <v>64</v>
      </c>
      <c r="B77" s="777" t="s">
        <v>528</v>
      </c>
      <c r="C77" s="758">
        <v>186913275.26833335</v>
      </c>
      <c r="D77" s="779">
        <f t="shared" si="1"/>
        <v>3289673.644722667</v>
      </c>
      <c r="E77" s="779"/>
    </row>
    <row r="78" spans="1:5" ht="12.75">
      <c r="A78" s="741">
        <f t="shared" si="0"/>
        <v>65</v>
      </c>
      <c r="B78" s="540" t="s">
        <v>529</v>
      </c>
      <c r="C78" s="758">
        <v>-8274590.416666667</v>
      </c>
      <c r="D78" s="779">
        <f t="shared" si="1"/>
        <v>-145632.79133333336</v>
      </c>
      <c r="E78" s="779"/>
    </row>
    <row r="79" spans="1:5" ht="12.75">
      <c r="A79" s="741">
        <f aca="true" t="shared" si="2" ref="A79:A106">A78+1</f>
        <v>66</v>
      </c>
      <c r="B79" s="724" t="s">
        <v>480</v>
      </c>
      <c r="C79" s="743">
        <f>SUM(C71:C78)</f>
        <v>1639260142.182216</v>
      </c>
      <c r="D79" s="743">
        <f>SUM(D71:D78)</f>
        <v>28850978.502407003</v>
      </c>
      <c r="E79" s="779"/>
    </row>
    <row r="80" spans="1:5" ht="12.75">
      <c r="A80" s="741">
        <f t="shared" si="2"/>
        <v>67</v>
      </c>
      <c r="B80" s="724" t="s">
        <v>481</v>
      </c>
      <c r="C80" s="744"/>
      <c r="D80" s="790"/>
      <c r="E80" s="779"/>
    </row>
    <row r="81" spans="1:5" ht="12.75">
      <c r="A81" s="741">
        <f t="shared" si="2"/>
        <v>68</v>
      </c>
      <c r="B81" s="777" t="s">
        <v>483</v>
      </c>
      <c r="C81" s="758">
        <v>-200132394.1847877</v>
      </c>
      <c r="D81" s="747">
        <f>+C81*-$D$12</f>
        <v>-3522330.1376522635</v>
      </c>
      <c r="E81" s="779"/>
    </row>
    <row r="82" spans="1:5" ht="12.75">
      <c r="A82" s="741">
        <f t="shared" si="2"/>
        <v>69</v>
      </c>
      <c r="B82" s="540" t="s">
        <v>530</v>
      </c>
      <c r="C82" s="758">
        <v>-3279416</v>
      </c>
      <c r="D82" s="747">
        <f>+C82*-$D$12</f>
        <v>-57717.721600000004</v>
      </c>
      <c r="E82" s="779"/>
    </row>
    <row r="83" spans="1:5" ht="12.75">
      <c r="A83" s="741">
        <f t="shared" si="2"/>
        <v>70</v>
      </c>
      <c r="B83" s="540" t="s">
        <v>485</v>
      </c>
      <c r="C83" s="778">
        <f>SUM(C81:C82)</f>
        <v>-203411810.1847877</v>
      </c>
      <c r="D83" s="778">
        <f>SUM(D81:D82)</f>
        <v>-3580047.8592522633</v>
      </c>
      <c r="E83" s="779"/>
    </row>
    <row r="84" spans="1:5" ht="12.75">
      <c r="A84" s="741">
        <f t="shared" si="2"/>
        <v>71</v>
      </c>
      <c r="B84" s="777"/>
      <c r="C84" s="743"/>
      <c r="D84" s="778"/>
      <c r="E84" s="779"/>
    </row>
    <row r="85" spans="1:5" ht="13.5" thickBot="1">
      <c r="A85" s="741">
        <f t="shared" si="2"/>
        <v>72</v>
      </c>
      <c r="B85" s="540" t="s">
        <v>486</v>
      </c>
      <c r="C85" s="791">
        <f>C79+C83+C84</f>
        <v>1435848331.9974282</v>
      </c>
      <c r="D85" s="791">
        <f>D79+D83+D84</f>
        <v>25270930.64315474</v>
      </c>
      <c r="E85" s="791">
        <f>SUM(C85:D85)</f>
        <v>1461119262.640583</v>
      </c>
    </row>
    <row r="86" spans="1:5" ht="13.5" thickTop="1">
      <c r="A86" s="741">
        <f t="shared" si="2"/>
        <v>73</v>
      </c>
      <c r="C86" s="778"/>
      <c r="D86" s="792"/>
      <c r="E86" s="779"/>
    </row>
    <row r="87" spans="1:5" ht="12.75">
      <c r="A87" s="741">
        <f t="shared" si="2"/>
        <v>74</v>
      </c>
      <c r="B87" s="776" t="s">
        <v>487</v>
      </c>
      <c r="C87" s="779"/>
      <c r="D87" s="779"/>
      <c r="E87" s="779"/>
    </row>
    <row r="88" spans="1:5" ht="12.75">
      <c r="A88" s="741">
        <f t="shared" si="2"/>
        <v>75</v>
      </c>
      <c r="B88" s="777" t="s">
        <v>154</v>
      </c>
      <c r="C88" s="747">
        <v>0</v>
      </c>
      <c r="D88" s="747">
        <f aca="true" t="shared" si="3" ref="D88:D102">-ROUND(C88*$D$12,0)</f>
        <v>0</v>
      </c>
      <c r="E88" s="747"/>
    </row>
    <row r="89" spans="1:5" ht="12.75">
      <c r="A89" s="741">
        <f t="shared" si="2"/>
        <v>76</v>
      </c>
      <c r="B89" s="777" t="s">
        <v>155</v>
      </c>
      <c r="C89" s="747">
        <v>47565333.333333336</v>
      </c>
      <c r="D89" s="747">
        <f t="shared" si="3"/>
        <v>837150</v>
      </c>
      <c r="E89" s="747"/>
    </row>
    <row r="90" spans="1:5" ht="12.75">
      <c r="A90" s="741">
        <f t="shared" si="2"/>
        <v>77</v>
      </c>
      <c r="B90" s="777" t="s">
        <v>268</v>
      </c>
      <c r="C90" s="747">
        <v>16211898.00999999</v>
      </c>
      <c r="D90" s="747">
        <f t="shared" si="3"/>
        <v>285329</v>
      </c>
      <c r="E90" s="747"/>
    </row>
    <row r="91" spans="1:5" ht="12.75">
      <c r="A91" s="741">
        <f t="shared" si="2"/>
        <v>78</v>
      </c>
      <c r="B91" s="777" t="s">
        <v>156</v>
      </c>
      <c r="C91" s="747">
        <v>30893115.25435887</v>
      </c>
      <c r="D91" s="747">
        <f t="shared" si="3"/>
        <v>543719</v>
      </c>
      <c r="E91" s="747"/>
    </row>
    <row r="92" spans="1:5" ht="12.75">
      <c r="A92" s="741">
        <f t="shared" si="2"/>
        <v>79</v>
      </c>
      <c r="B92" s="777" t="s">
        <v>157</v>
      </c>
      <c r="C92" s="747">
        <v>19459946.740000002</v>
      </c>
      <c r="D92" s="747">
        <f t="shared" si="3"/>
        <v>342495</v>
      </c>
      <c r="E92" s="747"/>
    </row>
    <row r="93" spans="1:5" ht="12.75">
      <c r="A93" s="741">
        <f t="shared" si="2"/>
        <v>80</v>
      </c>
      <c r="B93" s="783" t="s">
        <v>531</v>
      </c>
      <c r="C93" s="747">
        <v>-27074057</v>
      </c>
      <c r="D93" s="747">
        <f t="shared" si="3"/>
        <v>-476503</v>
      </c>
      <c r="E93" s="747"/>
    </row>
    <row r="94" spans="1:5" ht="12.75">
      <c r="A94" s="741">
        <f t="shared" si="2"/>
        <v>81</v>
      </c>
      <c r="B94" s="777" t="s">
        <v>158</v>
      </c>
      <c r="C94" s="747">
        <v>0</v>
      </c>
      <c r="D94" s="747">
        <f t="shared" si="3"/>
        <v>0</v>
      </c>
      <c r="E94" s="747"/>
    </row>
    <row r="95" spans="1:5" ht="12.75">
      <c r="A95" s="741">
        <f t="shared" si="2"/>
        <v>82</v>
      </c>
      <c r="B95" s="777" t="s">
        <v>159</v>
      </c>
      <c r="C95" s="747">
        <v>938031.7108333327</v>
      </c>
      <c r="D95" s="747">
        <f t="shared" si="3"/>
        <v>16509</v>
      </c>
      <c r="E95" s="747"/>
    </row>
    <row r="96" spans="1:5" ht="12.75">
      <c r="A96" s="741">
        <f t="shared" si="2"/>
        <v>83</v>
      </c>
      <c r="B96" s="783" t="s">
        <v>532</v>
      </c>
      <c r="C96" s="747">
        <v>2930760.940415205</v>
      </c>
      <c r="D96" s="747">
        <f t="shared" si="3"/>
        <v>51581</v>
      </c>
      <c r="E96" s="747"/>
    </row>
    <row r="97" spans="1:5" ht="12.75">
      <c r="A97" s="741">
        <f t="shared" si="2"/>
        <v>84</v>
      </c>
      <c r="B97" s="777" t="s">
        <v>466</v>
      </c>
      <c r="C97" s="747">
        <v>-160521.7881944445</v>
      </c>
      <c r="D97" s="747">
        <f t="shared" si="3"/>
        <v>-2825</v>
      </c>
      <c r="E97" s="747"/>
    </row>
    <row r="98" spans="1:5" ht="12.75">
      <c r="A98" s="741">
        <f t="shared" si="2"/>
        <v>85</v>
      </c>
      <c r="B98" s="783" t="s">
        <v>518</v>
      </c>
      <c r="C98" s="747">
        <v>2083590</v>
      </c>
      <c r="D98" s="747">
        <f t="shared" si="3"/>
        <v>36671</v>
      </c>
      <c r="E98" s="747"/>
    </row>
    <row r="99" spans="1:5" ht="12.75">
      <c r="A99" s="741">
        <f t="shared" si="2"/>
        <v>86</v>
      </c>
      <c r="B99" s="783" t="s">
        <v>519</v>
      </c>
      <c r="C99" s="747">
        <v>-2060421.4583333333</v>
      </c>
      <c r="D99" s="747">
        <f t="shared" si="3"/>
        <v>-36263</v>
      </c>
      <c r="E99" s="747"/>
    </row>
    <row r="100" spans="1:5" ht="12.75">
      <c r="A100" s="741">
        <f t="shared" si="2"/>
        <v>87</v>
      </c>
      <c r="B100" s="783" t="s">
        <v>520</v>
      </c>
      <c r="C100" s="747">
        <v>27171503</v>
      </c>
      <c r="D100" s="747">
        <f t="shared" si="3"/>
        <v>478218</v>
      </c>
      <c r="E100" s="747"/>
    </row>
    <row r="101" spans="1:5" ht="12.75">
      <c r="A101" s="741">
        <f t="shared" si="2"/>
        <v>88</v>
      </c>
      <c r="B101" s="783" t="s">
        <v>533</v>
      </c>
      <c r="C101" s="747">
        <v>0</v>
      </c>
      <c r="D101" s="747">
        <f t="shared" si="3"/>
        <v>0</v>
      </c>
      <c r="E101" s="747"/>
    </row>
    <row r="102" spans="1:5" ht="12.75">
      <c r="A102" s="741">
        <f t="shared" si="2"/>
        <v>89</v>
      </c>
      <c r="B102" s="783" t="s">
        <v>522</v>
      </c>
      <c r="C102" s="747">
        <v>2747493</v>
      </c>
      <c r="D102" s="747">
        <f t="shared" si="3"/>
        <v>48356</v>
      </c>
      <c r="E102" s="747"/>
    </row>
    <row r="103" spans="1:5" ht="12.75">
      <c r="A103" s="741">
        <f t="shared" si="2"/>
        <v>90</v>
      </c>
      <c r="B103" s="777"/>
      <c r="C103" s="778"/>
      <c r="D103" s="778"/>
      <c r="E103" s="779"/>
    </row>
    <row r="104" spans="1:5" ht="13.5" thickBot="1">
      <c r="A104" s="741">
        <f t="shared" si="2"/>
        <v>91</v>
      </c>
      <c r="B104" s="724" t="s">
        <v>488</v>
      </c>
      <c r="C104" s="791">
        <f>SUM(C88:C103)</f>
        <v>120706671.74241295</v>
      </c>
      <c r="D104" s="791">
        <f>SUM(D88:D103)</f>
        <v>2124437</v>
      </c>
      <c r="E104" s="791">
        <f>SUM(C104:D104)</f>
        <v>122831108.74241295</v>
      </c>
    </row>
    <row r="105" ht="13.5" thickTop="1">
      <c r="A105" s="741">
        <f t="shared" si="2"/>
        <v>92</v>
      </c>
    </row>
    <row r="106" spans="1:4" ht="13.5" thickBot="1">
      <c r="A106" s="741">
        <f t="shared" si="2"/>
        <v>93</v>
      </c>
      <c r="B106" s="724" t="s">
        <v>534</v>
      </c>
      <c r="D106" s="793">
        <f>D85+D104</f>
        <v>27395367.64315474</v>
      </c>
    </row>
    <row r="107" spans="4:5" ht="14.25" thickTop="1">
      <c r="D107" s="794"/>
      <c r="E107" s="794"/>
    </row>
    <row r="108" spans="2:5" ht="13.5">
      <c r="B108" s="539"/>
      <c r="D108" s="794"/>
      <c r="E108" s="794"/>
    </row>
    <row r="109" spans="4:5" ht="13.5">
      <c r="D109" s="794"/>
      <c r="E109" s="794"/>
    </row>
    <row r="110" spans="4:5" ht="13.5">
      <c r="D110" s="794"/>
      <c r="E110" s="794"/>
    </row>
    <row r="111" spans="4:5" ht="13.5">
      <c r="D111" s="794"/>
      <c r="E111" s="794"/>
    </row>
    <row r="112" spans="4:5" ht="13.5">
      <c r="D112" s="794"/>
      <c r="E112" s="794"/>
    </row>
    <row r="113" spans="4:5" ht="13.5">
      <c r="D113" s="794"/>
      <c r="E113" s="794"/>
    </row>
    <row r="114" spans="4:5" ht="13.5">
      <c r="D114" s="794"/>
      <c r="E114" s="794"/>
    </row>
    <row r="115" spans="4:5" ht="13.5">
      <c r="D115" s="794"/>
      <c r="E115" s="794"/>
    </row>
    <row r="116" spans="4:5" ht="13.5">
      <c r="D116" s="794"/>
      <c r="E116" s="794"/>
    </row>
    <row r="117" spans="4:5" ht="13.5">
      <c r="D117" s="794"/>
      <c r="E117" s="794"/>
    </row>
    <row r="118" spans="4:5" ht="13.5">
      <c r="D118" s="794"/>
      <c r="E118" s="794"/>
    </row>
    <row r="119" spans="4:5" ht="13.5">
      <c r="D119" s="794"/>
      <c r="E119" s="794"/>
    </row>
    <row r="120" spans="4:5" ht="13.5">
      <c r="D120" s="794"/>
      <c r="E120" s="794"/>
    </row>
    <row r="121" spans="4:5" ht="13.5">
      <c r="D121" s="794"/>
      <c r="E121" s="794"/>
    </row>
    <row r="122" spans="4:5" ht="13.5">
      <c r="D122" s="794"/>
      <c r="E122" s="794"/>
    </row>
    <row r="123" spans="4:5" ht="13.5">
      <c r="D123" s="794"/>
      <c r="E123" s="794"/>
    </row>
  </sheetData>
  <sheetProtection/>
  <printOptions horizontalCentered="1"/>
  <pageMargins left="0.75" right="0.5" top="0.78" bottom="0.62" header="0.25" footer="0.18"/>
  <pageSetup fitToHeight="1" fitToWidth="1" horizontalDpi="600" verticalDpi="600" orientation="portrait" scale="52" r:id="rId1"/>
</worksheet>
</file>

<file path=xl/worksheets/sheet15.xml><?xml version="1.0" encoding="utf-8"?>
<worksheet xmlns="http://schemas.openxmlformats.org/spreadsheetml/2006/main" xmlns:r="http://schemas.openxmlformats.org/officeDocument/2006/relationships">
  <sheetPr>
    <pageSetUpPr fitToPage="1"/>
  </sheetPr>
  <dimension ref="A1:E61"/>
  <sheetViews>
    <sheetView zoomScalePageLayoutView="0" workbookViewId="0" topLeftCell="A1">
      <selection activeCell="L28" sqref="L28"/>
    </sheetView>
  </sheetViews>
  <sheetFormatPr defaultColWidth="9.140625" defaultRowHeight="12.75"/>
  <cols>
    <col min="1" max="1" width="5.00390625" style="724" customWidth="1"/>
    <col min="2" max="2" width="54.7109375" style="724" bestFit="1" customWidth="1"/>
    <col min="3" max="5" width="17.00390625" style="724" customWidth="1"/>
    <col min="6" max="16384" width="9.140625" style="725" customWidth="1"/>
  </cols>
  <sheetData>
    <row r="1" spans="1:5" ht="12.75">
      <c r="A1" s="723"/>
      <c r="D1" s="537"/>
      <c r="E1" s="537" t="s">
        <v>536</v>
      </c>
    </row>
    <row r="2" spans="1:5" ht="13.5" thickBot="1">
      <c r="A2" s="726"/>
      <c r="D2" s="537"/>
      <c r="E2" s="537" t="s">
        <v>3</v>
      </c>
    </row>
    <row r="3" spans="1:5" ht="14.25" thickBot="1" thickTop="1">
      <c r="A3" s="726"/>
      <c r="B3" s="723" t="s">
        <v>490</v>
      </c>
      <c r="C3" s="723"/>
      <c r="D3" s="723"/>
      <c r="E3" s="538" t="s">
        <v>4</v>
      </c>
    </row>
    <row r="4" spans="1:5" ht="13.5" thickTop="1">
      <c r="A4" s="723"/>
      <c r="B4" s="727"/>
      <c r="C4" s="728"/>
      <c r="D4" s="728"/>
      <c r="E4" s="723"/>
    </row>
    <row r="5" spans="1:5" ht="12.75">
      <c r="A5" s="723"/>
      <c r="B5" s="723"/>
      <c r="C5" s="723"/>
      <c r="D5" s="723"/>
      <c r="E5" s="723"/>
    </row>
    <row r="6" spans="1:5" ht="12.75">
      <c r="A6" s="729" t="s">
        <v>437</v>
      </c>
      <c r="B6" s="730"/>
      <c r="C6" s="730"/>
      <c r="D6" s="729"/>
      <c r="E6" s="730"/>
    </row>
    <row r="7" spans="1:5" ht="12.75">
      <c r="A7" s="729" t="s">
        <v>491</v>
      </c>
      <c r="B7" s="730"/>
      <c r="C7" s="729"/>
      <c r="D7" s="730"/>
      <c r="E7" s="730"/>
    </row>
    <row r="8" spans="1:5" ht="12.75">
      <c r="A8" s="730" t="s">
        <v>411</v>
      </c>
      <c r="B8" s="730"/>
      <c r="C8" s="729"/>
      <c r="D8" s="730"/>
      <c r="E8" s="730"/>
    </row>
    <row r="9" spans="1:5" ht="12.75">
      <c r="A9" s="729" t="s">
        <v>440</v>
      </c>
      <c r="B9" s="730"/>
      <c r="C9" s="729"/>
      <c r="D9" s="729"/>
      <c r="E9" s="729"/>
    </row>
    <row r="10" spans="1:5" ht="12.75">
      <c r="A10" s="723"/>
      <c r="B10" s="723"/>
      <c r="C10" s="723"/>
      <c r="D10" s="731"/>
      <c r="E10" s="723"/>
    </row>
    <row r="11" spans="1:5" ht="12.75">
      <c r="A11" s="732" t="s">
        <v>441</v>
      </c>
      <c r="B11" s="733"/>
      <c r="C11" s="734"/>
      <c r="D11" s="735"/>
      <c r="E11" s="735" t="s">
        <v>492</v>
      </c>
    </row>
    <row r="12" spans="1:5" ht="12.75">
      <c r="A12" s="736" t="s">
        <v>445</v>
      </c>
      <c r="B12" s="737" t="s">
        <v>113</v>
      </c>
      <c r="C12" s="738" t="s">
        <v>493</v>
      </c>
      <c r="D12" s="738" t="s">
        <v>442</v>
      </c>
      <c r="E12" s="738" t="s">
        <v>494</v>
      </c>
    </row>
    <row r="13" spans="1:5" ht="12.75">
      <c r="A13" s="739"/>
      <c r="B13" s="740"/>
      <c r="C13" s="740"/>
      <c r="D13" s="740"/>
      <c r="E13" s="740"/>
    </row>
    <row r="14" spans="1:5" ht="12.75">
      <c r="A14" s="741">
        <v>1</v>
      </c>
      <c r="B14" s="724" t="s">
        <v>495</v>
      </c>
      <c r="C14" s="742">
        <v>173342970.82</v>
      </c>
      <c r="D14" s="742">
        <v>29152007.95346639</v>
      </c>
      <c r="E14" s="742">
        <f>D14-C14</f>
        <v>-144190962.8665336</v>
      </c>
    </row>
    <row r="15" spans="1:5" ht="12.75">
      <c r="A15" s="741">
        <f aca="true" t="shared" si="0" ref="A15:A41">A14+1</f>
        <v>2</v>
      </c>
      <c r="C15" s="743"/>
      <c r="D15" s="743"/>
      <c r="E15" s="743"/>
    </row>
    <row r="16" spans="1:5" ht="12.75">
      <c r="A16" s="741">
        <f t="shared" si="0"/>
        <v>3</v>
      </c>
      <c r="B16" s="724" t="s">
        <v>496</v>
      </c>
      <c r="C16" s="744">
        <v>15804883.45</v>
      </c>
      <c r="D16" s="744">
        <v>289997.24280388287</v>
      </c>
      <c r="E16" s="744">
        <f>D16-C16</f>
        <v>-15514886.207196116</v>
      </c>
    </row>
    <row r="17" spans="1:5" ht="12.75">
      <c r="A17" s="741">
        <f t="shared" si="0"/>
        <v>4</v>
      </c>
      <c r="B17" s="724" t="s">
        <v>497</v>
      </c>
      <c r="C17" s="745">
        <v>11562467.33</v>
      </c>
      <c r="D17" s="745">
        <v>10569516.319872001</v>
      </c>
      <c r="E17" s="745">
        <f>D17-C17</f>
        <v>-992951.0101279989</v>
      </c>
    </row>
    <row r="18" spans="1:5" ht="12.75">
      <c r="A18" s="741">
        <f t="shared" si="0"/>
        <v>5</v>
      </c>
      <c r="C18" s="744">
        <f>SUM(C16:C17)</f>
        <v>27367350.78</v>
      </c>
      <c r="D18" s="744">
        <f>SUM(D16:D17)</f>
        <v>10859513.562675884</v>
      </c>
      <c r="E18" s="744">
        <f>SUM(E16:E17)</f>
        <v>-16507837.217324115</v>
      </c>
    </row>
    <row r="19" spans="1:5" ht="12.75">
      <c r="A19" s="741">
        <f t="shared" si="0"/>
        <v>6</v>
      </c>
      <c r="C19" s="743"/>
      <c r="D19" s="743"/>
      <c r="E19" s="743"/>
    </row>
    <row r="20" spans="1:5" ht="12.75">
      <c r="A20" s="741">
        <f t="shared" si="0"/>
        <v>7</v>
      </c>
      <c r="B20" s="746" t="s">
        <v>498</v>
      </c>
      <c r="C20" s="747">
        <f>SUM(C14:C17)</f>
        <v>200710321.6</v>
      </c>
      <c r="D20" s="747">
        <f>SUM(D14:D17)</f>
        <v>40011521.51614227</v>
      </c>
      <c r="E20" s="747">
        <f>SUM(E14:E17)</f>
        <v>-160698800.08385772</v>
      </c>
    </row>
    <row r="21" spans="1:5" ht="12.75">
      <c r="A21" s="741">
        <f t="shared" si="0"/>
        <v>8</v>
      </c>
      <c r="C21" s="748"/>
      <c r="D21" s="748"/>
      <c r="E21" s="748"/>
    </row>
    <row r="22" spans="1:5" ht="12.75">
      <c r="A22" s="741">
        <f t="shared" si="0"/>
        <v>9</v>
      </c>
      <c r="B22" s="749" t="s">
        <v>499</v>
      </c>
      <c r="C22" s="750">
        <v>212821383.39000002</v>
      </c>
      <c r="D22" s="750">
        <v>239477236.61234176</v>
      </c>
      <c r="E22" s="750">
        <f>D22-C22</f>
        <v>26655853.222341746</v>
      </c>
    </row>
    <row r="23" spans="1:5" ht="12.75">
      <c r="A23" s="741">
        <f t="shared" si="0"/>
        <v>10</v>
      </c>
      <c r="B23" s="749"/>
      <c r="C23" s="751"/>
      <c r="D23" s="751"/>
      <c r="E23" s="751"/>
    </row>
    <row r="24" spans="1:5" ht="12.75">
      <c r="A24" s="741">
        <f t="shared" si="0"/>
        <v>11</v>
      </c>
      <c r="B24" s="749" t="s">
        <v>500</v>
      </c>
      <c r="C24" s="744">
        <v>888547930.79</v>
      </c>
      <c r="D24" s="752">
        <v>627370776.3994164</v>
      </c>
      <c r="E24" s="753">
        <f>D24-C24</f>
        <v>-261177154.39058352</v>
      </c>
    </row>
    <row r="25" spans="1:5" ht="12.75">
      <c r="A25" s="741">
        <f t="shared" si="0"/>
        <v>12</v>
      </c>
      <c r="B25" s="749" t="s">
        <v>501</v>
      </c>
      <c r="C25" s="744">
        <v>0</v>
      </c>
      <c r="D25" s="752">
        <v>311301.434304</v>
      </c>
      <c r="E25" s="753">
        <f>D25-C25</f>
        <v>311301.434304</v>
      </c>
    </row>
    <row r="26" spans="1:5" ht="12.75">
      <c r="A26" s="741">
        <f t="shared" si="0"/>
        <v>13</v>
      </c>
      <c r="B26" s="749" t="s">
        <v>502</v>
      </c>
      <c r="C26" s="745">
        <v>0</v>
      </c>
      <c r="D26" s="754">
        <v>-5192254.580928776</v>
      </c>
      <c r="E26" s="745">
        <f>D26-C26</f>
        <v>-5192254.580928776</v>
      </c>
    </row>
    <row r="27" spans="1:5" ht="12.75">
      <c r="A27" s="741">
        <f t="shared" si="0"/>
        <v>14</v>
      </c>
      <c r="B27" s="749" t="s">
        <v>503</v>
      </c>
      <c r="C27" s="755">
        <f>SUM(C24:C26)</f>
        <v>888547930.79</v>
      </c>
      <c r="D27" s="755">
        <f>SUM(D24:D26)</f>
        <v>622489823.2527916</v>
      </c>
      <c r="E27" s="755">
        <f>SUM(E24:E26)</f>
        <v>-266058107.5372083</v>
      </c>
    </row>
    <row r="28" spans="1:5" ht="12.75">
      <c r="A28" s="741">
        <f t="shared" si="0"/>
        <v>15</v>
      </c>
      <c r="B28" s="749" t="s">
        <v>504</v>
      </c>
      <c r="C28" s="744">
        <v>68962374.82666667</v>
      </c>
      <c r="D28" s="744">
        <v>74393481.68510924</v>
      </c>
      <c r="E28" s="744">
        <f>D28-C28</f>
        <v>5431106.858442575</v>
      </c>
    </row>
    <row r="29" spans="1:5" ht="12.75">
      <c r="A29" s="741">
        <f t="shared" si="0"/>
        <v>16</v>
      </c>
      <c r="B29" s="749"/>
      <c r="C29" s="744"/>
      <c r="D29" s="744"/>
      <c r="E29" s="744"/>
    </row>
    <row r="30" spans="1:5" ht="12.75">
      <c r="A30" s="741">
        <f t="shared" si="0"/>
        <v>17</v>
      </c>
      <c r="B30" s="724" t="s">
        <v>506</v>
      </c>
      <c r="C30" s="756">
        <f>C22+C27+C28</f>
        <v>1170331689.0066667</v>
      </c>
      <c r="D30" s="756">
        <f>D22+D27+D28</f>
        <v>936360541.5502427</v>
      </c>
      <c r="E30" s="756">
        <f>E22+E27+E28</f>
        <v>-233971147.45642397</v>
      </c>
    </row>
    <row r="31" spans="1:5" ht="12.75">
      <c r="A31" s="741">
        <f t="shared" si="0"/>
        <v>18</v>
      </c>
      <c r="B31" s="757" t="s">
        <v>507</v>
      </c>
      <c r="C31" s="758">
        <v>92332638.23</v>
      </c>
      <c r="D31" s="758">
        <v>91030292.95557639</v>
      </c>
      <c r="E31" s="758">
        <f>D31-C31</f>
        <v>-1302345.2744236141</v>
      </c>
    </row>
    <row r="32" spans="1:5" ht="12.75">
      <c r="A32" s="741">
        <f t="shared" si="0"/>
        <v>19</v>
      </c>
      <c r="B32" s="749" t="s">
        <v>508</v>
      </c>
      <c r="C32" s="745">
        <v>1497265.75</v>
      </c>
      <c r="D32" s="745">
        <v>1523616.864</v>
      </c>
      <c r="E32" s="745">
        <f>D32-C32</f>
        <v>26351.11400000006</v>
      </c>
    </row>
    <row r="33" spans="1:5" ht="12.75">
      <c r="A33" s="741">
        <f t="shared" si="0"/>
        <v>20</v>
      </c>
      <c r="E33" s="759"/>
    </row>
    <row r="34" spans="1:5" ht="12.75">
      <c r="A34" s="741">
        <f t="shared" si="0"/>
        <v>21</v>
      </c>
      <c r="B34" s="746" t="s">
        <v>413</v>
      </c>
      <c r="C34" s="755">
        <f>SUM(C30:C32)</f>
        <v>1264161592.9866667</v>
      </c>
      <c r="D34" s="755">
        <f>SUM(D30:D32)</f>
        <v>1028914451.369819</v>
      </c>
      <c r="E34" s="755">
        <f>SUM(E30:E32)</f>
        <v>-235247141.6168476</v>
      </c>
    </row>
    <row r="35" spans="1:5" ht="12.75">
      <c r="A35" s="741">
        <f t="shared" si="0"/>
        <v>22</v>
      </c>
      <c r="C35" s="748"/>
      <c r="D35" s="748"/>
      <c r="E35" s="748"/>
    </row>
    <row r="36" spans="1:5" ht="12.75">
      <c r="A36" s="741">
        <f t="shared" si="0"/>
        <v>23</v>
      </c>
      <c r="B36" s="749" t="str">
        <f>"INCREASE (DECREASE) OPERATING INCOME (LINE "&amp;A20&amp;" - LINE "&amp;A34&amp;")"</f>
        <v>INCREASE (DECREASE) OPERATING INCOME (LINE 7 - LINE 21)</v>
      </c>
      <c r="C36" s="742">
        <f>C20-C34</f>
        <v>-1063451271.3866667</v>
      </c>
      <c r="D36" s="742">
        <f>D20-D34</f>
        <v>-988902929.8536768</v>
      </c>
      <c r="E36" s="742">
        <f>E20-E34</f>
        <v>74548341.53298989</v>
      </c>
    </row>
    <row r="37" ht="12.75">
      <c r="A37" s="741">
        <f t="shared" si="0"/>
        <v>24</v>
      </c>
    </row>
    <row r="38" spans="1:5" ht="12.75">
      <c r="A38" s="741">
        <f t="shared" si="0"/>
        <v>25</v>
      </c>
      <c r="B38" s="724" t="str">
        <f>"REDUCTION TO STATE UTILITY TAX SAVINGS FOR LINE "&amp;A17</f>
        <v>REDUCTION TO STATE UTILITY TAX SAVINGS FOR LINE 4</v>
      </c>
      <c r="C38" s="760">
        <v>0.03873</v>
      </c>
      <c r="E38" s="761">
        <f>E17*C38</f>
        <v>-38456.9926222574</v>
      </c>
    </row>
    <row r="39" spans="1:5" ht="12.75">
      <c r="A39" s="741">
        <f t="shared" si="0"/>
        <v>26</v>
      </c>
      <c r="B39" s="540" t="s">
        <v>509</v>
      </c>
      <c r="C39" s="762"/>
      <c r="D39" s="762"/>
      <c r="E39" s="763">
        <f>E36-E38</f>
        <v>74586798.52561215</v>
      </c>
    </row>
    <row r="40" spans="1:5" ht="12.75">
      <c r="A40" s="741">
        <f t="shared" si="0"/>
        <v>27</v>
      </c>
      <c r="B40" s="540" t="s">
        <v>510</v>
      </c>
      <c r="C40" s="764">
        <v>0.35</v>
      </c>
      <c r="D40" s="765"/>
      <c r="E40" s="744">
        <f>E39*C40</f>
        <v>26105379.48396425</v>
      </c>
    </row>
    <row r="41" spans="1:5" ht="13.5" thickBot="1">
      <c r="A41" s="741">
        <f t="shared" si="0"/>
        <v>28</v>
      </c>
      <c r="B41" s="540" t="s">
        <v>511</v>
      </c>
      <c r="C41" s="762" t="s">
        <v>266</v>
      </c>
      <c r="D41" s="766"/>
      <c r="E41" s="767">
        <f>+E39-E40</f>
        <v>48481419.041647896</v>
      </c>
    </row>
    <row r="42" ht="13.5" thickTop="1">
      <c r="A42" s="741"/>
    </row>
    <row r="43" ht="12.75">
      <c r="A43" s="741"/>
    </row>
    <row r="45" ht="13.5">
      <c r="A45" s="539"/>
    </row>
    <row r="47" ht="12.75">
      <c r="A47" s="768"/>
    </row>
    <row r="48" ht="12.75">
      <c r="A48" s="768"/>
    </row>
    <row r="49" spans="1:2" ht="12.75">
      <c r="A49" s="768"/>
      <c r="B49" s="765"/>
    </row>
    <row r="50" ht="12.75">
      <c r="A50" s="768"/>
    </row>
    <row r="54" ht="12.75">
      <c r="A54" s="769" t="s">
        <v>266</v>
      </c>
    </row>
    <row r="55" ht="12.75">
      <c r="A55" s="769" t="s">
        <v>266</v>
      </c>
    </row>
    <row r="56" ht="12.75">
      <c r="A56" s="769" t="s">
        <v>266</v>
      </c>
    </row>
    <row r="61" ht="12.75">
      <c r="E61" s="770"/>
    </row>
  </sheetData>
  <sheetProtection/>
  <printOptions horizontalCentered="1"/>
  <pageMargins left="0.5" right="0.5" top="0.28" bottom="0.37" header="0.25" footer="0.18"/>
  <pageSetup fitToHeight="1" fitToWidth="1" horizontalDpi="600" verticalDpi="600" orientation="portrait" scale="86" r:id="rId1"/>
</worksheet>
</file>

<file path=xl/worksheets/sheet16.xml><?xml version="1.0" encoding="utf-8"?>
<worksheet xmlns="http://schemas.openxmlformats.org/spreadsheetml/2006/main" xmlns:r="http://schemas.openxmlformats.org/officeDocument/2006/relationships">
  <sheetPr>
    <pageSetUpPr fitToPage="1"/>
  </sheetPr>
  <dimension ref="A1:Q152"/>
  <sheetViews>
    <sheetView tabSelected="1" zoomScalePageLayoutView="0" workbookViewId="0" topLeftCell="A1">
      <pane xSplit="3" ySplit="9" topLeftCell="D124" activePane="bottomRight" state="frozen"/>
      <selection pane="topLeft" activeCell="A1" sqref="A1"/>
      <selection pane="topRight" activeCell="D1" sqref="D1"/>
      <selection pane="bottomLeft" activeCell="A10" sqref="A10"/>
      <selection pane="bottomRight" activeCell="N147" sqref="N147"/>
    </sheetView>
  </sheetViews>
  <sheetFormatPr defaultColWidth="9.140625" defaultRowHeight="12.75"/>
  <cols>
    <col min="1" max="1" width="6.28125" style="236" customWidth="1"/>
    <col min="2" max="2" width="12.421875" style="229" customWidth="1"/>
    <col min="3" max="3" width="2.00390625" style="229" customWidth="1"/>
    <col min="4" max="4" width="14.00390625" style="229" bestFit="1" customWidth="1"/>
    <col min="5" max="5" width="13.8515625" style="229" customWidth="1"/>
    <col min="6" max="6" width="0.85546875" style="936" customWidth="1"/>
    <col min="7" max="7" width="13.140625" style="910" customWidth="1"/>
    <col min="8" max="8" width="13.7109375" style="910" bestFit="1" customWidth="1"/>
    <col min="9" max="9" width="5.140625" style="936" bestFit="1" customWidth="1"/>
    <col min="10" max="10" width="1.1484375" style="936" customWidth="1"/>
    <col min="11" max="11" width="10.8515625" style="913" bestFit="1" customWidth="1"/>
    <col min="12" max="12" width="12.7109375" style="229" bestFit="1" customWidth="1"/>
    <col min="13" max="13" width="12.421875" style="229" bestFit="1" customWidth="1"/>
    <col min="14" max="14" width="11.57421875" style="244" bestFit="1" customWidth="1"/>
    <col min="15" max="15" width="9.140625" style="229" customWidth="1"/>
    <col min="16" max="16" width="13.00390625" style="229" bestFit="1" customWidth="1"/>
    <col min="17" max="17" width="10.00390625" style="229" bestFit="1" customWidth="1"/>
    <col min="18" max="18" width="9.140625" style="229" customWidth="1"/>
    <col min="19" max="19" width="9.00390625" style="229" customWidth="1"/>
    <col min="20" max="16384" width="9.140625" style="229" customWidth="1"/>
  </cols>
  <sheetData>
    <row r="1" spans="1:14" s="226" customFormat="1" ht="12.75">
      <c r="A1" s="225" t="s">
        <v>558</v>
      </c>
      <c r="C1" s="227"/>
      <c r="D1" s="227"/>
      <c r="E1" s="227"/>
      <c r="F1" s="912"/>
      <c r="K1" s="913"/>
      <c r="L1" s="227"/>
      <c r="N1" s="914"/>
    </row>
    <row r="2" spans="2:14" s="226" customFormat="1" ht="12.75">
      <c r="B2" s="915" t="s">
        <v>559</v>
      </c>
      <c r="C2" s="227"/>
      <c r="D2" s="227"/>
      <c r="E2" s="227"/>
      <c r="F2" s="912"/>
      <c r="K2" s="913"/>
      <c r="L2" s="227"/>
      <c r="N2" s="914"/>
    </row>
    <row r="3" spans="1:14" s="226" customFormat="1" ht="12.75">
      <c r="A3" s="225" t="s">
        <v>560</v>
      </c>
      <c r="C3" s="227"/>
      <c r="D3" s="227"/>
      <c r="E3" s="227"/>
      <c r="F3" s="912"/>
      <c r="H3" s="916" t="s">
        <v>561</v>
      </c>
      <c r="I3" s="917" t="s">
        <v>562</v>
      </c>
      <c r="J3" s="917"/>
      <c r="K3" s="918"/>
      <c r="L3" s="919" t="s">
        <v>563</v>
      </c>
      <c r="M3" s="919" t="s">
        <v>564</v>
      </c>
      <c r="N3" s="920" t="s">
        <v>565</v>
      </c>
    </row>
    <row r="4" spans="2:14" s="226" customFormat="1" ht="12.75">
      <c r="B4" s="921">
        <v>40179</v>
      </c>
      <c r="C4" s="227"/>
      <c r="D4" s="921">
        <v>40543</v>
      </c>
      <c r="E4" s="227"/>
      <c r="F4" s="912"/>
      <c r="H4" s="922" t="s">
        <v>539</v>
      </c>
      <c r="I4" s="923" t="s">
        <v>566</v>
      </c>
      <c r="J4" s="924"/>
      <c r="K4" s="925"/>
      <c r="L4" s="924">
        <v>39753</v>
      </c>
      <c r="M4" s="926">
        <f>L5-B4</f>
        <v>97</v>
      </c>
      <c r="N4" s="927">
        <v>0.07</v>
      </c>
    </row>
    <row r="5" spans="1:14" s="226" customFormat="1" ht="12.75">
      <c r="A5" s="225"/>
      <c r="C5" s="227"/>
      <c r="D5" s="227"/>
      <c r="E5" s="227"/>
      <c r="F5" s="912"/>
      <c r="H5" s="928" t="s">
        <v>15</v>
      </c>
      <c r="I5" s="929" t="s">
        <v>567</v>
      </c>
      <c r="J5" s="930"/>
      <c r="K5" s="931"/>
      <c r="L5" s="930">
        <v>40276</v>
      </c>
      <c r="M5" s="932">
        <f>D4-L5+1</f>
        <v>268</v>
      </c>
      <c r="N5" s="933">
        <v>0.069</v>
      </c>
    </row>
    <row r="6" spans="1:14" s="226" customFormat="1" ht="12.75">
      <c r="A6" s="225"/>
      <c r="C6" s="227"/>
      <c r="D6" s="227"/>
      <c r="E6" s="227"/>
      <c r="F6" s="912"/>
      <c r="K6" s="913"/>
      <c r="L6" s="227"/>
      <c r="M6" s="934"/>
      <c r="N6" s="935"/>
    </row>
    <row r="7" spans="1:14" ht="13.5" customHeight="1">
      <c r="A7" s="229"/>
      <c r="C7" s="230"/>
      <c r="D7" s="231" t="s">
        <v>545</v>
      </c>
      <c r="E7" s="231"/>
      <c r="G7" s="810" t="s">
        <v>284</v>
      </c>
      <c r="H7" s="810"/>
      <c r="I7" s="937"/>
      <c r="J7" s="937"/>
      <c r="K7" s="938"/>
      <c r="L7" s="232"/>
      <c r="M7" s="232"/>
      <c r="N7" s="232"/>
    </row>
    <row r="8" spans="3:14" ht="13.5" customHeight="1">
      <c r="C8" s="230"/>
      <c r="D8" s="230"/>
      <c r="E8" s="237" t="s">
        <v>568</v>
      </c>
      <c r="G8" s="815"/>
      <c r="H8" s="815"/>
      <c r="I8" s="939"/>
      <c r="J8" s="939"/>
      <c r="K8" s="238" t="s">
        <v>299</v>
      </c>
      <c r="L8" s="232"/>
      <c r="M8" s="238"/>
      <c r="N8" s="232"/>
    </row>
    <row r="9" spans="1:14" ht="12.75">
      <c r="A9" s="239" t="s">
        <v>46</v>
      </c>
      <c r="B9" s="240" t="s">
        <v>35</v>
      </c>
      <c r="C9" s="241"/>
      <c r="D9" s="827" t="s">
        <v>47</v>
      </c>
      <c r="E9" s="239" t="s">
        <v>55</v>
      </c>
      <c r="F9" s="940"/>
      <c r="G9" s="827" t="s">
        <v>47</v>
      </c>
      <c r="H9" s="810" t="s">
        <v>49</v>
      </c>
      <c r="I9" s="941"/>
      <c r="J9" s="940"/>
      <c r="K9" s="942" t="s">
        <v>50</v>
      </c>
      <c r="L9" s="242" t="s">
        <v>51</v>
      </c>
      <c r="M9" s="239" t="s">
        <v>300</v>
      </c>
      <c r="N9" s="239" t="s">
        <v>262</v>
      </c>
    </row>
    <row r="10" spans="1:14" ht="15">
      <c r="A10" s="243"/>
      <c r="B10" s="244"/>
      <c r="C10" s="235"/>
      <c r="D10" s="245" t="s">
        <v>569</v>
      </c>
      <c r="E10" s="245" t="s">
        <v>56</v>
      </c>
      <c r="F10" s="943"/>
      <c r="G10" s="245" t="s">
        <v>569</v>
      </c>
      <c r="H10" s="245" t="s">
        <v>56</v>
      </c>
      <c r="I10" s="944"/>
      <c r="J10" s="945"/>
      <c r="K10" s="946"/>
      <c r="L10" s="246"/>
      <c r="M10" s="247"/>
      <c r="N10" s="247"/>
    </row>
    <row r="11" spans="1:14" ht="15">
      <c r="A11" s="243"/>
      <c r="B11" s="244"/>
      <c r="C11" s="235"/>
      <c r="D11" s="245"/>
      <c r="E11" s="245"/>
      <c r="F11" s="943"/>
      <c r="G11" s="245"/>
      <c r="H11" s="245"/>
      <c r="I11" s="944"/>
      <c r="J11" s="945"/>
      <c r="K11" s="946"/>
      <c r="L11" s="246"/>
      <c r="M11" s="247"/>
      <c r="N11" s="247"/>
    </row>
    <row r="12" spans="1:14" ht="15">
      <c r="A12" s="248">
        <f>ROW()</f>
        <v>12</v>
      </c>
      <c r="B12" s="249"/>
      <c r="C12" s="250"/>
      <c r="D12" s="947"/>
      <c r="E12" s="948"/>
      <c r="F12" s="949"/>
      <c r="G12" s="950"/>
      <c r="H12" s="951"/>
      <c r="I12" s="952"/>
      <c r="J12" s="949"/>
      <c r="K12" s="953"/>
      <c r="L12" s="954"/>
      <c r="M12" s="947"/>
      <c r="N12" s="947"/>
    </row>
    <row r="13" spans="1:14" ht="15">
      <c r="A13" s="243">
        <f>ROW()</f>
        <v>13</v>
      </c>
      <c r="B13" s="251" t="s">
        <v>547</v>
      </c>
      <c r="C13" s="235"/>
      <c r="D13" s="247"/>
      <c r="E13" s="252"/>
      <c r="F13" s="945"/>
      <c r="G13" s="955" t="s">
        <v>570</v>
      </c>
      <c r="H13" s="815"/>
      <c r="I13" s="944"/>
      <c r="J13" s="945"/>
      <c r="K13" s="946"/>
      <c r="L13" s="246"/>
      <c r="M13" s="247"/>
      <c r="N13" s="252"/>
    </row>
    <row r="14" spans="1:14" ht="15">
      <c r="A14" s="243">
        <f>ROW()</f>
        <v>14</v>
      </c>
      <c r="B14" s="254" t="s">
        <v>571</v>
      </c>
      <c r="C14" s="253" t="s">
        <v>265</v>
      </c>
      <c r="D14" s="860"/>
      <c r="E14" s="860">
        <v>1374000</v>
      </c>
      <c r="F14" s="956"/>
      <c r="G14" s="957"/>
      <c r="H14" s="860">
        <v>2791458.3333333335</v>
      </c>
      <c r="I14" s="958">
        <v>39447</v>
      </c>
      <c r="J14" s="956"/>
      <c r="K14" s="959" t="s">
        <v>572</v>
      </c>
      <c r="L14" s="851">
        <v>197031.07134703195</v>
      </c>
      <c r="M14" s="851">
        <f>+L14/(1-0.35)</f>
        <v>303124.7251492799</v>
      </c>
      <c r="N14" s="873">
        <f>M14/12</f>
        <v>25260.393762439995</v>
      </c>
    </row>
    <row r="15" spans="1:14" ht="15">
      <c r="A15" s="243">
        <f>ROW()</f>
        <v>15</v>
      </c>
      <c r="B15" s="254" t="s">
        <v>573</v>
      </c>
      <c r="C15" s="253" t="s">
        <v>265</v>
      </c>
      <c r="D15" s="860">
        <v>-1410000</v>
      </c>
      <c r="E15" s="860">
        <v>0</v>
      </c>
      <c r="F15" s="956"/>
      <c r="G15" s="957">
        <v>-1410000</v>
      </c>
      <c r="H15" s="860">
        <v>691208.3333333334</v>
      </c>
      <c r="I15" s="958">
        <v>39813</v>
      </c>
      <c r="J15" s="956"/>
      <c r="K15" s="959" t="s">
        <v>574</v>
      </c>
      <c r="L15" s="851">
        <v>48730.18750000002</v>
      </c>
      <c r="M15" s="851">
        <f>+L15/(1-0.35)</f>
        <v>74969.51923076926</v>
      </c>
      <c r="N15" s="873">
        <f>M15/12</f>
        <v>6247.459935897438</v>
      </c>
    </row>
    <row r="16" spans="1:14" ht="15">
      <c r="A16" s="243">
        <f>ROW()</f>
        <v>16</v>
      </c>
      <c r="B16" s="254" t="s">
        <v>549</v>
      </c>
      <c r="C16" s="253" t="s">
        <v>265</v>
      </c>
      <c r="D16" s="860">
        <v>0</v>
      </c>
      <c r="E16" s="860">
        <v>0</v>
      </c>
      <c r="F16" s="956"/>
      <c r="G16" s="957">
        <v>0</v>
      </c>
      <c r="H16" s="860">
        <v>0</v>
      </c>
      <c r="I16" s="958">
        <v>40178</v>
      </c>
      <c r="J16" s="956"/>
      <c r="K16" s="960">
        <f>$N$4</f>
        <v>0.07</v>
      </c>
      <c r="L16" s="851">
        <f>H16*K16</f>
        <v>0</v>
      </c>
      <c r="M16" s="851">
        <f>+L16/(1-0.35)</f>
        <v>0</v>
      </c>
      <c r="N16" s="873">
        <f>M16/12</f>
        <v>0</v>
      </c>
    </row>
    <row r="17" spans="1:14" ht="15">
      <c r="A17" s="243">
        <f>ROW()</f>
        <v>17</v>
      </c>
      <c r="B17" s="254"/>
      <c r="C17" s="253"/>
      <c r="D17" s="860"/>
      <c r="E17" s="860"/>
      <c r="F17" s="956"/>
      <c r="G17" s="961"/>
      <c r="H17" s="860"/>
      <c r="I17" s="958"/>
      <c r="J17" s="956"/>
      <c r="K17" s="960"/>
      <c r="L17" s="873"/>
      <c r="M17" s="873"/>
      <c r="N17" s="873"/>
    </row>
    <row r="18" spans="1:14" ht="15">
      <c r="A18" s="248">
        <f>ROW()</f>
        <v>18</v>
      </c>
      <c r="B18" s="250"/>
      <c r="C18" s="255"/>
      <c r="D18" s="962"/>
      <c r="E18" s="962"/>
      <c r="F18" s="963"/>
      <c r="G18" s="964"/>
      <c r="H18" s="962"/>
      <c r="I18" s="965"/>
      <c r="J18" s="963"/>
      <c r="K18" s="953"/>
      <c r="L18" s="966"/>
      <c r="M18" s="966"/>
      <c r="N18" s="966"/>
    </row>
    <row r="19" spans="1:17" ht="15">
      <c r="A19" s="243">
        <f>ROW()</f>
        <v>19</v>
      </c>
      <c r="B19" s="251" t="s">
        <v>267</v>
      </c>
      <c r="C19" s="253"/>
      <c r="D19" s="860"/>
      <c r="E19" s="860"/>
      <c r="F19" s="956"/>
      <c r="G19" s="852" t="s">
        <v>57</v>
      </c>
      <c r="H19" s="860"/>
      <c r="I19" s="958"/>
      <c r="J19" s="956"/>
      <c r="K19" s="946"/>
      <c r="L19" s="256"/>
      <c r="M19" s="256"/>
      <c r="N19" s="235"/>
      <c r="Q19" s="967"/>
    </row>
    <row r="20" spans="1:17" ht="15">
      <c r="A20" s="243">
        <f>ROW()</f>
        <v>20</v>
      </c>
      <c r="B20" s="254" t="s">
        <v>571</v>
      </c>
      <c r="C20" s="253" t="s">
        <v>265</v>
      </c>
      <c r="D20" s="860"/>
      <c r="E20" s="860">
        <v>131477000</v>
      </c>
      <c r="F20" s="956"/>
      <c r="G20" s="957"/>
      <c r="H20" s="860">
        <v>142912958.33333334</v>
      </c>
      <c r="I20" s="958">
        <v>39447</v>
      </c>
      <c r="J20" s="956"/>
      <c r="K20" s="959" t="s">
        <v>572</v>
      </c>
      <c r="L20" s="851">
        <v>10087305.604223749</v>
      </c>
      <c r="M20" s="851">
        <f aca="true" t="shared" si="0" ref="M20:M25">+L20/(1-0.35)</f>
        <v>15518931.698805766</v>
      </c>
      <c r="N20" s="873">
        <f aca="true" t="shared" si="1" ref="N20:N25">M20/12</f>
        <v>1293244.3082338138</v>
      </c>
      <c r="Q20" s="967"/>
    </row>
    <row r="21" spans="1:17" ht="15">
      <c r="A21" s="243">
        <f>ROW()</f>
        <v>21</v>
      </c>
      <c r="B21" s="254" t="s">
        <v>573</v>
      </c>
      <c r="C21" s="253" t="s">
        <v>265</v>
      </c>
      <c r="D21" s="860">
        <v>-28272000</v>
      </c>
      <c r="E21" s="860">
        <v>104886000</v>
      </c>
      <c r="F21" s="956"/>
      <c r="G21" s="957">
        <v>-28272000</v>
      </c>
      <c r="H21" s="968">
        <v>118181041.66666667</v>
      </c>
      <c r="I21" s="958">
        <v>39813</v>
      </c>
      <c r="J21" s="956"/>
      <c r="K21" s="959" t="str">
        <f>$K$15</f>
        <v>7.06%&amp;7.00%</v>
      </c>
      <c r="L21" s="851">
        <v>8331763.437500003</v>
      </c>
      <c r="M21" s="851">
        <f t="shared" si="0"/>
        <v>12818097.59615385</v>
      </c>
      <c r="N21" s="873">
        <f t="shared" si="1"/>
        <v>1068174.7996794875</v>
      </c>
      <c r="Q21" s="967"/>
    </row>
    <row r="22" spans="1:17" ht="15">
      <c r="A22" s="243">
        <f>ROW()</f>
        <v>22</v>
      </c>
      <c r="B22" s="254" t="s">
        <v>549</v>
      </c>
      <c r="C22" s="253" t="s">
        <v>265</v>
      </c>
      <c r="D22" s="860">
        <v>-32676000</v>
      </c>
      <c r="E22" s="860">
        <v>74153000</v>
      </c>
      <c r="F22" s="956"/>
      <c r="G22" s="957">
        <v>-32676000</v>
      </c>
      <c r="H22" s="968">
        <v>89519208.33333333</v>
      </c>
      <c r="I22" s="958">
        <v>40178</v>
      </c>
      <c r="J22" s="956"/>
      <c r="K22" s="960">
        <f>N4</f>
        <v>0.07</v>
      </c>
      <c r="L22" s="851">
        <f>H22*K22</f>
        <v>6266344.583333334</v>
      </c>
      <c r="M22" s="851">
        <f t="shared" si="0"/>
        <v>9640530.128205128</v>
      </c>
      <c r="N22" s="873">
        <f t="shared" si="1"/>
        <v>803377.5106837606</v>
      </c>
      <c r="Q22" s="967"/>
    </row>
    <row r="23" spans="1:17" ht="15">
      <c r="A23" s="243">
        <f>ROW()</f>
        <v>23</v>
      </c>
      <c r="B23" s="254" t="s">
        <v>52</v>
      </c>
      <c r="C23" s="253" t="s">
        <v>265</v>
      </c>
      <c r="D23" s="860">
        <v>-37533000</v>
      </c>
      <c r="E23" s="860">
        <v>38851000</v>
      </c>
      <c r="F23" s="956"/>
      <c r="G23" s="957">
        <v>-37533000</v>
      </c>
      <c r="H23" s="968">
        <v>56501833.333333336</v>
      </c>
      <c r="I23" s="958">
        <v>40543</v>
      </c>
      <c r="J23" s="956"/>
      <c r="K23" s="959" t="s">
        <v>16</v>
      </c>
      <c r="L23" s="851">
        <f>((H23*$N$4)*$M$4/365)+((H23*$N$5)*$M$5/365)</f>
        <v>3913642.055707763</v>
      </c>
      <c r="M23" s="851">
        <f t="shared" si="0"/>
        <v>6020987.778011943</v>
      </c>
      <c r="N23" s="873">
        <f t="shared" si="1"/>
        <v>501748.9815009953</v>
      </c>
      <c r="Q23" s="967"/>
    </row>
    <row r="24" spans="1:17" ht="15">
      <c r="A24" s="243">
        <f>ROW()</f>
        <v>24</v>
      </c>
      <c r="B24" s="254" t="s">
        <v>575</v>
      </c>
      <c r="C24" s="253" t="s">
        <v>265</v>
      </c>
      <c r="D24" s="860">
        <v>-40629000</v>
      </c>
      <c r="E24" s="860">
        <v>0</v>
      </c>
      <c r="F24" s="956"/>
      <c r="G24" s="957">
        <v>-40629000</v>
      </c>
      <c r="H24" s="968">
        <v>19424708.333333332</v>
      </c>
      <c r="I24" s="958">
        <v>40908</v>
      </c>
      <c r="J24" s="956"/>
      <c r="K24" s="960">
        <f>$N$5</f>
        <v>0.069</v>
      </c>
      <c r="L24" s="851">
        <f>H24*K24</f>
        <v>1340304.875</v>
      </c>
      <c r="M24" s="851">
        <f t="shared" si="0"/>
        <v>2062007.5</v>
      </c>
      <c r="N24" s="873">
        <f t="shared" si="1"/>
        <v>171833.95833333334</v>
      </c>
      <c r="Q24" s="969"/>
    </row>
    <row r="25" spans="1:17" ht="15">
      <c r="A25" s="243">
        <f>ROW()</f>
        <v>25</v>
      </c>
      <c r="B25" s="254" t="s">
        <v>576</v>
      </c>
      <c r="C25" s="253" t="s">
        <v>265</v>
      </c>
      <c r="D25" s="860">
        <v>0</v>
      </c>
      <c r="E25" s="860">
        <v>0</v>
      </c>
      <c r="F25" s="956"/>
      <c r="G25" s="957">
        <v>0</v>
      </c>
      <c r="H25" s="968">
        <v>0</v>
      </c>
      <c r="I25" s="958">
        <v>41274</v>
      </c>
      <c r="J25" s="956"/>
      <c r="K25" s="960">
        <f>$N$5</f>
        <v>0.069</v>
      </c>
      <c r="L25" s="851">
        <f>H25*K25</f>
        <v>0</v>
      </c>
      <c r="M25" s="851">
        <f t="shared" si="0"/>
        <v>0</v>
      </c>
      <c r="N25" s="873">
        <f t="shared" si="1"/>
        <v>0</v>
      </c>
      <c r="Q25" s="967"/>
    </row>
    <row r="26" spans="1:17" ht="15" hidden="1">
      <c r="A26" s="257">
        <f>ROW()</f>
        <v>26</v>
      </c>
      <c r="B26" s="970"/>
      <c r="C26" s="971"/>
      <c r="D26" s="972"/>
      <c r="E26" s="972"/>
      <c r="F26" s="973"/>
      <c r="G26" s="974"/>
      <c r="H26" s="972"/>
      <c r="I26" s="975"/>
      <c r="J26" s="973"/>
      <c r="K26" s="976"/>
      <c r="L26" s="977"/>
      <c r="M26" s="977"/>
      <c r="N26" s="977"/>
      <c r="Q26" s="967"/>
    </row>
    <row r="27" spans="1:17" ht="15">
      <c r="A27" s="243">
        <f>ROW()</f>
        <v>27</v>
      </c>
      <c r="B27" s="254"/>
      <c r="C27" s="253"/>
      <c r="D27" s="860"/>
      <c r="E27" s="860"/>
      <c r="F27" s="956"/>
      <c r="G27" s="961"/>
      <c r="H27" s="860"/>
      <c r="I27" s="958"/>
      <c r="J27" s="956"/>
      <c r="K27" s="960"/>
      <c r="L27" s="873"/>
      <c r="M27" s="873"/>
      <c r="N27" s="873"/>
      <c r="Q27" s="967"/>
    </row>
    <row r="28" spans="1:17" ht="15">
      <c r="A28" s="248">
        <f>ROW()</f>
        <v>28</v>
      </c>
      <c r="B28" s="250"/>
      <c r="C28" s="255"/>
      <c r="D28" s="962"/>
      <c r="E28" s="962"/>
      <c r="F28" s="963"/>
      <c r="G28" s="964"/>
      <c r="H28" s="962"/>
      <c r="I28" s="965"/>
      <c r="J28" s="963"/>
      <c r="K28" s="953"/>
      <c r="L28" s="978"/>
      <c r="M28" s="978"/>
      <c r="N28" s="978"/>
      <c r="Q28" s="967"/>
    </row>
    <row r="29" spans="1:17" ht="15">
      <c r="A29" s="243">
        <f>ROW()</f>
        <v>29</v>
      </c>
      <c r="B29" s="251" t="s">
        <v>268</v>
      </c>
      <c r="C29" s="253"/>
      <c r="D29" s="860"/>
      <c r="E29" s="860"/>
      <c r="F29" s="956"/>
      <c r="G29" s="852" t="s">
        <v>32</v>
      </c>
      <c r="H29" s="860"/>
      <c r="I29" s="958"/>
      <c r="J29" s="956"/>
      <c r="K29" s="946"/>
      <c r="L29" s="873"/>
      <c r="M29" s="873"/>
      <c r="N29" s="979"/>
      <c r="Q29" s="967"/>
    </row>
    <row r="30" spans="1:17" ht="15">
      <c r="A30" s="243">
        <f>ROW()</f>
        <v>30</v>
      </c>
      <c r="B30" s="254" t="s">
        <v>571</v>
      </c>
      <c r="C30" s="253" t="s">
        <v>265</v>
      </c>
      <c r="D30" s="860"/>
      <c r="E30" s="860">
        <v>22808103.00999999</v>
      </c>
      <c r="F30" s="956"/>
      <c r="G30" s="961">
        <f aca="true" t="shared" si="2" ref="G30:G41">+D30</f>
        <v>0</v>
      </c>
      <c r="H30" s="854">
        <v>24500027.093333323</v>
      </c>
      <c r="I30" s="958">
        <v>39447</v>
      </c>
      <c r="J30" s="956"/>
      <c r="K30" s="959" t="s">
        <v>572</v>
      </c>
      <c r="L30" s="851">
        <v>1729299.1726179358</v>
      </c>
      <c r="M30" s="851">
        <f aca="true" t="shared" si="3" ref="M30:M41">+L30/(1-0.35)</f>
        <v>2660460.265566055</v>
      </c>
      <c r="N30" s="873">
        <f aca="true" t="shared" si="4" ref="N30:N41">M30/12</f>
        <v>221705.0221305046</v>
      </c>
      <c r="Q30" s="967"/>
    </row>
    <row r="31" spans="1:17" ht="15">
      <c r="A31" s="243">
        <f>ROW()</f>
        <v>31</v>
      </c>
      <c r="B31" s="254" t="s">
        <v>573</v>
      </c>
      <c r="C31" s="253" t="s">
        <v>265</v>
      </c>
      <c r="D31" s="860">
        <v>-3526620</v>
      </c>
      <c r="E31" s="860">
        <v>20409483.00999999</v>
      </c>
      <c r="F31" s="956"/>
      <c r="G31" s="961">
        <f t="shared" si="2"/>
        <v>-3526620</v>
      </c>
      <c r="H31" s="854">
        <v>21608793.00999999</v>
      </c>
      <c r="I31" s="958">
        <v>39813</v>
      </c>
      <c r="J31" s="956"/>
      <c r="K31" s="959" t="str">
        <f>$K$15</f>
        <v>7.06%&amp;7.00%</v>
      </c>
      <c r="L31" s="851">
        <v>1523419.907204999</v>
      </c>
      <c r="M31" s="851">
        <f t="shared" si="3"/>
        <v>2343722.934161537</v>
      </c>
      <c r="N31" s="873">
        <f t="shared" si="4"/>
        <v>195310.2445134614</v>
      </c>
      <c r="Q31" s="967"/>
    </row>
    <row r="32" spans="1:17" ht="15">
      <c r="A32" s="243">
        <f>ROW()</f>
        <v>32</v>
      </c>
      <c r="B32" s="254" t="s">
        <v>549</v>
      </c>
      <c r="C32" s="253" t="s">
        <v>265</v>
      </c>
      <c r="D32" s="860">
        <v>-3526620</v>
      </c>
      <c r="E32" s="860">
        <v>18010863.00999999</v>
      </c>
      <c r="F32" s="956"/>
      <c r="G32" s="961">
        <f t="shared" si="2"/>
        <v>-3526620</v>
      </c>
      <c r="H32" s="854">
        <v>19210173.00999999</v>
      </c>
      <c r="I32" s="958">
        <v>40178</v>
      </c>
      <c r="J32" s="956"/>
      <c r="K32" s="960">
        <f>$N$4</f>
        <v>0.07</v>
      </c>
      <c r="L32" s="851">
        <f>H32*K32</f>
        <v>1344712.1106999994</v>
      </c>
      <c r="M32" s="851">
        <f t="shared" si="3"/>
        <v>2068787.8626153837</v>
      </c>
      <c r="N32" s="873">
        <f t="shared" si="4"/>
        <v>172398.98855128197</v>
      </c>
      <c r="Q32" s="967"/>
    </row>
    <row r="33" spans="1:17" ht="15">
      <c r="A33" s="243">
        <f>ROW()</f>
        <v>33</v>
      </c>
      <c r="B33" s="254" t="s">
        <v>52</v>
      </c>
      <c r="C33" s="253" t="s">
        <v>265</v>
      </c>
      <c r="D33" s="860">
        <v>-3526620</v>
      </c>
      <c r="E33" s="860">
        <v>15612243.00999999</v>
      </c>
      <c r="F33" s="956"/>
      <c r="G33" s="961">
        <f t="shared" si="2"/>
        <v>-3526620</v>
      </c>
      <c r="H33" s="854">
        <v>16811553.00999999</v>
      </c>
      <c r="I33" s="958">
        <v>40543</v>
      </c>
      <c r="J33" s="956"/>
      <c r="K33" s="959" t="s">
        <v>16</v>
      </c>
      <c r="L33" s="851">
        <f>((H33*$N$4)*$M$4/365)+((H33*$N$5)*$M$5/365)</f>
        <v>1164464.8854762185</v>
      </c>
      <c r="M33" s="851">
        <f t="shared" si="3"/>
        <v>1791484.4391941824</v>
      </c>
      <c r="N33" s="873">
        <f t="shared" si="4"/>
        <v>149290.36993284852</v>
      </c>
      <c r="Q33" s="967"/>
    </row>
    <row r="34" spans="1:17" ht="15">
      <c r="A34" s="243">
        <f>ROW()</f>
        <v>34</v>
      </c>
      <c r="B34" s="254" t="s">
        <v>575</v>
      </c>
      <c r="C34" s="253" t="s">
        <v>265</v>
      </c>
      <c r="D34" s="860">
        <v>-3526620</v>
      </c>
      <c r="E34" s="860">
        <v>13213623.00999999</v>
      </c>
      <c r="F34" s="956"/>
      <c r="G34" s="961">
        <f t="shared" si="2"/>
        <v>-3526620</v>
      </c>
      <c r="H34" s="854">
        <v>14412933.00999999</v>
      </c>
      <c r="I34" s="958">
        <v>40908</v>
      </c>
      <c r="J34" s="956"/>
      <c r="K34" s="960">
        <f>$N$5</f>
        <v>0.069</v>
      </c>
      <c r="L34" s="851">
        <f aca="true" t="shared" si="5" ref="L34:L41">H34*K34</f>
        <v>994492.3776899994</v>
      </c>
      <c r="M34" s="851">
        <f t="shared" si="3"/>
        <v>1529988.2733692299</v>
      </c>
      <c r="N34" s="873">
        <f t="shared" si="4"/>
        <v>127499.02278076916</v>
      </c>
      <c r="Q34" s="967"/>
    </row>
    <row r="35" spans="1:17" ht="15">
      <c r="A35" s="243">
        <f>ROW()</f>
        <v>35</v>
      </c>
      <c r="B35" s="254" t="s">
        <v>576</v>
      </c>
      <c r="C35" s="253" t="s">
        <v>265</v>
      </c>
      <c r="D35" s="860">
        <v>-3526620</v>
      </c>
      <c r="E35" s="860">
        <v>10815003.00999999</v>
      </c>
      <c r="F35" s="956"/>
      <c r="G35" s="961">
        <f t="shared" si="2"/>
        <v>-3526620</v>
      </c>
      <c r="H35" s="854">
        <v>12014313.00999999</v>
      </c>
      <c r="I35" s="958">
        <v>41274</v>
      </c>
      <c r="J35" s="956"/>
      <c r="K35" s="960">
        <f>$N$5</f>
        <v>0.069</v>
      </c>
      <c r="L35" s="851">
        <f t="shared" si="5"/>
        <v>828987.5976899994</v>
      </c>
      <c r="M35" s="851">
        <f t="shared" si="3"/>
        <v>1275365.5349076914</v>
      </c>
      <c r="N35" s="873">
        <f t="shared" si="4"/>
        <v>106280.46124230762</v>
      </c>
      <c r="Q35" s="967"/>
    </row>
    <row r="36" spans="1:17" ht="15" hidden="1">
      <c r="A36" s="243">
        <f>ROW()</f>
        <v>36</v>
      </c>
      <c r="B36" s="254" t="s">
        <v>577</v>
      </c>
      <c r="C36" s="253" t="s">
        <v>265</v>
      </c>
      <c r="D36" s="860">
        <v>-3526620</v>
      </c>
      <c r="E36" s="860">
        <v>8416383.00999999</v>
      </c>
      <c r="F36" s="956"/>
      <c r="G36" s="961">
        <f t="shared" si="2"/>
        <v>-3526620</v>
      </c>
      <c r="H36" s="854">
        <v>9615693.00999999</v>
      </c>
      <c r="I36" s="958">
        <v>41639</v>
      </c>
      <c r="J36" s="956"/>
      <c r="K36" s="960">
        <f aca="true" t="shared" si="6" ref="K36:K41">$K$16</f>
        <v>0.07</v>
      </c>
      <c r="L36" s="851">
        <f t="shared" si="5"/>
        <v>673098.5106999994</v>
      </c>
      <c r="M36" s="851">
        <f t="shared" si="3"/>
        <v>1035536.1703076913</v>
      </c>
      <c r="N36" s="873">
        <f t="shared" si="4"/>
        <v>86294.68085897427</v>
      </c>
      <c r="Q36" s="967"/>
    </row>
    <row r="37" spans="1:17" ht="15" hidden="1">
      <c r="A37" s="243">
        <f>ROW()</f>
        <v>37</v>
      </c>
      <c r="B37" s="254" t="s">
        <v>578</v>
      </c>
      <c r="C37" s="253" t="s">
        <v>265</v>
      </c>
      <c r="D37" s="860">
        <v>-3526620</v>
      </c>
      <c r="E37" s="860">
        <v>6017763.00999999</v>
      </c>
      <c r="F37" s="956"/>
      <c r="G37" s="961">
        <f t="shared" si="2"/>
        <v>-3526620</v>
      </c>
      <c r="H37" s="854">
        <v>7217073.00999999</v>
      </c>
      <c r="I37" s="958">
        <v>42004</v>
      </c>
      <c r="J37" s="956"/>
      <c r="K37" s="960">
        <f t="shared" si="6"/>
        <v>0.07</v>
      </c>
      <c r="L37" s="851">
        <f t="shared" si="5"/>
        <v>505195.1106999994</v>
      </c>
      <c r="M37" s="851">
        <f t="shared" si="3"/>
        <v>777223.2472307682</v>
      </c>
      <c r="N37" s="873">
        <f t="shared" si="4"/>
        <v>64768.60393589735</v>
      </c>
      <c r="Q37" s="967"/>
    </row>
    <row r="38" spans="1:17" ht="15" hidden="1">
      <c r="A38" s="243">
        <f>ROW()</f>
        <v>38</v>
      </c>
      <c r="B38" s="254" t="s">
        <v>579</v>
      </c>
      <c r="C38" s="253" t="s">
        <v>265</v>
      </c>
      <c r="D38" s="860">
        <v>-3526620</v>
      </c>
      <c r="E38" s="860">
        <v>3619143.0099999905</v>
      </c>
      <c r="F38" s="956"/>
      <c r="G38" s="961">
        <f t="shared" si="2"/>
        <v>-3526620</v>
      </c>
      <c r="H38" s="854">
        <v>4818453.00999999</v>
      </c>
      <c r="I38" s="958">
        <v>42369</v>
      </c>
      <c r="J38" s="956"/>
      <c r="K38" s="960">
        <f t="shared" si="6"/>
        <v>0.07</v>
      </c>
      <c r="L38" s="851">
        <f t="shared" si="5"/>
        <v>337291.71069999936</v>
      </c>
      <c r="M38" s="851">
        <f t="shared" si="3"/>
        <v>518910.32415384514</v>
      </c>
      <c r="N38" s="873">
        <f t="shared" si="4"/>
        <v>43242.52701282043</v>
      </c>
      <c r="Q38" s="967"/>
    </row>
    <row r="39" spans="1:17" ht="15" hidden="1">
      <c r="A39" s="243">
        <f>ROW()</f>
        <v>39</v>
      </c>
      <c r="B39" s="254" t="s">
        <v>580</v>
      </c>
      <c r="C39" s="253" t="s">
        <v>265</v>
      </c>
      <c r="D39" s="860">
        <v>-3526620</v>
      </c>
      <c r="E39" s="860">
        <v>1220523.0099999905</v>
      </c>
      <c r="F39" s="956"/>
      <c r="G39" s="961">
        <f t="shared" si="2"/>
        <v>-3526620</v>
      </c>
      <c r="H39" s="854">
        <v>2419833.0099999905</v>
      </c>
      <c r="I39" s="958">
        <v>42735</v>
      </c>
      <c r="J39" s="956"/>
      <c r="K39" s="960">
        <f t="shared" si="6"/>
        <v>0.07</v>
      </c>
      <c r="L39" s="851">
        <f t="shared" si="5"/>
        <v>169388.31069999936</v>
      </c>
      <c r="M39" s="851">
        <f t="shared" si="3"/>
        <v>260597.40107692208</v>
      </c>
      <c r="N39" s="873">
        <f t="shared" si="4"/>
        <v>21716.450089743506</v>
      </c>
      <c r="Q39" s="967"/>
    </row>
    <row r="40" spans="1:17" ht="15" hidden="1">
      <c r="A40" s="243">
        <f>ROW()</f>
        <v>40</v>
      </c>
      <c r="B40" s="254" t="s">
        <v>581</v>
      </c>
      <c r="C40" s="253" t="s">
        <v>265</v>
      </c>
      <c r="D40" s="860">
        <v>-1763261</v>
      </c>
      <c r="E40" s="860">
        <v>0.009999990463256836</v>
      </c>
      <c r="F40" s="956"/>
      <c r="G40" s="961">
        <f t="shared" si="2"/>
        <v>-1763261</v>
      </c>
      <c r="H40" s="854">
        <v>309550.13499999046</v>
      </c>
      <c r="I40" s="958">
        <v>43100</v>
      </c>
      <c r="J40" s="956"/>
      <c r="K40" s="960">
        <f t="shared" si="6"/>
        <v>0.07</v>
      </c>
      <c r="L40" s="851">
        <f t="shared" si="5"/>
        <v>21668.509449999336</v>
      </c>
      <c r="M40" s="851">
        <f t="shared" si="3"/>
        <v>33336.168384614364</v>
      </c>
      <c r="N40" s="873">
        <f t="shared" si="4"/>
        <v>2778.014032051197</v>
      </c>
      <c r="Q40" s="967"/>
    </row>
    <row r="41" spans="1:17" ht="15" hidden="1">
      <c r="A41" s="243">
        <f>ROW()</f>
        <v>41</v>
      </c>
      <c r="B41" s="254" t="s">
        <v>582</v>
      </c>
      <c r="C41" s="253" t="s">
        <v>265</v>
      </c>
      <c r="D41" s="860">
        <v>0</v>
      </c>
      <c r="E41" s="860">
        <v>0.009999990463256836</v>
      </c>
      <c r="F41" s="956"/>
      <c r="G41" s="961">
        <f t="shared" si="2"/>
        <v>0</v>
      </c>
      <c r="H41" s="854">
        <v>0.009999990463256836</v>
      </c>
      <c r="I41" s="958">
        <v>43465</v>
      </c>
      <c r="J41" s="956"/>
      <c r="K41" s="960">
        <f t="shared" si="6"/>
        <v>0.07</v>
      </c>
      <c r="L41" s="851">
        <f t="shared" si="5"/>
        <v>0.0006999993324279786</v>
      </c>
      <c r="M41" s="851">
        <f t="shared" si="3"/>
        <v>0.0010769220498891977</v>
      </c>
      <c r="N41" s="873">
        <f t="shared" si="4"/>
        <v>8.974350415743314E-05</v>
      </c>
      <c r="Q41" s="967"/>
    </row>
    <row r="42" spans="1:17" ht="15" hidden="1">
      <c r="A42" s="243">
        <f>ROW()</f>
        <v>42</v>
      </c>
      <c r="B42" s="970"/>
      <c r="C42" s="971"/>
      <c r="D42" s="972"/>
      <c r="E42" s="972"/>
      <c r="F42" s="973"/>
      <c r="G42" s="974"/>
      <c r="H42" s="980"/>
      <c r="I42" s="975"/>
      <c r="J42" s="973"/>
      <c r="K42" s="976"/>
      <c r="L42" s="981"/>
      <c r="M42" s="981"/>
      <c r="N42" s="981"/>
      <c r="Q42" s="967"/>
    </row>
    <row r="43" spans="1:17" ht="15">
      <c r="A43" s="257">
        <f>ROW()</f>
        <v>43</v>
      </c>
      <c r="B43" s="970"/>
      <c r="C43" s="971"/>
      <c r="D43" s="972"/>
      <c r="E43" s="972"/>
      <c r="F43" s="973"/>
      <c r="G43" s="974"/>
      <c r="H43" s="980"/>
      <c r="I43" s="975"/>
      <c r="J43" s="973"/>
      <c r="K43" s="976"/>
      <c r="L43" s="981"/>
      <c r="M43" s="981"/>
      <c r="N43" s="981"/>
      <c r="Q43" s="967"/>
    </row>
    <row r="44" spans="1:17" ht="15">
      <c r="A44" s="248">
        <f>ROW()</f>
        <v>44</v>
      </c>
      <c r="B44" s="258"/>
      <c r="C44" s="255"/>
      <c r="D44" s="962"/>
      <c r="E44" s="962"/>
      <c r="F44" s="963"/>
      <c r="G44" s="964"/>
      <c r="H44" s="962"/>
      <c r="I44" s="965"/>
      <c r="J44" s="963"/>
      <c r="K44" s="982"/>
      <c r="L44" s="978"/>
      <c r="M44" s="978"/>
      <c r="N44" s="978"/>
      <c r="Q44" s="967"/>
    </row>
    <row r="45" spans="1:17" ht="15">
      <c r="A45" s="243">
        <f>ROW()</f>
        <v>45</v>
      </c>
      <c r="B45" s="251" t="s">
        <v>212</v>
      </c>
      <c r="C45" s="253"/>
      <c r="D45" s="860"/>
      <c r="E45" s="860"/>
      <c r="F45" s="956"/>
      <c r="G45" s="852" t="s">
        <v>583</v>
      </c>
      <c r="H45" s="860"/>
      <c r="I45" s="958"/>
      <c r="J45" s="983"/>
      <c r="K45" s="983"/>
      <c r="L45" s="873"/>
      <c r="M45" s="873"/>
      <c r="N45" s="979"/>
      <c r="Q45" s="967"/>
    </row>
    <row r="46" spans="1:17" ht="15">
      <c r="A46" s="243">
        <f>ROW()</f>
        <v>46</v>
      </c>
      <c r="B46" s="254" t="s">
        <v>571</v>
      </c>
      <c r="C46" s="253" t="s">
        <v>265</v>
      </c>
      <c r="D46" s="860"/>
      <c r="E46" s="984">
        <v>23801058.669999998</v>
      </c>
      <c r="F46" s="956"/>
      <c r="G46" s="856">
        <f>0/12*6+D46/12*6</f>
        <v>0</v>
      </c>
      <c r="H46" s="854">
        <v>23235098.006249998</v>
      </c>
      <c r="I46" s="958">
        <v>39447</v>
      </c>
      <c r="J46" s="956"/>
      <c r="K46" s="959" t="s">
        <v>572</v>
      </c>
      <c r="L46" s="851">
        <v>1640015.972424709</v>
      </c>
      <c r="M46" s="851">
        <f aca="true" t="shared" si="7" ref="M46:M51">+L46/(1-0.35)</f>
        <v>2523101.4960380136</v>
      </c>
      <c r="N46" s="873">
        <f aca="true" t="shared" si="8" ref="N46:N51">M46/12</f>
        <v>210258.4580031678</v>
      </c>
      <c r="Q46" s="967"/>
    </row>
    <row r="47" spans="1:17" ht="15">
      <c r="A47" s="243">
        <f>ROW()</f>
        <v>47</v>
      </c>
      <c r="B47" s="254" t="s">
        <v>573</v>
      </c>
      <c r="C47" s="253" t="s">
        <v>265</v>
      </c>
      <c r="D47" s="860"/>
      <c r="E47" s="984">
        <v>19459946.74</v>
      </c>
      <c r="F47" s="956"/>
      <c r="G47" s="856">
        <f>D46/12*6+D47/12*6</f>
        <v>0</v>
      </c>
      <c r="H47" s="854">
        <v>19914187.412916664</v>
      </c>
      <c r="I47" s="958">
        <v>39813</v>
      </c>
      <c r="J47" s="956"/>
      <c r="K47" s="959" t="str">
        <f>$K$15</f>
        <v>7.06%&amp;7.00%</v>
      </c>
      <c r="L47" s="851">
        <v>1403950.2126106247</v>
      </c>
      <c r="M47" s="851">
        <f t="shared" si="7"/>
        <v>2159923.4040163457</v>
      </c>
      <c r="N47" s="873">
        <f t="shared" si="8"/>
        <v>179993.61700136214</v>
      </c>
      <c r="Q47" s="967"/>
    </row>
    <row r="48" spans="1:17" ht="15">
      <c r="A48" s="243">
        <f>ROW()</f>
        <v>48</v>
      </c>
      <c r="B48" s="254" t="s">
        <v>549</v>
      </c>
      <c r="C48" s="253" t="s">
        <v>265</v>
      </c>
      <c r="D48" s="860"/>
      <c r="E48" s="984">
        <v>19459946.74</v>
      </c>
      <c r="F48" s="956"/>
      <c r="G48" s="856">
        <f>D47/12*6+D48/12*6</f>
        <v>0</v>
      </c>
      <c r="H48" s="854">
        <v>19459946.740000002</v>
      </c>
      <c r="I48" s="958">
        <v>40178</v>
      </c>
      <c r="J48" s="956"/>
      <c r="K48" s="960">
        <f>$N$4</f>
        <v>0.07</v>
      </c>
      <c r="L48" s="851">
        <f>H48*K48</f>
        <v>1362196.2718000002</v>
      </c>
      <c r="M48" s="851">
        <f t="shared" si="7"/>
        <v>2095686.5720000002</v>
      </c>
      <c r="N48" s="873">
        <f t="shared" si="8"/>
        <v>174640.54766666668</v>
      </c>
      <c r="Q48" s="967"/>
    </row>
    <row r="49" spans="1:17" ht="15">
      <c r="A49" s="243">
        <f>ROW()</f>
        <v>49</v>
      </c>
      <c r="B49" s="254" t="s">
        <v>52</v>
      </c>
      <c r="C49" s="253" t="s">
        <v>265</v>
      </c>
      <c r="D49" s="860"/>
      <c r="E49" s="984">
        <v>19459946.74</v>
      </c>
      <c r="F49" s="956"/>
      <c r="G49" s="856">
        <f>D48/12*6+D49/12*6</f>
        <v>0</v>
      </c>
      <c r="H49" s="854">
        <v>19459946.740000002</v>
      </c>
      <c r="I49" s="958">
        <v>40543</v>
      </c>
      <c r="J49" s="956"/>
      <c r="K49" s="959" t="s">
        <v>16</v>
      </c>
      <c r="L49" s="851">
        <f>((H49*$N$4)*$M$4/365)+((H49*$N$5)*$M$5/365)</f>
        <v>1347907.8725498084</v>
      </c>
      <c r="M49" s="851">
        <f t="shared" si="7"/>
        <v>2073704.4193073974</v>
      </c>
      <c r="N49" s="873">
        <f t="shared" si="8"/>
        <v>172808.70160894978</v>
      </c>
      <c r="Q49" s="967"/>
    </row>
    <row r="50" spans="1:17" ht="15">
      <c r="A50" s="243">
        <f>ROW()</f>
        <v>50</v>
      </c>
      <c r="B50" s="254" t="s">
        <v>575</v>
      </c>
      <c r="C50" s="253" t="s">
        <v>265</v>
      </c>
      <c r="D50" s="860"/>
      <c r="E50" s="984">
        <v>19459946.74</v>
      </c>
      <c r="F50" s="956"/>
      <c r="G50" s="856">
        <f>D49/12*6+D50/12*6</f>
        <v>0</v>
      </c>
      <c r="H50" s="854">
        <v>19459946.740000002</v>
      </c>
      <c r="I50" s="958">
        <v>40908</v>
      </c>
      <c r="J50" s="956"/>
      <c r="K50" s="960">
        <f>$N$5</f>
        <v>0.069</v>
      </c>
      <c r="L50" s="851">
        <f>H50*K50</f>
        <v>1342736.3250600002</v>
      </c>
      <c r="M50" s="851">
        <f t="shared" si="7"/>
        <v>2065748.1924000003</v>
      </c>
      <c r="N50" s="873">
        <f t="shared" si="8"/>
        <v>172145.68270000003</v>
      </c>
      <c r="Q50" s="967"/>
    </row>
    <row r="51" spans="1:17" ht="15">
      <c r="A51" s="243">
        <f>ROW()</f>
        <v>51</v>
      </c>
      <c r="B51" s="254" t="s">
        <v>576</v>
      </c>
      <c r="C51" s="253" t="s">
        <v>265</v>
      </c>
      <c r="D51" s="860"/>
      <c r="E51" s="860">
        <v>17060915.56</v>
      </c>
      <c r="F51" s="860"/>
      <c r="G51" s="856">
        <f>D50/12*6+D51/12*6</f>
        <v>0</v>
      </c>
      <c r="H51" s="860">
        <v>17160875.1925</v>
      </c>
      <c r="I51" s="958">
        <v>41274</v>
      </c>
      <c r="J51" s="956"/>
      <c r="K51" s="960">
        <f>$N$5</f>
        <v>0.069</v>
      </c>
      <c r="L51" s="851">
        <f>H51*K51</f>
        <v>1184100.3882825</v>
      </c>
      <c r="M51" s="851">
        <f t="shared" si="7"/>
        <v>1821692.90505</v>
      </c>
      <c r="N51" s="873">
        <f t="shared" si="8"/>
        <v>151807.7420875</v>
      </c>
      <c r="Q51" s="967"/>
    </row>
    <row r="52" spans="1:17" ht="15">
      <c r="A52" s="257">
        <f>ROW()</f>
        <v>52</v>
      </c>
      <c r="B52" s="970"/>
      <c r="C52" s="971"/>
      <c r="D52" s="972"/>
      <c r="E52" s="972"/>
      <c r="F52" s="972"/>
      <c r="G52" s="974"/>
      <c r="H52" s="972"/>
      <c r="I52" s="985"/>
      <c r="J52" s="973"/>
      <c r="K52" s="973"/>
      <c r="L52" s="977"/>
      <c r="M52" s="977"/>
      <c r="N52" s="977"/>
      <c r="Q52" s="967"/>
    </row>
    <row r="53" spans="1:17" ht="15">
      <c r="A53" s="248">
        <f>ROW()</f>
        <v>53</v>
      </c>
      <c r="B53" s="250"/>
      <c r="C53" s="255"/>
      <c r="D53" s="962"/>
      <c r="E53" s="962"/>
      <c r="F53" s="963"/>
      <c r="G53" s="964"/>
      <c r="H53" s="962"/>
      <c r="I53" s="965"/>
      <c r="J53" s="986"/>
      <c r="K53" s="986"/>
      <c r="L53" s="978"/>
      <c r="M53" s="978"/>
      <c r="N53" s="978"/>
      <c r="Q53" s="967"/>
    </row>
    <row r="54" spans="1:17" ht="15">
      <c r="A54" s="243">
        <f>ROW()</f>
        <v>54</v>
      </c>
      <c r="B54" s="251" t="s">
        <v>53</v>
      </c>
      <c r="C54" s="253"/>
      <c r="D54" s="860"/>
      <c r="E54" s="860"/>
      <c r="F54" s="956"/>
      <c r="G54" s="852" t="s">
        <v>552</v>
      </c>
      <c r="H54" s="860"/>
      <c r="I54" s="958"/>
      <c r="J54" s="983"/>
      <c r="K54" s="983"/>
      <c r="L54" s="873"/>
      <c r="M54" s="873"/>
      <c r="N54" s="979"/>
      <c r="Q54" s="967"/>
    </row>
    <row r="55" spans="1:17" ht="15">
      <c r="A55" s="243">
        <f>ROW()</f>
        <v>55</v>
      </c>
      <c r="B55" s="254" t="s">
        <v>571</v>
      </c>
      <c r="C55" s="253" t="s">
        <v>265</v>
      </c>
      <c r="D55" s="860"/>
      <c r="E55" s="860">
        <v>36050026.880054176</v>
      </c>
      <c r="F55" s="956"/>
      <c r="G55" s="961"/>
      <c r="H55" s="854">
        <v>37628503.36608969</v>
      </c>
      <c r="I55" s="958">
        <v>39447</v>
      </c>
      <c r="J55" s="956"/>
      <c r="K55" s="959" t="s">
        <v>572</v>
      </c>
      <c r="L55" s="851">
        <v>2655953.786905668</v>
      </c>
      <c r="M55" s="851">
        <f aca="true" t="shared" si="9" ref="M55:M60">+L55/(1-0.35)</f>
        <v>4086082.7490856433</v>
      </c>
      <c r="N55" s="873">
        <f aca="true" t="shared" si="10" ref="N55:N60">M55/12</f>
        <v>340506.8957571369</v>
      </c>
      <c r="Q55" s="967"/>
    </row>
    <row r="56" spans="1:17" ht="15">
      <c r="A56" s="243">
        <f>ROW()</f>
        <v>56</v>
      </c>
      <c r="B56" s="254" t="s">
        <v>573</v>
      </c>
      <c r="C56" s="253" t="s">
        <v>265</v>
      </c>
      <c r="D56" s="860">
        <v>-1494701.7220710218</v>
      </c>
      <c r="E56" s="860">
        <v>34112846.26798315</v>
      </c>
      <c r="F56" s="956"/>
      <c r="G56" s="961">
        <v>-1494701.7220710218</v>
      </c>
      <c r="H56" s="854">
        <v>35041392.49943533</v>
      </c>
      <c r="I56" s="958">
        <v>39813</v>
      </c>
      <c r="J56" s="956"/>
      <c r="K56" s="959" t="str">
        <f>$K$15</f>
        <v>7.06%&amp;7.00%</v>
      </c>
      <c r="L56" s="851">
        <v>2470418.1712101903</v>
      </c>
      <c r="M56" s="851">
        <f t="shared" si="9"/>
        <v>3800643.3403233695</v>
      </c>
      <c r="N56" s="873">
        <f t="shared" si="10"/>
        <v>316720.2783602808</v>
      </c>
      <c r="Q56" s="967"/>
    </row>
    <row r="57" spans="1:17" ht="15">
      <c r="A57" s="243">
        <f>ROW()</f>
        <v>57</v>
      </c>
      <c r="B57" s="264" t="s">
        <v>549</v>
      </c>
      <c r="C57" s="253" t="s">
        <v>265</v>
      </c>
      <c r="D57" s="860">
        <v>-1494701.7220710255</v>
      </c>
      <c r="E57" s="860">
        <v>32272999.54591213</v>
      </c>
      <c r="F57" s="956"/>
      <c r="G57" s="961">
        <f>D56/12*6+D57/12*6</f>
        <v>-1494701.7220710237</v>
      </c>
      <c r="H57" s="854">
        <v>33192922.906947643</v>
      </c>
      <c r="I57" s="958">
        <v>40178</v>
      </c>
      <c r="J57" s="956"/>
      <c r="K57" s="960">
        <f>$N$4</f>
        <v>0.07</v>
      </c>
      <c r="L57" s="851">
        <f>H57*K57</f>
        <v>2323504.6034863354</v>
      </c>
      <c r="M57" s="851">
        <f t="shared" si="9"/>
        <v>3574622.4669020544</v>
      </c>
      <c r="N57" s="873">
        <f t="shared" si="10"/>
        <v>297885.2055751712</v>
      </c>
      <c r="Q57" s="967"/>
    </row>
    <row r="58" spans="1:17" ht="15">
      <c r="A58" s="243">
        <f>ROW()</f>
        <v>58</v>
      </c>
      <c r="B58" s="254" t="s">
        <v>52</v>
      </c>
      <c r="C58" s="253" t="s">
        <v>265</v>
      </c>
      <c r="D58" s="860">
        <v>-1494701.722071018</v>
      </c>
      <c r="E58" s="860">
        <v>30433153.82384111</v>
      </c>
      <c r="F58" s="987"/>
      <c r="G58" s="961">
        <f>D57/12*6+D58/12*6</f>
        <v>-1494701.7220710218</v>
      </c>
      <c r="H58" s="854">
        <v>31353076.684876624</v>
      </c>
      <c r="I58" s="958">
        <v>40543</v>
      </c>
      <c r="J58" s="988"/>
      <c r="K58" s="959" t="s">
        <v>16</v>
      </c>
      <c r="L58" s="851">
        <f>((H58*$N$4)*$M$4/365)+((H58*$N$5)*$M$5/365)</f>
        <v>2171694.4787590434</v>
      </c>
      <c r="M58" s="851">
        <f t="shared" si="9"/>
        <v>3341068.4288600665</v>
      </c>
      <c r="N58" s="873">
        <f t="shared" si="10"/>
        <v>278422.3690716722</v>
      </c>
      <c r="Q58" s="967"/>
    </row>
    <row r="59" spans="1:17" ht="15">
      <c r="A59" s="243">
        <f>ROW()</f>
        <v>59</v>
      </c>
      <c r="B59" s="254" t="s">
        <v>575</v>
      </c>
      <c r="C59" s="253" t="s">
        <v>265</v>
      </c>
      <c r="D59" s="860">
        <v>-1494701.722071018</v>
      </c>
      <c r="E59" s="860">
        <v>28593308.101770096</v>
      </c>
      <c r="F59" s="956"/>
      <c r="G59" s="961">
        <f>D58/12*6+D59/12*6</f>
        <v>-1494701.722071018</v>
      </c>
      <c r="H59" s="854">
        <v>29513230.962805603</v>
      </c>
      <c r="I59" s="958">
        <v>40908</v>
      </c>
      <c r="J59" s="956"/>
      <c r="K59" s="960">
        <f>$N$5</f>
        <v>0.069</v>
      </c>
      <c r="L59" s="851">
        <f>H59*K59</f>
        <v>2036412.9364335868</v>
      </c>
      <c r="M59" s="851">
        <f t="shared" si="9"/>
        <v>3132942.979128595</v>
      </c>
      <c r="N59" s="873">
        <f t="shared" si="10"/>
        <v>261078.58159404958</v>
      </c>
      <c r="Q59" s="967"/>
    </row>
    <row r="60" spans="1:17" ht="15">
      <c r="A60" s="243">
        <f>ROW()</f>
        <v>60</v>
      </c>
      <c r="B60" s="254" t="s">
        <v>576</v>
      </c>
      <c r="C60" s="253" t="s">
        <v>265</v>
      </c>
      <c r="D60" s="860">
        <v>-1494701.7220710218</v>
      </c>
      <c r="E60" s="860">
        <v>26753462.379699074</v>
      </c>
      <c r="F60" s="860"/>
      <c r="G60" s="961">
        <f>D60</f>
        <v>-1494701.7220710218</v>
      </c>
      <c r="H60" s="860">
        <v>27673385.24073459</v>
      </c>
      <c r="I60" s="958">
        <v>41274</v>
      </c>
      <c r="J60" s="956"/>
      <c r="K60" s="960">
        <f>$N$5</f>
        <v>0.069</v>
      </c>
      <c r="L60" s="851">
        <f>H60*K60</f>
        <v>1909463.5816106868</v>
      </c>
      <c r="M60" s="851">
        <f t="shared" si="9"/>
        <v>2937636.2794010565</v>
      </c>
      <c r="N60" s="873">
        <f t="shared" si="10"/>
        <v>244803.02328342138</v>
      </c>
      <c r="Q60" s="967"/>
    </row>
    <row r="61" spans="1:17" ht="15">
      <c r="A61" s="243">
        <f>ROW()</f>
        <v>61</v>
      </c>
      <c r="B61" s="254"/>
      <c r="C61" s="253"/>
      <c r="D61" s="860"/>
      <c r="E61" s="860"/>
      <c r="F61" s="860"/>
      <c r="G61" s="961"/>
      <c r="H61" s="860"/>
      <c r="I61" s="989"/>
      <c r="J61" s="956"/>
      <c r="K61" s="956"/>
      <c r="L61" s="873"/>
      <c r="M61" s="873"/>
      <c r="N61" s="873"/>
      <c r="Q61" s="967"/>
    </row>
    <row r="62" spans="1:17" ht="15">
      <c r="A62" s="248">
        <f>ROW()</f>
        <v>62</v>
      </c>
      <c r="B62" s="250"/>
      <c r="C62" s="255"/>
      <c r="D62" s="962"/>
      <c r="E62" s="962"/>
      <c r="F62" s="963"/>
      <c r="G62" s="964"/>
      <c r="H62" s="962"/>
      <c r="I62" s="965"/>
      <c r="J62" s="986"/>
      <c r="K62" s="986"/>
      <c r="L62" s="978"/>
      <c r="M62" s="978"/>
      <c r="N62" s="978"/>
      <c r="Q62" s="967"/>
    </row>
    <row r="63" spans="1:17" ht="15">
      <c r="A63" s="243">
        <f>ROW()</f>
        <v>63</v>
      </c>
      <c r="B63" s="251" t="s">
        <v>584</v>
      </c>
      <c r="C63" s="253"/>
      <c r="D63" s="860"/>
      <c r="E63" s="860"/>
      <c r="F63" s="956"/>
      <c r="G63" s="852" t="s">
        <v>585</v>
      </c>
      <c r="H63" s="860"/>
      <c r="I63" s="958"/>
      <c r="J63" s="983"/>
      <c r="K63" s="983"/>
      <c r="L63" s="873"/>
      <c r="M63" s="873"/>
      <c r="N63" s="873"/>
      <c r="Q63" s="967"/>
    </row>
    <row r="64" spans="1:17" ht="15">
      <c r="A64" s="243">
        <f>ROW()</f>
        <v>64</v>
      </c>
      <c r="B64" s="264" t="s">
        <v>549</v>
      </c>
      <c r="C64" s="253"/>
      <c r="D64" s="860"/>
      <c r="E64" s="860">
        <v>-27074057</v>
      </c>
      <c r="F64" s="956"/>
      <c r="G64" s="961"/>
      <c r="H64" s="860">
        <v>-1128085.7083333333</v>
      </c>
      <c r="I64" s="958">
        <v>40178</v>
      </c>
      <c r="J64" s="983"/>
      <c r="K64" s="990" t="s">
        <v>586</v>
      </c>
      <c r="L64" s="873"/>
      <c r="M64" s="873"/>
      <c r="N64" s="873"/>
      <c r="Q64" s="967"/>
    </row>
    <row r="65" spans="1:17" ht="15">
      <c r="A65" s="243">
        <f>ROW()</f>
        <v>65</v>
      </c>
      <c r="B65" s="254" t="s">
        <v>52</v>
      </c>
      <c r="C65" s="253"/>
      <c r="D65" s="860"/>
      <c r="E65" s="860">
        <v>-27074057</v>
      </c>
      <c r="F65" s="956"/>
      <c r="G65" s="961"/>
      <c r="H65" s="860">
        <v>-27074057</v>
      </c>
      <c r="I65" s="958">
        <v>40543</v>
      </c>
      <c r="J65" s="983"/>
      <c r="K65" s="959" t="s">
        <v>16</v>
      </c>
      <c r="L65" s="873">
        <v>-1371653.3206684936</v>
      </c>
      <c r="M65" s="851">
        <f>+L65/(1-0.35)</f>
        <v>-2110235.8779515284</v>
      </c>
      <c r="N65" s="873">
        <f>M65/12</f>
        <v>-175852.98982929403</v>
      </c>
      <c r="Q65" s="967"/>
    </row>
    <row r="66" spans="1:17" ht="15">
      <c r="A66" s="243">
        <f>ROW()</f>
        <v>66</v>
      </c>
      <c r="B66" s="254" t="s">
        <v>575</v>
      </c>
      <c r="C66" s="253"/>
      <c r="D66" s="860"/>
      <c r="E66" s="860">
        <f>E65</f>
        <v>-27074057</v>
      </c>
      <c r="F66" s="956"/>
      <c r="G66" s="961"/>
      <c r="H66" s="860">
        <f>H65</f>
        <v>-27074057</v>
      </c>
      <c r="I66" s="958">
        <v>40908</v>
      </c>
      <c r="J66" s="983"/>
      <c r="K66" s="960">
        <f>$N$5</f>
        <v>0.069</v>
      </c>
      <c r="L66" s="851">
        <f>H66*K66</f>
        <v>-1868109.9330000002</v>
      </c>
      <c r="M66" s="851">
        <f>+L66/(1-0.35)</f>
        <v>-2874015.281538462</v>
      </c>
      <c r="N66" s="873">
        <f>M66/12</f>
        <v>-239501.27346153848</v>
      </c>
      <c r="Q66" s="967"/>
    </row>
    <row r="67" spans="1:17" ht="15">
      <c r="A67" s="243">
        <f>ROW()</f>
        <v>67</v>
      </c>
      <c r="B67" s="254" t="s">
        <v>576</v>
      </c>
      <c r="C67" s="253"/>
      <c r="D67" s="860"/>
      <c r="E67" s="860">
        <f>E66</f>
        <v>-27074057</v>
      </c>
      <c r="F67" s="956"/>
      <c r="G67" s="961"/>
      <c r="H67" s="860">
        <f>H66</f>
        <v>-27074057</v>
      </c>
      <c r="I67" s="958">
        <v>41274</v>
      </c>
      <c r="J67" s="983"/>
      <c r="K67" s="960">
        <f>$N$5</f>
        <v>0.069</v>
      </c>
      <c r="L67" s="851">
        <f>H67*K67</f>
        <v>-1868109.9330000002</v>
      </c>
      <c r="M67" s="851">
        <f>+L67/(1-0.35)</f>
        <v>-2874015.281538462</v>
      </c>
      <c r="N67" s="873">
        <f>M67/12</f>
        <v>-239501.27346153848</v>
      </c>
      <c r="Q67" s="967"/>
    </row>
    <row r="68" spans="1:17" ht="15">
      <c r="A68" s="257">
        <f>ROW()</f>
        <v>68</v>
      </c>
      <c r="B68" s="991"/>
      <c r="C68" s="971"/>
      <c r="D68" s="972"/>
      <c r="E68" s="972"/>
      <c r="F68" s="973"/>
      <c r="G68" s="974"/>
      <c r="H68" s="972"/>
      <c r="I68" s="975"/>
      <c r="J68" s="992"/>
      <c r="K68" s="992"/>
      <c r="L68" s="977"/>
      <c r="M68" s="977"/>
      <c r="N68" s="977"/>
      <c r="Q68" s="967"/>
    </row>
    <row r="69" spans="1:17" ht="15">
      <c r="A69" s="248">
        <f>ROW()</f>
        <v>69</v>
      </c>
      <c r="B69" s="250"/>
      <c r="C69" s="255"/>
      <c r="D69" s="962"/>
      <c r="E69" s="962"/>
      <c r="F69" s="963"/>
      <c r="G69" s="964"/>
      <c r="H69" s="962"/>
      <c r="I69" s="965"/>
      <c r="J69" s="986"/>
      <c r="K69" s="986"/>
      <c r="L69" s="978"/>
      <c r="M69" s="978"/>
      <c r="N69" s="978"/>
      <c r="Q69" s="967"/>
    </row>
    <row r="70" spans="1:17" ht="15">
      <c r="A70" s="243">
        <f>ROW()</f>
        <v>70</v>
      </c>
      <c r="B70" s="251" t="s">
        <v>553</v>
      </c>
      <c r="C70" s="253"/>
      <c r="D70" s="860"/>
      <c r="E70" s="860"/>
      <c r="F70" s="956"/>
      <c r="G70" s="852" t="s">
        <v>554</v>
      </c>
      <c r="H70" s="860"/>
      <c r="I70" s="958"/>
      <c r="J70" s="983"/>
      <c r="K70" s="983"/>
      <c r="L70" s="873"/>
      <c r="M70" s="873"/>
      <c r="N70" s="979"/>
      <c r="Q70" s="967"/>
    </row>
    <row r="71" spans="1:17" ht="15">
      <c r="A71" s="243">
        <f>ROW()</f>
        <v>71</v>
      </c>
      <c r="B71" s="254" t="s">
        <v>571</v>
      </c>
      <c r="C71" s="253" t="s">
        <v>265</v>
      </c>
      <c r="D71" s="860"/>
      <c r="E71" s="860">
        <v>-1234188.4546875036</v>
      </c>
      <c r="F71" s="956"/>
      <c r="G71" s="856"/>
      <c r="H71" s="854">
        <v>-2468376.9093750035</v>
      </c>
      <c r="I71" s="958">
        <v>39447</v>
      </c>
      <c r="J71" s="956"/>
      <c r="K71" s="959" t="s">
        <v>572</v>
      </c>
      <c r="L71" s="851">
        <v>-174226.83374309106</v>
      </c>
      <c r="M71" s="851">
        <f>+L71/(1-0.35)</f>
        <v>-268041.28268167854</v>
      </c>
      <c r="N71" s="873">
        <f>M71/12</f>
        <v>-22336.773556806544</v>
      </c>
      <c r="Q71" s="967"/>
    </row>
    <row r="72" spans="1:17" ht="15">
      <c r="A72" s="243">
        <f>ROW()</f>
        <v>72</v>
      </c>
      <c r="B72" s="254" t="s">
        <v>573</v>
      </c>
      <c r="C72" s="253" t="s">
        <v>265</v>
      </c>
      <c r="D72" s="860">
        <v>1898751.4687500002</v>
      </c>
      <c r="E72" s="860">
        <v>-2.8230715543031693E-09</v>
      </c>
      <c r="F72" s="956"/>
      <c r="G72" s="856">
        <v>1898751.4687500002</v>
      </c>
      <c r="H72" s="854">
        <v>-308547.1136718778</v>
      </c>
      <c r="I72" s="958">
        <v>39813</v>
      </c>
      <c r="J72" s="956"/>
      <c r="K72" s="959" t="str">
        <f>$K$15</f>
        <v>7.06%&amp;7.00%</v>
      </c>
      <c r="L72" s="851">
        <v>-21752.571513867384</v>
      </c>
      <c r="M72" s="851">
        <f>+L72/(1-0.35)</f>
        <v>-33465.49463671905</v>
      </c>
      <c r="N72" s="873">
        <f>M72/12</f>
        <v>-2788.7912197265873</v>
      </c>
      <c r="Q72" s="967"/>
    </row>
    <row r="73" spans="1:17" ht="15">
      <c r="A73" s="243">
        <f>ROW()</f>
        <v>73</v>
      </c>
      <c r="B73" s="254" t="s">
        <v>549</v>
      </c>
      <c r="C73" s="253" t="s">
        <v>265</v>
      </c>
      <c r="D73" s="860">
        <v>0</v>
      </c>
      <c r="E73" s="860">
        <v>0</v>
      </c>
      <c r="F73" s="956"/>
      <c r="G73" s="856">
        <v>0</v>
      </c>
      <c r="H73" s="854">
        <v>0</v>
      </c>
      <c r="I73" s="958">
        <v>40178</v>
      </c>
      <c r="J73" s="956"/>
      <c r="K73" s="960">
        <f>$K$16</f>
        <v>0.07</v>
      </c>
      <c r="L73" s="851">
        <f>H73*K73</f>
        <v>0</v>
      </c>
      <c r="M73" s="851">
        <f>+L73/(1-0.35)</f>
        <v>0</v>
      </c>
      <c r="N73" s="873">
        <f>M73/12</f>
        <v>0</v>
      </c>
      <c r="Q73" s="967"/>
    </row>
    <row r="74" spans="1:17" ht="15">
      <c r="A74" s="243">
        <f>ROW()</f>
        <v>74</v>
      </c>
      <c r="B74" s="993"/>
      <c r="C74" s="972"/>
      <c r="D74" s="972"/>
      <c r="E74" s="972"/>
      <c r="F74" s="973"/>
      <c r="G74" s="974"/>
      <c r="H74" s="972"/>
      <c r="I74" s="975"/>
      <c r="J74" s="973"/>
      <c r="K74" s="976"/>
      <c r="L74" s="977"/>
      <c r="M74" s="977"/>
      <c r="N74" s="977"/>
      <c r="Q74" s="967"/>
    </row>
    <row r="75" spans="1:17" ht="15">
      <c r="A75" s="248">
        <f>ROW()</f>
        <v>75</v>
      </c>
      <c r="B75" s="994"/>
      <c r="C75" s="962"/>
      <c r="D75" s="962"/>
      <c r="E75" s="962"/>
      <c r="F75" s="995"/>
      <c r="G75" s="962"/>
      <c r="H75" s="962"/>
      <c r="I75" s="965"/>
      <c r="J75" s="963"/>
      <c r="K75" s="982"/>
      <c r="L75" s="978"/>
      <c r="M75" s="978"/>
      <c r="N75" s="978"/>
      <c r="Q75" s="967"/>
    </row>
    <row r="76" spans="1:17" ht="12.75">
      <c r="A76" s="243">
        <f>ROW()</f>
        <v>76</v>
      </c>
      <c r="B76" s="251" t="s">
        <v>214</v>
      </c>
      <c r="C76" s="860"/>
      <c r="D76" s="860"/>
      <c r="E76" s="860"/>
      <c r="F76" s="996"/>
      <c r="G76" s="862" t="s">
        <v>114</v>
      </c>
      <c r="H76" s="860"/>
      <c r="I76" s="997"/>
      <c r="J76" s="998"/>
      <c r="K76" s="999"/>
      <c r="L76" s="873"/>
      <c r="M76" s="873"/>
      <c r="Q76" s="967"/>
    </row>
    <row r="77" spans="1:17" ht="12.75">
      <c r="A77" s="243">
        <f>ROW()</f>
        <v>77</v>
      </c>
      <c r="B77" s="254" t="s">
        <v>571</v>
      </c>
      <c r="C77" s="253" t="s">
        <v>265</v>
      </c>
      <c r="D77" s="860"/>
      <c r="E77" s="860">
        <v>7220061.660000001</v>
      </c>
      <c r="F77" s="996"/>
      <c r="G77" s="856"/>
      <c r="H77" s="854">
        <v>8276041.744583335</v>
      </c>
      <c r="I77" s="958">
        <v>39447</v>
      </c>
      <c r="J77" s="998"/>
      <c r="K77" s="959" t="s">
        <v>572</v>
      </c>
      <c r="L77" s="851">
        <v>584152.5026457546</v>
      </c>
      <c r="M77" s="851">
        <f aca="true" t="shared" si="11" ref="M77:M82">+L77/(1-0.35)</f>
        <v>898696.1579165455</v>
      </c>
      <c r="N77" s="873">
        <f aca="true" t="shared" si="12" ref="N77:N82">M77/12</f>
        <v>74891.34649304546</v>
      </c>
      <c r="P77" s="1000"/>
      <c r="Q77" s="967"/>
    </row>
    <row r="78" spans="1:17" ht="12.75">
      <c r="A78" s="243">
        <f>ROW()</f>
        <v>78</v>
      </c>
      <c r="B78" s="254" t="s">
        <v>573</v>
      </c>
      <c r="C78" s="253" t="s">
        <v>265</v>
      </c>
      <c r="D78" s="860">
        <v>-1992887.67</v>
      </c>
      <c r="E78" s="860">
        <v>4727173.990000001</v>
      </c>
      <c r="F78" s="996"/>
      <c r="G78" s="856">
        <f>D78</f>
        <v>-1992887.67</v>
      </c>
      <c r="H78" s="860">
        <v>6016809.09375</v>
      </c>
      <c r="I78" s="958">
        <v>39813</v>
      </c>
      <c r="J78" s="998"/>
      <c r="K78" s="959" t="str">
        <f>$K$15</f>
        <v>7.06%&amp;7.00%</v>
      </c>
      <c r="L78" s="851">
        <v>424185.04110937513</v>
      </c>
      <c r="M78" s="851">
        <f t="shared" si="11"/>
        <v>652592.3709375001</v>
      </c>
      <c r="N78" s="873">
        <f t="shared" si="12"/>
        <v>54382.697578125015</v>
      </c>
      <c r="Q78" s="967"/>
    </row>
    <row r="79" spans="1:17" ht="12.75">
      <c r="A79" s="243">
        <f>ROW()</f>
        <v>79</v>
      </c>
      <c r="B79" s="254" t="s">
        <v>549</v>
      </c>
      <c r="C79" s="253" t="s">
        <v>265</v>
      </c>
      <c r="D79" s="860">
        <v>-2158117.17</v>
      </c>
      <c r="E79" s="860">
        <v>2569056.8200000003</v>
      </c>
      <c r="F79" s="996"/>
      <c r="G79" s="856">
        <f>D79</f>
        <v>-2158117.17</v>
      </c>
      <c r="H79" s="860">
        <v>3656422.2304166676</v>
      </c>
      <c r="I79" s="958">
        <v>40178</v>
      </c>
      <c r="J79" s="998"/>
      <c r="K79" s="960">
        <f>$N$4</f>
        <v>0.07</v>
      </c>
      <c r="L79" s="851">
        <f>H79*K79</f>
        <v>255949.55612916677</v>
      </c>
      <c r="M79" s="851">
        <f t="shared" si="11"/>
        <v>393768.5478910258</v>
      </c>
      <c r="N79" s="873">
        <f t="shared" si="12"/>
        <v>32814.045657585484</v>
      </c>
      <c r="Q79" s="967"/>
    </row>
    <row r="80" spans="1:17" ht="12.75">
      <c r="A80" s="243">
        <f>ROW()</f>
        <v>80</v>
      </c>
      <c r="B80" s="254" t="s">
        <v>52</v>
      </c>
      <c r="C80" s="253" t="s">
        <v>265</v>
      </c>
      <c r="D80" s="860">
        <v>-2172745.400000003</v>
      </c>
      <c r="E80" s="860">
        <v>396311.41999999725</v>
      </c>
      <c r="F80" s="996"/>
      <c r="G80" s="856">
        <f>D80</f>
        <v>-2172745.400000003</v>
      </c>
      <c r="H80" s="860">
        <v>1450375.1300000004</v>
      </c>
      <c r="I80" s="958">
        <v>40543</v>
      </c>
      <c r="J80" s="998"/>
      <c r="K80" s="959" t="s">
        <v>16</v>
      </c>
      <c r="L80" s="851">
        <f>((H80*$N$4)*97/365)+((H80*$N$5)*268/365)</f>
        <v>100461.32612783567</v>
      </c>
      <c r="M80" s="851">
        <f t="shared" si="11"/>
        <v>154555.8863505164</v>
      </c>
      <c r="N80" s="873">
        <f t="shared" si="12"/>
        <v>12879.657195876367</v>
      </c>
      <c r="Q80" s="967"/>
    </row>
    <row r="81" spans="1:17" ht="12.75">
      <c r="A81" s="243">
        <f>ROW()</f>
        <v>81</v>
      </c>
      <c r="B81" s="254" t="s">
        <v>575</v>
      </c>
      <c r="C81" s="253" t="s">
        <v>265</v>
      </c>
      <c r="D81" s="860">
        <v>-396311.4200000015</v>
      </c>
      <c r="E81" s="860">
        <v>-4.210050974506885E-09</v>
      </c>
      <c r="F81" s="998"/>
      <c r="G81" s="856">
        <f>D81</f>
        <v>-396311.4200000015</v>
      </c>
      <c r="H81" s="860">
        <v>64288.97416666285</v>
      </c>
      <c r="I81" s="958">
        <v>40908</v>
      </c>
      <c r="J81" s="998"/>
      <c r="K81" s="960">
        <f>$N$5</f>
        <v>0.069</v>
      </c>
      <c r="L81" s="851">
        <f>H81*K81</f>
        <v>4435.9392174997365</v>
      </c>
      <c r="M81" s="851">
        <f t="shared" si="11"/>
        <v>6824.521873076517</v>
      </c>
      <c r="N81" s="873">
        <f t="shared" si="12"/>
        <v>568.7101560897098</v>
      </c>
      <c r="Q81" s="967"/>
    </row>
    <row r="82" spans="1:17" ht="12.75">
      <c r="A82" s="243">
        <f>ROW()</f>
        <v>82</v>
      </c>
      <c r="B82" s="254" t="s">
        <v>576</v>
      </c>
      <c r="C82" s="253" t="s">
        <v>265</v>
      </c>
      <c r="D82" s="860">
        <v>0</v>
      </c>
      <c r="E82" s="860">
        <f>E81+D82</f>
        <v>-4.210050974506885E-09</v>
      </c>
      <c r="F82" s="996"/>
      <c r="G82" s="856">
        <f>D82</f>
        <v>0</v>
      </c>
      <c r="H82" s="860">
        <v>-4.210050974506885E-09</v>
      </c>
      <c r="I82" s="958">
        <v>41274</v>
      </c>
      <c r="J82" s="998"/>
      <c r="K82" s="1001">
        <f>$N$5</f>
        <v>0.069</v>
      </c>
      <c r="L82" s="851">
        <f>H82*K82</f>
        <v>-2.9049351724097506E-10</v>
      </c>
      <c r="M82" s="851">
        <f t="shared" si="11"/>
        <v>-4.469131034476539E-10</v>
      </c>
      <c r="N82" s="873">
        <f t="shared" si="12"/>
        <v>-3.724275862063783E-11</v>
      </c>
      <c r="Q82" s="967"/>
    </row>
    <row r="83" spans="1:17" ht="12.75" hidden="1">
      <c r="A83" s="243">
        <f>ROW()</f>
        <v>83</v>
      </c>
      <c r="B83" s="254"/>
      <c r="C83" s="253"/>
      <c r="D83" s="860"/>
      <c r="E83" s="860"/>
      <c r="F83" s="996"/>
      <c r="G83" s="846"/>
      <c r="H83" s="860"/>
      <c r="I83" s="1002"/>
      <c r="J83" s="998"/>
      <c r="K83" s="1001"/>
      <c r="L83" s="851"/>
      <c r="M83" s="851"/>
      <c r="N83" s="873"/>
      <c r="Q83" s="967"/>
    </row>
    <row r="84" spans="1:17" ht="12.75">
      <c r="A84" s="257">
        <f>ROW()</f>
        <v>84</v>
      </c>
      <c r="B84" s="970"/>
      <c r="C84" s="971"/>
      <c r="D84" s="972"/>
      <c r="E84" s="972"/>
      <c r="F84" s="1003"/>
      <c r="G84" s="1004"/>
      <c r="H84" s="972"/>
      <c r="I84" s="1005"/>
      <c r="J84" s="1006"/>
      <c r="K84" s="1007"/>
      <c r="L84" s="981"/>
      <c r="M84" s="981"/>
      <c r="N84" s="977"/>
      <c r="Q84" s="967"/>
    </row>
    <row r="85" spans="1:17" ht="12.75">
      <c r="A85" s="248">
        <f>ROW()</f>
        <v>85</v>
      </c>
      <c r="B85" s="258"/>
      <c r="C85" s="255"/>
      <c r="D85" s="962"/>
      <c r="E85" s="962"/>
      <c r="F85" s="1008"/>
      <c r="G85" s="1009"/>
      <c r="H85" s="962"/>
      <c r="I85" s="1010"/>
      <c r="J85" s="1011"/>
      <c r="K85" s="1012"/>
      <c r="L85" s="1013"/>
      <c r="M85" s="1013"/>
      <c r="N85" s="978"/>
      <c r="Q85" s="967"/>
    </row>
    <row r="86" spans="1:17" ht="15">
      <c r="A86" s="243">
        <f>ROW()</f>
        <v>86</v>
      </c>
      <c r="B86" s="251" t="s">
        <v>115</v>
      </c>
      <c r="C86" s="860"/>
      <c r="D86" s="860"/>
      <c r="E86" s="860"/>
      <c r="F86" s="956"/>
      <c r="G86" s="852" t="s">
        <v>33</v>
      </c>
      <c r="H86" s="860"/>
      <c r="I86" s="989"/>
      <c r="J86" s="956"/>
      <c r="K86" s="946"/>
      <c r="L86" s="873"/>
      <c r="M86" s="873"/>
      <c r="Q86" s="967"/>
    </row>
    <row r="87" spans="1:17" ht="15">
      <c r="A87" s="243">
        <f>ROW()</f>
        <v>87</v>
      </c>
      <c r="B87" s="264" t="s">
        <v>571</v>
      </c>
      <c r="C87" s="860"/>
      <c r="D87" s="860"/>
      <c r="E87" s="860">
        <v>7478084.662432501</v>
      </c>
      <c r="F87" s="956"/>
      <c r="G87" s="852"/>
      <c r="H87" s="860">
        <v>4100877.628081146</v>
      </c>
      <c r="I87" s="958">
        <v>39447</v>
      </c>
      <c r="J87" s="956"/>
      <c r="K87" s="873">
        <v>0</v>
      </c>
      <c r="L87" s="873">
        <v>0</v>
      </c>
      <c r="M87" s="851">
        <f aca="true" t="shared" si="13" ref="M87:M92">+L87/(1-0.35)</f>
        <v>0</v>
      </c>
      <c r="N87" s="873">
        <f aca="true" t="shared" si="14" ref="N87:N92">M87/12</f>
        <v>0</v>
      </c>
      <c r="Q87" s="967"/>
    </row>
    <row r="88" spans="1:17" ht="12.75">
      <c r="A88" s="243">
        <f>ROW()</f>
        <v>88</v>
      </c>
      <c r="B88" s="264" t="s">
        <v>573</v>
      </c>
      <c r="C88" s="253" t="s">
        <v>265</v>
      </c>
      <c r="D88" s="860">
        <v>-693692.3039541667</v>
      </c>
      <c r="E88" s="860">
        <v>7665067.074932083</v>
      </c>
      <c r="F88" s="996"/>
      <c r="G88" s="846">
        <f>D88</f>
        <v>-693692.3039541667</v>
      </c>
      <c r="H88" s="860">
        <v>7812600.885653299</v>
      </c>
      <c r="I88" s="958">
        <v>39813</v>
      </c>
      <c r="J88" s="998"/>
      <c r="K88" s="959" t="s">
        <v>574</v>
      </c>
      <c r="L88" s="851">
        <v>91147.01033262184</v>
      </c>
      <c r="M88" s="851">
        <f t="shared" si="13"/>
        <v>140226.16974249514</v>
      </c>
      <c r="N88" s="873">
        <f t="shared" si="14"/>
        <v>11685.514145207928</v>
      </c>
      <c r="Q88" s="967"/>
    </row>
    <row r="89" spans="1:17" ht="12.75">
      <c r="A89" s="243">
        <f>ROW()</f>
        <v>89</v>
      </c>
      <c r="B89" s="264" t="s">
        <v>549</v>
      </c>
      <c r="C89" s="253" t="s">
        <v>265</v>
      </c>
      <c r="D89" s="860">
        <v>-4162153.8237249996</v>
      </c>
      <c r="E89" s="860">
        <v>4959749.283779581</v>
      </c>
      <c r="F89" s="996"/>
      <c r="G89" s="846">
        <f>D89</f>
        <v>-4162153.8237249996</v>
      </c>
      <c r="H89" s="860">
        <v>6312408.179355833</v>
      </c>
      <c r="I89" s="958">
        <v>40178</v>
      </c>
      <c r="J89" s="998"/>
      <c r="K89" s="960">
        <f>$N$4</f>
        <v>0.07</v>
      </c>
      <c r="L89" s="851">
        <f>H89*K89</f>
        <v>441868.57255490834</v>
      </c>
      <c r="M89" s="851">
        <f t="shared" si="13"/>
        <v>679797.8039306282</v>
      </c>
      <c r="N89" s="873">
        <f t="shared" si="14"/>
        <v>56649.81699421902</v>
      </c>
      <c r="Q89" s="967"/>
    </row>
    <row r="90" spans="1:17" ht="12.75">
      <c r="A90" s="243">
        <f>ROW()</f>
        <v>90</v>
      </c>
      <c r="B90" s="264" t="s">
        <v>52</v>
      </c>
      <c r="C90" s="253" t="s">
        <v>265</v>
      </c>
      <c r="D90" s="860">
        <v>-4162153.8237249996</v>
      </c>
      <c r="E90" s="860">
        <v>2254431.492627079</v>
      </c>
      <c r="F90" s="996"/>
      <c r="G90" s="846">
        <f>D90</f>
        <v>-4162153.8237249996</v>
      </c>
      <c r="H90" s="860">
        <v>3607090.38820333</v>
      </c>
      <c r="I90" s="958">
        <v>40543</v>
      </c>
      <c r="J90" s="998"/>
      <c r="K90" s="959" t="s">
        <v>16</v>
      </c>
      <c r="L90" s="851">
        <f>((H90*$N$4)*97/365)+((H90*$N$5)*97/365)</f>
        <v>133244.93069628906</v>
      </c>
      <c r="M90" s="851">
        <f t="shared" si="13"/>
        <v>204992.20107121393</v>
      </c>
      <c r="N90" s="873">
        <f t="shared" si="14"/>
        <v>17082.68342260116</v>
      </c>
      <c r="Q90" s="967"/>
    </row>
    <row r="91" spans="1:17" ht="12.75">
      <c r="A91" s="243">
        <f>ROW()</f>
        <v>91</v>
      </c>
      <c r="B91" s="264" t="s">
        <v>575</v>
      </c>
      <c r="C91" s="253" t="s">
        <v>265</v>
      </c>
      <c r="D91" s="860">
        <v>-3468461.519770833</v>
      </c>
      <c r="E91" s="860">
        <v>0</v>
      </c>
      <c r="F91" s="996"/>
      <c r="G91" s="846">
        <f>D91</f>
        <v>-3468461.519770833</v>
      </c>
      <c r="H91" s="860">
        <v>939346.4552612836</v>
      </c>
      <c r="I91" s="958">
        <v>40908</v>
      </c>
      <c r="J91" s="998"/>
      <c r="K91" s="960">
        <f>$N$5</f>
        <v>0.069</v>
      </c>
      <c r="L91" s="851">
        <f>H91*K91</f>
        <v>64814.90541302857</v>
      </c>
      <c r="M91" s="851">
        <f t="shared" si="13"/>
        <v>99715.23909696704</v>
      </c>
      <c r="N91" s="873">
        <f t="shared" si="14"/>
        <v>8309.603258080586</v>
      </c>
      <c r="Q91" s="967"/>
    </row>
    <row r="92" spans="1:17" ht="12.75">
      <c r="A92" s="243">
        <f>ROW()</f>
        <v>92</v>
      </c>
      <c r="B92" s="264" t="s">
        <v>576</v>
      </c>
      <c r="C92" s="253"/>
      <c r="D92" s="860">
        <v>0</v>
      </c>
      <c r="E92" s="860">
        <v>0</v>
      </c>
      <c r="F92" s="996"/>
      <c r="G92" s="846">
        <f>D92</f>
        <v>0</v>
      </c>
      <c r="H92" s="860">
        <v>0</v>
      </c>
      <c r="I92" s="958">
        <v>41274</v>
      </c>
      <c r="J92" s="998"/>
      <c r="K92" s="960">
        <f>$N$5</f>
        <v>0.069</v>
      </c>
      <c r="L92" s="851">
        <f>H92*K92</f>
        <v>0</v>
      </c>
      <c r="M92" s="851">
        <f t="shared" si="13"/>
        <v>0</v>
      </c>
      <c r="N92" s="873">
        <f t="shared" si="14"/>
        <v>0</v>
      </c>
      <c r="Q92" s="967"/>
    </row>
    <row r="93" spans="1:17" ht="12.75">
      <c r="A93" s="257">
        <f>ROW()</f>
        <v>93</v>
      </c>
      <c r="B93" s="970"/>
      <c r="C93" s="971"/>
      <c r="D93" s="972"/>
      <c r="E93" s="972"/>
      <c r="F93" s="1003"/>
      <c r="G93" s="1004"/>
      <c r="H93" s="972"/>
      <c r="I93" s="1005"/>
      <c r="J93" s="1006"/>
      <c r="K93" s="1007"/>
      <c r="L93" s="981"/>
      <c r="M93" s="981"/>
      <c r="N93" s="977"/>
      <c r="Q93" s="967"/>
    </row>
    <row r="94" spans="1:17" ht="12.75">
      <c r="A94" s="248">
        <f>ROW()</f>
        <v>94</v>
      </c>
      <c r="B94" s="258"/>
      <c r="C94" s="255"/>
      <c r="D94" s="962"/>
      <c r="E94" s="962"/>
      <c r="F94" s="1008"/>
      <c r="G94" s="1009"/>
      <c r="H94" s="962"/>
      <c r="I94" s="1010"/>
      <c r="J94" s="1011"/>
      <c r="K94" s="1012"/>
      <c r="L94" s="1013"/>
      <c r="M94" s="1013"/>
      <c r="N94" s="978"/>
      <c r="Q94" s="967"/>
    </row>
    <row r="95" spans="1:17" ht="15">
      <c r="A95" s="243">
        <f>ROW()</f>
        <v>95</v>
      </c>
      <c r="B95" s="251" t="s">
        <v>116</v>
      </c>
      <c r="C95" s="860"/>
      <c r="D95" s="860"/>
      <c r="E95" s="860"/>
      <c r="F95" s="956"/>
      <c r="G95" s="852" t="s">
        <v>34</v>
      </c>
      <c r="H95" s="860"/>
      <c r="I95" s="989"/>
      <c r="J95" s="956"/>
      <c r="K95" s="946"/>
      <c r="L95" s="873"/>
      <c r="M95" s="873"/>
      <c r="Q95" s="967"/>
    </row>
    <row r="96" spans="1:17" ht="15">
      <c r="A96" s="243">
        <f>ROW()</f>
        <v>96</v>
      </c>
      <c r="B96" s="264" t="s">
        <v>571</v>
      </c>
      <c r="C96" s="860"/>
      <c r="D96" s="860"/>
      <c r="E96" s="860"/>
      <c r="F96" s="956"/>
      <c r="G96" s="852"/>
      <c r="H96" s="860"/>
      <c r="I96" s="989"/>
      <c r="J96" s="956"/>
      <c r="K96" s="946"/>
      <c r="L96" s="873"/>
      <c r="M96" s="873"/>
      <c r="Q96" s="967"/>
    </row>
    <row r="97" spans="1:17" ht="12.75">
      <c r="A97" s="243">
        <f>ROW()</f>
        <v>97</v>
      </c>
      <c r="B97" s="264" t="s">
        <v>573</v>
      </c>
      <c r="C97" s="253" t="s">
        <v>265</v>
      </c>
      <c r="D97" s="860">
        <v>241916.66666666666</v>
      </c>
      <c r="E97" s="860">
        <v>-1729704.166666667</v>
      </c>
      <c r="F97" s="996"/>
      <c r="G97" s="846">
        <f>D97</f>
        <v>241916.66666666666</v>
      </c>
      <c r="H97" s="860">
        <v>-464681.5972222222</v>
      </c>
      <c r="I97" s="958">
        <v>39813</v>
      </c>
      <c r="J97" s="998"/>
      <c r="K97" s="959" t="s">
        <v>574</v>
      </c>
      <c r="L97" s="851">
        <v>-5421.285300925926</v>
      </c>
      <c r="M97" s="851">
        <f>+L97/(1-0.35)</f>
        <v>-8340.438924501424</v>
      </c>
      <c r="N97" s="873">
        <f>M97/12</f>
        <v>-695.0365770417853</v>
      </c>
      <c r="Q97" s="967"/>
    </row>
    <row r="98" spans="1:17" ht="12.75">
      <c r="A98" s="243">
        <f>ROW()</f>
        <v>98</v>
      </c>
      <c r="B98" s="264" t="s">
        <v>549</v>
      </c>
      <c r="C98" s="253" t="s">
        <v>265</v>
      </c>
      <c r="D98" s="860">
        <v>1451499.9999999998</v>
      </c>
      <c r="E98" s="860">
        <v>-786229.166666667</v>
      </c>
      <c r="F98" s="996"/>
      <c r="G98" s="846">
        <f>D98</f>
        <v>1451499.9999999998</v>
      </c>
      <c r="H98" s="860">
        <v>-1257966.6666666667</v>
      </c>
      <c r="I98" s="958">
        <v>40178</v>
      </c>
      <c r="J98" s="998"/>
      <c r="K98" s="960">
        <f>$K$16</f>
        <v>0.07</v>
      </c>
      <c r="L98" s="851">
        <f>H98*K98</f>
        <v>-88057.66666666669</v>
      </c>
      <c r="M98" s="851">
        <f>+L98/(1-0.35)</f>
        <v>-135473.33333333337</v>
      </c>
      <c r="N98" s="873">
        <f>M98/12</f>
        <v>-11289.444444444447</v>
      </c>
      <c r="Q98" s="967"/>
    </row>
    <row r="99" spans="1:17" ht="12.75">
      <c r="A99" s="243">
        <f>ROW()</f>
        <v>99</v>
      </c>
      <c r="B99" s="264" t="s">
        <v>52</v>
      </c>
      <c r="C99" s="253" t="s">
        <v>265</v>
      </c>
      <c r="D99" s="860">
        <v>1209583.3333333333</v>
      </c>
      <c r="E99" s="860">
        <v>0</v>
      </c>
      <c r="F99" s="996"/>
      <c r="G99" s="846">
        <f>D99</f>
        <v>1209583.3333333333</v>
      </c>
      <c r="H99" s="860">
        <v>-327595.48611111124</v>
      </c>
      <c r="I99" s="958">
        <v>40543</v>
      </c>
      <c r="J99" s="998"/>
      <c r="K99" s="959" t="s">
        <v>16</v>
      </c>
      <c r="L99" s="851">
        <f>((H99*$N$4)*97/365)+((H99*$N$5)*268/365)</f>
        <v>-22691.148164003054</v>
      </c>
      <c r="M99" s="851">
        <f>+L99/(1-0.35)</f>
        <v>-34909.45871385085</v>
      </c>
      <c r="N99" s="873">
        <f>M99/12</f>
        <v>-2909.1215594875707</v>
      </c>
      <c r="Q99" s="967"/>
    </row>
    <row r="100" spans="1:17" ht="12.75">
      <c r="A100" s="243">
        <f>ROW()</f>
        <v>100</v>
      </c>
      <c r="B100" s="264" t="s">
        <v>575</v>
      </c>
      <c r="C100" s="253"/>
      <c r="D100" s="860">
        <v>0</v>
      </c>
      <c r="E100" s="860">
        <v>0</v>
      </c>
      <c r="F100" s="996"/>
      <c r="G100" s="846">
        <f>D100</f>
        <v>0</v>
      </c>
      <c r="H100" s="860">
        <v>0</v>
      </c>
      <c r="I100" s="958">
        <v>40908</v>
      </c>
      <c r="J100" s="998"/>
      <c r="K100" s="960">
        <f>$N$5</f>
        <v>0.069</v>
      </c>
      <c r="L100" s="851">
        <f>H100*K100</f>
        <v>0</v>
      </c>
      <c r="M100" s="851">
        <f>+L100/(1-0.35)</f>
        <v>0</v>
      </c>
      <c r="N100" s="873">
        <f>M100/12</f>
        <v>0</v>
      </c>
      <c r="Q100" s="967"/>
    </row>
    <row r="101" spans="1:17" ht="12.75">
      <c r="A101" s="257">
        <f>ROW()</f>
        <v>101</v>
      </c>
      <c r="B101" s="970"/>
      <c r="C101" s="971"/>
      <c r="D101" s="972"/>
      <c r="E101" s="972"/>
      <c r="F101" s="1003"/>
      <c r="G101" s="1004"/>
      <c r="H101" s="972"/>
      <c r="I101" s="1005"/>
      <c r="J101" s="1006"/>
      <c r="K101" s="1007"/>
      <c r="L101" s="981"/>
      <c r="M101" s="981"/>
      <c r="N101" s="977"/>
      <c r="Q101" s="967"/>
    </row>
    <row r="102" spans="1:17" ht="12.75">
      <c r="A102" s="243">
        <f>ROW()</f>
        <v>102</v>
      </c>
      <c r="B102" s="254"/>
      <c r="C102" s="253"/>
      <c r="D102" s="860"/>
      <c r="E102" s="860"/>
      <c r="F102" s="1008"/>
      <c r="G102" s="846"/>
      <c r="H102" s="860"/>
      <c r="I102" s="1002"/>
      <c r="J102" s="998"/>
      <c r="K102" s="1001"/>
      <c r="L102" s="851"/>
      <c r="M102" s="851"/>
      <c r="N102" s="873"/>
      <c r="Q102" s="967"/>
    </row>
    <row r="103" spans="1:17" ht="15">
      <c r="A103" s="243">
        <f>ROW()</f>
        <v>103</v>
      </c>
      <c r="B103" s="251" t="s">
        <v>587</v>
      </c>
      <c r="C103" s="860"/>
      <c r="D103" s="860"/>
      <c r="E103" s="860"/>
      <c r="F103" s="956"/>
      <c r="G103" s="852" t="s">
        <v>588</v>
      </c>
      <c r="H103" s="860"/>
      <c r="I103" s="989"/>
      <c r="J103" s="956"/>
      <c r="K103" s="946"/>
      <c r="L103" s="873"/>
      <c r="M103" s="873"/>
      <c r="Q103" s="967"/>
    </row>
    <row r="104" spans="1:17" ht="15">
      <c r="A104" s="243">
        <f>ROW()</f>
        <v>104</v>
      </c>
      <c r="B104" s="264" t="s">
        <v>573</v>
      </c>
      <c r="C104" s="253" t="s">
        <v>265</v>
      </c>
      <c r="D104" s="860">
        <v>0</v>
      </c>
      <c r="E104" s="860">
        <v>-2294077.5</v>
      </c>
      <c r="F104" s="956"/>
      <c r="G104" s="856">
        <f>D104</f>
        <v>0</v>
      </c>
      <c r="H104" s="860">
        <v>0</v>
      </c>
      <c r="I104" s="958">
        <v>39813</v>
      </c>
      <c r="J104" s="956"/>
      <c r="K104" s="990" t="s">
        <v>586</v>
      </c>
      <c r="L104" s="873">
        <v>0</v>
      </c>
      <c r="M104" s="873">
        <v>0</v>
      </c>
      <c r="N104" s="873">
        <f>M104/12</f>
        <v>0</v>
      </c>
      <c r="Q104" s="967"/>
    </row>
    <row r="105" spans="1:17" ht="12.75">
      <c r="A105" s="243">
        <f>ROW()</f>
        <v>105</v>
      </c>
      <c r="B105" s="264" t="s">
        <v>549</v>
      </c>
      <c r="C105" s="253" t="s">
        <v>265</v>
      </c>
      <c r="D105" s="860">
        <v>65358.333333333336</v>
      </c>
      <c r="E105" s="860">
        <v>-2251594.583333333</v>
      </c>
      <c r="F105" s="996"/>
      <c r="G105" s="846">
        <f>D105</f>
        <v>65358.333333333336</v>
      </c>
      <c r="H105" s="860">
        <v>-2290537.2569444445</v>
      </c>
      <c r="I105" s="958">
        <v>40178</v>
      </c>
      <c r="J105" s="998"/>
      <c r="K105" s="990" t="s">
        <v>586</v>
      </c>
      <c r="L105" s="851">
        <v>0</v>
      </c>
      <c r="M105" s="851">
        <f>+L105/(1-0.35)</f>
        <v>0</v>
      </c>
      <c r="N105" s="873">
        <f>M105/12</f>
        <v>0</v>
      </c>
      <c r="Q105" s="967"/>
    </row>
    <row r="106" spans="1:17" ht="12.75">
      <c r="A106" s="243">
        <f>ROW()</f>
        <v>106</v>
      </c>
      <c r="B106" s="264" t="s">
        <v>52</v>
      </c>
      <c r="C106" s="253" t="s">
        <v>265</v>
      </c>
      <c r="D106" s="860">
        <v>392150.00000000006</v>
      </c>
      <c r="E106" s="860">
        <v>-1996697.0833333333</v>
      </c>
      <c r="F106" s="996"/>
      <c r="G106" s="846">
        <f>D106</f>
        <v>392150.00000000006</v>
      </c>
      <c r="H106" s="860">
        <v>-2124145.8333333335</v>
      </c>
      <c r="I106" s="958">
        <v>40543</v>
      </c>
      <c r="J106" s="998"/>
      <c r="K106" s="959" t="s">
        <v>16</v>
      </c>
      <c r="L106" s="851">
        <v>-107615.6294520548</v>
      </c>
      <c r="M106" s="851">
        <f>+L106/(1-0.35)</f>
        <v>-165562.50684931508</v>
      </c>
      <c r="N106" s="873">
        <f>M106/12</f>
        <v>-13796.875570776256</v>
      </c>
      <c r="Q106" s="967"/>
    </row>
    <row r="107" spans="1:17" ht="12.75">
      <c r="A107" s="243">
        <f>ROW()</f>
        <v>107</v>
      </c>
      <c r="B107" s="264" t="s">
        <v>575</v>
      </c>
      <c r="C107" s="253" t="s">
        <v>265</v>
      </c>
      <c r="D107" s="860">
        <v>392150.00000000006</v>
      </c>
      <c r="E107" s="860">
        <v>-1741799.5833333335</v>
      </c>
      <c r="F107" s="996"/>
      <c r="G107" s="846">
        <f>D107</f>
        <v>392150.00000000006</v>
      </c>
      <c r="H107" s="860">
        <v>-1869248.3333333333</v>
      </c>
      <c r="I107" s="958">
        <v>40908</v>
      </c>
      <c r="J107" s="998"/>
      <c r="K107" s="960">
        <f>$N$5</f>
        <v>0.069</v>
      </c>
      <c r="L107" s="851">
        <f>H107*K107</f>
        <v>-128978.13500000001</v>
      </c>
      <c r="M107" s="851">
        <f>+L107/(1-0.35)</f>
        <v>-198427.9</v>
      </c>
      <c r="N107" s="873">
        <f>M107/12</f>
        <v>-16535.658333333333</v>
      </c>
      <c r="Q107" s="967"/>
    </row>
    <row r="108" spans="1:17" ht="12.75">
      <c r="A108" s="243">
        <f>ROW()</f>
        <v>108</v>
      </c>
      <c r="B108" s="264" t="s">
        <v>576</v>
      </c>
      <c r="C108" s="253"/>
      <c r="D108" s="860">
        <v>392150.00000000006</v>
      </c>
      <c r="E108" s="860">
        <v>-1486902.0833333335</v>
      </c>
      <c r="F108" s="996"/>
      <c r="G108" s="846">
        <f>D108</f>
        <v>392150.00000000006</v>
      </c>
      <c r="H108" s="860">
        <v>-1614350.8333333333</v>
      </c>
      <c r="I108" s="958">
        <v>41274</v>
      </c>
      <c r="J108" s="998"/>
      <c r="K108" s="960">
        <f>$N$5</f>
        <v>0.069</v>
      </c>
      <c r="L108" s="851">
        <f>H108*K108</f>
        <v>-111390.2075</v>
      </c>
      <c r="M108" s="851">
        <f>+L108/(1-0.35)</f>
        <v>-171369.55</v>
      </c>
      <c r="N108" s="873">
        <f>M108/12</f>
        <v>-14280.795833333332</v>
      </c>
      <c r="Q108" s="967"/>
    </row>
    <row r="109" spans="1:17" ht="12.75">
      <c r="A109" s="257">
        <f>ROW()</f>
        <v>109</v>
      </c>
      <c r="B109" s="1014"/>
      <c r="C109" s="971"/>
      <c r="D109" s="972"/>
      <c r="E109" s="972"/>
      <c r="F109" s="1003"/>
      <c r="G109" s="1004"/>
      <c r="H109" s="972"/>
      <c r="I109" s="975"/>
      <c r="J109" s="1006"/>
      <c r="K109" s="976"/>
      <c r="L109" s="981"/>
      <c r="M109" s="981"/>
      <c r="N109" s="977"/>
      <c r="Q109" s="967"/>
    </row>
    <row r="110" spans="1:17" ht="12.75">
      <c r="A110" s="248">
        <f>ROW()</f>
        <v>110</v>
      </c>
      <c r="B110" s="383"/>
      <c r="C110" s="255"/>
      <c r="D110" s="962"/>
      <c r="E110" s="962"/>
      <c r="F110" s="1008"/>
      <c r="G110" s="1009"/>
      <c r="H110" s="962"/>
      <c r="I110" s="965"/>
      <c r="J110" s="1011"/>
      <c r="K110" s="982"/>
      <c r="L110" s="1013"/>
      <c r="M110" s="1013"/>
      <c r="N110" s="978"/>
      <c r="Q110" s="967"/>
    </row>
    <row r="111" spans="1:17" ht="12.75">
      <c r="A111" s="243">
        <f>ROW()</f>
        <v>111</v>
      </c>
      <c r="B111" s="251" t="s">
        <v>589</v>
      </c>
      <c r="C111" s="253"/>
      <c r="D111" s="860"/>
      <c r="E111" s="860"/>
      <c r="F111" s="996"/>
      <c r="G111" s="862" t="s">
        <v>590</v>
      </c>
      <c r="H111" s="860"/>
      <c r="I111" s="958"/>
      <c r="J111" s="998"/>
      <c r="K111" s="960"/>
      <c r="L111" s="851"/>
      <c r="M111" s="851"/>
      <c r="N111" s="873"/>
      <c r="Q111" s="967"/>
    </row>
    <row r="112" spans="1:17" ht="12.75">
      <c r="A112" s="243">
        <f>ROW()</f>
        <v>112</v>
      </c>
      <c r="B112" s="264" t="s">
        <v>573</v>
      </c>
      <c r="C112" s="253" t="s">
        <v>265</v>
      </c>
      <c r="D112" s="860">
        <v>0</v>
      </c>
      <c r="E112" s="1015">
        <v>1965859.4441451614</v>
      </c>
      <c r="F112" s="996"/>
      <c r="G112" s="846">
        <v>0</v>
      </c>
      <c r="H112" s="860">
        <v>76376.54166666667</v>
      </c>
      <c r="I112" s="958">
        <v>39813</v>
      </c>
      <c r="J112" s="998"/>
      <c r="K112" s="990" t="s">
        <v>586</v>
      </c>
      <c r="L112" s="851"/>
      <c r="M112" s="851">
        <f>+L112/(1-0.35)</f>
        <v>0</v>
      </c>
      <c r="N112" s="873">
        <f>M112/12</f>
        <v>0</v>
      </c>
      <c r="Q112" s="967"/>
    </row>
    <row r="113" spans="1:17" ht="12.75">
      <c r="A113" s="243">
        <f>ROW()</f>
        <v>113</v>
      </c>
      <c r="B113" s="264" t="s">
        <v>549</v>
      </c>
      <c r="C113" s="253" t="s">
        <v>265</v>
      </c>
      <c r="D113" s="860">
        <v>0</v>
      </c>
      <c r="E113" s="860">
        <v>20878143.156564567</v>
      </c>
      <c r="F113" s="996"/>
      <c r="G113" s="846">
        <f>D113</f>
        <v>0</v>
      </c>
      <c r="H113" s="860">
        <v>12188368.82246697</v>
      </c>
      <c r="I113" s="958">
        <v>40178</v>
      </c>
      <c r="J113" s="998"/>
      <c r="K113" s="990" t="s">
        <v>586</v>
      </c>
      <c r="L113" s="851"/>
      <c r="M113" s="851">
        <f>+L113/(1-0.35)</f>
        <v>0</v>
      </c>
      <c r="N113" s="873">
        <f>M113/12</f>
        <v>0</v>
      </c>
      <c r="Q113" s="967"/>
    </row>
    <row r="114" spans="1:17" ht="12.75">
      <c r="A114" s="243">
        <f>ROW()</f>
        <v>114</v>
      </c>
      <c r="B114" s="264" t="s">
        <v>52</v>
      </c>
      <c r="C114" s="253" t="s">
        <v>265</v>
      </c>
      <c r="D114" s="860">
        <v>-2159054.8566938736</v>
      </c>
      <c r="E114" s="860">
        <v>26725899.129925184</v>
      </c>
      <c r="F114" s="996"/>
      <c r="G114" s="846">
        <f>D114</f>
        <v>-2159054.8566938736</v>
      </c>
      <c r="H114" s="860">
        <v>26602016.87149857</v>
      </c>
      <c r="I114" s="958">
        <v>40543</v>
      </c>
      <c r="J114" s="998"/>
      <c r="K114" s="959" t="s">
        <v>16</v>
      </c>
      <c r="L114" s="851">
        <v>1347738.3451719228</v>
      </c>
      <c r="M114" s="851">
        <f>+L114/(1-0.35)</f>
        <v>2073443.6079568043</v>
      </c>
      <c r="N114" s="873">
        <f>M114/12</f>
        <v>172786.96732973368</v>
      </c>
      <c r="Q114" s="967"/>
    </row>
    <row r="115" spans="1:17" ht="12.75">
      <c r="A115" s="243">
        <f>ROW()</f>
        <v>115</v>
      </c>
      <c r="B115" s="264" t="s">
        <v>575</v>
      </c>
      <c r="C115" s="253" t="s">
        <v>265</v>
      </c>
      <c r="D115" s="860">
        <v>-2885054.849925766</v>
      </c>
      <c r="E115" s="860">
        <v>24850613.477473423</v>
      </c>
      <c r="F115" s="996"/>
      <c r="G115" s="846">
        <f>D115</f>
        <v>-2885054.849925766</v>
      </c>
      <c r="H115" s="860">
        <v>25788256.303699307</v>
      </c>
      <c r="I115" s="958">
        <v>40908</v>
      </c>
      <c r="J115" s="998"/>
      <c r="K115" s="960">
        <f>$N$5</f>
        <v>0.069</v>
      </c>
      <c r="L115" s="851">
        <f>H115*K115</f>
        <v>1779389.6849552523</v>
      </c>
      <c r="M115" s="851">
        <f>+L115/(1-0.35)</f>
        <v>2737522.5922388495</v>
      </c>
      <c r="N115" s="873">
        <f>M115/12</f>
        <v>228126.88268657078</v>
      </c>
      <c r="Q115" s="967"/>
    </row>
    <row r="116" spans="1:17" ht="12.75">
      <c r="A116" s="243">
        <f>ROW()</f>
        <v>116</v>
      </c>
      <c r="B116" s="264" t="s">
        <v>576</v>
      </c>
      <c r="C116" s="253" t="s">
        <v>265</v>
      </c>
      <c r="D116" s="860">
        <v>-2885054.849925766</v>
      </c>
      <c r="E116" s="860">
        <v>22975327.82502167</v>
      </c>
      <c r="F116" s="996"/>
      <c r="G116" s="846">
        <f>D116</f>
        <v>-2885054.849925766</v>
      </c>
      <c r="H116" s="860">
        <v>23912970.651247546</v>
      </c>
      <c r="I116" s="958">
        <v>41274</v>
      </c>
      <c r="J116" s="998"/>
      <c r="K116" s="960">
        <f>$N$5</f>
        <v>0.069</v>
      </c>
      <c r="L116" s="851">
        <f>H116*K116</f>
        <v>1649994.9749360809</v>
      </c>
      <c r="M116" s="851">
        <f>+L116/(1-0.35)</f>
        <v>2538453.8075939706</v>
      </c>
      <c r="N116" s="873">
        <f>M116/12</f>
        <v>211537.81729949755</v>
      </c>
      <c r="Q116" s="967"/>
    </row>
    <row r="117" spans="1:14" ht="12.75">
      <c r="A117" s="243">
        <f>ROW()</f>
        <v>117</v>
      </c>
      <c r="B117" s="1014"/>
      <c r="C117" s="971"/>
      <c r="D117" s="972"/>
      <c r="E117" s="972"/>
      <c r="F117" s="1003"/>
      <c r="G117" s="1004"/>
      <c r="H117" s="972"/>
      <c r="I117" s="975"/>
      <c r="J117" s="1006"/>
      <c r="K117" s="976"/>
      <c r="L117" s="981"/>
      <c r="M117" s="981"/>
      <c r="N117" s="977"/>
    </row>
    <row r="118" spans="1:14" ht="12.75">
      <c r="A118" s="248">
        <f>ROW()</f>
        <v>118</v>
      </c>
      <c r="B118" s="383"/>
      <c r="C118" s="255"/>
      <c r="D118" s="962"/>
      <c r="E118" s="962"/>
      <c r="F118" s="1008"/>
      <c r="G118" s="1009"/>
      <c r="H118" s="962"/>
      <c r="I118" s="965"/>
      <c r="J118" s="1011"/>
      <c r="K118" s="982"/>
      <c r="L118" s="1013"/>
      <c r="M118" s="1013"/>
      <c r="N118" s="978"/>
    </row>
    <row r="119" spans="1:14" ht="12.75">
      <c r="A119" s="243">
        <f>ROW()</f>
        <v>119</v>
      </c>
      <c r="B119" s="251" t="s">
        <v>591</v>
      </c>
      <c r="C119" s="253"/>
      <c r="D119" s="860"/>
      <c r="E119" s="862"/>
      <c r="F119" s="996"/>
      <c r="G119" s="862" t="s">
        <v>592</v>
      </c>
      <c r="H119" s="860"/>
      <c r="I119" s="958"/>
      <c r="J119" s="998"/>
      <c r="K119" s="960"/>
      <c r="L119" s="851"/>
      <c r="M119" s="851"/>
      <c r="N119" s="873"/>
    </row>
    <row r="120" spans="1:14" ht="12.75">
      <c r="A120" s="243">
        <f>ROW()</f>
        <v>120</v>
      </c>
      <c r="B120" s="264" t="s">
        <v>549</v>
      </c>
      <c r="C120" s="253" t="s">
        <v>265</v>
      </c>
      <c r="D120" s="860">
        <v>0</v>
      </c>
      <c r="E120" s="860">
        <v>1135822.8375</v>
      </c>
      <c r="F120" s="996"/>
      <c r="G120" s="846">
        <v>0</v>
      </c>
      <c r="H120" s="860"/>
      <c r="I120" s="958"/>
      <c r="J120" s="998"/>
      <c r="K120" s="990" t="s">
        <v>586</v>
      </c>
      <c r="L120" s="851"/>
      <c r="M120" s="851">
        <f>+L120/(1-0.35)</f>
        <v>0</v>
      </c>
      <c r="N120" s="873">
        <f>M120/12</f>
        <v>0</v>
      </c>
    </row>
    <row r="121" spans="1:14" ht="12.75">
      <c r="A121" s="243">
        <f>ROW()</f>
        <v>121</v>
      </c>
      <c r="B121" s="264" t="s">
        <v>52</v>
      </c>
      <c r="C121" s="253" t="s">
        <v>265</v>
      </c>
      <c r="D121" s="860">
        <v>-2102005.908375584</v>
      </c>
      <c r="E121" s="860">
        <v>2297442.7885298124</v>
      </c>
      <c r="F121" s="996"/>
      <c r="G121" s="846">
        <f>D121</f>
        <v>-2102005.908375584</v>
      </c>
      <c r="H121" s="860">
        <v>2807521.348329123</v>
      </c>
      <c r="I121" s="958">
        <v>40543</v>
      </c>
      <c r="J121" s="998"/>
      <c r="K121" s="959" t="s">
        <v>16</v>
      </c>
      <c r="L121" s="851">
        <v>142237.49252959492</v>
      </c>
      <c r="M121" s="851">
        <f>+L121/(1-0.35)</f>
        <v>218826.9115839922</v>
      </c>
      <c r="N121" s="873">
        <f>M121/12</f>
        <v>18235.575965332682</v>
      </c>
    </row>
    <row r="122" spans="1:14" ht="12.75">
      <c r="A122" s="243">
        <f>ROW()</f>
        <v>122</v>
      </c>
      <c r="B122" s="264" t="s">
        <v>575</v>
      </c>
      <c r="C122" s="253" t="s">
        <v>265</v>
      </c>
      <c r="D122" s="860">
        <v>-2818266.6376722623</v>
      </c>
      <c r="E122" s="860">
        <v>465569.4740428433</v>
      </c>
      <c r="F122" s="996"/>
      <c r="G122" s="846">
        <f>D122</f>
        <v>-2818266.6376722623</v>
      </c>
      <c r="H122" s="860">
        <v>1381506.1312863287</v>
      </c>
      <c r="I122" s="958">
        <v>40908</v>
      </c>
      <c r="J122" s="998"/>
      <c r="K122" s="960">
        <f>$N$5</f>
        <v>0.069</v>
      </c>
      <c r="L122" s="851">
        <f>H122*K122</f>
        <v>95323.92305875669</v>
      </c>
      <c r="M122" s="851">
        <f>+L122/(1-0.35)</f>
        <v>146652.18932116413</v>
      </c>
      <c r="N122" s="873">
        <f>M122/12</f>
        <v>12221.015776763677</v>
      </c>
    </row>
    <row r="123" spans="1:14" ht="12.75">
      <c r="A123" s="243">
        <f>ROW()</f>
        <v>123</v>
      </c>
      <c r="B123" s="264" t="s">
        <v>576</v>
      </c>
      <c r="C123" s="253" t="s">
        <v>265</v>
      </c>
      <c r="D123" s="860">
        <v>-716260.6594180658</v>
      </c>
      <c r="E123" s="860">
        <v>0.04542110121656151</v>
      </c>
      <c r="F123" s="996"/>
      <c r="G123" s="846">
        <f>D123</f>
        <v>-716260.6594180658</v>
      </c>
      <c r="H123" s="860">
        <v>59463.07399881944</v>
      </c>
      <c r="I123" s="958">
        <v>41274</v>
      </c>
      <c r="J123" s="998"/>
      <c r="K123" s="960">
        <f>$N$5</f>
        <v>0.069</v>
      </c>
      <c r="L123" s="851">
        <f>H123*K123</f>
        <v>4102.952105918542</v>
      </c>
      <c r="M123" s="851">
        <f>+L123/(1-0.35)</f>
        <v>6312.234009105448</v>
      </c>
      <c r="N123" s="873">
        <f>M123/12</f>
        <v>526.0195007587873</v>
      </c>
    </row>
    <row r="124" spans="1:14" ht="12.75">
      <c r="A124" s="257">
        <f>ROW()</f>
        <v>124</v>
      </c>
      <c r="B124" s="1014"/>
      <c r="C124" s="971"/>
      <c r="D124" s="972"/>
      <c r="E124" s="972"/>
      <c r="F124" s="1003"/>
      <c r="G124" s="1004"/>
      <c r="H124" s="972"/>
      <c r="I124" s="975"/>
      <c r="J124" s="1006"/>
      <c r="K124" s="976"/>
      <c r="L124" s="981"/>
      <c r="M124" s="981"/>
      <c r="N124" s="977"/>
    </row>
    <row r="125" spans="1:14" ht="12.75">
      <c r="A125" s="248">
        <f>ROW()</f>
        <v>125</v>
      </c>
      <c r="B125" s="258"/>
      <c r="C125" s="255"/>
      <c r="D125" s="962"/>
      <c r="E125" s="962"/>
      <c r="F125" s="1011"/>
      <c r="G125" s="1009"/>
      <c r="H125" s="962"/>
      <c r="I125" s="1010"/>
      <c r="J125" s="1011"/>
      <c r="K125" s="1012"/>
      <c r="L125" s="1013"/>
      <c r="M125" s="1013"/>
      <c r="N125" s="978"/>
    </row>
    <row r="126" spans="1:14" ht="12.75">
      <c r="A126" s="243">
        <f>ROW()</f>
        <v>126</v>
      </c>
      <c r="B126" s="254"/>
      <c r="C126" s="253"/>
      <c r="D126" s="860"/>
      <c r="E126" s="860"/>
      <c r="F126" s="998"/>
      <c r="G126" s="846"/>
      <c r="H126" s="860"/>
      <c r="I126" s="1002"/>
      <c r="J126" s="998"/>
      <c r="K126" s="1001"/>
      <c r="L126" s="851"/>
      <c r="M126" s="851"/>
      <c r="N126" s="873"/>
    </row>
    <row r="127" spans="1:14" ht="15">
      <c r="A127" s="243">
        <f>ROW()</f>
        <v>127</v>
      </c>
      <c r="B127" s="265"/>
      <c r="C127" s="875"/>
      <c r="D127" s="876"/>
      <c r="E127" s="876"/>
      <c r="F127" s="1016"/>
      <c r="G127" s="266"/>
      <c r="H127" s="266"/>
      <c r="I127" s="1017"/>
      <c r="J127" s="1018"/>
      <c r="K127" s="266"/>
      <c r="L127" s="1019"/>
      <c r="M127" s="1019"/>
      <c r="N127" s="267"/>
    </row>
    <row r="128" spans="1:14" ht="15">
      <c r="A128" s="243">
        <f>ROW()</f>
        <v>128</v>
      </c>
      <c r="B128" s="268"/>
      <c r="C128" s="884"/>
      <c r="D128" s="885"/>
      <c r="E128" s="885"/>
      <c r="F128" s="945"/>
      <c r="G128" s="256"/>
      <c r="H128" s="256"/>
      <c r="I128" s="958"/>
      <c r="J128" s="956"/>
      <c r="K128" s="269" t="s">
        <v>299</v>
      </c>
      <c r="L128" s="1020"/>
      <c r="M128" s="1020"/>
      <c r="N128" s="270"/>
    </row>
    <row r="129" spans="1:14" ht="15">
      <c r="A129" s="243">
        <f>ROW()</f>
        <v>129</v>
      </c>
      <c r="B129" s="271" t="s">
        <v>264</v>
      </c>
      <c r="C129" s="240"/>
      <c r="D129" s="891" t="s">
        <v>269</v>
      </c>
      <c r="E129" s="891" t="s">
        <v>270</v>
      </c>
      <c r="F129" s="1021"/>
      <c r="G129" s="827" t="s">
        <v>47</v>
      </c>
      <c r="H129" s="810" t="s">
        <v>49</v>
      </c>
      <c r="I129" s="941"/>
      <c r="J129" s="940"/>
      <c r="K129" s="942" t="s">
        <v>50</v>
      </c>
      <c r="L129" s="942" t="s">
        <v>51</v>
      </c>
      <c r="M129" s="269" t="s">
        <v>300</v>
      </c>
      <c r="N129" s="272" t="s">
        <v>262</v>
      </c>
    </row>
    <row r="130" spans="1:14" ht="15">
      <c r="A130" s="243">
        <f>ROW()</f>
        <v>130</v>
      </c>
      <c r="B130" s="268"/>
      <c r="C130" s="884"/>
      <c r="D130" s="885"/>
      <c r="E130" s="885"/>
      <c r="F130" s="945"/>
      <c r="G130" s="256"/>
      <c r="H130" s="256"/>
      <c r="I130" s="958"/>
      <c r="J130" s="956"/>
      <c r="K130" s="256"/>
      <c r="L130" s="273" t="s">
        <v>78</v>
      </c>
      <c r="M130" s="273"/>
      <c r="N130" s="270"/>
    </row>
    <row r="131" spans="1:16" ht="15">
      <c r="A131" s="243">
        <f>ROW()</f>
        <v>131</v>
      </c>
      <c r="B131" s="1022" t="s">
        <v>593</v>
      </c>
      <c r="C131" s="884"/>
      <c r="D131" s="896">
        <v>39083</v>
      </c>
      <c r="E131" s="896">
        <v>39447</v>
      </c>
      <c r="F131" s="945"/>
      <c r="G131" s="1023">
        <f aca="true" t="shared" si="15" ref="G131:H136">SUMIF($I$14:$I$130,$I131,G$14:G$130)</f>
        <v>0</v>
      </c>
      <c r="H131" s="1023">
        <f t="shared" si="15"/>
        <v>240976587.5956292</v>
      </c>
      <c r="I131" s="958">
        <v>39447</v>
      </c>
      <c r="J131" s="956"/>
      <c r="K131" s="959" t="s">
        <v>572</v>
      </c>
      <c r="L131" s="1023">
        <f aca="true" t="shared" si="16" ref="L131:L136">SUMIF($I$14:$I$130,$I131,L$14:L$130)</f>
        <v>16719531.276421757</v>
      </c>
      <c r="M131" s="1024">
        <f aca="true" t="shared" si="17" ref="M131:M136">L131/0.65</f>
        <v>25722355.809879627</v>
      </c>
      <c r="N131" s="1025">
        <f aca="true" t="shared" si="18" ref="N131:N136">M131/12</f>
        <v>2143529.650823302</v>
      </c>
      <c r="P131" s="1026"/>
    </row>
    <row r="132" spans="1:16" ht="15">
      <c r="A132" s="243">
        <f>ROW()</f>
        <v>132</v>
      </c>
      <c r="B132" s="1022" t="s">
        <v>594</v>
      </c>
      <c r="C132" s="884"/>
      <c r="D132" s="896">
        <v>39448</v>
      </c>
      <c r="E132" s="896">
        <v>39813</v>
      </c>
      <c r="F132" s="945"/>
      <c r="G132" s="1023">
        <f t="shared" si="15"/>
        <v>-35249233.56060853</v>
      </c>
      <c r="H132" s="1023">
        <f t="shared" si="15"/>
        <v>208569180.73252785</v>
      </c>
      <c r="I132" s="958">
        <v>39813</v>
      </c>
      <c r="J132" s="956"/>
      <c r="K132" s="959" t="str">
        <f>$K$15</f>
        <v>7.06%&amp;7.00%</v>
      </c>
      <c r="L132" s="1023">
        <f t="shared" si="16"/>
        <v>14266440.110653022</v>
      </c>
      <c r="M132" s="1024">
        <f t="shared" si="17"/>
        <v>21948369.40100465</v>
      </c>
      <c r="N132" s="1025">
        <f t="shared" si="18"/>
        <v>1829030.7834170542</v>
      </c>
      <c r="P132" s="1027"/>
    </row>
    <row r="133" spans="1:14" ht="15">
      <c r="A133" s="243">
        <f>ROW()</f>
        <v>133</v>
      </c>
      <c r="B133" s="1022" t="s">
        <v>557</v>
      </c>
      <c r="C133" s="884"/>
      <c r="D133" s="896">
        <v>39814</v>
      </c>
      <c r="E133" s="896">
        <v>40178</v>
      </c>
      <c r="F133" s="945"/>
      <c r="G133" s="1023">
        <f t="shared" si="15"/>
        <v>-42500734.38246269</v>
      </c>
      <c r="H133" s="1023">
        <f t="shared" si="15"/>
        <v>178862860.59057596</v>
      </c>
      <c r="I133" s="958">
        <v>40178</v>
      </c>
      <c r="J133" s="956"/>
      <c r="K133" s="1001">
        <f>$N$4</f>
        <v>0.07</v>
      </c>
      <c r="L133" s="1023">
        <f t="shared" si="16"/>
        <v>11906518.031337077</v>
      </c>
      <c r="M133" s="1024">
        <f t="shared" si="17"/>
        <v>18317720.048210885</v>
      </c>
      <c r="N133" s="1025">
        <f t="shared" si="18"/>
        <v>1526476.6706842405</v>
      </c>
    </row>
    <row r="134" spans="1:14" ht="15">
      <c r="A134" s="243">
        <f>ROW()</f>
        <v>134</v>
      </c>
      <c r="B134" s="1022" t="s">
        <v>58</v>
      </c>
      <c r="C134" s="884"/>
      <c r="D134" s="896">
        <v>40179</v>
      </c>
      <c r="E134" s="896">
        <v>40543</v>
      </c>
      <c r="F134" s="945"/>
      <c r="G134" s="1023">
        <f t="shared" si="15"/>
        <v>-51548548.37753215</v>
      </c>
      <c r="H134" s="1023">
        <f t="shared" si="15"/>
        <v>129067615.18679655</v>
      </c>
      <c r="I134" s="958">
        <v>40543</v>
      </c>
      <c r="J134" s="956"/>
      <c r="K134" s="959" t="s">
        <v>16</v>
      </c>
      <c r="L134" s="1023">
        <f t="shared" si="16"/>
        <v>8819431.288733924</v>
      </c>
      <c r="M134" s="1024">
        <f t="shared" si="17"/>
        <v>13568355.82882142</v>
      </c>
      <c r="N134" s="1025">
        <f t="shared" si="18"/>
        <v>1130696.3190684516</v>
      </c>
    </row>
    <row r="135" spans="1:14" ht="15">
      <c r="A135" s="243">
        <f>ROW()</f>
        <v>135</v>
      </c>
      <c r="B135" s="1022" t="s">
        <v>595</v>
      </c>
      <c r="C135" s="884"/>
      <c r="D135" s="896">
        <v>40544</v>
      </c>
      <c r="E135" s="896">
        <v>40908</v>
      </c>
      <c r="F135" s="945"/>
      <c r="G135" s="1023">
        <f t="shared" si="15"/>
        <v>-54826266.14943988</v>
      </c>
      <c r="H135" s="1023">
        <f t="shared" si="15"/>
        <v>82040911.57721916</v>
      </c>
      <c r="I135" s="958">
        <v>40908</v>
      </c>
      <c r="J135" s="956"/>
      <c r="K135" s="1001">
        <f>$N$5</f>
        <v>0.069</v>
      </c>
      <c r="L135" s="1023">
        <f t="shared" si="16"/>
        <v>5660822.898828124</v>
      </c>
      <c r="M135" s="1024">
        <f t="shared" si="17"/>
        <v>8708958.30588942</v>
      </c>
      <c r="N135" s="1025">
        <f t="shared" si="18"/>
        <v>725746.525490785</v>
      </c>
    </row>
    <row r="136" spans="1:14" ht="15">
      <c r="A136" s="243">
        <f>ROW()</f>
        <v>136</v>
      </c>
      <c r="B136" s="1022" t="s">
        <v>596</v>
      </c>
      <c r="C136" s="884"/>
      <c r="D136" s="896">
        <v>40910</v>
      </c>
      <c r="E136" s="896">
        <v>41274</v>
      </c>
      <c r="F136" s="945"/>
      <c r="G136" s="1023">
        <f t="shared" si="15"/>
        <v>-8230487.231414854</v>
      </c>
      <c r="H136" s="1023">
        <f t="shared" si="15"/>
        <v>52132599.335147604</v>
      </c>
      <c r="I136" s="958">
        <v>41274</v>
      </c>
      <c r="J136" s="956"/>
      <c r="K136" s="1001">
        <f>$N$5</f>
        <v>0.069</v>
      </c>
      <c r="L136" s="1023">
        <f t="shared" si="16"/>
        <v>3597149.3541251854</v>
      </c>
      <c r="M136" s="1028">
        <f t="shared" si="17"/>
        <v>5534075.929423362</v>
      </c>
      <c r="N136" s="1029">
        <f t="shared" si="18"/>
        <v>461172.9941186135</v>
      </c>
    </row>
    <row r="137" spans="1:13" ht="15">
      <c r="A137" s="243">
        <f>ROW()</f>
        <v>137</v>
      </c>
      <c r="B137" s="1030"/>
      <c r="C137" s="875"/>
      <c r="D137" s="876"/>
      <c r="E137" s="876"/>
      <c r="F137" s="1016"/>
      <c r="G137" s="266"/>
      <c r="H137" s="266"/>
      <c r="I137" s="1017"/>
      <c r="J137" s="1018"/>
      <c r="K137" s="1031"/>
      <c r="L137" s="266"/>
      <c r="M137" s="256"/>
    </row>
    <row r="138" spans="1:15" ht="12.75">
      <c r="A138" s="243">
        <f>ROW()</f>
        <v>138</v>
      </c>
      <c r="B138" s="1044" t="s">
        <v>604</v>
      </c>
      <c r="C138" s="1045"/>
      <c r="D138" s="1045"/>
      <c r="E138" s="1045"/>
      <c r="F138" s="1046"/>
      <c r="G138" s="1047"/>
      <c r="H138" s="1047"/>
      <c r="I138" s="1046"/>
      <c r="J138" s="1046"/>
      <c r="K138" s="1048"/>
      <c r="L138" s="1045"/>
      <c r="M138" s="1045"/>
      <c r="N138" s="1049"/>
      <c r="O138" s="1045"/>
    </row>
    <row r="139" spans="1:15" ht="12.75">
      <c r="A139" s="243">
        <f>ROW()</f>
        <v>139</v>
      </c>
      <c r="B139" s="1044"/>
      <c r="C139" s="1045"/>
      <c r="D139" s="1045"/>
      <c r="E139" s="1045"/>
      <c r="F139" s="1046"/>
      <c r="G139" s="1047"/>
      <c r="H139" s="1047"/>
      <c r="I139" s="1046"/>
      <c r="J139" s="1046"/>
      <c r="K139" s="1048"/>
      <c r="L139" s="1045"/>
      <c r="M139" s="1045"/>
      <c r="N139" s="1049"/>
      <c r="O139" s="1045"/>
    </row>
    <row r="140" spans="1:15" ht="12.75">
      <c r="A140" s="243">
        <f>ROW()</f>
        <v>140</v>
      </c>
      <c r="B140" s="1044" t="s">
        <v>605</v>
      </c>
      <c r="C140" s="1045"/>
      <c r="D140" s="1045"/>
      <c r="E140" s="1045"/>
      <c r="F140" s="1046"/>
      <c r="G140" s="1047"/>
      <c r="H140" s="1047"/>
      <c r="I140" s="1046"/>
      <c r="J140" s="1046"/>
      <c r="K140" s="1048"/>
      <c r="L140" s="1045"/>
      <c r="M140" s="1045"/>
      <c r="N140" s="1049"/>
      <c r="O140" s="1045"/>
    </row>
    <row r="141" spans="1:15" ht="12.75">
      <c r="A141" s="243">
        <f>ROW()</f>
        <v>141</v>
      </c>
      <c r="B141" s="1050" t="s">
        <v>597</v>
      </c>
      <c r="C141" s="1045"/>
      <c r="D141" s="1045"/>
      <c r="E141" s="1045"/>
      <c r="F141" s="1046"/>
      <c r="G141" s="1047"/>
      <c r="H141" s="1047"/>
      <c r="I141" s="1046"/>
      <c r="J141" s="1046"/>
      <c r="K141" s="1048"/>
      <c r="L141" s="1045"/>
      <c r="M141" s="1045"/>
      <c r="N141" s="1049"/>
      <c r="O141" s="1045"/>
    </row>
    <row r="142" spans="1:15" ht="12.75">
      <c r="A142" s="243">
        <f>ROW()</f>
        <v>142</v>
      </c>
      <c r="B142" s="1045"/>
      <c r="C142" s="1045"/>
      <c r="D142" s="1045"/>
      <c r="E142" s="1045"/>
      <c r="F142" s="1046"/>
      <c r="G142" s="1047"/>
      <c r="H142" s="1047"/>
      <c r="I142" s="1046"/>
      <c r="J142" s="1046"/>
      <c r="K142" s="1048"/>
      <c r="L142" s="1045"/>
      <c r="M142" s="1045"/>
      <c r="N142" s="1049"/>
      <c r="O142" s="1045"/>
    </row>
    <row r="143" spans="1:15" ht="12.75">
      <c r="A143" s="243">
        <f>ROW()</f>
        <v>143</v>
      </c>
      <c r="B143" s="1044" t="s">
        <v>606</v>
      </c>
      <c r="C143" s="1045"/>
      <c r="D143" s="1045"/>
      <c r="E143" s="1045"/>
      <c r="F143" s="1046"/>
      <c r="G143" s="1047"/>
      <c r="H143" s="1047"/>
      <c r="I143" s="1046"/>
      <c r="J143" s="1046"/>
      <c r="K143" s="1048"/>
      <c r="L143" s="1045"/>
      <c r="M143" s="1045"/>
      <c r="N143" s="1049"/>
      <c r="O143" s="1045"/>
    </row>
    <row r="144" spans="1:15" ht="12.75">
      <c r="A144" s="243">
        <f>ROW()</f>
        <v>144</v>
      </c>
      <c r="B144" s="1051" t="s">
        <v>598</v>
      </c>
      <c r="C144" s="1045"/>
      <c r="D144" s="1045"/>
      <c r="E144" s="1045"/>
      <c r="F144" s="1046"/>
      <c r="G144" s="1047"/>
      <c r="H144" s="1047"/>
      <c r="I144" s="1046"/>
      <c r="J144" s="1046"/>
      <c r="K144" s="1048"/>
      <c r="L144" s="1045"/>
      <c r="M144" s="1045"/>
      <c r="N144" s="1049"/>
      <c r="O144" s="1045"/>
    </row>
    <row r="145" spans="1:15" ht="12.75">
      <c r="A145" s="243">
        <f>ROW()</f>
        <v>145</v>
      </c>
      <c r="B145" s="1050" t="s">
        <v>599</v>
      </c>
      <c r="C145" s="1045"/>
      <c r="D145" s="1045"/>
      <c r="E145" s="1045"/>
      <c r="F145" s="1046"/>
      <c r="G145" s="1047"/>
      <c r="H145" s="1047"/>
      <c r="I145" s="1046"/>
      <c r="J145" s="1046"/>
      <c r="K145" s="1048"/>
      <c r="L145" s="1045"/>
      <c r="M145" s="1045"/>
      <c r="N145" s="1049"/>
      <c r="O145" s="1045"/>
    </row>
    <row r="146" spans="1:15" ht="12.75">
      <c r="A146" s="243">
        <f>ROW()</f>
        <v>146</v>
      </c>
      <c r="B146" s="1050" t="s">
        <v>600</v>
      </c>
      <c r="C146" s="1045"/>
      <c r="D146" s="1045"/>
      <c r="E146" s="1045"/>
      <c r="F146" s="1046"/>
      <c r="G146" s="1047"/>
      <c r="H146" s="1047"/>
      <c r="I146" s="1046"/>
      <c r="J146" s="1046"/>
      <c r="K146" s="1048"/>
      <c r="L146" s="1045"/>
      <c r="M146" s="1045"/>
      <c r="N146" s="1049"/>
      <c r="O146" s="1045"/>
    </row>
    <row r="147" spans="1:15" ht="12.75">
      <c r="A147" s="243">
        <f>ROW()</f>
        <v>147</v>
      </c>
      <c r="B147" s="1050" t="s">
        <v>601</v>
      </c>
      <c r="C147" s="1045"/>
      <c r="D147" s="1045"/>
      <c r="E147" s="1045"/>
      <c r="F147" s="1046"/>
      <c r="G147" s="1047"/>
      <c r="H147" s="1047"/>
      <c r="I147" s="1046"/>
      <c r="J147" s="1046"/>
      <c r="K147" s="1048"/>
      <c r="L147" s="1045"/>
      <c r="M147" s="1045"/>
      <c r="N147" s="1049"/>
      <c r="O147" s="1045"/>
    </row>
    <row r="148" spans="1:15" ht="12.75">
      <c r="A148" s="243">
        <f>ROW()</f>
        <v>148</v>
      </c>
      <c r="B148" s="1050" t="s">
        <v>602</v>
      </c>
      <c r="C148" s="1045"/>
      <c r="D148" s="1045"/>
      <c r="E148" s="1045"/>
      <c r="F148" s="1046"/>
      <c r="G148" s="1047"/>
      <c r="H148" s="1047"/>
      <c r="I148" s="1046"/>
      <c r="J148" s="1046"/>
      <c r="K148" s="1048"/>
      <c r="L148" s="1045"/>
      <c r="M148" s="1045"/>
      <c r="N148" s="1049"/>
      <c r="O148" s="1045"/>
    </row>
    <row r="149" spans="1:15" ht="12.75">
      <c r="A149" s="243">
        <f>ROW()</f>
        <v>149</v>
      </c>
      <c r="B149" s="1050" t="s">
        <v>603</v>
      </c>
      <c r="C149" s="1045"/>
      <c r="D149" s="1045"/>
      <c r="E149" s="1045"/>
      <c r="F149" s="1046"/>
      <c r="G149" s="1047"/>
      <c r="H149" s="1047"/>
      <c r="I149" s="1046"/>
      <c r="J149" s="1046"/>
      <c r="K149" s="1048"/>
      <c r="L149" s="1045"/>
      <c r="M149" s="1045"/>
      <c r="N149" s="1049"/>
      <c r="O149" s="1045"/>
    </row>
    <row r="150" spans="1:15" ht="12.75">
      <c r="A150" s="243">
        <f>ROW()</f>
        <v>150</v>
      </c>
      <c r="B150" s="1045"/>
      <c r="C150" s="1045"/>
      <c r="D150" s="1045"/>
      <c r="E150" s="1045"/>
      <c r="F150" s="1046"/>
      <c r="G150" s="1047"/>
      <c r="H150" s="1047"/>
      <c r="I150" s="1046"/>
      <c r="J150" s="1046"/>
      <c r="K150" s="1048"/>
      <c r="L150" s="1045"/>
      <c r="M150" s="1045"/>
      <c r="N150" s="1049"/>
      <c r="O150" s="1045"/>
    </row>
    <row r="151" spans="1:15" ht="12.75">
      <c r="A151" s="243">
        <f>ROW()</f>
        <v>151</v>
      </c>
      <c r="B151" s="1044" t="s">
        <v>607</v>
      </c>
      <c r="C151" s="1045"/>
      <c r="D151" s="1045"/>
      <c r="E151" s="1045"/>
      <c r="F151" s="1046"/>
      <c r="G151" s="1047"/>
      <c r="H151" s="1047"/>
      <c r="I151" s="1046"/>
      <c r="J151" s="1046"/>
      <c r="K151" s="1048"/>
      <c r="L151" s="1045"/>
      <c r="M151" s="1045"/>
      <c r="N151" s="1049"/>
      <c r="O151" s="1045"/>
    </row>
    <row r="152" spans="1:15" ht="12.75">
      <c r="A152" s="243">
        <f>ROW()</f>
        <v>152</v>
      </c>
      <c r="B152" s="1050" t="s">
        <v>25</v>
      </c>
      <c r="C152" s="1045"/>
      <c r="D152" s="1045"/>
      <c r="E152" s="1045"/>
      <c r="F152" s="1046"/>
      <c r="G152" s="1047"/>
      <c r="H152" s="1047"/>
      <c r="I152" s="1046"/>
      <c r="J152" s="1046"/>
      <c r="K152" s="1048"/>
      <c r="L152" s="1045"/>
      <c r="M152" s="1045"/>
      <c r="N152" s="1049"/>
      <c r="O152" s="1045"/>
    </row>
  </sheetData>
  <sheetProtection/>
  <printOptions horizontalCentered="1"/>
  <pageMargins left="0.45" right="0.45" top="0.5" bottom="0.5" header="0.3" footer="0"/>
  <pageSetup fitToHeight="0" fitToWidth="1" horizontalDpi="600" verticalDpi="600" orientation="landscape" r:id="rId1"/>
  <rowBreaks count="4" manualBreakCount="4">
    <brk id="43" max="255" man="1"/>
    <brk id="68" max="255" man="1"/>
    <brk id="93" max="255" man="1"/>
    <brk id="124" max="255" man="1"/>
  </rowBreaks>
</worksheet>
</file>

<file path=xl/worksheets/sheet2.xml><?xml version="1.0" encoding="utf-8"?>
<worksheet xmlns="http://schemas.openxmlformats.org/spreadsheetml/2006/main" xmlns:r="http://schemas.openxmlformats.org/officeDocument/2006/relationships">
  <dimension ref="A1:T131"/>
  <sheetViews>
    <sheetView zoomScalePageLayoutView="0" workbookViewId="0" topLeftCell="A1">
      <pane xSplit="1" topLeftCell="B1" activePane="topRight" state="frozen"/>
      <selection pane="topLeft" activeCell="L28" sqref="L28"/>
      <selection pane="topRight" activeCell="C14" sqref="C14"/>
    </sheetView>
  </sheetViews>
  <sheetFormatPr defaultColWidth="9.140625" defaultRowHeight="12.75"/>
  <cols>
    <col min="1" max="1" width="8.00390625" style="42" bestFit="1" customWidth="1"/>
    <col min="2" max="2" width="33.57421875" style="23" customWidth="1"/>
    <col min="3" max="3" width="33.7109375" style="23" customWidth="1"/>
    <col min="4" max="4" width="17.140625" style="23" customWidth="1"/>
    <col min="5" max="5" width="11.00390625" style="23" customWidth="1"/>
    <col min="6" max="6" width="3.140625" style="23" customWidth="1"/>
    <col min="7" max="7" width="11.421875" style="23" customWidth="1"/>
    <col min="8" max="8" width="13.8515625" style="67" customWidth="1"/>
    <col min="9" max="9" width="9.28125" style="64" customWidth="1"/>
    <col min="10" max="10" width="3.8515625" style="23" customWidth="1"/>
    <col min="11" max="12" width="16.00390625" style="23" customWidth="1"/>
    <col min="13" max="14" width="13.57421875" style="23" bestFit="1" customWidth="1"/>
    <col min="15" max="15" width="17.7109375" style="23" bestFit="1" customWidth="1"/>
    <col min="16" max="16" width="9.140625" style="23" customWidth="1"/>
    <col min="17" max="17" width="15.7109375" style="23" bestFit="1" customWidth="1"/>
    <col min="18" max="18" width="13.8515625" style="23" customWidth="1"/>
    <col min="19" max="19" width="15.00390625" style="23" bestFit="1" customWidth="1"/>
    <col min="20" max="16384" width="9.140625" style="23" customWidth="1"/>
  </cols>
  <sheetData>
    <row r="1" spans="1:8" ht="12.75">
      <c r="A1" s="1035" t="s">
        <v>437</v>
      </c>
      <c r="B1" s="1035"/>
      <c r="C1" s="1035"/>
      <c r="D1" s="1035"/>
      <c r="E1" s="1035"/>
      <c r="F1" s="1035"/>
      <c r="G1" s="1035"/>
      <c r="H1" s="598"/>
    </row>
    <row r="2" spans="1:9" ht="12.75">
      <c r="A2" s="1035" t="s">
        <v>416</v>
      </c>
      <c r="B2" s="1035"/>
      <c r="C2" s="1035"/>
      <c r="D2" s="1035"/>
      <c r="E2" s="1035"/>
      <c r="F2" s="1035"/>
      <c r="G2" s="1035"/>
      <c r="H2" s="598"/>
      <c r="I2" s="598"/>
    </row>
    <row r="3" spans="1:9" ht="12.75">
      <c r="A3" s="1035" t="s">
        <v>417</v>
      </c>
      <c r="B3" s="1035"/>
      <c r="C3" s="1035"/>
      <c r="D3" s="1035"/>
      <c r="E3" s="1035"/>
      <c r="F3" s="1035"/>
      <c r="G3" s="1035"/>
      <c r="H3" s="598"/>
      <c r="I3" s="598"/>
    </row>
    <row r="4" ht="13.5" thickBot="1">
      <c r="H4" s="65"/>
    </row>
    <row r="5" spans="2:11" ht="18.75" thickBot="1">
      <c r="B5" s="1036" t="s">
        <v>415</v>
      </c>
      <c r="C5" s="1037"/>
      <c r="D5" s="1037"/>
      <c r="E5" s="1037"/>
      <c r="F5" s="1037"/>
      <c r="G5" s="1038"/>
      <c r="H5" s="597"/>
      <c r="I5" s="597"/>
      <c r="J5" s="44"/>
      <c r="K5" s="44"/>
    </row>
    <row r="6" spans="2:7" ht="18">
      <c r="B6" s="573"/>
      <c r="C6" s="93"/>
      <c r="D6" s="93"/>
      <c r="E6" s="66"/>
      <c r="F6" s="66"/>
      <c r="G6" s="66"/>
    </row>
    <row r="7" spans="1:8" ht="12.75">
      <c r="A7" s="42" t="s">
        <v>236</v>
      </c>
      <c r="B7" s="68"/>
      <c r="C7" s="42"/>
      <c r="D7" s="69" t="s">
        <v>79</v>
      </c>
      <c r="E7" s="66"/>
      <c r="F7" s="66"/>
      <c r="G7" s="66"/>
      <c r="H7" s="70"/>
    </row>
    <row r="8" spans="1:10" ht="12.75">
      <c r="A8" s="42">
        <v>3</v>
      </c>
      <c r="B8" s="71" t="s">
        <v>432</v>
      </c>
      <c r="C8" s="43"/>
      <c r="D8" s="72">
        <f>'Exh D 12-10'!I71</f>
        <v>128404538.59198247</v>
      </c>
      <c r="E8" s="73"/>
      <c r="F8" s="73"/>
      <c r="G8" s="73"/>
      <c r="H8" s="74"/>
      <c r="J8" s="75"/>
    </row>
    <row r="9" spans="1:10" ht="12.75">
      <c r="A9" s="42">
        <v>4</v>
      </c>
      <c r="B9" s="71" t="s">
        <v>433</v>
      </c>
      <c r="C9" s="42"/>
      <c r="D9" s="627">
        <f>(D19*0.65)/D14</f>
        <v>103728026.16153367</v>
      </c>
      <c r="E9" s="73"/>
      <c r="F9" s="73"/>
      <c r="G9" s="73"/>
      <c r="H9" s="74"/>
      <c r="J9" s="75"/>
    </row>
    <row r="10" spans="1:10" ht="12.75">
      <c r="A10" s="42">
        <v>5</v>
      </c>
      <c r="B10" s="71" t="s">
        <v>272</v>
      </c>
      <c r="C10" s="42"/>
      <c r="D10" s="628">
        <f>(D20*0.65)/D14</f>
        <v>1347350202.6113536</v>
      </c>
      <c r="E10" s="78"/>
      <c r="F10" s="78"/>
      <c r="G10" s="78"/>
      <c r="H10" s="79"/>
      <c r="J10" s="75"/>
    </row>
    <row r="11" spans="1:10" ht="12.75">
      <c r="A11" s="42">
        <v>6</v>
      </c>
      <c r="D11" s="80">
        <f>SUM(D8:D10)</f>
        <v>1579482767.3648698</v>
      </c>
      <c r="E11" s="78"/>
      <c r="F11" s="78"/>
      <c r="G11" s="78"/>
      <c r="H11" s="23"/>
      <c r="J11" s="75"/>
    </row>
    <row r="12" spans="4:10" ht="12.75">
      <c r="D12" s="80"/>
      <c r="E12" s="78"/>
      <c r="F12" s="78"/>
      <c r="G12" s="78"/>
      <c r="H12" s="23"/>
      <c r="J12" s="75"/>
    </row>
    <row r="13" spans="1:10" ht="12.75">
      <c r="A13" s="42">
        <v>7</v>
      </c>
      <c r="B13" s="71" t="s">
        <v>273</v>
      </c>
      <c r="C13" s="42"/>
      <c r="D13" s="82" t="s">
        <v>429</v>
      </c>
      <c r="E13" s="83"/>
      <c r="F13" s="78"/>
      <c r="G13" s="78"/>
      <c r="H13" s="23"/>
      <c r="J13" s="75"/>
    </row>
    <row r="14" spans="1:10" ht="12.75">
      <c r="A14" s="42">
        <v>8</v>
      </c>
      <c r="B14" s="574" t="s">
        <v>418</v>
      </c>
      <c r="C14" s="42"/>
      <c r="D14" s="586">
        <f>ROUND((6.9%*268/365)+(7%*97/365),8)</f>
        <v>0.06926575</v>
      </c>
      <c r="E14" s="83"/>
      <c r="F14" s="78"/>
      <c r="G14" s="78"/>
      <c r="H14" s="81"/>
      <c r="J14" s="75"/>
    </row>
    <row r="15" spans="1:10" ht="12.75">
      <c r="A15" s="42">
        <v>9</v>
      </c>
      <c r="B15" s="71"/>
      <c r="C15" s="42"/>
      <c r="D15" s="82"/>
      <c r="E15" s="83"/>
      <c r="F15" s="78"/>
      <c r="G15" s="78"/>
      <c r="H15" s="577"/>
      <c r="J15" s="75"/>
    </row>
    <row r="16" spans="1:13" ht="12.75">
      <c r="A16" s="42">
        <v>10</v>
      </c>
      <c r="B16" s="71"/>
      <c r="C16" s="42"/>
      <c r="D16" s="79"/>
      <c r="E16" s="84" t="s">
        <v>80</v>
      </c>
      <c r="F16" s="78"/>
      <c r="G16" s="78"/>
      <c r="H16" s="578"/>
      <c r="J16" s="75"/>
      <c r="K16" s="44"/>
      <c r="L16" s="44"/>
      <c r="M16" s="572"/>
    </row>
    <row r="17" spans="1:18" ht="12.75">
      <c r="A17" s="42">
        <v>11</v>
      </c>
      <c r="D17" s="79"/>
      <c r="E17" s="86" t="s">
        <v>274</v>
      </c>
      <c r="F17" s="87"/>
      <c r="G17" s="87"/>
      <c r="H17" s="577"/>
      <c r="J17" s="75"/>
      <c r="K17" s="572"/>
      <c r="L17" s="572"/>
      <c r="M17" s="572"/>
      <c r="N17" s="44"/>
      <c r="R17" s="89"/>
    </row>
    <row r="18" spans="1:20" ht="12.75">
      <c r="A18" s="42">
        <v>12</v>
      </c>
      <c r="B18" s="71" t="s">
        <v>81</v>
      </c>
      <c r="D18" s="72">
        <f>Schedule_B!U41</f>
        <v>12583534</v>
      </c>
      <c r="E18" s="90">
        <f aca="true" t="shared" si="0" ref="E18:E38">ROUND(D18/$D$42,3)</f>
        <v>0.602</v>
      </c>
      <c r="F18" s="87"/>
      <c r="G18" s="87" t="s">
        <v>275</v>
      </c>
      <c r="H18" s="95"/>
      <c r="J18" s="75"/>
      <c r="K18" s="91"/>
      <c r="L18" s="92"/>
      <c r="M18" s="93"/>
      <c r="N18" s="44"/>
      <c r="R18" s="44"/>
      <c r="S18" s="72"/>
      <c r="T18" s="94"/>
    </row>
    <row r="19" spans="1:20" ht="12.75">
      <c r="A19" s="42">
        <v>13</v>
      </c>
      <c r="B19" s="23" t="s">
        <v>82</v>
      </c>
      <c r="D19" s="95">
        <f>Schedule_B!U7</f>
        <v>11053537.73553577</v>
      </c>
      <c r="E19" s="90">
        <f t="shared" si="0"/>
        <v>0.529</v>
      </c>
      <c r="F19" s="87" t="s">
        <v>276</v>
      </c>
      <c r="G19" s="87"/>
      <c r="H19" s="95"/>
      <c r="J19" s="75"/>
      <c r="K19" s="91"/>
      <c r="L19" s="92"/>
      <c r="M19" s="44"/>
      <c r="N19" s="96"/>
      <c r="R19" s="44"/>
      <c r="S19" s="95"/>
      <c r="T19" s="94"/>
    </row>
    <row r="20" spans="1:20" ht="12.75">
      <c r="A20" s="42">
        <v>14</v>
      </c>
      <c r="B20" s="23" t="s">
        <v>83</v>
      </c>
      <c r="D20" s="95">
        <f>Schedule_B!U8</f>
        <v>143577265.07158056</v>
      </c>
      <c r="E20" s="90">
        <f t="shared" si="0"/>
        <v>6.867</v>
      </c>
      <c r="F20" s="87" t="s">
        <v>276</v>
      </c>
      <c r="G20" s="87"/>
      <c r="H20" s="95"/>
      <c r="J20" s="75"/>
      <c r="K20" s="97"/>
      <c r="L20" s="98"/>
      <c r="M20" s="536"/>
      <c r="N20" s="534"/>
      <c r="O20" s="535"/>
      <c r="R20" s="44"/>
      <c r="S20" s="95"/>
      <c r="T20" s="94"/>
    </row>
    <row r="21" spans="1:20" ht="12.75">
      <c r="A21" s="42" t="s">
        <v>37</v>
      </c>
      <c r="B21" s="99" t="s">
        <v>36</v>
      </c>
      <c r="D21" s="79">
        <f>Schedule_B!U23</f>
        <v>68875635.64</v>
      </c>
      <c r="E21" s="90">
        <f t="shared" si="0"/>
        <v>3.294</v>
      </c>
      <c r="F21" s="87"/>
      <c r="G21" s="87" t="s">
        <v>275</v>
      </c>
      <c r="H21" s="95"/>
      <c r="I21" s="100"/>
      <c r="J21" s="75"/>
      <c r="K21" s="91"/>
      <c r="L21" s="92"/>
      <c r="M21" s="44"/>
      <c r="N21" s="96"/>
      <c r="R21" s="96"/>
      <c r="S21" s="79"/>
      <c r="T21" s="94"/>
    </row>
    <row r="22" spans="1:20" ht="12.75">
      <c r="A22" s="42">
        <v>15</v>
      </c>
      <c r="B22" s="96" t="s">
        <v>59</v>
      </c>
      <c r="C22" s="44"/>
      <c r="D22" s="101">
        <v>656876148</v>
      </c>
      <c r="E22" s="90">
        <f t="shared" si="0"/>
        <v>31.417</v>
      </c>
      <c r="F22" s="87"/>
      <c r="G22" s="87" t="s">
        <v>275</v>
      </c>
      <c r="H22" s="95">
        <f>ROUND((D22+D25+D26+D35)-(Schedule_B!U24+Schedule_B!U26+Schedule_B!U28+SUM(Schedule_B!U30:U38)),-2)</f>
        <v>0</v>
      </c>
      <c r="I22" s="100"/>
      <c r="J22" s="75"/>
      <c r="K22" s="91"/>
      <c r="L22" s="92"/>
      <c r="M22" s="44"/>
      <c r="N22" s="44"/>
      <c r="R22" s="96"/>
      <c r="S22" s="101"/>
      <c r="T22" s="94"/>
    </row>
    <row r="23" spans="1:20" ht="12.75">
      <c r="A23" s="42" t="s">
        <v>75</v>
      </c>
      <c r="B23" s="96" t="s">
        <v>419</v>
      </c>
      <c r="C23" s="44"/>
      <c r="D23" s="101">
        <f>Schedule_B!U46</f>
        <v>-2646159</v>
      </c>
      <c r="E23" s="90">
        <f t="shared" si="0"/>
        <v>-0.127</v>
      </c>
      <c r="F23" s="87"/>
      <c r="G23" s="87" t="s">
        <v>275</v>
      </c>
      <c r="H23" s="95"/>
      <c r="J23" s="75"/>
      <c r="K23" s="91"/>
      <c r="L23" s="92"/>
      <c r="M23" s="44"/>
      <c r="N23" s="44"/>
      <c r="R23" s="96"/>
      <c r="S23" s="101"/>
      <c r="T23" s="94"/>
    </row>
    <row r="24" spans="1:20" ht="12.75">
      <c r="A24" s="42" t="s">
        <v>84</v>
      </c>
      <c r="B24" s="96" t="s">
        <v>38</v>
      </c>
      <c r="C24" s="44"/>
      <c r="D24" s="101">
        <f>Schedule_B!U11</f>
        <v>16397839.259361567</v>
      </c>
      <c r="E24" s="90">
        <f t="shared" si="0"/>
        <v>0.784</v>
      </c>
      <c r="F24" s="87" t="s">
        <v>276</v>
      </c>
      <c r="G24" s="87"/>
      <c r="H24" s="95"/>
      <c r="J24" s="75"/>
      <c r="K24" s="91"/>
      <c r="L24" s="92"/>
      <c r="M24" s="44"/>
      <c r="N24" s="44"/>
      <c r="R24" s="96"/>
      <c r="S24" s="95"/>
      <c r="T24" s="94"/>
    </row>
    <row r="25" spans="1:20" ht="12.75">
      <c r="A25" s="42">
        <v>18</v>
      </c>
      <c r="B25" s="96" t="s">
        <v>39</v>
      </c>
      <c r="C25" s="44"/>
      <c r="D25" s="101">
        <v>201877887</v>
      </c>
      <c r="E25" s="90">
        <f t="shared" si="0"/>
        <v>9.655</v>
      </c>
      <c r="F25" s="87"/>
      <c r="G25" s="87" t="s">
        <v>275</v>
      </c>
      <c r="H25" s="95"/>
      <c r="I25" s="100"/>
      <c r="J25" s="75"/>
      <c r="K25" s="91"/>
      <c r="L25" s="92"/>
      <c r="M25" s="44"/>
      <c r="N25" s="96"/>
      <c r="R25" s="44"/>
      <c r="S25" s="101"/>
      <c r="T25" s="94"/>
    </row>
    <row r="26" spans="1:20" ht="12.75">
      <c r="A26" s="42">
        <v>19</v>
      </c>
      <c r="B26" s="96" t="s">
        <v>40</v>
      </c>
      <c r="C26" s="44"/>
      <c r="D26" s="95">
        <v>76239322</v>
      </c>
      <c r="E26" s="90">
        <f t="shared" si="0"/>
        <v>3.646</v>
      </c>
      <c r="F26" s="87"/>
      <c r="G26" s="87" t="s">
        <v>275</v>
      </c>
      <c r="H26" s="95"/>
      <c r="I26" s="100"/>
      <c r="J26" s="75"/>
      <c r="K26" s="91"/>
      <c r="L26" s="92"/>
      <c r="M26" s="44"/>
      <c r="N26" s="44"/>
      <c r="R26" s="44"/>
      <c r="S26" s="95"/>
      <c r="T26" s="94"/>
    </row>
    <row r="27" spans="1:20" ht="12.75">
      <c r="A27" s="42">
        <v>20</v>
      </c>
      <c r="B27" s="44" t="s">
        <v>277</v>
      </c>
      <c r="C27" s="44"/>
      <c r="D27" s="79">
        <f>Schedule_B!U29</f>
        <v>-4694444</v>
      </c>
      <c r="E27" s="90">
        <f t="shared" si="0"/>
        <v>-0.225</v>
      </c>
      <c r="F27" s="87"/>
      <c r="G27" s="87" t="s">
        <v>275</v>
      </c>
      <c r="H27" s="95"/>
      <c r="J27" s="75"/>
      <c r="K27" s="103"/>
      <c r="L27" s="92"/>
      <c r="M27" s="44"/>
      <c r="N27" s="44"/>
      <c r="R27" s="44"/>
      <c r="S27" s="79"/>
      <c r="T27" s="94"/>
    </row>
    <row r="28" spans="1:20" ht="12.75">
      <c r="A28" s="46">
        <v>21</v>
      </c>
      <c r="B28" s="96" t="s">
        <v>26</v>
      </c>
      <c r="C28" s="44"/>
      <c r="D28" s="79">
        <f>Schedule_B!U12</f>
        <v>103693568.33234102</v>
      </c>
      <c r="E28" s="90">
        <f t="shared" si="0"/>
        <v>4.959</v>
      </c>
      <c r="F28" s="87" t="s">
        <v>276</v>
      </c>
      <c r="G28" s="87"/>
      <c r="H28" s="95"/>
      <c r="I28" s="100"/>
      <c r="J28" s="75"/>
      <c r="K28" s="97"/>
      <c r="L28" s="98"/>
      <c r="M28" s="98"/>
      <c r="N28" s="44"/>
      <c r="R28" s="89"/>
      <c r="S28" s="79"/>
      <c r="T28" s="94"/>
    </row>
    <row r="29" spans="1:20" ht="12.75">
      <c r="A29" s="42">
        <v>22</v>
      </c>
      <c r="B29" s="96" t="s">
        <v>27</v>
      </c>
      <c r="C29" s="44"/>
      <c r="D29" s="79">
        <f>Schedule_B!U27</f>
        <v>-80705811</v>
      </c>
      <c r="E29" s="90">
        <f t="shared" si="0"/>
        <v>-3.86</v>
      </c>
      <c r="F29" s="87"/>
      <c r="G29" s="87" t="s">
        <v>275</v>
      </c>
      <c r="H29" s="95"/>
      <c r="I29" s="100"/>
      <c r="J29" s="75"/>
      <c r="K29" s="91"/>
      <c r="L29" s="92"/>
      <c r="M29" s="44"/>
      <c r="N29" s="44"/>
      <c r="R29" s="44"/>
      <c r="S29" s="79"/>
      <c r="T29" s="94"/>
    </row>
    <row r="30" spans="1:20" s="109" customFormat="1" ht="12.75">
      <c r="A30" s="42">
        <v>23</v>
      </c>
      <c r="B30" s="96" t="s">
        <v>28</v>
      </c>
      <c r="C30" s="104"/>
      <c r="D30" s="105">
        <f>Schedule_B!U25</f>
        <v>36748461</v>
      </c>
      <c r="E30" s="106">
        <f t="shared" si="0"/>
        <v>1.758</v>
      </c>
      <c r="F30" s="107"/>
      <c r="G30" s="107" t="s">
        <v>275</v>
      </c>
      <c r="H30" s="579"/>
      <c r="I30" s="64"/>
      <c r="J30" s="108"/>
      <c r="K30" s="91"/>
      <c r="L30" s="92"/>
      <c r="M30" s="44"/>
      <c r="N30" s="44"/>
      <c r="R30" s="44"/>
      <c r="S30" s="105"/>
      <c r="T30" s="94"/>
    </row>
    <row r="31" spans="1:20" ht="12.75">
      <c r="A31" s="42">
        <v>24</v>
      </c>
      <c r="B31" s="44" t="s">
        <v>278</v>
      </c>
      <c r="C31" s="44"/>
      <c r="D31" s="79">
        <f>Schedule_B!U13</f>
        <v>1410617.8638888889</v>
      </c>
      <c r="E31" s="90">
        <f t="shared" si="0"/>
        <v>0.067</v>
      </c>
      <c r="F31" s="87" t="s">
        <v>276</v>
      </c>
      <c r="G31" s="87"/>
      <c r="H31" s="95"/>
      <c r="J31" s="75"/>
      <c r="K31" s="110"/>
      <c r="L31" s="92"/>
      <c r="M31" s="111"/>
      <c r="N31" s="104"/>
      <c r="R31" s="112"/>
      <c r="S31" s="79"/>
      <c r="T31" s="94"/>
    </row>
    <row r="32" spans="1:20" ht="12.75">
      <c r="A32" s="47">
        <v>25</v>
      </c>
      <c r="B32" s="44" t="s">
        <v>428</v>
      </c>
      <c r="C32" s="44"/>
      <c r="D32" s="79">
        <f>SUM(Schedule_B!U50:U52)</f>
        <v>-40515</v>
      </c>
      <c r="E32" s="90">
        <f t="shared" si="0"/>
        <v>-0.002</v>
      </c>
      <c r="F32" s="87"/>
      <c r="G32" s="107" t="s">
        <v>275</v>
      </c>
      <c r="H32" s="95"/>
      <c r="J32" s="75"/>
      <c r="K32" s="110"/>
      <c r="L32" s="92"/>
      <c r="M32" s="111"/>
      <c r="N32" s="104"/>
      <c r="R32" s="112"/>
      <c r="S32" s="79"/>
      <c r="T32" s="94"/>
    </row>
    <row r="33" spans="1:20" ht="12.75">
      <c r="A33" s="42">
        <v>26</v>
      </c>
      <c r="B33" s="24" t="s">
        <v>151</v>
      </c>
      <c r="C33" s="44"/>
      <c r="D33" s="79">
        <f>Schedule_B!U14</f>
        <v>60046786.00148228</v>
      </c>
      <c r="E33" s="90">
        <f t="shared" si="0"/>
        <v>2.872</v>
      </c>
      <c r="F33" s="87" t="s">
        <v>276</v>
      </c>
      <c r="G33" s="87"/>
      <c r="H33" s="95"/>
      <c r="J33" s="75"/>
      <c r="K33" s="91"/>
      <c r="L33" s="92"/>
      <c r="M33" s="44"/>
      <c r="N33" s="44"/>
      <c r="R33" s="96"/>
      <c r="S33" s="79"/>
      <c r="T33" s="94"/>
    </row>
    <row r="34" spans="1:20" ht="12.75">
      <c r="A34" s="42">
        <f aca="true" t="shared" si="1" ref="A34:A49">A33+1</f>
        <v>27</v>
      </c>
      <c r="B34" s="68" t="s">
        <v>296</v>
      </c>
      <c r="C34" s="113"/>
      <c r="D34" s="79">
        <f>Schedule_B!U15</f>
        <v>4056095.241915664</v>
      </c>
      <c r="E34" s="90">
        <f t="shared" si="0"/>
        <v>0.194</v>
      </c>
      <c r="F34" s="87" t="s">
        <v>276</v>
      </c>
      <c r="G34" s="87"/>
      <c r="H34" s="95"/>
      <c r="J34" s="75"/>
      <c r="K34" s="114"/>
      <c r="L34" s="92"/>
      <c r="M34" s="104"/>
      <c r="N34" s="44"/>
      <c r="R34" s="104"/>
      <c r="S34" s="79"/>
      <c r="T34" s="94"/>
    </row>
    <row r="35" spans="1:20" ht="12.75">
      <c r="A35" s="42">
        <f t="shared" si="1"/>
        <v>28</v>
      </c>
      <c r="B35" s="24" t="s">
        <v>152</v>
      </c>
      <c r="C35" s="44"/>
      <c r="D35" s="95">
        <f>-'Exh D 12-10'!H71</f>
        <v>52217752.01412235</v>
      </c>
      <c r="E35" s="90">
        <f t="shared" si="0"/>
        <v>2.497</v>
      </c>
      <c r="F35" s="107"/>
      <c r="G35" s="107" t="s">
        <v>275</v>
      </c>
      <c r="H35" s="95"/>
      <c r="J35" s="75"/>
      <c r="K35" s="91"/>
      <c r="L35" s="92"/>
      <c r="M35" s="44"/>
      <c r="N35" s="44"/>
      <c r="R35" s="44"/>
      <c r="S35" s="95"/>
      <c r="T35" s="94"/>
    </row>
    <row r="36" spans="1:20" ht="12.75">
      <c r="A36" s="42">
        <f t="shared" si="1"/>
        <v>29</v>
      </c>
      <c r="B36" s="23" t="s">
        <v>297</v>
      </c>
      <c r="C36" s="113" t="s">
        <v>266</v>
      </c>
      <c r="D36" s="95">
        <f>Schedule_B!U16</f>
        <v>14036466.938888887</v>
      </c>
      <c r="E36" s="115">
        <f t="shared" si="0"/>
        <v>0.671</v>
      </c>
      <c r="F36" s="116" t="s">
        <v>276</v>
      </c>
      <c r="G36" s="116"/>
      <c r="H36" s="95"/>
      <c r="J36" s="75"/>
      <c r="K36" s="91"/>
      <c r="L36" s="92"/>
      <c r="M36" s="44"/>
      <c r="R36" s="99"/>
      <c r="S36" s="95"/>
      <c r="T36" s="94"/>
    </row>
    <row r="37" spans="1:20" ht="12.75">
      <c r="A37" s="42">
        <f t="shared" si="1"/>
        <v>30</v>
      </c>
      <c r="B37" s="23" t="s">
        <v>298</v>
      </c>
      <c r="C37" s="42"/>
      <c r="D37" s="95">
        <f>Schedule_B!U17</f>
        <v>3269369.6927465424</v>
      </c>
      <c r="E37" s="115">
        <f t="shared" si="0"/>
        <v>0.156</v>
      </c>
      <c r="F37" s="116" t="s">
        <v>276</v>
      </c>
      <c r="G37" s="116"/>
      <c r="H37" s="95"/>
      <c r="J37" s="75"/>
      <c r="K37" s="91"/>
      <c r="L37" s="92"/>
      <c r="M37" s="44"/>
      <c r="R37" s="99"/>
      <c r="S37" s="95"/>
      <c r="T37" s="94"/>
    </row>
    <row r="38" spans="1:20" ht="12.75">
      <c r="A38" s="42">
        <f t="shared" si="1"/>
        <v>31</v>
      </c>
      <c r="B38" s="117" t="s">
        <v>96</v>
      </c>
      <c r="C38" s="42"/>
      <c r="D38" s="118">
        <f>Schedule_B!U42</f>
        <v>305434</v>
      </c>
      <c r="E38" s="119">
        <f t="shared" si="0"/>
        <v>0.015</v>
      </c>
      <c r="F38" s="120"/>
      <c r="G38" s="107" t="s">
        <v>275</v>
      </c>
      <c r="H38" s="95"/>
      <c r="J38" s="75"/>
      <c r="K38" s="102"/>
      <c r="L38" s="92"/>
      <c r="R38" s="99"/>
      <c r="S38" s="95"/>
      <c r="T38" s="94"/>
    </row>
    <row r="39" spans="1:19" ht="13.5" thickBot="1">
      <c r="A39" s="42">
        <f t="shared" si="1"/>
        <v>32</v>
      </c>
      <c r="B39" s="23" t="s">
        <v>153</v>
      </c>
      <c r="C39" s="121"/>
      <c r="D39" s="72">
        <f>SUM(D18:D38)</f>
        <v>1375178790.7918637</v>
      </c>
      <c r="E39" s="122">
        <f>SUM(E18:E38)</f>
        <v>65.769</v>
      </c>
      <c r="F39" s="1034" t="s">
        <v>279</v>
      </c>
      <c r="G39" s="1034"/>
      <c r="H39" s="95"/>
      <c r="J39" s="75"/>
      <c r="K39" s="123"/>
      <c r="L39" s="92"/>
      <c r="R39" s="96"/>
      <c r="S39" s="44"/>
    </row>
    <row r="40" spans="1:19" ht="12.75">
      <c r="A40" s="42">
        <f t="shared" si="1"/>
        <v>33</v>
      </c>
      <c r="B40" s="23" t="s">
        <v>280</v>
      </c>
      <c r="D40" s="124">
        <f>'Exh A-1 2009GRC'!F38</f>
        <v>0.955788</v>
      </c>
      <c r="E40" s="125"/>
      <c r="F40" s="87"/>
      <c r="G40" s="87"/>
      <c r="H40" s="95"/>
      <c r="I40" s="126"/>
      <c r="J40" s="75"/>
      <c r="K40" s="96"/>
      <c r="L40" s="127"/>
      <c r="R40" s="96"/>
      <c r="S40" s="44"/>
    </row>
    <row r="41" spans="1:18" ht="12.75">
      <c r="A41" s="42">
        <f t="shared" si="1"/>
        <v>34</v>
      </c>
      <c r="D41" s="72">
        <f>D39/D40</f>
        <v>1438790600.8360262</v>
      </c>
      <c r="E41" s="79"/>
      <c r="F41" s="87"/>
      <c r="G41" s="87"/>
      <c r="H41" s="95"/>
      <c r="I41" s="126"/>
      <c r="J41" s="75"/>
      <c r="K41" s="96"/>
      <c r="L41" s="127"/>
      <c r="R41" s="96"/>
    </row>
    <row r="42" spans="1:18" ht="12.75">
      <c r="A42" s="42">
        <f t="shared" si="1"/>
        <v>35</v>
      </c>
      <c r="B42" s="23" t="s">
        <v>90</v>
      </c>
      <c r="D42" s="118">
        <f>Schedule_B!U60/1000</f>
        <v>20908383.597</v>
      </c>
      <c r="E42" s="128" t="s">
        <v>291</v>
      </c>
      <c r="F42" s="99"/>
      <c r="G42" s="99"/>
      <c r="H42" s="74"/>
      <c r="I42" s="129"/>
      <c r="K42" s="96"/>
      <c r="L42" s="127"/>
      <c r="R42" s="96"/>
    </row>
    <row r="43" spans="1:18" ht="12.75">
      <c r="A43" s="42">
        <f t="shared" si="1"/>
        <v>36</v>
      </c>
      <c r="B43" s="117"/>
      <c r="C43" s="117"/>
      <c r="D43" s="130"/>
      <c r="E43" s="130"/>
      <c r="F43" s="99"/>
      <c r="G43" s="99"/>
      <c r="H43" s="74"/>
      <c r="I43" s="129"/>
      <c r="K43" s="96"/>
      <c r="L43" s="127"/>
      <c r="R43" s="96"/>
    </row>
    <row r="44" spans="1:18" ht="12.75">
      <c r="A44" s="42">
        <f t="shared" si="1"/>
        <v>37</v>
      </c>
      <c r="B44" s="117"/>
      <c r="C44" s="117"/>
      <c r="D44" s="130"/>
      <c r="E44" s="130"/>
      <c r="F44" s="99"/>
      <c r="G44" s="99"/>
      <c r="H44" s="74"/>
      <c r="I44" s="129"/>
      <c r="K44" s="96"/>
      <c r="L44" s="127"/>
      <c r="R44" s="96"/>
    </row>
    <row r="45" spans="1:18" ht="12.75">
      <c r="A45" s="42">
        <f t="shared" si="1"/>
        <v>38</v>
      </c>
      <c r="B45" s="117"/>
      <c r="C45" s="117"/>
      <c r="D45" s="130"/>
      <c r="E45" s="130"/>
      <c r="F45" s="99"/>
      <c r="G45" s="99"/>
      <c r="H45" s="74"/>
      <c r="I45" s="126"/>
      <c r="K45" s="96"/>
      <c r="L45" s="127"/>
      <c r="R45" s="96"/>
    </row>
    <row r="46" spans="1:12" ht="12.75">
      <c r="A46" s="42">
        <f t="shared" si="1"/>
        <v>39</v>
      </c>
      <c r="B46" s="117"/>
      <c r="C46" s="117"/>
      <c r="D46" s="131" t="s">
        <v>60</v>
      </c>
      <c r="E46" s="99"/>
      <c r="F46" s="132"/>
      <c r="G46" s="133" t="s">
        <v>67</v>
      </c>
      <c r="H46" s="134"/>
      <c r="I46" s="126"/>
      <c r="L46" s="135"/>
    </row>
    <row r="47" spans="1:18" ht="12.75">
      <c r="A47" s="42">
        <f t="shared" si="1"/>
        <v>40</v>
      </c>
      <c r="B47" s="117"/>
      <c r="C47" s="117"/>
      <c r="D47" s="136" t="s">
        <v>68</v>
      </c>
      <c r="E47" s="99"/>
      <c r="F47" s="132"/>
      <c r="G47" s="137" t="s">
        <v>68</v>
      </c>
      <c r="H47" s="138"/>
      <c r="K47" s="99"/>
      <c r="L47" s="139"/>
      <c r="R47" s="99"/>
    </row>
    <row r="48" spans="1:8" ht="12.75" customHeight="1">
      <c r="A48" s="42">
        <f t="shared" si="1"/>
        <v>41</v>
      </c>
      <c r="B48" s="140" t="s">
        <v>41</v>
      </c>
      <c r="C48" s="117"/>
      <c r="D48" s="141"/>
      <c r="E48" s="99"/>
      <c r="F48" s="99"/>
      <c r="G48" s="142"/>
      <c r="H48" s="138"/>
    </row>
    <row r="49" spans="1:8" ht="12.75">
      <c r="A49" s="42">
        <f t="shared" si="1"/>
        <v>42</v>
      </c>
      <c r="B49" s="117" t="s">
        <v>42</v>
      </c>
      <c r="C49" s="117"/>
      <c r="D49" s="143">
        <f>E39</f>
        <v>65.769</v>
      </c>
      <c r="E49" s="1032">
        <f>+E39/$D$40</f>
        <v>68.8112845107911</v>
      </c>
      <c r="F49" s="1033"/>
      <c r="G49" s="1033"/>
      <c r="H49" s="138"/>
    </row>
    <row r="50" spans="1:8" ht="13.5" customHeight="1">
      <c r="A50" s="42">
        <v>43</v>
      </c>
      <c r="B50" s="144" t="s">
        <v>281</v>
      </c>
      <c r="C50" s="117"/>
      <c r="D50" s="143">
        <f>SUMIF($F$18:$F$37,"(a)",E18:E38)</f>
        <v>17.098999999999997</v>
      </c>
      <c r="E50" s="1032">
        <f>D50/$D$40</f>
        <v>17.88995049111309</v>
      </c>
      <c r="F50" s="1033"/>
      <c r="G50" s="1033"/>
      <c r="H50" s="134"/>
    </row>
    <row r="51" spans="1:20" ht="12.75">
      <c r="A51" s="42">
        <v>44</v>
      </c>
      <c r="B51" s="117" t="s">
        <v>282</v>
      </c>
      <c r="C51" s="117"/>
      <c r="D51" s="143">
        <f>E39</f>
        <v>65.769</v>
      </c>
      <c r="E51" s="1032">
        <f>D51/$D$40</f>
        <v>68.8112845107911</v>
      </c>
      <c r="F51" s="1033"/>
      <c r="G51" s="1033"/>
      <c r="H51" s="74"/>
      <c r="K51" s="44"/>
      <c r="L51" s="44"/>
      <c r="M51" s="44"/>
      <c r="N51" s="44"/>
      <c r="O51" s="44"/>
      <c r="P51" s="44"/>
      <c r="Q51" s="44"/>
      <c r="R51" s="44"/>
      <c r="S51" s="44"/>
      <c r="T51" s="44"/>
    </row>
    <row r="52" spans="1:20" ht="12.75">
      <c r="A52" s="42">
        <v>45</v>
      </c>
      <c r="B52" s="144" t="s">
        <v>283</v>
      </c>
      <c r="C52" s="146"/>
      <c r="D52" s="143">
        <f>SUMIF($G$18:$G$38,"(c)",E18:E37)</f>
        <v>48.67</v>
      </c>
      <c r="E52" s="1032">
        <f>D52/$D$40</f>
        <v>50.92133401967801</v>
      </c>
      <c r="F52" s="1033"/>
      <c r="G52" s="1033"/>
      <c r="H52" s="74"/>
      <c r="K52" s="44"/>
      <c r="L52" s="44"/>
      <c r="M52" s="44"/>
      <c r="N52" s="44"/>
      <c r="O52" s="44"/>
      <c r="P52" s="44"/>
      <c r="Q52" s="44"/>
      <c r="R52" s="44"/>
      <c r="S52" s="592"/>
      <c r="T52" s="44"/>
    </row>
    <row r="53" spans="1:20" ht="12.75">
      <c r="A53" s="42">
        <v>46</v>
      </c>
      <c r="K53" s="44"/>
      <c r="L53" s="44"/>
      <c r="M53" s="44"/>
      <c r="N53" s="44"/>
      <c r="O53" s="44"/>
      <c r="P53" s="44"/>
      <c r="Q53" s="44"/>
      <c r="R53" s="44"/>
      <c r="S53" s="44"/>
      <c r="T53" s="44"/>
    </row>
    <row r="54" spans="1:20" ht="12.75">
      <c r="A54" s="42">
        <v>47</v>
      </c>
      <c r="B54" s="23" t="s">
        <v>434</v>
      </c>
      <c r="K54" s="576"/>
      <c r="L54" s="576"/>
      <c r="M54" s="576"/>
      <c r="N54" s="576"/>
      <c r="O54" s="576"/>
      <c r="P54" s="576"/>
      <c r="Q54" s="576"/>
      <c r="R54" s="576"/>
      <c r="S54" s="44"/>
      <c r="T54" s="44"/>
    </row>
    <row r="55" spans="4:20" ht="12.75">
      <c r="D55" s="94"/>
      <c r="K55" s="576"/>
      <c r="L55" s="576"/>
      <c r="M55" s="576"/>
      <c r="N55" s="576"/>
      <c r="O55" s="576"/>
      <c r="P55" s="576"/>
      <c r="Q55" s="576"/>
      <c r="R55" s="576"/>
      <c r="S55" s="44"/>
      <c r="T55" s="44"/>
    </row>
    <row r="56" spans="11:20" ht="12.75">
      <c r="K56" s="576"/>
      <c r="L56" s="145"/>
      <c r="M56" s="145"/>
      <c r="N56" s="145"/>
      <c r="O56" s="145"/>
      <c r="P56" s="145"/>
      <c r="Q56" s="593"/>
      <c r="R56" s="576"/>
      <c r="S56" s="44"/>
      <c r="T56" s="44"/>
    </row>
    <row r="57" spans="11:20" ht="12.75">
      <c r="K57" s="576"/>
      <c r="L57" s="145"/>
      <c r="M57" s="145"/>
      <c r="N57" s="145"/>
      <c r="O57" s="145"/>
      <c r="P57" s="145"/>
      <c r="Q57" s="593"/>
      <c r="R57" s="576"/>
      <c r="S57" s="44"/>
      <c r="T57" s="44"/>
    </row>
    <row r="58" spans="2:20" ht="12.75">
      <c r="B58" s="150"/>
      <c r="D58" s="151"/>
      <c r="K58" s="576"/>
      <c r="L58" s="145"/>
      <c r="M58" s="145"/>
      <c r="N58" s="145"/>
      <c r="O58" s="145"/>
      <c r="P58" s="145"/>
      <c r="Q58" s="147"/>
      <c r="R58" s="576"/>
      <c r="S58" s="44"/>
      <c r="T58" s="44"/>
    </row>
    <row r="59" spans="2:20" ht="12.75">
      <c r="B59" s="150"/>
      <c r="D59" s="151"/>
      <c r="K59" s="576"/>
      <c r="L59" s="145"/>
      <c r="M59" s="145"/>
      <c r="N59" s="145"/>
      <c r="O59" s="145"/>
      <c r="P59" s="145"/>
      <c r="Q59" s="149"/>
      <c r="R59" s="576"/>
      <c r="S59" s="44"/>
      <c r="T59" s="44"/>
    </row>
    <row r="60" spans="2:20" ht="12.75">
      <c r="B60" s="150"/>
      <c r="D60" s="151"/>
      <c r="H60" s="23"/>
      <c r="K60" s="576"/>
      <c r="L60" s="145"/>
      <c r="M60" s="145"/>
      <c r="N60" s="145"/>
      <c r="O60" s="145"/>
      <c r="P60" s="145"/>
      <c r="Q60" s="594"/>
      <c r="R60" s="576"/>
      <c r="S60" s="44"/>
      <c r="T60" s="44"/>
    </row>
    <row r="61" spans="2:20" ht="12.75">
      <c r="B61" s="150"/>
      <c r="D61" s="151"/>
      <c r="H61" s="23"/>
      <c r="K61" s="576"/>
      <c r="L61" s="145"/>
      <c r="M61" s="145"/>
      <c r="N61" s="145"/>
      <c r="O61" s="145"/>
      <c r="P61" s="145"/>
      <c r="Q61" s="149"/>
      <c r="R61" s="576"/>
      <c r="S61" s="44"/>
      <c r="T61" s="44"/>
    </row>
    <row r="62" spans="2:20" ht="12.75">
      <c r="B62" s="150"/>
      <c r="D62" s="151"/>
      <c r="K62" s="576"/>
      <c r="L62" s="145"/>
      <c r="M62" s="145"/>
      <c r="N62" s="145"/>
      <c r="O62" s="145"/>
      <c r="P62" s="145"/>
      <c r="Q62" s="149"/>
      <c r="R62" s="576"/>
      <c r="S62" s="44"/>
      <c r="T62" s="44"/>
    </row>
    <row r="63" spans="2:20" ht="12.75">
      <c r="B63" s="150"/>
      <c r="D63" s="151"/>
      <c r="H63" s="66"/>
      <c r="K63" s="576"/>
      <c r="L63" s="145"/>
      <c r="M63" s="145"/>
      <c r="N63" s="145"/>
      <c r="O63" s="145"/>
      <c r="P63" s="145"/>
      <c r="Q63" s="147"/>
      <c r="R63" s="576"/>
      <c r="S63" s="44"/>
      <c r="T63" s="44"/>
    </row>
    <row r="64" spans="2:20" ht="12.75">
      <c r="B64" s="150"/>
      <c r="D64" s="151"/>
      <c r="K64" s="576"/>
      <c r="L64" s="145"/>
      <c r="M64" s="145"/>
      <c r="N64" s="145"/>
      <c r="O64" s="145"/>
      <c r="P64" s="145"/>
      <c r="Q64" s="149"/>
      <c r="R64" s="576"/>
      <c r="S64" s="44"/>
      <c r="T64" s="44"/>
    </row>
    <row r="65" spans="2:20" ht="12.75">
      <c r="B65" s="150"/>
      <c r="D65" s="151"/>
      <c r="K65" s="576"/>
      <c r="L65" s="145"/>
      <c r="M65" s="145"/>
      <c r="N65" s="145"/>
      <c r="O65" s="145"/>
      <c r="P65" s="145"/>
      <c r="Q65" s="147"/>
      <c r="R65" s="576"/>
      <c r="S65" s="44"/>
      <c r="T65" s="44"/>
    </row>
    <row r="66" spans="2:20" ht="12.75">
      <c r="B66" s="150"/>
      <c r="D66" s="596"/>
      <c r="K66" s="576"/>
      <c r="L66" s="145"/>
      <c r="M66" s="145"/>
      <c r="N66" s="145"/>
      <c r="O66" s="145"/>
      <c r="P66" s="145"/>
      <c r="Q66" s="591"/>
      <c r="R66" s="576"/>
      <c r="S66" s="44"/>
      <c r="T66" s="44"/>
    </row>
    <row r="67" spans="4:20" ht="12.75">
      <c r="D67" s="596"/>
      <c r="K67" s="576"/>
      <c r="L67" s="576"/>
      <c r="M67" s="576"/>
      <c r="N67" s="576"/>
      <c r="O67" s="576"/>
      <c r="P67" s="576"/>
      <c r="Q67" s="576"/>
      <c r="R67" s="576"/>
      <c r="S67" s="44"/>
      <c r="T67" s="44"/>
    </row>
    <row r="68" spans="11:20" ht="12.75">
      <c r="K68" s="576"/>
      <c r="L68" s="495"/>
      <c r="M68" s="145"/>
      <c r="N68" s="145"/>
      <c r="O68" s="145"/>
      <c r="P68" s="145"/>
      <c r="Q68" s="147"/>
      <c r="R68" s="576"/>
      <c r="S68" s="44"/>
      <c r="T68" s="44"/>
    </row>
    <row r="69" spans="4:20" ht="12.75">
      <c r="D69" s="100"/>
      <c r="K69" s="576"/>
      <c r="L69" s="495"/>
      <c r="M69" s="145"/>
      <c r="N69" s="145"/>
      <c r="O69" s="145"/>
      <c r="P69" s="145"/>
      <c r="Q69" s="147"/>
      <c r="R69" s="576"/>
      <c r="S69" s="44"/>
      <c r="T69" s="44"/>
    </row>
    <row r="70" spans="4:20" ht="12.75">
      <c r="D70" s="100"/>
      <c r="K70" s="576"/>
      <c r="L70" s="495"/>
      <c r="M70" s="145"/>
      <c r="N70" s="145"/>
      <c r="O70" s="145"/>
      <c r="P70" s="145"/>
      <c r="Q70" s="147"/>
      <c r="R70" s="576"/>
      <c r="S70" s="44"/>
      <c r="T70" s="44"/>
    </row>
    <row r="71" spans="4:20" ht="12.75">
      <c r="D71" s="100"/>
      <c r="K71" s="576"/>
      <c r="L71" s="495"/>
      <c r="M71" s="145"/>
      <c r="N71" s="145"/>
      <c r="O71" s="145"/>
      <c r="P71" s="145"/>
      <c r="Q71" s="147"/>
      <c r="R71" s="576"/>
      <c r="S71" s="44"/>
      <c r="T71" s="44"/>
    </row>
    <row r="72" spans="11:20" ht="12.75">
      <c r="K72" s="576"/>
      <c r="L72" s="495"/>
      <c r="M72" s="145"/>
      <c r="N72" s="145"/>
      <c r="O72" s="145"/>
      <c r="P72" s="145"/>
      <c r="Q72" s="147"/>
      <c r="R72" s="576"/>
      <c r="S72" s="44"/>
      <c r="T72" s="44"/>
    </row>
    <row r="73" spans="11:20" ht="12.75">
      <c r="K73" s="576"/>
      <c r="L73" s="145"/>
      <c r="M73" s="145"/>
      <c r="N73" s="145"/>
      <c r="O73" s="145"/>
      <c r="P73" s="145"/>
      <c r="Q73" s="147"/>
      <c r="R73" s="576"/>
      <c r="S73" s="44"/>
      <c r="T73" s="44"/>
    </row>
    <row r="74" spans="11:20" ht="12.75">
      <c r="K74" s="576"/>
      <c r="L74" s="145"/>
      <c r="M74" s="145"/>
      <c r="N74" s="145"/>
      <c r="O74" s="145"/>
      <c r="P74" s="145"/>
      <c r="Q74" s="147"/>
      <c r="R74" s="576"/>
      <c r="S74" s="44"/>
      <c r="T74" s="44"/>
    </row>
    <row r="75" spans="11:20" ht="12.75">
      <c r="K75" s="576"/>
      <c r="L75" s="145"/>
      <c r="M75" s="145"/>
      <c r="N75" s="145"/>
      <c r="O75" s="145"/>
      <c r="P75" s="145"/>
      <c r="Q75" s="147"/>
      <c r="R75" s="576"/>
      <c r="S75" s="44"/>
      <c r="T75" s="44"/>
    </row>
    <row r="76" spans="11:20" ht="12.75">
      <c r="K76" s="576"/>
      <c r="L76" s="145"/>
      <c r="M76" s="145"/>
      <c r="N76" s="145"/>
      <c r="O76" s="145"/>
      <c r="P76" s="145"/>
      <c r="Q76" s="147"/>
      <c r="R76" s="576"/>
      <c r="S76" s="44"/>
      <c r="T76" s="44"/>
    </row>
    <row r="77" spans="11:20" ht="12.75">
      <c r="K77" s="576"/>
      <c r="L77" s="145"/>
      <c r="M77" s="145"/>
      <c r="N77" s="145"/>
      <c r="O77" s="145"/>
      <c r="P77" s="145"/>
      <c r="Q77" s="147"/>
      <c r="R77" s="576"/>
      <c r="S77" s="44"/>
      <c r="T77" s="44"/>
    </row>
    <row r="78" spans="11:20" ht="12.75">
      <c r="K78" s="576"/>
      <c r="L78" s="145"/>
      <c r="M78" s="145"/>
      <c r="N78" s="145"/>
      <c r="O78" s="145"/>
      <c r="P78" s="145"/>
      <c r="Q78" s="147"/>
      <c r="R78" s="576"/>
      <c r="S78" s="44"/>
      <c r="T78" s="44"/>
    </row>
    <row r="79" spans="11:20" ht="12.75">
      <c r="K79" s="576"/>
      <c r="L79" s="145"/>
      <c r="M79" s="145"/>
      <c r="N79" s="145"/>
      <c r="O79" s="145"/>
      <c r="P79" s="145"/>
      <c r="Q79" s="147"/>
      <c r="R79" s="576"/>
      <c r="S79" s="44"/>
      <c r="T79" s="44"/>
    </row>
    <row r="80" spans="11:20" ht="12.75">
      <c r="K80" s="576"/>
      <c r="L80" s="145"/>
      <c r="M80" s="145"/>
      <c r="N80" s="145"/>
      <c r="O80" s="145"/>
      <c r="P80" s="145"/>
      <c r="Q80" s="147"/>
      <c r="R80" s="576"/>
      <c r="S80" s="44"/>
      <c r="T80" s="44"/>
    </row>
    <row r="81" spans="11:20" ht="12.75">
      <c r="K81" s="576"/>
      <c r="L81" s="145"/>
      <c r="M81" s="145"/>
      <c r="N81" s="145"/>
      <c r="O81" s="145"/>
      <c r="P81" s="145"/>
      <c r="Q81" s="147"/>
      <c r="R81" s="576"/>
      <c r="S81" s="44"/>
      <c r="T81" s="44"/>
    </row>
    <row r="82" spans="11:20" ht="12.75">
      <c r="K82" s="576"/>
      <c r="L82" s="145"/>
      <c r="M82" s="145"/>
      <c r="N82" s="145"/>
      <c r="O82" s="145"/>
      <c r="P82" s="145"/>
      <c r="Q82" s="595"/>
      <c r="R82" s="576"/>
      <c r="S82" s="44"/>
      <c r="T82" s="44"/>
    </row>
    <row r="83" spans="11:20" ht="12.75">
      <c r="K83" s="576"/>
      <c r="L83" s="145"/>
      <c r="M83" s="145"/>
      <c r="N83" s="145"/>
      <c r="O83" s="145"/>
      <c r="P83" s="145"/>
      <c r="Q83" s="147"/>
      <c r="R83" s="576"/>
      <c r="S83" s="44"/>
      <c r="T83" s="44"/>
    </row>
    <row r="84" spans="11:20" ht="12.75">
      <c r="K84" s="576"/>
      <c r="L84" s="145"/>
      <c r="M84" s="145"/>
      <c r="N84" s="145"/>
      <c r="O84" s="145"/>
      <c r="P84" s="145"/>
      <c r="Q84" s="147"/>
      <c r="R84" s="576"/>
      <c r="S84" s="44"/>
      <c r="T84" s="44"/>
    </row>
    <row r="85" spans="11:20" ht="12.75">
      <c r="K85" s="576"/>
      <c r="L85" s="145"/>
      <c r="M85" s="145"/>
      <c r="N85" s="145"/>
      <c r="O85" s="145"/>
      <c r="P85" s="145"/>
      <c r="Q85" s="147"/>
      <c r="R85" s="576"/>
      <c r="S85" s="44"/>
      <c r="T85" s="44"/>
    </row>
    <row r="86" spans="11:20" ht="12.75">
      <c r="K86" s="576"/>
      <c r="L86" s="145"/>
      <c r="M86" s="145"/>
      <c r="N86" s="145"/>
      <c r="O86" s="145"/>
      <c r="P86" s="145"/>
      <c r="Q86" s="147"/>
      <c r="R86" s="576"/>
      <c r="S86" s="44"/>
      <c r="T86" s="44"/>
    </row>
    <row r="87" spans="11:20" ht="12.75">
      <c r="K87" s="576"/>
      <c r="L87" s="145"/>
      <c r="M87" s="145"/>
      <c r="N87" s="145"/>
      <c r="O87" s="145"/>
      <c r="P87" s="145"/>
      <c r="Q87" s="596"/>
      <c r="R87" s="576"/>
      <c r="S87" s="44"/>
      <c r="T87" s="44"/>
    </row>
    <row r="88" spans="11:20" ht="12.75">
      <c r="K88" s="576"/>
      <c r="L88" s="145"/>
      <c r="M88" s="145"/>
      <c r="N88" s="145"/>
      <c r="O88" s="145"/>
      <c r="P88" s="145"/>
      <c r="Q88" s="147"/>
      <c r="R88" s="576"/>
      <c r="S88" s="44"/>
      <c r="T88" s="44"/>
    </row>
    <row r="89" spans="11:20" ht="12.75">
      <c r="K89" s="576"/>
      <c r="L89" s="145"/>
      <c r="M89" s="145"/>
      <c r="N89" s="145"/>
      <c r="O89" s="145"/>
      <c r="P89" s="145"/>
      <c r="Q89" s="147"/>
      <c r="R89" s="576"/>
      <c r="S89" s="44"/>
      <c r="T89" s="44"/>
    </row>
    <row r="90" spans="11:20" ht="12.75">
      <c r="K90" s="576"/>
      <c r="L90" s="145"/>
      <c r="M90" s="145"/>
      <c r="N90" s="145"/>
      <c r="O90" s="145"/>
      <c r="P90" s="145"/>
      <c r="Q90" s="147"/>
      <c r="R90" s="576"/>
      <c r="S90" s="44"/>
      <c r="T90" s="44"/>
    </row>
    <row r="91" spans="11:20" ht="12.75">
      <c r="K91" s="576"/>
      <c r="L91" s="145"/>
      <c r="M91" s="145"/>
      <c r="N91" s="145"/>
      <c r="O91" s="145"/>
      <c r="P91" s="145"/>
      <c r="Q91" s="591"/>
      <c r="R91" s="576"/>
      <c r="S91" s="44"/>
      <c r="T91" s="44"/>
    </row>
    <row r="92" spans="11:20" ht="12.75">
      <c r="K92" s="576"/>
      <c r="L92" s="145"/>
      <c r="M92" s="145"/>
      <c r="N92" s="145"/>
      <c r="O92" s="145"/>
      <c r="P92" s="145"/>
      <c r="Q92" s="591"/>
      <c r="R92" s="576"/>
      <c r="S92" s="44"/>
      <c r="T92" s="44"/>
    </row>
    <row r="93" spans="11:20" ht="12.75">
      <c r="K93" s="576"/>
      <c r="L93" s="145"/>
      <c r="M93" s="145"/>
      <c r="N93" s="145"/>
      <c r="O93" s="145"/>
      <c r="P93" s="145"/>
      <c r="Q93" s="591"/>
      <c r="R93" s="576"/>
      <c r="S93" s="44"/>
      <c r="T93" s="44"/>
    </row>
    <row r="94" spans="11:20" ht="12.75">
      <c r="K94" s="576"/>
      <c r="L94" s="145"/>
      <c r="M94" s="145"/>
      <c r="N94" s="145"/>
      <c r="O94" s="145"/>
      <c r="P94" s="145"/>
      <c r="Q94" s="147"/>
      <c r="R94" s="576"/>
      <c r="S94" s="44"/>
      <c r="T94" s="44"/>
    </row>
    <row r="95" spans="11:20" ht="12.75">
      <c r="K95" s="576"/>
      <c r="L95" s="145"/>
      <c r="M95" s="145"/>
      <c r="N95" s="145"/>
      <c r="O95" s="145"/>
      <c r="P95" s="145"/>
      <c r="Q95" s="147"/>
      <c r="R95" s="576"/>
      <c r="S95" s="44"/>
      <c r="T95" s="44"/>
    </row>
    <row r="96" spans="11:20" ht="12.75">
      <c r="K96" s="576"/>
      <c r="L96" s="495"/>
      <c r="M96" s="145"/>
      <c r="N96" s="145"/>
      <c r="O96" s="145"/>
      <c r="P96" s="145"/>
      <c r="Q96" s="147"/>
      <c r="R96" s="576"/>
      <c r="S96" s="44"/>
      <c r="T96" s="44"/>
    </row>
    <row r="97" spans="11:20" ht="12.75">
      <c r="K97" s="576"/>
      <c r="L97" s="495"/>
      <c r="M97" s="145"/>
      <c r="N97" s="145"/>
      <c r="O97" s="145"/>
      <c r="P97" s="145"/>
      <c r="Q97" s="147"/>
      <c r="R97" s="576"/>
      <c r="S97" s="44"/>
      <c r="T97" s="44"/>
    </row>
    <row r="98" spans="11:20" ht="12.75">
      <c r="K98" s="576"/>
      <c r="L98" s="145"/>
      <c r="M98" s="145"/>
      <c r="N98" s="145"/>
      <c r="O98" s="145"/>
      <c r="P98" s="145"/>
      <c r="Q98" s="147"/>
      <c r="R98" s="576"/>
      <c r="S98" s="44"/>
      <c r="T98" s="44"/>
    </row>
    <row r="99" spans="11:20" ht="12.75">
      <c r="K99" s="576"/>
      <c r="L99" s="495"/>
      <c r="M99" s="145"/>
      <c r="N99" s="145"/>
      <c r="O99" s="145"/>
      <c r="P99" s="145"/>
      <c r="Q99" s="147"/>
      <c r="R99" s="576"/>
      <c r="S99" s="44"/>
      <c r="T99" s="44"/>
    </row>
    <row r="100" spans="11:20" ht="12.75">
      <c r="K100" s="576"/>
      <c r="L100" s="145"/>
      <c r="M100" s="145"/>
      <c r="N100" s="145"/>
      <c r="O100" s="145"/>
      <c r="P100" s="145"/>
      <c r="Q100" s="147"/>
      <c r="R100" s="576"/>
      <c r="S100" s="44"/>
      <c r="T100" s="44"/>
    </row>
    <row r="101" spans="11:20" ht="12.75">
      <c r="K101" s="576"/>
      <c r="L101" s="145"/>
      <c r="M101" s="145"/>
      <c r="N101" s="145"/>
      <c r="O101" s="145"/>
      <c r="P101" s="145"/>
      <c r="Q101" s="147"/>
      <c r="R101" s="576"/>
      <c r="S101" s="44"/>
      <c r="T101" s="44"/>
    </row>
    <row r="102" spans="11:20" ht="12.75">
      <c r="K102" s="576"/>
      <c r="L102" s="145"/>
      <c r="M102" s="145"/>
      <c r="N102" s="145"/>
      <c r="O102" s="145"/>
      <c r="P102" s="145"/>
      <c r="Q102" s="147"/>
      <c r="R102" s="576"/>
      <c r="S102" s="44"/>
      <c r="T102" s="44"/>
    </row>
    <row r="103" spans="11:20" ht="12.75">
      <c r="K103" s="576"/>
      <c r="L103" s="145"/>
      <c r="M103" s="145"/>
      <c r="N103" s="145"/>
      <c r="O103" s="145"/>
      <c r="P103" s="145"/>
      <c r="Q103" s="44"/>
      <c r="R103" s="576"/>
      <c r="S103" s="44"/>
      <c r="T103" s="44"/>
    </row>
    <row r="104" spans="11:20" ht="12.75">
      <c r="K104" s="576"/>
      <c r="L104" s="576"/>
      <c r="M104" s="576"/>
      <c r="N104" s="576"/>
      <c r="O104" s="576"/>
      <c r="P104" s="576"/>
      <c r="Q104" s="576"/>
      <c r="R104" s="576"/>
      <c r="S104" s="44"/>
      <c r="T104" s="44"/>
    </row>
    <row r="105" spans="11:20" ht="12.75">
      <c r="K105" s="44"/>
      <c r="L105" s="44"/>
      <c r="M105" s="44"/>
      <c r="N105" s="44"/>
      <c r="O105" s="44"/>
      <c r="P105" s="44"/>
      <c r="Q105" s="44"/>
      <c r="R105" s="44"/>
      <c r="S105" s="44"/>
      <c r="T105" s="44"/>
    </row>
    <row r="106" spans="11:20" ht="12.75">
      <c r="K106" s="44"/>
      <c r="L106" s="44"/>
      <c r="M106" s="44"/>
      <c r="N106" s="44"/>
      <c r="O106" s="44"/>
      <c r="P106" s="44"/>
      <c r="Q106" s="44"/>
      <c r="R106" s="44"/>
      <c r="S106" s="44"/>
      <c r="T106" s="44"/>
    </row>
    <row r="107" spans="11:20" ht="12.75">
      <c r="K107" s="44"/>
      <c r="L107" s="44"/>
      <c r="M107" s="44"/>
      <c r="N107" s="44"/>
      <c r="O107" s="44"/>
      <c r="P107" s="44"/>
      <c r="Q107" s="44"/>
      <c r="R107" s="44"/>
      <c r="S107" s="44"/>
      <c r="T107" s="44"/>
    </row>
    <row r="108" spans="11:20" ht="12.75">
      <c r="K108" s="44"/>
      <c r="L108" s="44"/>
      <c r="M108" s="44"/>
      <c r="N108" s="44"/>
      <c r="O108" s="44"/>
      <c r="P108" s="44"/>
      <c r="Q108" s="44"/>
      <c r="R108" s="44"/>
      <c r="S108" s="44"/>
      <c r="T108" s="44"/>
    </row>
    <row r="109" spans="11:20" ht="12.75">
      <c r="K109" s="44"/>
      <c r="L109" s="44"/>
      <c r="M109" s="44"/>
      <c r="N109" s="44"/>
      <c r="O109" s="44"/>
      <c r="P109" s="44"/>
      <c r="Q109" s="44"/>
      <c r="R109" s="44"/>
      <c r="S109" s="44"/>
      <c r="T109" s="44"/>
    </row>
    <row r="110" spans="11:20" ht="12.75">
      <c r="K110" s="44"/>
      <c r="L110" s="44"/>
      <c r="M110" s="44"/>
      <c r="N110" s="44"/>
      <c r="O110" s="44"/>
      <c r="P110" s="44"/>
      <c r="Q110" s="44"/>
      <c r="R110" s="44"/>
      <c r="S110" s="44"/>
      <c r="T110" s="44"/>
    </row>
    <row r="111" spans="11:20" ht="12.75">
      <c r="K111" s="44"/>
      <c r="L111" s="44"/>
      <c r="M111" s="44"/>
      <c r="N111" s="44"/>
      <c r="O111" s="44"/>
      <c r="P111" s="44"/>
      <c r="Q111" s="44"/>
      <c r="R111" s="44"/>
      <c r="S111" s="44"/>
      <c r="T111" s="44"/>
    </row>
    <row r="112" spans="11:20" ht="12.75">
      <c r="K112" s="44"/>
      <c r="L112" s="44"/>
      <c r="M112" s="44"/>
      <c r="N112" s="44"/>
      <c r="O112" s="44"/>
      <c r="P112" s="44"/>
      <c r="Q112" s="44"/>
      <c r="R112" s="44"/>
      <c r="S112" s="44"/>
      <c r="T112" s="44"/>
    </row>
    <row r="113" spans="11:20" ht="12.75">
      <c r="K113" s="44"/>
      <c r="L113" s="44"/>
      <c r="M113" s="44"/>
      <c r="N113" s="44"/>
      <c r="O113" s="44"/>
      <c r="P113" s="44"/>
      <c r="Q113" s="44"/>
      <c r="R113" s="44"/>
      <c r="S113" s="44"/>
      <c r="T113" s="44"/>
    </row>
    <row r="114" spans="11:20" ht="12.75">
      <c r="K114" s="44"/>
      <c r="L114" s="44"/>
      <c r="M114" s="44"/>
      <c r="N114" s="44"/>
      <c r="O114" s="44"/>
      <c r="P114" s="44"/>
      <c r="Q114" s="44"/>
      <c r="R114" s="44"/>
      <c r="S114" s="44"/>
      <c r="T114" s="44"/>
    </row>
    <row r="115" spans="11:20" ht="12.75">
      <c r="K115" s="44"/>
      <c r="L115" s="44"/>
      <c r="M115" s="44"/>
      <c r="N115" s="44"/>
      <c r="O115" s="44"/>
      <c r="P115" s="44"/>
      <c r="Q115" s="44"/>
      <c r="R115" s="44"/>
      <c r="S115" s="44"/>
      <c r="T115" s="44"/>
    </row>
    <row r="116" spans="11:20" ht="12.75">
      <c r="K116" s="44"/>
      <c r="L116" s="44"/>
      <c r="M116" s="44"/>
      <c r="N116" s="44"/>
      <c r="O116" s="44"/>
      <c r="P116" s="44"/>
      <c r="Q116" s="44"/>
      <c r="R116" s="44"/>
      <c r="S116" s="44"/>
      <c r="T116" s="44"/>
    </row>
    <row r="117" spans="11:20" ht="12.75">
      <c r="K117" s="44"/>
      <c r="L117" s="44"/>
      <c r="M117" s="44"/>
      <c r="N117" s="44"/>
      <c r="O117" s="44"/>
      <c r="P117" s="44"/>
      <c r="Q117" s="44"/>
      <c r="R117" s="44"/>
      <c r="S117" s="44"/>
      <c r="T117" s="44"/>
    </row>
    <row r="118" spans="11:20" ht="12.75">
      <c r="K118" s="44"/>
      <c r="L118" s="44"/>
      <c r="M118" s="44"/>
      <c r="N118" s="44"/>
      <c r="O118" s="44"/>
      <c r="P118" s="44"/>
      <c r="Q118" s="44"/>
      <c r="R118" s="44"/>
      <c r="S118" s="44"/>
      <c r="T118" s="44"/>
    </row>
    <row r="119" spans="11:20" ht="12.75">
      <c r="K119" s="44"/>
      <c r="L119" s="44"/>
      <c r="M119" s="44"/>
      <c r="N119" s="44"/>
      <c r="O119" s="44"/>
      <c r="P119" s="44"/>
      <c r="Q119" s="44"/>
      <c r="R119" s="44"/>
      <c r="S119" s="44"/>
      <c r="T119" s="44"/>
    </row>
    <row r="120" spans="11:20" ht="12.75">
      <c r="K120" s="44"/>
      <c r="L120" s="44"/>
      <c r="M120" s="44"/>
      <c r="N120" s="44"/>
      <c r="O120" s="44"/>
      <c r="P120" s="44"/>
      <c r="Q120" s="44"/>
      <c r="R120" s="44"/>
      <c r="S120" s="44"/>
      <c r="T120" s="44"/>
    </row>
    <row r="121" spans="11:20" ht="12.75">
      <c r="K121" s="44"/>
      <c r="L121" s="44"/>
      <c r="M121" s="44"/>
      <c r="N121" s="44"/>
      <c r="O121" s="44"/>
      <c r="P121" s="44"/>
      <c r="Q121" s="44"/>
      <c r="R121" s="44"/>
      <c r="S121" s="44"/>
      <c r="T121" s="44"/>
    </row>
    <row r="122" spans="11:20" ht="12.75">
      <c r="K122" s="44"/>
      <c r="L122" s="44"/>
      <c r="M122" s="44"/>
      <c r="N122" s="44"/>
      <c r="O122" s="44"/>
      <c r="P122" s="44"/>
      <c r="Q122" s="44"/>
      <c r="R122" s="44"/>
      <c r="S122" s="44"/>
      <c r="T122" s="44"/>
    </row>
    <row r="123" spans="11:20" ht="12.75">
      <c r="K123" s="44"/>
      <c r="L123" s="44"/>
      <c r="M123" s="44"/>
      <c r="N123" s="44"/>
      <c r="O123" s="44"/>
      <c r="P123" s="44"/>
      <c r="Q123" s="44"/>
      <c r="R123" s="44"/>
      <c r="S123" s="44"/>
      <c r="T123" s="44"/>
    </row>
    <row r="124" spans="11:20" ht="12.75">
      <c r="K124" s="44"/>
      <c r="L124" s="44"/>
      <c r="M124" s="44"/>
      <c r="N124" s="44"/>
      <c r="O124" s="44"/>
      <c r="P124" s="44"/>
      <c r="Q124" s="44"/>
      <c r="R124" s="44"/>
      <c r="S124" s="44"/>
      <c r="T124" s="44"/>
    </row>
    <row r="125" spans="11:20" ht="12.75">
      <c r="K125" s="44"/>
      <c r="L125" s="44"/>
      <c r="M125" s="44"/>
      <c r="N125" s="44"/>
      <c r="O125" s="44"/>
      <c r="P125" s="44"/>
      <c r="Q125" s="44"/>
      <c r="R125" s="44"/>
      <c r="S125" s="44"/>
      <c r="T125" s="44"/>
    </row>
    <row r="126" spans="11:20" ht="12.75">
      <c r="K126" s="44"/>
      <c r="L126" s="44"/>
      <c r="M126" s="44"/>
      <c r="N126" s="44"/>
      <c r="O126" s="44"/>
      <c r="P126" s="44"/>
      <c r="Q126" s="44"/>
      <c r="R126" s="44"/>
      <c r="S126" s="44"/>
      <c r="T126" s="44"/>
    </row>
    <row r="127" spans="11:20" ht="12.75">
      <c r="K127" s="44"/>
      <c r="L127" s="44"/>
      <c r="M127" s="44"/>
      <c r="N127" s="44"/>
      <c r="O127" s="44"/>
      <c r="P127" s="44"/>
      <c r="Q127" s="44"/>
      <c r="R127" s="44"/>
      <c r="S127" s="44"/>
      <c r="T127" s="44"/>
    </row>
    <row r="128" spans="11:20" ht="12.75">
      <c r="K128" s="44"/>
      <c r="L128" s="44"/>
      <c r="M128" s="44"/>
      <c r="N128" s="44"/>
      <c r="O128" s="44"/>
      <c r="P128" s="44"/>
      <c r="Q128" s="44"/>
      <c r="R128" s="44"/>
      <c r="S128" s="44"/>
      <c r="T128" s="44"/>
    </row>
    <row r="129" spans="11:20" ht="12.75">
      <c r="K129" s="44"/>
      <c r="L129" s="44"/>
      <c r="M129" s="44"/>
      <c r="N129" s="44"/>
      <c r="O129" s="44"/>
      <c r="P129" s="44"/>
      <c r="Q129" s="44"/>
      <c r="R129" s="44"/>
      <c r="S129" s="44"/>
      <c r="T129" s="44"/>
    </row>
    <row r="130" spans="11:20" ht="12.75">
      <c r="K130" s="44"/>
      <c r="L130" s="44"/>
      <c r="M130" s="44"/>
      <c r="N130" s="44"/>
      <c r="O130" s="44"/>
      <c r="P130" s="44"/>
      <c r="Q130" s="44"/>
      <c r="R130" s="44"/>
      <c r="S130" s="44"/>
      <c r="T130" s="44"/>
    </row>
    <row r="131" spans="11:20" ht="12.75">
      <c r="K131" s="44"/>
      <c r="L131" s="44"/>
      <c r="M131" s="44"/>
      <c r="N131" s="44"/>
      <c r="O131" s="44"/>
      <c r="P131" s="44"/>
      <c r="Q131" s="44"/>
      <c r="R131" s="44"/>
      <c r="S131" s="44"/>
      <c r="T131" s="44"/>
    </row>
  </sheetData>
  <sheetProtection/>
  <mergeCells count="9">
    <mergeCell ref="A2:G2"/>
    <mergeCell ref="A1:G1"/>
    <mergeCell ref="A3:G3"/>
    <mergeCell ref="E51:G51"/>
    <mergeCell ref="B5:G5"/>
    <mergeCell ref="E52:G52"/>
    <mergeCell ref="F39:G39"/>
    <mergeCell ref="E49:G49"/>
    <mergeCell ref="E50:G50"/>
  </mergeCells>
  <conditionalFormatting sqref="Q66 Q91:Q93 I26 I28:I29 D69:D71 I21:I22">
    <cfRule type="cellIs" priority="1" dxfId="0" operator="notEqual" stopIfTrue="1">
      <formula>0</formula>
    </cfRule>
  </conditionalFormatting>
  <printOptions horizontalCentered="1"/>
  <pageMargins left="0.5" right="0.5" top="0.72" bottom="0.71" header="0.5" footer="0.28"/>
  <pageSetup horizontalDpi="600" verticalDpi="600" orientation="portrait" scale="80" r:id="rId1"/>
  <headerFooter alignWithMargins="0">
    <oddHeader>&amp;R&amp;"Helv,Bold"
</oddHeader>
  </headerFooter>
</worksheet>
</file>

<file path=xl/worksheets/sheet3.xml><?xml version="1.0" encoding="utf-8"?>
<worksheet xmlns="http://schemas.openxmlformats.org/spreadsheetml/2006/main" xmlns:r="http://schemas.openxmlformats.org/officeDocument/2006/relationships">
  <dimension ref="A1:Y3989"/>
  <sheetViews>
    <sheetView zoomScalePageLayoutView="0" workbookViewId="0" topLeftCell="A2">
      <pane xSplit="4" ySplit="4" topLeftCell="E6" activePane="bottomRight" state="frozen"/>
      <selection pane="topLeft" activeCell="D30" sqref="D30"/>
      <selection pane="topRight" activeCell="D30" sqref="D30"/>
      <selection pane="bottomLeft" activeCell="D30" sqref="D30"/>
      <selection pane="bottomRight" activeCell="L11" sqref="L11"/>
    </sheetView>
  </sheetViews>
  <sheetFormatPr defaultColWidth="9.140625" defaultRowHeight="12.75" outlineLevelCol="1"/>
  <cols>
    <col min="1" max="1" width="5.140625" style="4" customWidth="1"/>
    <col min="2" max="2" width="31.7109375" style="3" customWidth="1"/>
    <col min="3" max="3" width="10.7109375" style="3" customWidth="1"/>
    <col min="4" max="4" width="10.421875" style="3" customWidth="1"/>
    <col min="5" max="5" width="4.421875" style="3" customWidth="1"/>
    <col min="6" max="6" width="3.140625" style="3" customWidth="1"/>
    <col min="7" max="7" width="24.8515625" style="3" hidden="1" customWidth="1" outlineLevel="1"/>
    <col min="8" max="8" width="13.8515625" style="3" hidden="1" customWidth="1" outlineLevel="1"/>
    <col min="9" max="9" width="16.8515625" style="3" customWidth="1" collapsed="1"/>
    <col min="10" max="10" width="16.28125" style="3" customWidth="1"/>
    <col min="11" max="11" width="16.57421875" style="3" customWidth="1"/>
    <col min="12" max="12" width="14.8515625" style="3" customWidth="1"/>
    <col min="13" max="13" width="15.421875" style="3" customWidth="1"/>
    <col min="14" max="14" width="14.8515625" style="3" customWidth="1"/>
    <col min="15" max="15" width="14.7109375" style="3" customWidth="1"/>
    <col min="16" max="17" width="15.28125" style="3" bestFit="1" customWidth="1"/>
    <col min="18" max="18" width="16.00390625" style="3" customWidth="1"/>
    <col min="19" max="19" width="15.421875" style="3" customWidth="1"/>
    <col min="20" max="20" width="15.140625" style="3" customWidth="1"/>
    <col min="21" max="21" width="17.421875" style="3" bestFit="1" customWidth="1"/>
    <col min="22" max="22" width="15.8515625" style="3" customWidth="1"/>
    <col min="23" max="23" width="10.7109375" style="3" bestFit="1" customWidth="1"/>
    <col min="24" max="24" width="44.00390625" style="3" bestFit="1" customWidth="1"/>
    <col min="25" max="25" width="14.00390625" style="3" bestFit="1" customWidth="1"/>
    <col min="26" max="26" width="4.8515625" style="3" bestFit="1" customWidth="1"/>
    <col min="27" max="16384" width="9.140625" style="3" customWidth="1"/>
  </cols>
  <sheetData>
    <row r="1" spans="2:10" ht="18">
      <c r="B1" s="601" t="s">
        <v>293</v>
      </c>
      <c r="G1" s="3" t="str">
        <f ca="1">CELL("filename")</f>
        <v>C:\Documents and Settings\barnd\Desktop\PCA 9\[03.  PSE PCA 9 Story attach 2 3-31-11.xls]Ex D - 2007 GRC</v>
      </c>
      <c r="J1" s="602"/>
    </row>
    <row r="2" ht="15.75">
      <c r="B2" s="603" t="s">
        <v>285</v>
      </c>
    </row>
    <row r="3" spans="1:21" ht="15.75">
      <c r="A3" s="580"/>
      <c r="B3" s="603" t="s">
        <v>235</v>
      </c>
      <c r="D3" s="4"/>
      <c r="E3" s="4"/>
      <c r="F3" s="4"/>
      <c r="G3" s="604"/>
      <c r="H3" s="38"/>
      <c r="I3" s="38"/>
      <c r="J3" s="38"/>
      <c r="K3" s="38"/>
      <c r="L3" s="38"/>
      <c r="M3" s="38"/>
      <c r="N3" s="38"/>
      <c r="O3" s="38"/>
      <c r="P3" s="38"/>
      <c r="Q3" s="38"/>
      <c r="R3" s="38"/>
      <c r="S3" s="38"/>
      <c r="T3" s="38"/>
      <c r="U3" s="38"/>
    </row>
    <row r="4" spans="1:21" ht="15.75">
      <c r="A4" s="580"/>
      <c r="B4" s="603" t="s">
        <v>261</v>
      </c>
      <c r="D4" s="4"/>
      <c r="E4" s="4"/>
      <c r="F4" s="4"/>
      <c r="G4" s="604"/>
      <c r="H4" s="38"/>
      <c r="I4" s="38"/>
      <c r="J4" s="6"/>
      <c r="K4" s="6"/>
      <c r="L4" s="6"/>
      <c r="M4" s="6"/>
      <c r="N4" s="6"/>
      <c r="O4" s="6"/>
      <c r="P4" s="6"/>
      <c r="Q4" s="6"/>
      <c r="R4" s="6"/>
      <c r="S4" s="6"/>
      <c r="T4" s="6"/>
      <c r="U4" s="6" t="s">
        <v>264</v>
      </c>
    </row>
    <row r="5" spans="1:21" ht="12.75">
      <c r="A5" s="4" t="s">
        <v>236</v>
      </c>
      <c r="B5" s="7"/>
      <c r="D5" s="20"/>
      <c r="E5" s="20"/>
      <c r="F5" s="20"/>
      <c r="G5" s="587" t="s">
        <v>237</v>
      </c>
      <c r="H5" s="587" t="s">
        <v>238</v>
      </c>
      <c r="I5" s="582">
        <v>40179</v>
      </c>
      <c r="J5" s="582">
        <v>40210</v>
      </c>
      <c r="K5" s="582">
        <v>40238</v>
      </c>
      <c r="L5" s="582">
        <v>40269</v>
      </c>
      <c r="M5" s="582">
        <v>40299</v>
      </c>
      <c r="N5" s="582">
        <v>40330</v>
      </c>
      <c r="O5" s="582">
        <v>40360</v>
      </c>
      <c r="P5" s="582">
        <v>40391</v>
      </c>
      <c r="Q5" s="582">
        <v>40422</v>
      </c>
      <c r="R5" s="582">
        <v>40452</v>
      </c>
      <c r="S5" s="582">
        <v>40483</v>
      </c>
      <c r="T5" s="582">
        <v>40513</v>
      </c>
      <c r="U5" s="582" t="s">
        <v>306</v>
      </c>
    </row>
    <row r="6" spans="1:2" ht="15">
      <c r="A6" s="4">
        <f>ROW()</f>
        <v>6</v>
      </c>
      <c r="B6" s="605" t="s">
        <v>251</v>
      </c>
    </row>
    <row r="7" spans="1:21" ht="12.75">
      <c r="A7" s="4">
        <f>ROW()</f>
        <v>7</v>
      </c>
      <c r="B7" s="3" t="s">
        <v>239</v>
      </c>
      <c r="D7" s="8"/>
      <c r="E7" s="8"/>
      <c r="F7" s="8"/>
      <c r="G7" s="11">
        <v>0</v>
      </c>
      <c r="H7" s="11">
        <f>SUM(I7:I7)</f>
        <v>964051.3304789624</v>
      </c>
      <c r="I7" s="11">
        <f>'Ex A-1 2007GRC'!$L$14</f>
        <v>964051.3304789624</v>
      </c>
      <c r="J7" s="11">
        <f>'Ex A-1 2007GRC'!$L$14</f>
        <v>964051.3304789624</v>
      </c>
      <c r="K7" s="11">
        <f>'Ex A-1 2007GRC'!$L$14</f>
        <v>964051.3304789624</v>
      </c>
      <c r="L7" s="11">
        <f>('Ex A-1 2007GRC'!$L$14*7/30)+('Exh A-1 2009GRC'!$K$14*23/30)</f>
        <v>919006.4662399098</v>
      </c>
      <c r="M7" s="11">
        <f>'Exh A-1 2009GRC'!$K$14</f>
        <v>905297.159732372</v>
      </c>
      <c r="N7" s="11">
        <f>'Exh A-1 2009GRC'!$K$14</f>
        <v>905297.159732372</v>
      </c>
      <c r="O7" s="11">
        <f>'Exh A-1 2009GRC'!$K$14</f>
        <v>905297.159732372</v>
      </c>
      <c r="P7" s="11">
        <f>'Exh A-1 2009GRC'!$K$14</f>
        <v>905297.159732372</v>
      </c>
      <c r="Q7" s="11">
        <f>'Exh A-1 2009GRC'!$K$14</f>
        <v>905297.159732372</v>
      </c>
      <c r="R7" s="11">
        <f>'Exh A-1 2009GRC'!$K$14</f>
        <v>905297.159732372</v>
      </c>
      <c r="S7" s="11">
        <f>'Exh A-1 2009GRC'!$K$14</f>
        <v>905297.159732372</v>
      </c>
      <c r="T7" s="11">
        <f>'Exh A-1 2009GRC'!$K$14</f>
        <v>905297.159732372</v>
      </c>
      <c r="U7" s="11">
        <f>SUM(I7:T7)</f>
        <v>11053537.73553577</v>
      </c>
    </row>
    <row r="8" spans="1:25" ht="12.75">
      <c r="A8" s="4">
        <f>ROW()</f>
        <v>8</v>
      </c>
      <c r="B8" s="580" t="s">
        <v>240</v>
      </c>
      <c r="D8" s="5"/>
      <c r="E8" s="5"/>
      <c r="F8" s="5"/>
      <c r="G8" s="16">
        <v>0</v>
      </c>
      <c r="H8" s="15">
        <f>SUM(I8:I8)</f>
        <v>9966614.24746081</v>
      </c>
      <c r="I8" s="16">
        <f>'Ex A-1 2007GRC'!$L$15</f>
        <v>9966614.24746081</v>
      </c>
      <c r="J8" s="16">
        <f>'Ex A-1 2007GRC'!$L$15</f>
        <v>9966614.24746081</v>
      </c>
      <c r="K8" s="16">
        <f>'Ex A-1 2007GRC'!$L$15</f>
        <v>9966614.24746081</v>
      </c>
      <c r="L8" s="16">
        <f>('Ex A-1 2007GRC'!$L$15*7/30)+('Exh A-1 2009GRC'!$K$15*23/30)</f>
        <v>12063540.34764016</v>
      </c>
      <c r="M8" s="16">
        <f>'Exh A-1 2009GRC'!$K$15</f>
        <v>12701735.247694746</v>
      </c>
      <c r="N8" s="16">
        <f>'Exh A-1 2009GRC'!$K$15</f>
        <v>12701735.247694746</v>
      </c>
      <c r="O8" s="16">
        <f>'Exh A-1 2009GRC'!$K$15</f>
        <v>12701735.247694746</v>
      </c>
      <c r="P8" s="16">
        <f>'Exh A-1 2009GRC'!$K$15</f>
        <v>12701735.247694746</v>
      </c>
      <c r="Q8" s="16">
        <f>'Exh A-1 2009GRC'!$K$15</f>
        <v>12701735.247694746</v>
      </c>
      <c r="R8" s="16">
        <f>'Exh A-1 2009GRC'!$K$15</f>
        <v>12701735.247694746</v>
      </c>
      <c r="S8" s="16">
        <f>'Exh A-1 2009GRC'!$K$15</f>
        <v>12701735.247694746</v>
      </c>
      <c r="T8" s="16">
        <f>'Exh A-1 2009GRC'!$K$15</f>
        <v>12701735.247694746</v>
      </c>
      <c r="U8" s="18">
        <f>SUM(I8:T8)</f>
        <v>143577265.07158056</v>
      </c>
      <c r="V8" s="278"/>
      <c r="Y8" s="5"/>
    </row>
    <row r="9" spans="1:25" ht="12.75">
      <c r="A9" s="4">
        <f>ROW()</f>
        <v>9</v>
      </c>
      <c r="B9" s="580" t="s">
        <v>241</v>
      </c>
      <c r="D9" s="5"/>
      <c r="E9" s="5"/>
      <c r="F9" s="5"/>
      <c r="G9" s="14">
        <f>+G8+G7</f>
        <v>0</v>
      </c>
      <c r="H9" s="14">
        <f>+H8+H7</f>
        <v>10930665.577939773</v>
      </c>
      <c r="I9" s="14">
        <f aca="true" t="shared" si="0" ref="I9:T9">SUM(I7:I8)</f>
        <v>10930665.577939773</v>
      </c>
      <c r="J9" s="14">
        <f t="shared" si="0"/>
        <v>10930665.577939773</v>
      </c>
      <c r="K9" s="14">
        <f t="shared" si="0"/>
        <v>10930665.577939773</v>
      </c>
      <c r="L9" s="14">
        <f t="shared" si="0"/>
        <v>12982546.813880071</v>
      </c>
      <c r="M9" s="14">
        <f t="shared" si="0"/>
        <v>13607032.407427117</v>
      </c>
      <c r="N9" s="14">
        <f t="shared" si="0"/>
        <v>13607032.407427117</v>
      </c>
      <c r="O9" s="14">
        <f t="shared" si="0"/>
        <v>13607032.407427117</v>
      </c>
      <c r="P9" s="14">
        <f t="shared" si="0"/>
        <v>13607032.407427117</v>
      </c>
      <c r="Q9" s="14">
        <f t="shared" si="0"/>
        <v>13607032.407427117</v>
      </c>
      <c r="R9" s="14">
        <f t="shared" si="0"/>
        <v>13607032.407427117</v>
      </c>
      <c r="S9" s="14">
        <f t="shared" si="0"/>
        <v>13607032.407427117</v>
      </c>
      <c r="T9" s="14">
        <f t="shared" si="0"/>
        <v>13607032.407427117</v>
      </c>
      <c r="U9" s="11">
        <f>SUM(I9:T9)</f>
        <v>154630802.80711633</v>
      </c>
      <c r="V9" s="278"/>
      <c r="Y9" s="5"/>
    </row>
    <row r="10" spans="1:25" ht="12.75">
      <c r="A10" s="4">
        <f>ROW()</f>
        <v>10</v>
      </c>
      <c r="B10" s="580"/>
      <c r="D10" s="5"/>
      <c r="E10" s="5"/>
      <c r="F10" s="5"/>
      <c r="G10" s="14"/>
      <c r="H10" s="14"/>
      <c r="I10" s="14"/>
      <c r="J10" s="14"/>
      <c r="K10" s="14"/>
      <c r="L10" s="14"/>
      <c r="M10" s="14"/>
      <c r="N10" s="14"/>
      <c r="O10" s="14"/>
      <c r="P10" s="14"/>
      <c r="Q10" s="14"/>
      <c r="R10" s="14"/>
      <c r="S10" s="14"/>
      <c r="T10" s="14"/>
      <c r="U10" s="11"/>
      <c r="V10" s="278"/>
      <c r="Y10" s="5"/>
    </row>
    <row r="11" spans="1:25" ht="12.75">
      <c r="A11" s="4">
        <f>ROW()</f>
        <v>11</v>
      </c>
      <c r="B11" s="41" t="s">
        <v>420</v>
      </c>
      <c r="D11" s="5"/>
      <c r="E11" s="5"/>
      <c r="F11" s="5"/>
      <c r="G11" s="14"/>
      <c r="H11" s="14"/>
      <c r="I11" s="14">
        <f>SUM('Ex A-1 2007GRC'!$L$19:$L$23)</f>
        <v>1164399.5911508724</v>
      </c>
      <c r="J11" s="14">
        <f>SUM('Ex A-1 2007GRC'!$L$19:$L$23)</f>
        <v>1164399.5911508724</v>
      </c>
      <c r="K11" s="14">
        <f>SUM('Ex A-1 2007GRC'!$L$19:$L$23)</f>
        <v>1164399.5911508724</v>
      </c>
      <c r="L11" s="11">
        <f>(SUM('Ex A-1 2007GRC'!$L$19:$L$23)*7/30)+(SUM('Exh A-1 2009GRC'!K19:$K$23)*23/30)</f>
        <v>1376475.696883478</v>
      </c>
      <c r="M11" s="14">
        <f>SUM('Exh A-1 2009GRC'!K19:$K$23)</f>
        <v>1441020.598628184</v>
      </c>
      <c r="N11" s="14">
        <f>SUM('Exh A-1 2009GRC'!$K19:L$23)</f>
        <v>1441020.598628184</v>
      </c>
      <c r="O11" s="14">
        <f>SUM('Exh A-1 2009GRC'!$K19:M$23)</f>
        <v>1441020.598628184</v>
      </c>
      <c r="P11" s="14">
        <f>SUM('Exh A-1 2009GRC'!$K19:N$23)</f>
        <v>1441020.598628184</v>
      </c>
      <c r="Q11" s="14">
        <f>SUM('Exh A-1 2009GRC'!$K19:O$23)</f>
        <v>1441020.598628184</v>
      </c>
      <c r="R11" s="14">
        <f>SUM('Exh A-1 2009GRC'!$K19:P$23)</f>
        <v>1441020.598628184</v>
      </c>
      <c r="S11" s="14">
        <f>SUM('Exh A-1 2009GRC'!$K19:Q$23)</f>
        <v>1441020.598628184</v>
      </c>
      <c r="T11" s="14">
        <f>SUM('Exh A-1 2009GRC'!$K19:R$23)</f>
        <v>1441020.598628184</v>
      </c>
      <c r="U11" s="11">
        <f aca="true" t="shared" si="1" ref="U11:U17">SUM(I11:T11)</f>
        <v>16397839.259361567</v>
      </c>
      <c r="V11" s="278"/>
      <c r="Y11" s="5"/>
    </row>
    <row r="12" spans="1:25" ht="12.75">
      <c r="A12" s="4">
        <f>ROW()</f>
        <v>12</v>
      </c>
      <c r="B12" s="41" t="s">
        <v>422</v>
      </c>
      <c r="D12" s="5"/>
      <c r="E12" s="5"/>
      <c r="F12" s="5"/>
      <c r="G12" s="14"/>
      <c r="H12" s="14"/>
      <c r="I12" s="15">
        <f>'Ex A-1 2007GRC'!$L$27</f>
        <v>8291971.7089356305</v>
      </c>
      <c r="J12" s="15">
        <f>'Ex A-1 2007GRC'!$L$27</f>
        <v>8291971.7089356305</v>
      </c>
      <c r="K12" s="15">
        <f>'Ex A-1 2007GRC'!$L$27</f>
        <v>8291971.7089356305</v>
      </c>
      <c r="L12" s="15">
        <f>('Ex A-1 2007GRC'!$L$27*7/30)+('Exh A-1 2009GRC'!$K$27*23/30)</f>
        <v>8658389.5035273</v>
      </c>
      <c r="M12" s="15">
        <f>'Exh A-1 2009GRC'!$K$27</f>
        <v>8769907.962750854</v>
      </c>
      <c r="N12" s="15">
        <f>'Exh A-1 2009GRC'!$K$27</f>
        <v>8769907.962750854</v>
      </c>
      <c r="O12" s="15">
        <f>'Exh A-1 2009GRC'!$K$27</f>
        <v>8769907.962750854</v>
      </c>
      <c r="P12" s="15">
        <f>'Exh A-1 2009GRC'!$K$27</f>
        <v>8769907.962750854</v>
      </c>
      <c r="Q12" s="15">
        <f>'Exh A-1 2009GRC'!$K$27</f>
        <v>8769907.962750854</v>
      </c>
      <c r="R12" s="15">
        <f>'Exh A-1 2009GRC'!$K$27</f>
        <v>8769907.962750854</v>
      </c>
      <c r="S12" s="15">
        <f>'Exh A-1 2009GRC'!$K$27</f>
        <v>8769907.962750854</v>
      </c>
      <c r="T12" s="15">
        <f>'Exh A-1 2009GRC'!$K$27</f>
        <v>8769907.962750854</v>
      </c>
      <c r="U12" s="15">
        <f t="shared" si="1"/>
        <v>103693568.33234102</v>
      </c>
      <c r="V12" s="278"/>
      <c r="Y12" s="5"/>
    </row>
    <row r="13" spans="1:25" ht="12.75">
      <c r="A13" s="4">
        <f>ROW()</f>
        <v>13</v>
      </c>
      <c r="B13" s="41" t="s">
        <v>421</v>
      </c>
      <c r="D13" s="5"/>
      <c r="E13" s="5"/>
      <c r="F13" s="5"/>
      <c r="G13" s="14"/>
      <c r="H13" s="14"/>
      <c r="I13" s="15">
        <f>'Ex A-1 2007GRC'!$L$30</f>
        <v>97974</v>
      </c>
      <c r="J13" s="15">
        <f>'Ex A-1 2007GRC'!$L$30</f>
        <v>97974</v>
      </c>
      <c r="K13" s="15">
        <f>'Ex A-1 2007GRC'!$L$30</f>
        <v>97974</v>
      </c>
      <c r="L13" s="15">
        <f>('Ex A-1 2007GRC'!$L$30*7/30)+('Exh A-1 2009GRC'!$K$30*23/30)</f>
        <v>118519.19722222222</v>
      </c>
      <c r="M13" s="15">
        <f>'Exh A-1 2009GRC'!$K$30</f>
        <v>124772.08333333333</v>
      </c>
      <c r="N13" s="15">
        <f>'Exh A-1 2009GRC'!$K$30</f>
        <v>124772.08333333333</v>
      </c>
      <c r="O13" s="15">
        <f>'Exh A-1 2009GRC'!$K$30</f>
        <v>124772.08333333333</v>
      </c>
      <c r="P13" s="15">
        <f>'Exh A-1 2009GRC'!$K$30</f>
        <v>124772.08333333333</v>
      </c>
      <c r="Q13" s="15">
        <f>'Exh A-1 2009GRC'!$K$30</f>
        <v>124772.08333333333</v>
      </c>
      <c r="R13" s="15">
        <f>'Exh A-1 2009GRC'!$K$30</f>
        <v>124772.08333333333</v>
      </c>
      <c r="S13" s="15">
        <f>'Exh A-1 2009GRC'!$K$30</f>
        <v>124772.08333333333</v>
      </c>
      <c r="T13" s="15">
        <f>'Exh A-1 2009GRC'!$K$30</f>
        <v>124772.08333333333</v>
      </c>
      <c r="U13" s="15">
        <f t="shared" si="1"/>
        <v>1410617.8638888889</v>
      </c>
      <c r="V13" s="278"/>
      <c r="Y13" s="5"/>
    </row>
    <row r="14" spans="1:25" ht="12.75">
      <c r="A14" s="4">
        <f>ROW()</f>
        <v>14</v>
      </c>
      <c r="B14" s="41" t="s">
        <v>423</v>
      </c>
      <c r="D14" s="5"/>
      <c r="E14" s="5"/>
      <c r="F14" s="5"/>
      <c r="G14" s="14"/>
      <c r="H14" s="14"/>
      <c r="I14" s="15">
        <f>'Ex A-1 2007GRC'!$L$31</f>
        <v>4944562.338561124</v>
      </c>
      <c r="J14" s="15">
        <f>'Ex A-1 2007GRC'!$L$31</f>
        <v>4944562.338561124</v>
      </c>
      <c r="K14" s="15">
        <f>'Ex A-1 2007GRC'!$L$31</f>
        <v>4944562.338561124</v>
      </c>
      <c r="L14" s="15">
        <f>('Ex A-1 2007GRC'!$L$31*7/30)+('Exh A-1 2009GRC'!$K$31*23/30)</f>
        <v>5006831.816094289</v>
      </c>
      <c r="M14" s="15">
        <f>'Exh A-1 2009GRC'!$K$31</f>
        <v>5025783.396213078</v>
      </c>
      <c r="N14" s="15">
        <f>'Exh A-1 2009GRC'!$K$31</f>
        <v>5025783.396213078</v>
      </c>
      <c r="O14" s="15">
        <f>'Exh A-1 2009GRC'!$K$31</f>
        <v>5025783.396213078</v>
      </c>
      <c r="P14" s="15">
        <f>'Exh A-1 2009GRC'!$K$31</f>
        <v>5025783.396213078</v>
      </c>
      <c r="Q14" s="15">
        <f>'Exh A-1 2009GRC'!$K$31</f>
        <v>5025783.396213078</v>
      </c>
      <c r="R14" s="15">
        <f>'Exh A-1 2009GRC'!$K$31</f>
        <v>5025783.396213078</v>
      </c>
      <c r="S14" s="15">
        <f>'Exh A-1 2009GRC'!$K$31</f>
        <v>5025783.396213078</v>
      </c>
      <c r="T14" s="15">
        <f>'Exh A-1 2009GRC'!$K$31</f>
        <v>5025783.396213078</v>
      </c>
      <c r="U14" s="15">
        <f t="shared" si="1"/>
        <v>60046786.00148228</v>
      </c>
      <c r="V14" s="278"/>
      <c r="Y14" s="5"/>
    </row>
    <row r="15" spans="1:25" ht="12.75">
      <c r="A15" s="4">
        <f>ROW()</f>
        <v>15</v>
      </c>
      <c r="B15" s="41" t="s">
        <v>424</v>
      </c>
      <c r="D15" s="5"/>
      <c r="E15" s="5"/>
      <c r="F15" s="5"/>
      <c r="G15" s="14"/>
      <c r="H15" s="14"/>
      <c r="I15" s="15">
        <f>'Ex A-1 2007GRC'!$L$32</f>
        <v>337824.7243192774</v>
      </c>
      <c r="J15" s="15">
        <f>'Ex A-1 2007GRC'!$L$32</f>
        <v>337824.7243192774</v>
      </c>
      <c r="K15" s="15">
        <f>'Ex A-1 2007GRC'!$L$32</f>
        <v>337824.7243192774</v>
      </c>
      <c r="L15" s="15">
        <f>('Ex A-1 2007GRC'!$L$32*7/30)+('Exh A-1 2009GRC'!$K$32*23/30)</f>
        <v>338016.99295783136</v>
      </c>
      <c r="M15" s="15">
        <f>'Exh A-1 2009GRC'!$K$32</f>
        <v>338075.5095</v>
      </c>
      <c r="N15" s="15">
        <f>'Exh A-1 2009GRC'!$K$32</f>
        <v>338075.5095</v>
      </c>
      <c r="O15" s="15">
        <f>'Exh A-1 2009GRC'!$K$32</f>
        <v>338075.5095</v>
      </c>
      <c r="P15" s="15">
        <f>'Exh A-1 2009GRC'!$K$32</f>
        <v>338075.5095</v>
      </c>
      <c r="Q15" s="15">
        <f>'Exh A-1 2009GRC'!$K$32</f>
        <v>338075.5095</v>
      </c>
      <c r="R15" s="15">
        <f>'Exh A-1 2009GRC'!$K$32</f>
        <v>338075.5095</v>
      </c>
      <c r="S15" s="15">
        <f>'Exh A-1 2009GRC'!$K$32</f>
        <v>338075.5095</v>
      </c>
      <c r="T15" s="15">
        <f>'Exh A-1 2009GRC'!$K$32</f>
        <v>338075.5095</v>
      </c>
      <c r="U15" s="15">
        <f t="shared" si="1"/>
        <v>4056095.241915664</v>
      </c>
      <c r="V15" s="278"/>
      <c r="Y15" s="5"/>
    </row>
    <row r="16" spans="1:25" ht="12.75">
      <c r="A16" s="4">
        <f>ROW()</f>
        <v>16</v>
      </c>
      <c r="B16" s="41" t="s">
        <v>425</v>
      </c>
      <c r="D16" s="5"/>
      <c r="E16" s="5"/>
      <c r="F16" s="5"/>
      <c r="G16" s="14"/>
      <c r="H16" s="14"/>
      <c r="I16" s="15">
        <f>'Ex A-1 2007GRC'!$L$34</f>
        <v>1264850.3333333333</v>
      </c>
      <c r="J16" s="15">
        <f>'Ex A-1 2007GRC'!$L$34</f>
        <v>1264850.3333333333</v>
      </c>
      <c r="K16" s="15">
        <f>'Ex A-1 2007GRC'!$L$34</f>
        <v>1264850.3333333333</v>
      </c>
      <c r="L16" s="15">
        <f>('Ex A-1 2007GRC'!$L$34*7/30)+('Exh A-1 2009GRC'!$K$34*23/30)</f>
        <v>1165002.6055555558</v>
      </c>
      <c r="M16" s="15">
        <f>'Exh A-1 2009GRC'!$K$34</f>
        <v>1134614.1666666667</v>
      </c>
      <c r="N16" s="15">
        <f>'Exh A-1 2009GRC'!$K$34</f>
        <v>1134614.1666666667</v>
      </c>
      <c r="O16" s="15">
        <f>'Exh A-1 2009GRC'!$K$34</f>
        <v>1134614.1666666667</v>
      </c>
      <c r="P16" s="15">
        <f>'Exh A-1 2009GRC'!$K$34</f>
        <v>1134614.1666666667</v>
      </c>
      <c r="Q16" s="15">
        <f>'Exh A-1 2009GRC'!$K$34</f>
        <v>1134614.1666666667</v>
      </c>
      <c r="R16" s="15">
        <f>'Exh A-1 2009GRC'!$K$34</f>
        <v>1134614.1666666667</v>
      </c>
      <c r="S16" s="15">
        <f>'Exh A-1 2009GRC'!$K$34</f>
        <v>1134614.1666666667</v>
      </c>
      <c r="T16" s="15">
        <f>'Exh A-1 2009GRC'!$K$34</f>
        <v>1134614.1666666667</v>
      </c>
      <c r="U16" s="15">
        <f t="shared" si="1"/>
        <v>14036466.938888887</v>
      </c>
      <c r="V16" s="278"/>
      <c r="Y16" s="5"/>
    </row>
    <row r="17" spans="1:25" ht="12.75">
      <c r="A17" s="4">
        <f>ROW()</f>
        <v>17</v>
      </c>
      <c r="B17" s="41" t="s">
        <v>426</v>
      </c>
      <c r="D17" s="5"/>
      <c r="E17" s="5"/>
      <c r="F17" s="5"/>
      <c r="G17" s="14"/>
      <c r="H17" s="14"/>
      <c r="I17" s="15">
        <f>'Ex A-1 2007GRC'!$L$35</f>
        <v>294596.0437413258</v>
      </c>
      <c r="J17" s="15">
        <f>'Ex A-1 2007GRC'!$L$35</f>
        <v>294596.0437413258</v>
      </c>
      <c r="K17" s="15">
        <f>'Ex A-1 2007GRC'!$L$35</f>
        <v>294596.0437413258</v>
      </c>
      <c r="L17" s="15">
        <f>('Ex A-1 2007GRC'!$L$35*7/30)+('Exh A-1 2009GRC'!$K$35*23/30)</f>
        <v>271352.6781921416</v>
      </c>
      <c r="M17" s="15">
        <f>'Exh A-1 2009GRC'!$K$35</f>
        <v>264278.6104163029</v>
      </c>
      <c r="N17" s="15">
        <f>'Exh A-1 2009GRC'!$K$35</f>
        <v>264278.6104163029</v>
      </c>
      <c r="O17" s="15">
        <f>'Exh A-1 2009GRC'!$K$35</f>
        <v>264278.6104163029</v>
      </c>
      <c r="P17" s="15">
        <f>'Exh A-1 2009GRC'!$K$35</f>
        <v>264278.6104163029</v>
      </c>
      <c r="Q17" s="15">
        <f>'Exh A-1 2009GRC'!$K$35</f>
        <v>264278.6104163029</v>
      </c>
      <c r="R17" s="15">
        <f>'Exh A-1 2009GRC'!$K$35</f>
        <v>264278.6104163029</v>
      </c>
      <c r="S17" s="15">
        <f>'Exh A-1 2009GRC'!$K$35</f>
        <v>264278.6104163029</v>
      </c>
      <c r="T17" s="15">
        <f>'Exh A-1 2009GRC'!$K$35</f>
        <v>264278.6104163029</v>
      </c>
      <c r="U17" s="15">
        <f t="shared" si="1"/>
        <v>3269369.6927465424</v>
      </c>
      <c r="V17" s="278"/>
      <c r="Y17" s="5"/>
    </row>
    <row r="18" spans="1:25" ht="12.75">
      <c r="A18" s="4">
        <f>ROW()</f>
        <v>18</v>
      </c>
      <c r="B18" s="41" t="s">
        <v>427</v>
      </c>
      <c r="D18" s="5"/>
      <c r="E18" s="5"/>
      <c r="F18" s="5"/>
      <c r="G18" s="14"/>
      <c r="H18" s="14"/>
      <c r="I18" s="382">
        <f>SUM(I11:I17)</f>
        <v>16396178.740041563</v>
      </c>
      <c r="J18" s="382">
        <f aca="true" t="shared" si="2" ref="J18:T18">SUM(J11:J17)</f>
        <v>16396178.740041563</v>
      </c>
      <c r="K18" s="382">
        <f t="shared" si="2"/>
        <v>16396178.740041563</v>
      </c>
      <c r="L18" s="382">
        <f t="shared" si="2"/>
        <v>16934588.490432817</v>
      </c>
      <c r="M18" s="382">
        <f t="shared" si="2"/>
        <v>17098452.327508423</v>
      </c>
      <c r="N18" s="382">
        <f t="shared" si="2"/>
        <v>17098452.327508423</v>
      </c>
      <c r="O18" s="382">
        <f t="shared" si="2"/>
        <v>17098452.327508423</v>
      </c>
      <c r="P18" s="382">
        <f t="shared" si="2"/>
        <v>17098452.327508423</v>
      </c>
      <c r="Q18" s="382">
        <f t="shared" si="2"/>
        <v>17098452.327508423</v>
      </c>
      <c r="R18" s="382">
        <f t="shared" si="2"/>
        <v>17098452.327508423</v>
      </c>
      <c r="S18" s="382">
        <f t="shared" si="2"/>
        <v>17098452.327508423</v>
      </c>
      <c r="T18" s="382">
        <f t="shared" si="2"/>
        <v>17098452.327508423</v>
      </c>
      <c r="U18" s="798">
        <f>SUM(I18:T18)</f>
        <v>202910743.33062488</v>
      </c>
      <c r="V18" s="278"/>
      <c r="Y18" s="5"/>
    </row>
    <row r="19" spans="1:25" ht="12.75">
      <c r="A19" s="4">
        <f>ROW()</f>
        <v>19</v>
      </c>
      <c r="B19" s="41"/>
      <c r="D19" s="5"/>
      <c r="E19" s="5"/>
      <c r="F19" s="5"/>
      <c r="G19" s="14"/>
      <c r="H19" s="14"/>
      <c r="I19" s="599"/>
      <c r="J19" s="599"/>
      <c r="K19" s="599"/>
      <c r="L19" s="599"/>
      <c r="M19" s="599"/>
      <c r="N19" s="599"/>
      <c r="O19" s="599"/>
      <c r="P19" s="599"/>
      <c r="Q19" s="599"/>
      <c r="R19" s="599"/>
      <c r="S19" s="599"/>
      <c r="T19" s="599"/>
      <c r="U19" s="18"/>
      <c r="V19" s="278"/>
      <c r="Y19" s="5"/>
    </row>
    <row r="20" spans="1:25" ht="12.75">
      <c r="A20" s="4">
        <f>ROW()</f>
        <v>20</v>
      </c>
      <c r="B20" s="41" t="s">
        <v>241</v>
      </c>
      <c r="D20" s="5"/>
      <c r="E20" s="5"/>
      <c r="F20" s="5"/>
      <c r="G20" s="14"/>
      <c r="H20" s="14"/>
      <c r="I20" s="14">
        <f>I9+I18</f>
        <v>27326844.317981336</v>
      </c>
      <c r="J20" s="14">
        <f aca="true" t="shared" si="3" ref="J20:T20">J9+J18</f>
        <v>27326844.317981336</v>
      </c>
      <c r="K20" s="14">
        <f t="shared" si="3"/>
        <v>27326844.317981336</v>
      </c>
      <c r="L20" s="14">
        <f t="shared" si="3"/>
        <v>29917135.30431289</v>
      </c>
      <c r="M20" s="14">
        <f t="shared" si="3"/>
        <v>30705484.73493554</v>
      </c>
      <c r="N20" s="14">
        <f t="shared" si="3"/>
        <v>30705484.73493554</v>
      </c>
      <c r="O20" s="14">
        <f t="shared" si="3"/>
        <v>30705484.73493554</v>
      </c>
      <c r="P20" s="14">
        <f t="shared" si="3"/>
        <v>30705484.73493554</v>
      </c>
      <c r="Q20" s="14">
        <f t="shared" si="3"/>
        <v>30705484.73493554</v>
      </c>
      <c r="R20" s="14">
        <f t="shared" si="3"/>
        <v>30705484.73493554</v>
      </c>
      <c r="S20" s="14">
        <f t="shared" si="3"/>
        <v>30705484.73493554</v>
      </c>
      <c r="T20" s="14">
        <f t="shared" si="3"/>
        <v>30705484.73493554</v>
      </c>
      <c r="U20" s="11">
        <f>SUM(I20:T20)</f>
        <v>357541546.1377412</v>
      </c>
      <c r="V20" s="278"/>
      <c r="Y20" s="5"/>
    </row>
    <row r="21" spans="1:25" ht="12.75">
      <c r="A21" s="4">
        <f>ROW()</f>
        <v>21</v>
      </c>
      <c r="B21" s="580"/>
      <c r="D21" s="5"/>
      <c r="E21" s="5"/>
      <c r="F21" s="5"/>
      <c r="G21" s="14"/>
      <c r="H21" s="14"/>
      <c r="I21" s="14"/>
      <c r="J21" s="14"/>
      <c r="K21" s="14"/>
      <c r="L21" s="14"/>
      <c r="M21" s="14"/>
      <c r="N21" s="14"/>
      <c r="O21" s="14"/>
      <c r="P21" s="14"/>
      <c r="Q21" s="14"/>
      <c r="R21" s="14"/>
      <c r="S21" s="14"/>
      <c r="T21" s="14"/>
      <c r="U21" s="11"/>
      <c r="V21" s="278"/>
      <c r="Y21" s="5"/>
    </row>
    <row r="22" spans="1:25" ht="15">
      <c r="A22" s="4">
        <f>ROW()</f>
        <v>22</v>
      </c>
      <c r="B22" s="3" t="s">
        <v>242</v>
      </c>
      <c r="C22" s="606" t="s">
        <v>307</v>
      </c>
      <c r="D22" s="5"/>
      <c r="E22" s="5"/>
      <c r="F22" s="5"/>
      <c r="G22" s="11"/>
      <c r="H22" s="11"/>
      <c r="I22" s="13"/>
      <c r="J22" s="13"/>
      <c r="K22" s="13"/>
      <c r="L22" s="13"/>
      <c r="M22" s="13"/>
      <c r="N22" s="13"/>
      <c r="O22" s="13"/>
      <c r="P22" s="13"/>
      <c r="Q22" s="13"/>
      <c r="R22" s="13"/>
      <c r="S22" s="13"/>
      <c r="T22" s="13"/>
      <c r="U22" s="13"/>
      <c r="Y22" s="5"/>
    </row>
    <row r="23" spans="1:25" ht="12.75">
      <c r="A23" s="4">
        <f>ROW()</f>
        <v>23</v>
      </c>
      <c r="B23" s="54" t="s">
        <v>243</v>
      </c>
      <c r="C23" s="221">
        <v>501</v>
      </c>
      <c r="D23" s="5"/>
      <c r="E23" s="5"/>
      <c r="F23" s="5"/>
      <c r="G23" s="14">
        <f aca="true" t="shared" si="4" ref="G23:G29">+H23</f>
        <v>6842158</v>
      </c>
      <c r="H23" s="11">
        <f aca="true" t="shared" si="5" ref="H23:H29">SUM(I23:I23)</f>
        <v>6842158</v>
      </c>
      <c r="I23" s="14">
        <v>6842158</v>
      </c>
      <c r="J23" s="14">
        <v>4543006</v>
      </c>
      <c r="K23" s="14">
        <v>6604372</v>
      </c>
      <c r="L23" s="14">
        <v>5193994</v>
      </c>
      <c r="M23" s="14">
        <v>5782664</v>
      </c>
      <c r="N23" s="14">
        <v>3893747</v>
      </c>
      <c r="O23" s="14">
        <v>6743645</v>
      </c>
      <c r="P23" s="14">
        <v>6296723</v>
      </c>
      <c r="Q23" s="14">
        <v>6453247</v>
      </c>
      <c r="R23" s="14">
        <v>5089588</v>
      </c>
      <c r="S23" s="14">
        <v>5620172.64</v>
      </c>
      <c r="T23" s="14">
        <v>5812319</v>
      </c>
      <c r="U23" s="14">
        <f aca="true" t="shared" si="6" ref="U23:U38">SUM(I23:T23)</f>
        <v>68875635.64</v>
      </c>
      <c r="Y23" s="5"/>
    </row>
    <row r="24" spans="1:25" ht="12.75">
      <c r="A24" s="4">
        <f>ROW()</f>
        <v>24</v>
      </c>
      <c r="B24" s="54" t="s">
        <v>244</v>
      </c>
      <c r="C24" s="221">
        <v>547</v>
      </c>
      <c r="D24" s="5"/>
      <c r="E24" s="5"/>
      <c r="F24" s="5"/>
      <c r="G24" s="15">
        <f t="shared" si="4"/>
        <v>8700330</v>
      </c>
      <c r="H24" s="15">
        <f t="shared" si="5"/>
        <v>8700330</v>
      </c>
      <c r="I24" s="15">
        <v>8700330</v>
      </c>
      <c r="J24" s="15">
        <v>14696874</v>
      </c>
      <c r="K24" s="15">
        <v>16821920</v>
      </c>
      <c r="L24" s="15">
        <v>17971989</v>
      </c>
      <c r="M24" s="15">
        <v>5649208</v>
      </c>
      <c r="N24" s="15">
        <v>3270390</v>
      </c>
      <c r="O24" s="15">
        <v>18904837</v>
      </c>
      <c r="P24" s="15">
        <v>29883019</v>
      </c>
      <c r="Q24" s="15">
        <v>28430494</v>
      </c>
      <c r="R24" s="15">
        <v>21548477</v>
      </c>
      <c r="S24" s="15">
        <v>18376651</v>
      </c>
      <c r="T24" s="15">
        <v>16762947</v>
      </c>
      <c r="U24" s="15">
        <f t="shared" si="6"/>
        <v>201017136</v>
      </c>
      <c r="V24" s="799"/>
      <c r="Y24" s="5"/>
    </row>
    <row r="25" spans="1:25" ht="12.75">
      <c r="A25" s="4">
        <f>ROW()</f>
        <v>25</v>
      </c>
      <c r="B25" s="54" t="s">
        <v>245</v>
      </c>
      <c r="C25" s="607" t="s">
        <v>97</v>
      </c>
      <c r="D25" s="5"/>
      <c r="E25" s="5"/>
      <c r="F25" s="5"/>
      <c r="G25" s="15">
        <f t="shared" si="4"/>
        <v>3287961</v>
      </c>
      <c r="H25" s="15">
        <f t="shared" si="5"/>
        <v>3287961</v>
      </c>
      <c r="I25" s="15">
        <v>3287961</v>
      </c>
      <c r="J25" s="15">
        <v>1928500</v>
      </c>
      <c r="K25" s="15">
        <v>2703109</v>
      </c>
      <c r="L25" s="15">
        <v>1493855</v>
      </c>
      <c r="M25" s="15">
        <v>1247632</v>
      </c>
      <c r="N25" s="15">
        <v>1444494</v>
      </c>
      <c r="O25" s="15">
        <v>4768871</v>
      </c>
      <c r="P25" s="15">
        <v>4047698</v>
      </c>
      <c r="Q25" s="15">
        <v>3236681</v>
      </c>
      <c r="R25" s="15">
        <v>4113502</v>
      </c>
      <c r="S25" s="15">
        <v>3646869</v>
      </c>
      <c r="T25" s="15">
        <v>4829289</v>
      </c>
      <c r="U25" s="15">
        <f t="shared" si="6"/>
        <v>36748461</v>
      </c>
      <c r="Y25" s="5"/>
    </row>
    <row r="26" spans="1:25" ht="12.75">
      <c r="A26" s="4">
        <f>ROW()</f>
        <v>26</v>
      </c>
      <c r="B26" s="54" t="s">
        <v>246</v>
      </c>
      <c r="C26" s="221">
        <v>555</v>
      </c>
      <c r="D26" s="5"/>
      <c r="E26" s="5"/>
      <c r="F26" s="222"/>
      <c r="G26" s="15">
        <f t="shared" si="4"/>
        <v>87684681</v>
      </c>
      <c r="H26" s="15">
        <f t="shared" si="5"/>
        <v>87684681</v>
      </c>
      <c r="I26" s="15">
        <v>87684681</v>
      </c>
      <c r="J26" s="15">
        <v>76444652</v>
      </c>
      <c r="K26" s="15">
        <v>76695087</v>
      </c>
      <c r="L26" s="15">
        <v>49456267</v>
      </c>
      <c r="M26" s="15">
        <v>44229652</v>
      </c>
      <c r="N26" s="15">
        <v>53952374</v>
      </c>
      <c r="O26" s="15">
        <v>32562636</v>
      </c>
      <c r="P26" s="15">
        <v>32772333</v>
      </c>
      <c r="Q26" s="15">
        <v>37988016</v>
      </c>
      <c r="R26" s="15">
        <v>50978772</v>
      </c>
      <c r="S26" s="15">
        <v>66570174</v>
      </c>
      <c r="T26" s="15">
        <v>87391541</v>
      </c>
      <c r="U26" s="15">
        <f t="shared" si="6"/>
        <v>696726185</v>
      </c>
      <c r="Y26" s="5"/>
    </row>
    <row r="27" spans="1:25" ht="12.75">
      <c r="A27" s="4">
        <f>ROW()</f>
        <v>27</v>
      </c>
      <c r="B27" s="54" t="s">
        <v>247</v>
      </c>
      <c r="C27" s="221">
        <v>447</v>
      </c>
      <c r="D27" s="5"/>
      <c r="E27" s="5"/>
      <c r="F27" s="5"/>
      <c r="G27" s="15">
        <f t="shared" si="4"/>
        <v>-5895128</v>
      </c>
      <c r="H27" s="15">
        <f t="shared" si="5"/>
        <v>-5895128</v>
      </c>
      <c r="I27" s="15">
        <v>-5895128</v>
      </c>
      <c r="J27" s="15">
        <v>-4057814</v>
      </c>
      <c r="K27" s="15">
        <v>-7255304</v>
      </c>
      <c r="L27" s="15">
        <v>-8010663</v>
      </c>
      <c r="M27" s="15">
        <v>-4380795</v>
      </c>
      <c r="N27" s="15">
        <v>-2078052</v>
      </c>
      <c r="O27" s="15">
        <v>-8162533</v>
      </c>
      <c r="P27" s="15">
        <v>-13799151</v>
      </c>
      <c r="Q27" s="15">
        <v>-10000961</v>
      </c>
      <c r="R27" s="15">
        <v>-6448145</v>
      </c>
      <c r="S27" s="15">
        <v>-5620500</v>
      </c>
      <c r="T27" s="15">
        <v>-4996765</v>
      </c>
      <c r="U27" s="15">
        <f t="shared" si="6"/>
        <v>-80705811</v>
      </c>
      <c r="Y27" s="5"/>
    </row>
    <row r="28" spans="1:25" ht="12.75">
      <c r="A28" s="4">
        <f>ROW()</f>
        <v>28</v>
      </c>
      <c r="B28" s="54" t="s">
        <v>248</v>
      </c>
      <c r="C28" s="221">
        <v>565</v>
      </c>
      <c r="D28" s="5"/>
      <c r="E28" s="5"/>
      <c r="F28" s="5"/>
      <c r="G28" s="15">
        <f t="shared" si="4"/>
        <v>6215108</v>
      </c>
      <c r="H28" s="15">
        <f t="shared" si="5"/>
        <v>6215108</v>
      </c>
      <c r="I28" s="15">
        <v>6215108</v>
      </c>
      <c r="J28" s="15">
        <v>6184318</v>
      </c>
      <c r="K28" s="15">
        <v>5963881</v>
      </c>
      <c r="L28" s="15">
        <v>6590581</v>
      </c>
      <c r="M28" s="15">
        <v>6571195</v>
      </c>
      <c r="N28" s="15">
        <v>6722010</v>
      </c>
      <c r="O28" s="15">
        <v>6690546</v>
      </c>
      <c r="P28" s="15">
        <v>6656069</v>
      </c>
      <c r="Q28" s="15">
        <v>6818391</v>
      </c>
      <c r="R28" s="15">
        <v>6671011</v>
      </c>
      <c r="S28" s="15">
        <v>6836216</v>
      </c>
      <c r="T28" s="15">
        <v>6645344</v>
      </c>
      <c r="U28" s="15">
        <f t="shared" si="6"/>
        <v>78564670</v>
      </c>
      <c r="Y28" s="5"/>
    </row>
    <row r="29" spans="1:25" ht="12.75">
      <c r="A29" s="4">
        <f>ROW()</f>
        <v>29</v>
      </c>
      <c r="B29" s="54" t="s">
        <v>249</v>
      </c>
      <c r="C29" s="55">
        <v>45610005</v>
      </c>
      <c r="D29" s="5"/>
      <c r="E29" s="5"/>
      <c r="F29" s="5"/>
      <c r="G29" s="15">
        <f t="shared" si="4"/>
        <v>-164851</v>
      </c>
      <c r="H29" s="15">
        <f t="shared" si="5"/>
        <v>-164851</v>
      </c>
      <c r="I29" s="15">
        <v>-164851</v>
      </c>
      <c r="J29" s="15">
        <v>-127776</v>
      </c>
      <c r="K29" s="15">
        <v>-156122</v>
      </c>
      <c r="L29" s="15">
        <v>-506912</v>
      </c>
      <c r="M29" s="15">
        <v>-1056313</v>
      </c>
      <c r="N29" s="15">
        <v>-616733</v>
      </c>
      <c r="O29" s="15">
        <v>-371977</v>
      </c>
      <c r="P29" s="15">
        <v>-316849</v>
      </c>
      <c r="Q29" s="15">
        <v>-304579</v>
      </c>
      <c r="R29" s="15">
        <v>-533048</v>
      </c>
      <c r="S29" s="15">
        <v>-205717</v>
      </c>
      <c r="T29" s="15">
        <v>-333567</v>
      </c>
      <c r="U29" s="15">
        <f t="shared" si="6"/>
        <v>-4694444</v>
      </c>
      <c r="Y29" s="5"/>
    </row>
    <row r="30" spans="1:25" ht="12.75">
      <c r="A30" s="4">
        <f>ROW()</f>
        <v>30</v>
      </c>
      <c r="B30" s="54" t="s">
        <v>76</v>
      </c>
      <c r="C30" s="55">
        <v>40700015</v>
      </c>
      <c r="D30" s="5"/>
      <c r="E30" s="5"/>
      <c r="F30" s="5"/>
      <c r="G30" s="15"/>
      <c r="H30" s="15"/>
      <c r="I30" s="15">
        <v>124558</v>
      </c>
      <c r="J30" s="15">
        <v>124558</v>
      </c>
      <c r="K30" s="15">
        <v>124558</v>
      </c>
      <c r="L30" s="15">
        <v>124558</v>
      </c>
      <c r="M30" s="15">
        <v>124558</v>
      </c>
      <c r="N30" s="15">
        <v>124558</v>
      </c>
      <c r="O30" s="15">
        <v>124558</v>
      </c>
      <c r="P30" s="15">
        <v>124558</v>
      </c>
      <c r="Q30" s="15">
        <v>124558</v>
      </c>
      <c r="R30" s="15">
        <v>124558</v>
      </c>
      <c r="S30" s="15">
        <v>124558</v>
      </c>
      <c r="T30" s="15">
        <v>124558</v>
      </c>
      <c r="U30" s="15">
        <f t="shared" si="6"/>
        <v>1494696</v>
      </c>
      <c r="Y30" s="5"/>
    </row>
    <row r="31" spans="1:25" ht="12.75">
      <c r="A31" s="4">
        <f>ROW()</f>
        <v>31</v>
      </c>
      <c r="B31" s="54" t="s">
        <v>93</v>
      </c>
      <c r="C31" s="55">
        <v>40730041</v>
      </c>
      <c r="D31" s="5"/>
      <c r="E31" s="5"/>
      <c r="F31" s="5"/>
      <c r="G31" s="15"/>
      <c r="H31" s="15"/>
      <c r="I31" s="15">
        <v>346846</v>
      </c>
      <c r="J31" s="15">
        <v>346846</v>
      </c>
      <c r="K31" s="15">
        <v>346846</v>
      </c>
      <c r="L31" s="15">
        <v>346846</v>
      </c>
      <c r="M31" s="15">
        <v>346846</v>
      </c>
      <c r="N31" s="15">
        <v>346846</v>
      </c>
      <c r="O31" s="15">
        <v>346846</v>
      </c>
      <c r="P31" s="15">
        <v>346846</v>
      </c>
      <c r="Q31" s="15">
        <v>346846</v>
      </c>
      <c r="R31" s="15">
        <v>346846</v>
      </c>
      <c r="S31" s="15">
        <v>346846</v>
      </c>
      <c r="T31" s="15">
        <v>346846</v>
      </c>
      <c r="U31" s="15">
        <f t="shared" si="6"/>
        <v>4162152</v>
      </c>
      <c r="Y31" s="5"/>
    </row>
    <row r="32" spans="1:25" ht="12.75">
      <c r="A32" s="4">
        <v>20</v>
      </c>
      <c r="B32" s="3" t="s">
        <v>14</v>
      </c>
      <c r="C32" s="55">
        <v>40730051</v>
      </c>
      <c r="D32" s="5"/>
      <c r="E32" s="5"/>
      <c r="F32" s="5"/>
      <c r="G32" s="15"/>
      <c r="H32" s="15"/>
      <c r="I32" s="15">
        <v>0</v>
      </c>
      <c r="J32" s="15">
        <v>0</v>
      </c>
      <c r="K32" s="15">
        <v>0</v>
      </c>
      <c r="L32" s="15">
        <v>235685</v>
      </c>
      <c r="M32" s="15">
        <v>240421</v>
      </c>
      <c r="N32" s="15">
        <v>240421</v>
      </c>
      <c r="O32" s="15">
        <v>240421</v>
      </c>
      <c r="P32" s="15">
        <v>240421</v>
      </c>
      <c r="Q32" s="15">
        <v>240421</v>
      </c>
      <c r="R32" s="15">
        <v>240421</v>
      </c>
      <c r="S32" s="15">
        <v>240421</v>
      </c>
      <c r="T32" s="15">
        <v>240421</v>
      </c>
      <c r="U32" s="15">
        <f t="shared" si="6"/>
        <v>2159053</v>
      </c>
      <c r="Y32" s="5"/>
    </row>
    <row r="33" spans="1:25" ht="12.75">
      <c r="A33" s="4">
        <v>21</v>
      </c>
      <c r="B33" s="3" t="s">
        <v>13</v>
      </c>
      <c r="C33" s="55">
        <v>40730061</v>
      </c>
      <c r="D33" s="5"/>
      <c r="E33" s="5"/>
      <c r="F33" s="5"/>
      <c r="G33" s="15"/>
      <c r="H33" s="15"/>
      <c r="I33" s="15">
        <v>0</v>
      </c>
      <c r="J33" s="15">
        <v>0</v>
      </c>
      <c r="K33" s="15">
        <v>0</v>
      </c>
      <c r="L33" s="15">
        <v>223161</v>
      </c>
      <c r="M33" s="15">
        <v>234856</v>
      </c>
      <c r="N33" s="15">
        <v>234856</v>
      </c>
      <c r="O33" s="15">
        <v>234856</v>
      </c>
      <c r="P33" s="15">
        <v>234856</v>
      </c>
      <c r="Q33" s="15">
        <v>234856</v>
      </c>
      <c r="R33" s="15">
        <v>234856</v>
      </c>
      <c r="S33" s="15">
        <v>234856</v>
      </c>
      <c r="T33" s="15">
        <v>234856</v>
      </c>
      <c r="U33" s="15">
        <f t="shared" si="6"/>
        <v>2102009</v>
      </c>
      <c r="Y33" s="5"/>
    </row>
    <row r="34" spans="1:25" ht="12.75">
      <c r="A34" s="4">
        <v>22</v>
      </c>
      <c r="B34" s="10" t="s">
        <v>203</v>
      </c>
      <c r="C34" s="608"/>
      <c r="D34" s="581"/>
      <c r="E34" s="581"/>
      <c r="F34" s="581"/>
      <c r="G34" s="15"/>
      <c r="H34" s="15"/>
      <c r="I34" s="15">
        <v>0</v>
      </c>
      <c r="J34" s="15">
        <v>0</v>
      </c>
      <c r="K34" s="15">
        <v>0</v>
      </c>
      <c r="L34" s="15">
        <v>0</v>
      </c>
      <c r="M34" s="15">
        <v>20818</v>
      </c>
      <c r="N34" s="15">
        <v>11784</v>
      </c>
      <c r="O34" s="15">
        <v>11784</v>
      </c>
      <c r="P34" s="15">
        <v>11784</v>
      </c>
      <c r="Q34" s="15">
        <v>11784</v>
      </c>
      <c r="R34" s="15">
        <v>11784</v>
      </c>
      <c r="S34" s="15">
        <v>11784</v>
      </c>
      <c r="T34" s="15">
        <v>11784</v>
      </c>
      <c r="U34" s="15">
        <f t="shared" si="6"/>
        <v>103306</v>
      </c>
      <c r="Y34" s="5"/>
    </row>
    <row r="35" spans="1:25" ht="12.75">
      <c r="A35" s="4">
        <v>23</v>
      </c>
      <c r="B35" s="10" t="s">
        <v>289</v>
      </c>
      <c r="C35" s="609">
        <v>553002864</v>
      </c>
      <c r="D35" s="5"/>
      <c r="E35" s="5"/>
      <c r="F35" s="5"/>
      <c r="G35" s="15"/>
      <c r="H35" s="15"/>
      <c r="I35" s="15">
        <v>0</v>
      </c>
      <c r="J35" s="15">
        <v>0</v>
      </c>
      <c r="K35" s="15">
        <v>0</v>
      </c>
      <c r="L35" s="15">
        <v>0</v>
      </c>
      <c r="M35" s="15">
        <v>52202</v>
      </c>
      <c r="N35" s="15">
        <v>29548</v>
      </c>
      <c r="O35" s="15">
        <v>29548</v>
      </c>
      <c r="P35" s="15">
        <v>29548</v>
      </c>
      <c r="Q35" s="15">
        <v>29548</v>
      </c>
      <c r="R35" s="15">
        <v>29548</v>
      </c>
      <c r="S35" s="15">
        <v>29548</v>
      </c>
      <c r="T35" s="15">
        <v>29548</v>
      </c>
      <c r="U35" s="15">
        <f t="shared" si="6"/>
        <v>259038</v>
      </c>
      <c r="Y35" s="5"/>
    </row>
    <row r="36" spans="1:25" ht="12.75">
      <c r="A36" s="4">
        <v>24</v>
      </c>
      <c r="B36" s="10" t="s">
        <v>288</v>
      </c>
      <c r="C36" s="609">
        <v>553002862</v>
      </c>
      <c r="D36" s="5"/>
      <c r="E36" s="5"/>
      <c r="F36" s="5"/>
      <c r="G36" s="15"/>
      <c r="H36" s="15"/>
      <c r="I36" s="15">
        <v>0</v>
      </c>
      <c r="J36" s="15">
        <v>0</v>
      </c>
      <c r="K36" s="15">
        <v>0</v>
      </c>
      <c r="L36" s="15">
        <v>0</v>
      </c>
      <c r="M36" s="15">
        <v>20315</v>
      </c>
      <c r="N36" s="15">
        <v>17048</v>
      </c>
      <c r="O36" s="15">
        <v>17048</v>
      </c>
      <c r="P36" s="15">
        <v>17048</v>
      </c>
      <c r="Q36" s="15">
        <v>17048</v>
      </c>
      <c r="R36" s="15">
        <v>17048</v>
      </c>
      <c r="S36" s="15">
        <v>0</v>
      </c>
      <c r="T36" s="15">
        <v>0</v>
      </c>
      <c r="U36" s="15">
        <f t="shared" si="6"/>
        <v>105555</v>
      </c>
      <c r="Y36" s="5"/>
    </row>
    <row r="37" spans="1:25" ht="12.75">
      <c r="A37" s="4">
        <v>25</v>
      </c>
      <c r="B37" s="10" t="s">
        <v>287</v>
      </c>
      <c r="C37" s="609">
        <v>553002866</v>
      </c>
      <c r="D37" s="5"/>
      <c r="E37" s="5"/>
      <c r="F37" s="5"/>
      <c r="G37" s="15"/>
      <c r="H37" s="15"/>
      <c r="I37" s="15">
        <v>0</v>
      </c>
      <c r="J37" s="15">
        <v>0</v>
      </c>
      <c r="K37" s="15">
        <v>0</v>
      </c>
      <c r="L37" s="15">
        <v>0</v>
      </c>
      <c r="M37" s="15">
        <v>0</v>
      </c>
      <c r="N37" s="15">
        <v>0</v>
      </c>
      <c r="O37" s="15">
        <v>0</v>
      </c>
      <c r="P37" s="15">
        <v>0</v>
      </c>
      <c r="Q37" s="15">
        <v>260725</v>
      </c>
      <c r="R37" s="15">
        <v>65181</v>
      </c>
      <c r="S37" s="15">
        <v>65181</v>
      </c>
      <c r="T37" s="15">
        <v>65182</v>
      </c>
      <c r="U37" s="15">
        <f t="shared" si="6"/>
        <v>456269</v>
      </c>
      <c r="Y37" s="5"/>
    </row>
    <row r="38" spans="1:25" ht="12.75">
      <c r="A38" s="4">
        <v>26</v>
      </c>
      <c r="B38" s="10" t="s">
        <v>535</v>
      </c>
      <c r="C38" s="49">
        <v>553008200</v>
      </c>
      <c r="D38" s="5"/>
      <c r="E38" s="5"/>
      <c r="F38" s="5"/>
      <c r="G38" s="15"/>
      <c r="H38" s="15"/>
      <c r="I38" s="15">
        <v>0</v>
      </c>
      <c r="J38" s="15">
        <v>0</v>
      </c>
      <c r="K38" s="15">
        <v>0</v>
      </c>
      <c r="L38" s="15">
        <v>0</v>
      </c>
      <c r="M38" s="15">
        <v>0</v>
      </c>
      <c r="N38" s="15">
        <v>0</v>
      </c>
      <c r="O38" s="15">
        <v>0</v>
      </c>
      <c r="P38" s="15">
        <v>0</v>
      </c>
      <c r="Q38" s="15">
        <v>0</v>
      </c>
      <c r="R38" s="15">
        <v>0</v>
      </c>
      <c r="S38" s="15">
        <v>30517</v>
      </c>
      <c r="T38" s="15">
        <v>30517</v>
      </c>
      <c r="U38" s="15">
        <f t="shared" si="6"/>
        <v>61034</v>
      </c>
      <c r="Y38" s="5"/>
    </row>
    <row r="39" spans="1:21" ht="12.75">
      <c r="A39" s="4">
        <f>ROW()</f>
        <v>39</v>
      </c>
      <c r="B39" s="54" t="s">
        <v>305</v>
      </c>
      <c r="C39" s="221"/>
      <c r="D39" s="5"/>
      <c r="E39" s="5"/>
      <c r="F39" s="5"/>
      <c r="G39" s="15"/>
      <c r="H39" s="15"/>
      <c r="I39" s="382">
        <f>SUM(I23:I38)</f>
        <v>107141663</v>
      </c>
      <c r="J39" s="382">
        <f aca="true" t="shared" si="7" ref="J39:U39">SUM(J23:J38)</f>
        <v>100083164</v>
      </c>
      <c r="K39" s="382">
        <f t="shared" si="7"/>
        <v>101848347</v>
      </c>
      <c r="L39" s="382">
        <f t="shared" si="7"/>
        <v>73119361</v>
      </c>
      <c r="M39" s="382">
        <f t="shared" si="7"/>
        <v>59083259</v>
      </c>
      <c r="N39" s="382">
        <f t="shared" si="7"/>
        <v>67593291</v>
      </c>
      <c r="O39" s="382">
        <f t="shared" si="7"/>
        <v>62141086</v>
      </c>
      <c r="P39" s="382">
        <f t="shared" si="7"/>
        <v>66544903</v>
      </c>
      <c r="Q39" s="382">
        <f t="shared" si="7"/>
        <v>73887075</v>
      </c>
      <c r="R39" s="382">
        <f t="shared" si="7"/>
        <v>82490399</v>
      </c>
      <c r="S39" s="382">
        <f t="shared" si="7"/>
        <v>96307576.64</v>
      </c>
      <c r="T39" s="382">
        <f t="shared" si="7"/>
        <v>117194820</v>
      </c>
      <c r="U39" s="382">
        <f t="shared" si="7"/>
        <v>1007434944.64</v>
      </c>
    </row>
    <row r="40" spans="1:21" ht="12.75">
      <c r="A40" s="4">
        <f>ROW()</f>
        <v>40</v>
      </c>
      <c r="B40" s="54"/>
      <c r="C40" s="221"/>
      <c r="D40" s="5"/>
      <c r="E40" s="5"/>
      <c r="F40" s="5"/>
      <c r="G40" s="15"/>
      <c r="H40" s="15"/>
      <c r="I40" s="13"/>
      <c r="J40" s="13"/>
      <c r="K40" s="13"/>
      <c r="L40" s="13"/>
      <c r="M40" s="13"/>
      <c r="N40" s="13"/>
      <c r="O40" s="13"/>
      <c r="P40" s="13"/>
      <c r="Q40" s="13"/>
      <c r="R40" s="13"/>
      <c r="S40" s="13"/>
      <c r="T40" s="13"/>
      <c r="U40" s="13"/>
    </row>
    <row r="41" spans="1:21" ht="12.75">
      <c r="A41" s="4">
        <f>ROW()</f>
        <v>41</v>
      </c>
      <c r="B41" s="54" t="s">
        <v>0</v>
      </c>
      <c r="C41" s="221"/>
      <c r="D41" s="5"/>
      <c r="E41" s="5"/>
      <c r="F41" s="5"/>
      <c r="G41" s="15">
        <f>+H41</f>
        <v>1146364</v>
      </c>
      <c r="H41" s="15">
        <f>SUM(I41:I41)</f>
        <v>1146364</v>
      </c>
      <c r="I41" s="15">
        <f>1149470-3106</f>
        <v>1146364</v>
      </c>
      <c r="J41" s="15">
        <f>916676-232794-105053</f>
        <v>578829</v>
      </c>
      <c r="K41" s="15">
        <v>925700</v>
      </c>
      <c r="L41" s="15">
        <f>1088482+506394+21897+11386-185457</f>
        <v>1442702</v>
      </c>
      <c r="M41" s="15">
        <v>1088482</v>
      </c>
      <c r="N41" s="15">
        <f>1073971-72555</f>
        <v>1001416</v>
      </c>
      <c r="O41" s="15">
        <v>1073971</v>
      </c>
      <c r="P41" s="15">
        <f>1138090-283995</f>
        <v>854095</v>
      </c>
      <c r="Q41" s="15">
        <v>1139364</v>
      </c>
      <c r="R41" s="15">
        <v>1139364</v>
      </c>
      <c r="S41" s="15">
        <v>1139364</v>
      </c>
      <c r="T41" s="15">
        <v>1053883</v>
      </c>
      <c r="U41" s="17">
        <f>SUM(I41:T41)</f>
        <v>12583534</v>
      </c>
    </row>
    <row r="42" spans="1:21" ht="12.75">
      <c r="A42" s="4">
        <f>ROW()</f>
        <v>42</v>
      </c>
      <c r="B42" s="626" t="s">
        <v>204</v>
      </c>
      <c r="C42" s="21"/>
      <c r="D42" s="36"/>
      <c r="E42" s="21"/>
      <c r="F42" s="22"/>
      <c r="G42" s="18"/>
      <c r="H42" s="11"/>
      <c r="I42" s="16">
        <v>28795</v>
      </c>
      <c r="J42" s="16">
        <v>26237</v>
      </c>
      <c r="K42" s="16">
        <v>25337</v>
      </c>
      <c r="L42" s="16">
        <v>24595</v>
      </c>
      <c r="M42" s="16">
        <v>25337</v>
      </c>
      <c r="N42" s="16">
        <v>24595</v>
      </c>
      <c r="O42" s="16">
        <v>25337</v>
      </c>
      <c r="P42" s="16">
        <v>25337</v>
      </c>
      <c r="Q42" s="16">
        <v>24595</v>
      </c>
      <c r="R42" s="16">
        <v>25337</v>
      </c>
      <c r="S42" s="16">
        <v>24595</v>
      </c>
      <c r="T42" s="16">
        <v>25337</v>
      </c>
      <c r="U42" s="16">
        <f>SUM(I42:T42)</f>
        <v>305434</v>
      </c>
    </row>
    <row r="43" spans="1:21" ht="12.75">
      <c r="A43" s="4">
        <f>ROW()</f>
        <v>43</v>
      </c>
      <c r="B43" s="19" t="s">
        <v>250</v>
      </c>
      <c r="C43" s="5"/>
      <c r="D43" s="5"/>
      <c r="E43" s="5"/>
      <c r="F43" s="5"/>
      <c r="G43" s="17">
        <f>+SUM(G9:G41)</f>
        <v>107816623</v>
      </c>
      <c r="H43" s="17">
        <f>+SUM(H9:H41)</f>
        <v>118747288.57793978</v>
      </c>
      <c r="I43" s="17">
        <f>+I20+I39+I41+I42</f>
        <v>135643666.31798133</v>
      </c>
      <c r="J43" s="17">
        <f aca="true" t="shared" si="8" ref="J43:T43">+J20+J39+J41+J42</f>
        <v>128015074.31798133</v>
      </c>
      <c r="K43" s="17">
        <f t="shared" si="8"/>
        <v>130126228.31798133</v>
      </c>
      <c r="L43" s="17">
        <f t="shared" si="8"/>
        <v>104503793.30431288</v>
      </c>
      <c r="M43" s="17">
        <f t="shared" si="8"/>
        <v>90902562.73493554</v>
      </c>
      <c r="N43" s="17">
        <f t="shared" si="8"/>
        <v>99324786.73493554</v>
      </c>
      <c r="O43" s="17">
        <f t="shared" si="8"/>
        <v>93945878.73493554</v>
      </c>
      <c r="P43" s="17">
        <f t="shared" si="8"/>
        <v>98129819.73493554</v>
      </c>
      <c r="Q43" s="17">
        <f t="shared" si="8"/>
        <v>105756518.73493554</v>
      </c>
      <c r="R43" s="17">
        <f t="shared" si="8"/>
        <v>114360584.73493554</v>
      </c>
      <c r="S43" s="17">
        <f t="shared" si="8"/>
        <v>128177020.37493554</v>
      </c>
      <c r="T43" s="17">
        <f t="shared" si="8"/>
        <v>148979524.73493555</v>
      </c>
      <c r="U43" s="17">
        <f>+U20+U39+U41+U42</f>
        <v>1377865458.7777412</v>
      </c>
    </row>
    <row r="44" spans="1:21" ht="12.75">
      <c r="A44" s="4">
        <f>ROW()</f>
        <v>44</v>
      </c>
      <c r="B44" s="19"/>
      <c r="C44" s="5"/>
      <c r="D44" s="5"/>
      <c r="E44" s="5"/>
      <c r="F44" s="5"/>
      <c r="G44" s="50"/>
      <c r="H44" s="50"/>
      <c r="I44" s="50"/>
      <c r="J44" s="50"/>
      <c r="K44" s="50"/>
      <c r="L44" s="50"/>
      <c r="M44" s="50"/>
      <c r="N44" s="50"/>
      <c r="O44" s="50"/>
      <c r="P44" s="50"/>
      <c r="Q44" s="50"/>
      <c r="R44" s="50"/>
      <c r="S44" s="50"/>
      <c r="T44" s="50"/>
      <c r="U44" s="50"/>
    </row>
    <row r="45" spans="1:21" ht="12.75">
      <c r="A45" s="4">
        <f>ROW()</f>
        <v>45</v>
      </c>
      <c r="B45" s="610" t="s">
        <v>251</v>
      </c>
      <c r="C45" s="5"/>
      <c r="D45" s="5"/>
      <c r="E45" s="5"/>
      <c r="F45" s="5"/>
      <c r="G45" s="219"/>
      <c r="H45" s="219"/>
      <c r="I45" s="219"/>
      <c r="J45" s="219"/>
      <c r="K45" s="219"/>
      <c r="L45" s="219"/>
      <c r="M45" s="219"/>
      <c r="N45" s="219"/>
      <c r="O45" s="219"/>
      <c r="P45" s="219"/>
      <c r="Q45" s="219"/>
      <c r="R45" s="219"/>
      <c r="S45" s="219"/>
      <c r="T45" s="219"/>
      <c r="U45" s="219"/>
    </row>
    <row r="46" spans="1:22" ht="12.75">
      <c r="A46" s="4">
        <f>ROW()</f>
        <v>46</v>
      </c>
      <c r="B46" s="3" t="s">
        <v>252</v>
      </c>
      <c r="C46" s="5"/>
      <c r="D46" s="5"/>
      <c r="E46" s="5"/>
      <c r="F46" s="222"/>
      <c r="G46" s="220">
        <v>0</v>
      </c>
      <c r="H46" s="220">
        <f>SUM(I46:I46)</f>
        <v>-264119</v>
      </c>
      <c r="I46" s="220">
        <v>-264119</v>
      </c>
      <c r="J46" s="220">
        <v>-240998</v>
      </c>
      <c r="K46" s="220">
        <v>-250444</v>
      </c>
      <c r="L46" s="220">
        <v>-223641</v>
      </c>
      <c r="M46" s="220">
        <v>-67428</v>
      </c>
      <c r="N46" s="220">
        <v>-187839</v>
      </c>
      <c r="O46" s="220">
        <v>-217225</v>
      </c>
      <c r="P46" s="220">
        <v>-220021</v>
      </c>
      <c r="Q46" s="220">
        <v>-258012</v>
      </c>
      <c r="R46" s="220">
        <v>-233035</v>
      </c>
      <c r="S46" s="220">
        <v>-237470</v>
      </c>
      <c r="T46" s="220">
        <v>-245927</v>
      </c>
      <c r="U46" s="220">
        <f aca="true" t="shared" si="9" ref="U46:U55">SUM(I46:T46)</f>
        <v>-2646159</v>
      </c>
      <c r="V46" s="223"/>
    </row>
    <row r="47" spans="1:22" ht="12.75">
      <c r="A47" s="4">
        <f>ROW()</f>
        <v>47</v>
      </c>
      <c r="B47" s="3" t="s">
        <v>234</v>
      </c>
      <c r="C47" s="611"/>
      <c r="D47" s="21"/>
      <c r="E47" s="21"/>
      <c r="F47" s="5"/>
      <c r="G47" s="15">
        <v>0</v>
      </c>
      <c r="H47" s="15">
        <f>SUM(I47:I47)</f>
        <v>0</v>
      </c>
      <c r="I47" s="15"/>
      <c r="J47" s="15"/>
      <c r="K47" s="15"/>
      <c r="L47" s="15"/>
      <c r="M47" s="15"/>
      <c r="N47" s="15"/>
      <c r="O47" s="15"/>
      <c r="P47" s="15"/>
      <c r="Q47" s="15"/>
      <c r="R47" s="15"/>
      <c r="S47" s="15"/>
      <c r="T47" s="15"/>
      <c r="U47" s="15">
        <f t="shared" si="9"/>
        <v>0</v>
      </c>
      <c r="V47" s="13"/>
    </row>
    <row r="48" spans="1:22" ht="12.75">
      <c r="A48" s="4">
        <f>ROW()</f>
        <v>48</v>
      </c>
      <c r="B48" s="3" t="s">
        <v>253</v>
      </c>
      <c r="C48" s="21"/>
      <c r="D48" s="21"/>
      <c r="E48" s="21"/>
      <c r="F48" s="5"/>
      <c r="G48" s="15">
        <f>+H48</f>
        <v>0</v>
      </c>
      <c r="H48" s="15">
        <f>SUM(I48:I48)</f>
        <v>0</v>
      </c>
      <c r="I48" s="15">
        <v>0</v>
      </c>
      <c r="J48" s="15">
        <v>0</v>
      </c>
      <c r="K48" s="15">
        <v>0</v>
      </c>
      <c r="L48" s="15">
        <v>0</v>
      </c>
      <c r="M48" s="15">
        <v>0</v>
      </c>
      <c r="N48" s="15">
        <v>0</v>
      </c>
      <c r="O48" s="15">
        <v>0</v>
      </c>
      <c r="P48" s="15">
        <v>0</v>
      </c>
      <c r="Q48" s="15">
        <v>0</v>
      </c>
      <c r="R48" s="15">
        <v>0</v>
      </c>
      <c r="S48" s="15">
        <v>0</v>
      </c>
      <c r="T48" s="15">
        <v>0</v>
      </c>
      <c r="U48" s="15">
        <f t="shared" si="9"/>
        <v>0</v>
      </c>
      <c r="V48" s="13"/>
    </row>
    <row r="49" spans="1:22" ht="12.75">
      <c r="A49" s="4">
        <f>ROW()</f>
        <v>49</v>
      </c>
      <c r="B49" s="10" t="s">
        <v>233</v>
      </c>
      <c r="C49" s="21"/>
      <c r="D49" s="21"/>
      <c r="E49" s="21"/>
      <c r="F49" s="5"/>
      <c r="G49" s="15"/>
      <c r="H49" s="15"/>
      <c r="I49" s="15"/>
      <c r="J49" s="15"/>
      <c r="K49" s="15"/>
      <c r="L49" s="15"/>
      <c r="M49" s="15"/>
      <c r="N49" s="15"/>
      <c r="O49" s="15"/>
      <c r="P49" s="15"/>
      <c r="Q49" s="15">
        <v>0</v>
      </c>
      <c r="R49" s="15">
        <v>0</v>
      </c>
      <c r="S49" s="15">
        <v>0</v>
      </c>
      <c r="T49" s="15">
        <v>0</v>
      </c>
      <c r="U49" s="15">
        <f t="shared" si="9"/>
        <v>0</v>
      </c>
      <c r="V49" s="13"/>
    </row>
    <row r="50" spans="1:21" ht="12.75">
      <c r="A50" s="4">
        <f>ROW()</f>
        <v>50</v>
      </c>
      <c r="B50" s="3" t="s">
        <v>117</v>
      </c>
      <c r="C50" s="21"/>
      <c r="D50" s="21"/>
      <c r="E50" s="21"/>
      <c r="F50" s="5"/>
      <c r="G50" s="15">
        <f>+H50</f>
        <v>-15215</v>
      </c>
      <c r="H50" s="15">
        <f>SUM(I50:I50)</f>
        <v>-15215</v>
      </c>
      <c r="I50" s="15">
        <v>-15215</v>
      </c>
      <c r="J50" s="15">
        <v>-13742</v>
      </c>
      <c r="K50" s="15">
        <v>-15194</v>
      </c>
      <c r="L50" s="15"/>
      <c r="M50" s="15">
        <v>-3436</v>
      </c>
      <c r="N50" s="15"/>
      <c r="O50" s="15"/>
      <c r="P50" s="15"/>
      <c r="Q50" s="15"/>
      <c r="R50" s="15"/>
      <c r="S50" s="15"/>
      <c r="T50" s="15"/>
      <c r="U50" s="15">
        <f t="shared" si="9"/>
        <v>-47587</v>
      </c>
    </row>
    <row r="51" spans="1:21" ht="12.75">
      <c r="A51" s="4">
        <f>ROW()</f>
        <v>51</v>
      </c>
      <c r="B51" s="3" t="s">
        <v>66</v>
      </c>
      <c r="C51" s="21"/>
      <c r="D51" s="21"/>
      <c r="E51" s="21"/>
      <c r="F51" s="5"/>
      <c r="G51" s="15"/>
      <c r="H51" s="15"/>
      <c r="I51" s="15">
        <v>-5905</v>
      </c>
      <c r="J51" s="15">
        <v>-5487</v>
      </c>
      <c r="K51" s="15">
        <v>-7238</v>
      </c>
      <c r="L51" s="15">
        <v>44498</v>
      </c>
      <c r="M51" s="15"/>
      <c r="N51" s="15"/>
      <c r="O51" s="15"/>
      <c r="P51" s="15"/>
      <c r="Q51" s="15"/>
      <c r="R51" s="15"/>
      <c r="S51" s="15"/>
      <c r="T51" s="15"/>
      <c r="U51" s="15">
        <f t="shared" si="9"/>
        <v>25868</v>
      </c>
    </row>
    <row r="52" spans="1:21" ht="12.75">
      <c r="A52" s="4">
        <f>ROW()</f>
        <v>52</v>
      </c>
      <c r="B52" s="3" t="s">
        <v>65</v>
      </c>
      <c r="C52" s="21"/>
      <c r="D52" s="21"/>
      <c r="E52" s="21"/>
      <c r="F52" s="5"/>
      <c r="G52" s="15"/>
      <c r="H52" s="15"/>
      <c r="I52" s="15">
        <v>-6794</v>
      </c>
      <c r="J52" s="15">
        <v>-6002</v>
      </c>
      <c r="K52" s="15">
        <v>-5054</v>
      </c>
      <c r="L52" s="15"/>
      <c r="M52" s="15">
        <v>-946</v>
      </c>
      <c r="N52" s="15"/>
      <c r="O52" s="15"/>
      <c r="P52" s="15"/>
      <c r="Q52" s="15"/>
      <c r="R52" s="15"/>
      <c r="S52" s="15"/>
      <c r="T52" s="15"/>
      <c r="U52" s="15">
        <f t="shared" si="9"/>
        <v>-18796</v>
      </c>
    </row>
    <row r="53" spans="1:21" ht="12.75">
      <c r="A53" s="4">
        <f>ROW()</f>
        <v>53</v>
      </c>
      <c r="B53" s="10" t="s">
        <v>29</v>
      </c>
      <c r="C53" s="612"/>
      <c r="D53" s="21"/>
      <c r="E53" s="21"/>
      <c r="F53" s="21"/>
      <c r="G53" s="11"/>
      <c r="H53" s="11"/>
      <c r="I53" s="11"/>
      <c r="J53" s="11"/>
      <c r="K53" s="11"/>
      <c r="L53" s="11"/>
      <c r="M53" s="11"/>
      <c r="N53" s="11"/>
      <c r="O53" s="11"/>
      <c r="P53" s="11"/>
      <c r="Q53" s="11"/>
      <c r="R53" s="613"/>
      <c r="S53" s="614"/>
      <c r="T53" s="614"/>
      <c r="U53" s="220">
        <f t="shared" si="9"/>
        <v>0</v>
      </c>
    </row>
    <row r="54" spans="1:21" ht="12.75">
      <c r="A54" s="4">
        <f>ROW()</f>
        <v>54</v>
      </c>
      <c r="B54" s="10" t="s">
        <v>30</v>
      </c>
      <c r="C54" s="224"/>
      <c r="D54" s="21"/>
      <c r="E54" s="21"/>
      <c r="F54" s="222"/>
      <c r="G54" s="11"/>
      <c r="H54" s="11"/>
      <c r="I54" s="11">
        <v>-253534</v>
      </c>
      <c r="J54" s="11">
        <v>-253534</v>
      </c>
      <c r="K54" s="11">
        <v>-245383</v>
      </c>
      <c r="L54" s="11">
        <v>278020</v>
      </c>
      <c r="M54" s="11">
        <v>-118608</v>
      </c>
      <c r="N54" s="11">
        <v>593039</v>
      </c>
      <c r="O54" s="11">
        <v>0</v>
      </c>
      <c r="P54" s="11">
        <v>0</v>
      </c>
      <c r="Q54" s="11">
        <v>0</v>
      </c>
      <c r="R54" s="11">
        <v>0</v>
      </c>
      <c r="S54" s="11">
        <v>0</v>
      </c>
      <c r="T54" s="11">
        <v>0</v>
      </c>
      <c r="U54" s="14">
        <f t="shared" si="9"/>
        <v>0</v>
      </c>
    </row>
    <row r="55" spans="1:21" ht="12.75">
      <c r="A55" s="4">
        <f>ROW()</f>
        <v>55</v>
      </c>
      <c r="B55" s="10"/>
      <c r="C55" s="21"/>
      <c r="D55" s="21"/>
      <c r="E55" s="21"/>
      <c r="F55" s="21"/>
      <c r="G55" s="615">
        <f>SUM(I55:I55)</f>
        <v>0</v>
      </c>
      <c r="H55" s="615">
        <f>SUM(I55:I55)</f>
        <v>0</v>
      </c>
      <c r="I55" s="616"/>
      <c r="J55" s="616"/>
      <c r="K55" s="616"/>
      <c r="L55" s="616"/>
      <c r="M55" s="616"/>
      <c r="N55" s="616"/>
      <c r="O55" s="616"/>
      <c r="P55" s="617"/>
      <c r="Q55" s="616"/>
      <c r="R55" s="616"/>
      <c r="S55" s="616"/>
      <c r="T55" s="616"/>
      <c r="U55" s="16">
        <f t="shared" si="9"/>
        <v>0</v>
      </c>
    </row>
    <row r="56" spans="1:21" ht="12.75">
      <c r="A56" s="4">
        <f>ROW()</f>
        <v>56</v>
      </c>
      <c r="B56" s="3" t="s">
        <v>254</v>
      </c>
      <c r="C56" s="21"/>
      <c r="D56" s="21"/>
      <c r="E56" s="21"/>
      <c r="F56" s="21"/>
      <c r="G56" s="11">
        <f aca="true" t="shared" si="10" ref="G56:U56">SUM(G46:G55)</f>
        <v>-15215</v>
      </c>
      <c r="H56" s="11">
        <f t="shared" si="10"/>
        <v>-279334</v>
      </c>
      <c r="I56" s="11">
        <f>SUM(I46:I55)</f>
        <v>-545567</v>
      </c>
      <c r="J56" s="11">
        <f t="shared" si="10"/>
        <v>-519763</v>
      </c>
      <c r="K56" s="11">
        <f t="shared" si="10"/>
        <v>-523313</v>
      </c>
      <c r="L56" s="11">
        <f t="shared" si="10"/>
        <v>98877</v>
      </c>
      <c r="M56" s="11">
        <f t="shared" si="10"/>
        <v>-190418</v>
      </c>
      <c r="N56" s="11">
        <f t="shared" si="10"/>
        <v>405200</v>
      </c>
      <c r="O56" s="11">
        <f t="shared" si="10"/>
        <v>-217225</v>
      </c>
      <c r="P56" s="11">
        <f t="shared" si="10"/>
        <v>-220021</v>
      </c>
      <c r="Q56" s="11">
        <f t="shared" si="10"/>
        <v>-258012</v>
      </c>
      <c r="R56" s="11">
        <f t="shared" si="10"/>
        <v>-233035</v>
      </c>
      <c r="S56" s="11">
        <f t="shared" si="10"/>
        <v>-237470</v>
      </c>
      <c r="T56" s="11">
        <f t="shared" si="10"/>
        <v>-245927</v>
      </c>
      <c r="U56" s="11">
        <f t="shared" si="10"/>
        <v>-2686674</v>
      </c>
    </row>
    <row r="57" spans="1:21" ht="13.5" thickBot="1">
      <c r="A57" s="4">
        <f>ROW()</f>
        <v>57</v>
      </c>
      <c r="B57" s="610" t="s">
        <v>92</v>
      </c>
      <c r="C57" s="612"/>
      <c r="D57" s="21"/>
      <c r="E57" s="21"/>
      <c r="F57" s="21"/>
      <c r="G57" s="583">
        <f>+G46+G39</f>
        <v>0</v>
      </c>
      <c r="H57" s="11"/>
      <c r="I57" s="583">
        <f>I43+I56</f>
        <v>135098099.31798133</v>
      </c>
      <c r="J57" s="583">
        <f aca="true" t="shared" si="11" ref="J57:T57">J43+J56</f>
        <v>127495311.31798133</v>
      </c>
      <c r="K57" s="583">
        <f t="shared" si="11"/>
        <v>129602915.31798133</v>
      </c>
      <c r="L57" s="583">
        <f t="shared" si="11"/>
        <v>104602670.30431288</v>
      </c>
      <c r="M57" s="583">
        <f t="shared" si="11"/>
        <v>90712144.73493554</v>
      </c>
      <c r="N57" s="583">
        <f t="shared" si="11"/>
        <v>99729986.73493554</v>
      </c>
      <c r="O57" s="583">
        <f t="shared" si="11"/>
        <v>93728653.73493554</v>
      </c>
      <c r="P57" s="583">
        <f t="shared" si="11"/>
        <v>97909798.73493554</v>
      </c>
      <c r="Q57" s="583">
        <f t="shared" si="11"/>
        <v>105498506.73493554</v>
      </c>
      <c r="R57" s="583">
        <f t="shared" si="11"/>
        <v>114127549.73493554</v>
      </c>
      <c r="S57" s="583">
        <f t="shared" si="11"/>
        <v>127939550.37493554</v>
      </c>
      <c r="T57" s="583">
        <f t="shared" si="11"/>
        <v>148733597.73493555</v>
      </c>
      <c r="U57" s="583">
        <f>U43+U56</f>
        <v>1375178784.7777412</v>
      </c>
    </row>
    <row r="58" spans="1:19" ht="12.75">
      <c r="A58" s="4">
        <f>ROW()</f>
        <v>58</v>
      </c>
      <c r="B58" s="10"/>
      <c r="S58" s="618"/>
    </row>
    <row r="59" spans="1:21" ht="12.75">
      <c r="A59" s="4">
        <f>ROW()</f>
        <v>59</v>
      </c>
      <c r="B59" s="619"/>
      <c r="C59" s="21"/>
      <c r="D59" s="21"/>
      <c r="E59" s="21"/>
      <c r="F59" s="21"/>
      <c r="G59" s="584"/>
      <c r="H59" s="584"/>
      <c r="I59" s="584"/>
      <c r="J59" s="584"/>
      <c r="K59" s="584"/>
      <c r="L59" s="584"/>
      <c r="M59" s="584"/>
      <c r="N59" s="584"/>
      <c r="O59" s="584"/>
      <c r="P59" s="584"/>
      <c r="Q59" s="584"/>
      <c r="R59" s="584"/>
      <c r="S59" s="584"/>
      <c r="T59" s="584"/>
      <c r="U59" s="584"/>
    </row>
    <row r="60" spans="1:21" ht="12.75">
      <c r="A60" s="4">
        <f>ROW()</f>
        <v>60</v>
      </c>
      <c r="B60" s="620" t="s">
        <v>286</v>
      </c>
      <c r="C60" s="21"/>
      <c r="D60" s="21"/>
      <c r="E60" s="21"/>
      <c r="F60" s="5"/>
      <c r="G60" s="61">
        <f>+H60</f>
        <v>2009803156</v>
      </c>
      <c r="H60" s="15">
        <f>SUM(I60:I60)</f>
        <v>2009803156</v>
      </c>
      <c r="I60" s="61">
        <v>2009803156</v>
      </c>
      <c r="J60" s="61">
        <v>1768129014</v>
      </c>
      <c r="K60" s="61">
        <v>1884703765</v>
      </c>
      <c r="L60" s="61">
        <v>1721725472</v>
      </c>
      <c r="M60" s="61">
        <v>1618576433</v>
      </c>
      <c r="N60" s="61">
        <v>1403009251</v>
      </c>
      <c r="O60" s="61">
        <v>1573236869</v>
      </c>
      <c r="P60" s="61">
        <v>1582784844</v>
      </c>
      <c r="Q60" s="61">
        <v>1509060505</v>
      </c>
      <c r="R60" s="61">
        <v>1692068463</v>
      </c>
      <c r="S60" s="61">
        <v>1975704426</v>
      </c>
      <c r="T60" s="61">
        <v>2169581399</v>
      </c>
      <c r="U60" s="585">
        <f>SUM(I60:T60)</f>
        <v>20908383597</v>
      </c>
    </row>
    <row r="61" spans="1:21" ht="13.5" thickBot="1">
      <c r="A61" s="4">
        <f>ROW()</f>
        <v>61</v>
      </c>
      <c r="B61" s="610" t="s">
        <v>31</v>
      </c>
      <c r="C61" s="37"/>
      <c r="D61" s="21"/>
      <c r="E61" s="21"/>
      <c r="F61" s="21"/>
      <c r="G61" s="583">
        <f>+C61*G60</f>
        <v>0</v>
      </c>
      <c r="H61" s="11">
        <f>SUM(I62:I62)</f>
        <v>126298040.12619598</v>
      </c>
      <c r="Q61" s="11"/>
      <c r="U61" s="11"/>
    </row>
    <row r="62" spans="1:21" ht="12.75">
      <c r="A62" s="4">
        <f>ROW()</f>
        <v>62</v>
      </c>
      <c r="B62" s="51" t="s">
        <v>61</v>
      </c>
      <c r="C62" s="52">
        <v>0.062841</v>
      </c>
      <c r="D62" s="5"/>
      <c r="E62" s="5"/>
      <c r="F62" s="5"/>
      <c r="G62" s="219"/>
      <c r="H62" s="219"/>
      <c r="I62" s="11">
        <f>+I60*$C$62</f>
        <v>126298040.12619598</v>
      </c>
      <c r="J62" s="11">
        <f>J60*$C$62</f>
        <v>111110995.368774</v>
      </c>
      <c r="K62" s="11">
        <f>K60*$C$62</f>
        <v>118436669.296365</v>
      </c>
      <c r="L62" s="11">
        <f>L60*$C$62*7/30</f>
        <v>25245488.423388798</v>
      </c>
      <c r="M62" s="11"/>
      <c r="N62" s="11"/>
      <c r="O62" s="11"/>
      <c r="P62" s="11"/>
      <c r="Q62" s="11"/>
      <c r="R62" s="11"/>
      <c r="S62" s="11"/>
      <c r="T62" s="11"/>
      <c r="U62" s="585">
        <f>SUM(I62:T62)</f>
        <v>381091193.21472377</v>
      </c>
    </row>
    <row r="63" spans="1:21" ht="12.75">
      <c r="A63" s="4">
        <f>ROW()</f>
        <v>63</v>
      </c>
      <c r="B63" s="51" t="s">
        <v>62</v>
      </c>
      <c r="C63" s="52">
        <v>0.064387</v>
      </c>
      <c r="D63" s="5"/>
      <c r="E63" s="5"/>
      <c r="F63" s="5"/>
      <c r="G63" s="219"/>
      <c r="H63" s="219"/>
      <c r="I63" s="219"/>
      <c r="J63" s="219"/>
      <c r="K63" s="219"/>
      <c r="L63" s="11">
        <f>L60*$C$63*23/30</f>
        <v>84990165.77367572</v>
      </c>
      <c r="M63" s="11">
        <f aca="true" t="shared" si="12" ref="M63:T63">M60*$C$63</f>
        <v>104215280.791571</v>
      </c>
      <c r="N63" s="11">
        <f>N60*$C$63</f>
        <v>90335556.644137</v>
      </c>
      <c r="O63" s="11">
        <f t="shared" si="12"/>
        <v>101296002.284303</v>
      </c>
      <c r="P63" s="11">
        <f t="shared" si="12"/>
        <v>101910767.750628</v>
      </c>
      <c r="Q63" s="11">
        <f t="shared" si="12"/>
        <v>97163878.735435</v>
      </c>
      <c r="R63" s="11">
        <f t="shared" si="12"/>
        <v>108947212.127181</v>
      </c>
      <c r="S63" s="11">
        <f t="shared" si="12"/>
        <v>127209680.876862</v>
      </c>
      <c r="T63" s="11">
        <f t="shared" si="12"/>
        <v>139692837.537413</v>
      </c>
      <c r="U63" s="585">
        <f>SUM(I63:T63)</f>
        <v>955761382.5212058</v>
      </c>
    </row>
    <row r="64" spans="1:21" ht="13.5" thickBot="1">
      <c r="A64" s="4">
        <f>ROW()</f>
        <v>64</v>
      </c>
      <c r="B64" s="619" t="s">
        <v>255</v>
      </c>
      <c r="D64" s="5"/>
      <c r="E64" s="5"/>
      <c r="F64" s="5"/>
      <c r="G64" s="583" t="e">
        <f>+#REF!-G61</f>
        <v>#REF!</v>
      </c>
      <c r="H64" s="11"/>
      <c r="I64" s="583">
        <f>I57-SUM(I62:I63)</f>
        <v>8800059.19178535</v>
      </c>
      <c r="J64" s="583">
        <f aca="true" t="shared" si="13" ref="J64:U64">J57-SUM(J62:J63)</f>
        <v>16384315.949207336</v>
      </c>
      <c r="K64" s="583">
        <f t="shared" si="13"/>
        <v>11166246.02161634</v>
      </c>
      <c r="L64" s="583">
        <f t="shared" si="13"/>
        <v>-5632983.892751634</v>
      </c>
      <c r="M64" s="583">
        <f t="shared" si="13"/>
        <v>-13503136.05663547</v>
      </c>
      <c r="N64" s="583">
        <f t="shared" si="13"/>
        <v>9394430.090798542</v>
      </c>
      <c r="O64" s="583">
        <f t="shared" si="13"/>
        <v>-7567348.549367458</v>
      </c>
      <c r="P64" s="583">
        <f t="shared" si="13"/>
        <v>-4000969.0156924576</v>
      </c>
      <c r="Q64" s="583">
        <f t="shared" si="13"/>
        <v>8334627.999500543</v>
      </c>
      <c r="R64" s="583">
        <f t="shared" si="13"/>
        <v>5180337.607754543</v>
      </c>
      <c r="S64" s="583">
        <f t="shared" si="13"/>
        <v>729869.4980735332</v>
      </c>
      <c r="T64" s="583">
        <f t="shared" si="13"/>
        <v>9040760.19752255</v>
      </c>
      <c r="U64" s="583">
        <f t="shared" si="13"/>
        <v>38326209.041811705</v>
      </c>
    </row>
    <row r="65" spans="1:21" ht="12.75">
      <c r="A65" s="4">
        <f>ROW()</f>
        <v>65</v>
      </c>
      <c r="B65" s="621" t="s">
        <v>94</v>
      </c>
      <c r="I65" s="17">
        <f aca="true" t="shared" si="14" ref="I65:U65">+I64</f>
        <v>8800059.19178535</v>
      </c>
      <c r="J65" s="17">
        <f t="shared" si="14"/>
        <v>16384315.949207336</v>
      </c>
      <c r="K65" s="17">
        <f t="shared" si="14"/>
        <v>11166246.02161634</v>
      </c>
      <c r="L65" s="17">
        <f t="shared" si="14"/>
        <v>-5632983.892751634</v>
      </c>
      <c r="M65" s="17">
        <f t="shared" si="14"/>
        <v>-13503136.05663547</v>
      </c>
      <c r="N65" s="17">
        <f t="shared" si="14"/>
        <v>9394430.090798542</v>
      </c>
      <c r="O65" s="17">
        <f t="shared" si="14"/>
        <v>-7567348.549367458</v>
      </c>
      <c r="P65" s="17">
        <f t="shared" si="14"/>
        <v>-4000969.0156924576</v>
      </c>
      <c r="Q65" s="17">
        <f t="shared" si="14"/>
        <v>8334627.999500543</v>
      </c>
      <c r="R65" s="17">
        <f t="shared" si="14"/>
        <v>5180337.607754543</v>
      </c>
      <c r="S65" s="17">
        <f t="shared" si="14"/>
        <v>729869.4980735332</v>
      </c>
      <c r="T65" s="17">
        <f t="shared" si="14"/>
        <v>9040760.19752255</v>
      </c>
      <c r="U65" s="17">
        <f t="shared" si="14"/>
        <v>38326209.041811705</v>
      </c>
    </row>
    <row r="66" spans="1:19" ht="12.75">
      <c r="A66" s="4">
        <f>ROW()</f>
        <v>66</v>
      </c>
      <c r="Q66" s="5"/>
      <c r="R66" s="5"/>
      <c r="S66" s="5"/>
    </row>
    <row r="67" spans="1:21" ht="24">
      <c r="A67" s="4">
        <f>ROW()</f>
        <v>67</v>
      </c>
      <c r="B67" s="10"/>
      <c r="C67" s="622" t="s">
        <v>63</v>
      </c>
      <c r="D67" s="623" t="s">
        <v>64</v>
      </c>
      <c r="E67" s="36"/>
      <c r="F67" s="21"/>
      <c r="G67" s="11"/>
      <c r="H67" s="11"/>
      <c r="I67" s="11"/>
      <c r="J67" s="11"/>
      <c r="K67" s="11"/>
      <c r="L67" s="11"/>
      <c r="M67" s="11"/>
      <c r="N67" s="11"/>
      <c r="O67" s="11"/>
      <c r="P67" s="11"/>
      <c r="Q67" s="11"/>
      <c r="R67" s="11"/>
      <c r="S67" s="11"/>
      <c r="T67" s="11"/>
      <c r="U67" s="220"/>
    </row>
    <row r="68" spans="1:21" ht="12.75">
      <c r="A68" s="4">
        <f>ROW()</f>
        <v>68</v>
      </c>
      <c r="B68" s="19" t="s">
        <v>1</v>
      </c>
      <c r="C68" s="218">
        <v>0.00035961</v>
      </c>
      <c r="D68" s="218">
        <v>0.0003491</v>
      </c>
      <c r="E68" s="53"/>
      <c r="F68" s="5"/>
      <c r="G68" s="11"/>
      <c r="H68" s="11"/>
      <c r="I68" s="11">
        <f>I65*(1-$C$68)</f>
        <v>8796894.602499394</v>
      </c>
      <c r="J68" s="11">
        <f>J65*(1-$C$68)</f>
        <v>16378423.985348841</v>
      </c>
      <c r="K68" s="11">
        <f>K65*(1-$C$68)</f>
        <v>11162230.527884508</v>
      </c>
      <c r="L68" s="11">
        <f>(L65*(1-$C$68)*7/30)+(L65*(1-$D$68)*23/30)</f>
        <v>-5631003.604120509</v>
      </c>
      <c r="M68" s="11">
        <f aca="true" t="shared" si="15" ref="M68:S68">M65*(1-$D$68)</f>
        <v>-13498422.111838099</v>
      </c>
      <c r="N68" s="11">
        <f t="shared" si="15"/>
        <v>9391150.495253844</v>
      </c>
      <c r="O68" s="11">
        <f t="shared" si="15"/>
        <v>-7564706.787988873</v>
      </c>
      <c r="P68" s="11">
        <f t="shared" si="15"/>
        <v>-3999572.2774090795</v>
      </c>
      <c r="Q68" s="11">
        <f t="shared" si="15"/>
        <v>8331718.380865918</v>
      </c>
      <c r="R68" s="11">
        <f t="shared" si="15"/>
        <v>5178529.151895677</v>
      </c>
      <c r="S68" s="11">
        <f t="shared" si="15"/>
        <v>729614.7006317558</v>
      </c>
      <c r="T68" s="11">
        <f>T65*(1-$D$68)</f>
        <v>9037604.068137595</v>
      </c>
      <c r="U68" s="11">
        <f>SUM(I68:T68)</f>
        <v>38312461.131160975</v>
      </c>
    </row>
    <row r="69" spans="1:21" ht="12.75">
      <c r="A69" s="4">
        <f>ROW()</f>
        <v>69</v>
      </c>
      <c r="B69" s="19" t="s">
        <v>256</v>
      </c>
      <c r="D69" s="5"/>
      <c r="E69" s="5"/>
      <c r="F69" s="5"/>
      <c r="G69" s="11"/>
      <c r="H69" s="11"/>
      <c r="I69" s="11">
        <f>+I68</f>
        <v>8796894.602499394</v>
      </c>
      <c r="J69" s="11">
        <f aca="true" t="shared" si="16" ref="J69:U69">+J68</f>
        <v>16378423.985348841</v>
      </c>
      <c r="K69" s="11">
        <f t="shared" si="16"/>
        <v>11162230.527884508</v>
      </c>
      <c r="L69" s="11">
        <f t="shared" si="16"/>
        <v>-5631003.604120509</v>
      </c>
      <c r="M69" s="11">
        <f t="shared" si="16"/>
        <v>-13498422.111838099</v>
      </c>
      <c r="N69" s="11">
        <f t="shared" si="16"/>
        <v>9391150.495253844</v>
      </c>
      <c r="O69" s="11">
        <f t="shared" si="16"/>
        <v>-7564706.787988873</v>
      </c>
      <c r="P69" s="11">
        <f t="shared" si="16"/>
        <v>-3999572.2774090795</v>
      </c>
      <c r="Q69" s="11">
        <f t="shared" si="16"/>
        <v>8331718.380865918</v>
      </c>
      <c r="R69" s="11">
        <f t="shared" si="16"/>
        <v>5178529.151895677</v>
      </c>
      <c r="S69" s="11">
        <f t="shared" si="16"/>
        <v>729614.7006317558</v>
      </c>
      <c r="T69" s="11">
        <f t="shared" si="16"/>
        <v>9037604.068137595</v>
      </c>
      <c r="U69" s="11">
        <f t="shared" si="16"/>
        <v>38312461.131160975</v>
      </c>
    </row>
    <row r="70" spans="1:21" ht="12.75">
      <c r="A70" s="4">
        <f>ROW()</f>
        <v>70</v>
      </c>
      <c r="B70" s="19" t="s">
        <v>257</v>
      </c>
      <c r="D70" s="5"/>
      <c r="E70" s="5"/>
      <c r="F70" s="5"/>
      <c r="G70" s="11"/>
      <c r="H70" s="11"/>
      <c r="I70" s="11">
        <f aca="true" t="shared" si="17" ref="I70:U70">-I69</f>
        <v>-8796894.602499394</v>
      </c>
      <c r="J70" s="11">
        <f t="shared" si="17"/>
        <v>-16378423.985348841</v>
      </c>
      <c r="K70" s="11">
        <f t="shared" si="17"/>
        <v>-11162230.527884508</v>
      </c>
      <c r="L70" s="11">
        <f t="shared" si="17"/>
        <v>5631003.604120509</v>
      </c>
      <c r="M70" s="11">
        <f t="shared" si="17"/>
        <v>13498422.111838099</v>
      </c>
      <c r="N70" s="11">
        <f t="shared" si="17"/>
        <v>-9391150.495253844</v>
      </c>
      <c r="O70" s="11">
        <f t="shared" si="17"/>
        <v>7564706.787988873</v>
      </c>
      <c r="P70" s="11">
        <f t="shared" si="17"/>
        <v>3999572.2774090795</v>
      </c>
      <c r="Q70" s="11">
        <f t="shared" si="17"/>
        <v>-8331718.380865918</v>
      </c>
      <c r="R70" s="11">
        <f t="shared" si="17"/>
        <v>-5178529.151895677</v>
      </c>
      <c r="S70" s="11">
        <f t="shared" si="17"/>
        <v>-729614.7006317558</v>
      </c>
      <c r="T70" s="11">
        <f t="shared" si="17"/>
        <v>-9037604.068137595</v>
      </c>
      <c r="U70" s="11">
        <f t="shared" si="17"/>
        <v>-38312461.131160975</v>
      </c>
    </row>
    <row r="71" spans="1:21" ht="12.75">
      <c r="A71" s="4">
        <f>ROW()</f>
        <v>71</v>
      </c>
      <c r="B71" s="19"/>
      <c r="D71" s="5"/>
      <c r="E71" s="5"/>
      <c r="F71" s="5"/>
      <c r="G71" s="11"/>
      <c r="H71" s="11"/>
      <c r="I71" s="11"/>
      <c r="J71" s="11"/>
      <c r="K71" s="11"/>
      <c r="L71" s="11"/>
      <c r="M71" s="11"/>
      <c r="N71" s="11"/>
      <c r="O71" s="11"/>
      <c r="P71" s="11"/>
      <c r="Q71" s="11"/>
      <c r="R71" s="11"/>
      <c r="S71" s="11"/>
      <c r="T71" s="11"/>
      <c r="U71" s="11"/>
    </row>
    <row r="72" spans="1:21" ht="12.75">
      <c r="A72" s="4">
        <f>ROW()</f>
        <v>72</v>
      </c>
      <c r="B72" s="19" t="s">
        <v>69</v>
      </c>
      <c r="D72" s="5"/>
      <c r="E72" s="5"/>
      <c r="F72" s="5"/>
      <c r="G72" s="11"/>
      <c r="H72" s="11"/>
      <c r="I72" s="11">
        <v>0</v>
      </c>
      <c r="J72" s="11">
        <v>0</v>
      </c>
      <c r="K72" s="11">
        <v>0</v>
      </c>
      <c r="L72" s="11">
        <v>0</v>
      </c>
      <c r="M72" s="11">
        <v>0</v>
      </c>
      <c r="N72" s="11">
        <v>0</v>
      </c>
      <c r="O72" s="11">
        <v>0</v>
      </c>
      <c r="P72" s="11">
        <v>0</v>
      </c>
      <c r="Q72" s="11">
        <v>0</v>
      </c>
      <c r="R72" s="11">
        <v>0</v>
      </c>
      <c r="S72" s="11">
        <v>0</v>
      </c>
      <c r="T72" s="11">
        <v>0</v>
      </c>
      <c r="U72" s="11"/>
    </row>
    <row r="73" spans="1:21" ht="12.75">
      <c r="A73" s="4">
        <f>ROW()</f>
        <v>73</v>
      </c>
      <c r="B73" s="19" t="s">
        <v>70</v>
      </c>
      <c r="D73" s="5"/>
      <c r="E73" s="5"/>
      <c r="F73" s="5"/>
      <c r="G73" s="11"/>
      <c r="H73" s="11"/>
      <c r="I73" s="11">
        <f aca="true" t="shared" si="18" ref="I73:T73">I69+I72</f>
        <v>8796894.602499394</v>
      </c>
      <c r="J73" s="11">
        <f t="shared" si="18"/>
        <v>16378423.985348841</v>
      </c>
      <c r="K73" s="11">
        <f t="shared" si="18"/>
        <v>11162230.527884508</v>
      </c>
      <c r="L73" s="11">
        <f t="shared" si="18"/>
        <v>-5631003.604120509</v>
      </c>
      <c r="M73" s="11">
        <f t="shared" si="18"/>
        <v>-13498422.111838099</v>
      </c>
      <c r="N73" s="11">
        <f t="shared" si="18"/>
        <v>9391150.495253844</v>
      </c>
      <c r="O73" s="11">
        <f t="shared" si="18"/>
        <v>-7564706.787988873</v>
      </c>
      <c r="P73" s="11">
        <f t="shared" si="18"/>
        <v>-3999572.2774090795</v>
      </c>
      <c r="Q73" s="11">
        <f t="shared" si="18"/>
        <v>8331718.380865918</v>
      </c>
      <c r="R73" s="11">
        <f t="shared" si="18"/>
        <v>5178529.151895677</v>
      </c>
      <c r="S73" s="11">
        <f t="shared" si="18"/>
        <v>729614.7006317558</v>
      </c>
      <c r="T73" s="11">
        <f t="shared" si="18"/>
        <v>9037604.068137595</v>
      </c>
      <c r="U73" s="11"/>
    </row>
    <row r="74" spans="1:21" ht="12.75">
      <c r="A74" s="4">
        <f>ROW()</f>
        <v>74</v>
      </c>
      <c r="B74" s="19" t="s">
        <v>71</v>
      </c>
      <c r="D74" s="5"/>
      <c r="E74" s="5"/>
      <c r="F74" s="5"/>
      <c r="G74" s="11"/>
      <c r="H74" s="11"/>
      <c r="I74" s="11">
        <f aca="true" t="shared" si="19" ref="I74:T74">-I73</f>
        <v>-8796894.602499394</v>
      </c>
      <c r="J74" s="11">
        <f t="shared" si="19"/>
        <v>-16378423.985348841</v>
      </c>
      <c r="K74" s="11">
        <f t="shared" si="19"/>
        <v>-11162230.527884508</v>
      </c>
      <c r="L74" s="11">
        <f t="shared" si="19"/>
        <v>5631003.604120509</v>
      </c>
      <c r="M74" s="11">
        <f t="shared" si="19"/>
        <v>13498422.111838099</v>
      </c>
      <c r="N74" s="11">
        <f t="shared" si="19"/>
        <v>-9391150.495253844</v>
      </c>
      <c r="O74" s="11">
        <f t="shared" si="19"/>
        <v>7564706.787988873</v>
      </c>
      <c r="P74" s="11">
        <f t="shared" si="19"/>
        <v>3999572.2774090795</v>
      </c>
      <c r="Q74" s="11">
        <f t="shared" si="19"/>
        <v>-8331718.380865918</v>
      </c>
      <c r="R74" s="11">
        <f t="shared" si="19"/>
        <v>-5178529.151895677</v>
      </c>
      <c r="S74" s="11">
        <f t="shared" si="19"/>
        <v>-729614.7006317558</v>
      </c>
      <c r="T74" s="11">
        <f t="shared" si="19"/>
        <v>-9037604.068137595</v>
      </c>
      <c r="U74" s="11"/>
    </row>
    <row r="75" spans="1:21" ht="12.75">
      <c r="A75" s="4">
        <f>ROW()</f>
        <v>75</v>
      </c>
      <c r="B75" s="19"/>
      <c r="D75" s="5"/>
      <c r="E75" s="5"/>
      <c r="F75" s="5"/>
      <c r="G75" s="11"/>
      <c r="H75" s="11"/>
      <c r="I75" s="11"/>
      <c r="J75" s="11"/>
      <c r="K75" s="11"/>
      <c r="L75" s="11"/>
      <c r="M75" s="11"/>
      <c r="N75" s="11"/>
      <c r="O75" s="11"/>
      <c r="P75" s="11"/>
      <c r="Q75" s="11"/>
      <c r="R75" s="11"/>
      <c r="S75" s="11"/>
      <c r="T75" s="11"/>
      <c r="U75" s="11"/>
    </row>
    <row r="76" spans="1:21" ht="12.75">
      <c r="A76" s="4">
        <f>ROW()</f>
        <v>76</v>
      </c>
      <c r="B76" s="19" t="s">
        <v>302</v>
      </c>
      <c r="D76" s="5"/>
      <c r="E76" s="5"/>
      <c r="F76" s="5"/>
      <c r="G76" s="11"/>
      <c r="H76" s="11"/>
      <c r="I76" s="11">
        <f>+I69</f>
        <v>8796894.602499394</v>
      </c>
      <c r="J76" s="11">
        <f aca="true" t="shared" si="20" ref="J76:T76">+I76+J69</f>
        <v>25175318.587848235</v>
      </c>
      <c r="K76" s="11">
        <f t="shared" si="20"/>
        <v>36337549.115732744</v>
      </c>
      <c r="L76" s="11">
        <f t="shared" si="20"/>
        <v>30706545.511612236</v>
      </c>
      <c r="M76" s="11">
        <f t="shared" si="20"/>
        <v>17208123.399774138</v>
      </c>
      <c r="N76" s="11">
        <f t="shared" si="20"/>
        <v>26599273.89502798</v>
      </c>
      <c r="O76" s="11">
        <f t="shared" si="20"/>
        <v>19034567.10703911</v>
      </c>
      <c r="P76" s="11">
        <f t="shared" si="20"/>
        <v>15034994.829630028</v>
      </c>
      <c r="Q76" s="11">
        <f t="shared" si="20"/>
        <v>23366713.210495945</v>
      </c>
      <c r="R76" s="11">
        <f t="shared" si="20"/>
        <v>28545242.36239162</v>
      </c>
      <c r="S76" s="11">
        <f t="shared" si="20"/>
        <v>29274857.063023377</v>
      </c>
      <c r="T76" s="11">
        <f t="shared" si="20"/>
        <v>38312461.131160975</v>
      </c>
      <c r="U76" s="11">
        <f>+U69</f>
        <v>38312461.131160975</v>
      </c>
    </row>
    <row r="77" spans="1:21" ht="12.75">
      <c r="A77" s="4">
        <f>ROW()</f>
        <v>77</v>
      </c>
      <c r="B77" s="19" t="s">
        <v>303</v>
      </c>
      <c r="D77" s="5"/>
      <c r="E77" s="5"/>
      <c r="F77" s="5"/>
      <c r="G77" s="11"/>
      <c r="H77" s="11"/>
      <c r="I77" s="11">
        <f>+I70</f>
        <v>-8796894.602499394</v>
      </c>
      <c r="J77" s="11">
        <f aca="true" t="shared" si="21" ref="J77:T77">+I77+J70</f>
        <v>-25175318.587848235</v>
      </c>
      <c r="K77" s="11">
        <f t="shared" si="21"/>
        <v>-36337549.115732744</v>
      </c>
      <c r="L77" s="11">
        <f t="shared" si="21"/>
        <v>-30706545.511612236</v>
      </c>
      <c r="M77" s="11">
        <f t="shared" si="21"/>
        <v>-17208123.399774138</v>
      </c>
      <c r="N77" s="11">
        <f t="shared" si="21"/>
        <v>-26599273.89502798</v>
      </c>
      <c r="O77" s="11">
        <f t="shared" si="21"/>
        <v>-19034567.10703911</v>
      </c>
      <c r="P77" s="11">
        <f t="shared" si="21"/>
        <v>-15034994.829630028</v>
      </c>
      <c r="Q77" s="11">
        <f t="shared" si="21"/>
        <v>-23366713.210495945</v>
      </c>
      <c r="R77" s="11">
        <f t="shared" si="21"/>
        <v>-28545242.36239162</v>
      </c>
      <c r="S77" s="11">
        <f t="shared" si="21"/>
        <v>-29274857.063023377</v>
      </c>
      <c r="T77" s="11">
        <f t="shared" si="21"/>
        <v>-38312461.131160975</v>
      </c>
      <c r="U77" s="11">
        <f>+U70</f>
        <v>-38312461.131160975</v>
      </c>
    </row>
    <row r="78" spans="1:21" ht="12.75">
      <c r="A78" s="4">
        <f>ROW()</f>
        <v>78</v>
      </c>
      <c r="B78" s="19"/>
      <c r="D78" s="5"/>
      <c r="E78" s="5"/>
      <c r="F78" s="5"/>
      <c r="G78" s="11"/>
      <c r="H78" s="11"/>
      <c r="I78" s="11"/>
      <c r="J78" s="11"/>
      <c r="K78" s="11"/>
      <c r="L78" s="11"/>
      <c r="M78" s="11"/>
      <c r="N78" s="11"/>
      <c r="O78" s="11"/>
      <c r="P78" s="11"/>
      <c r="Q78" s="11"/>
      <c r="R78" s="11"/>
      <c r="S78" s="11"/>
      <c r="T78" s="11"/>
      <c r="U78" s="11"/>
    </row>
    <row r="79" spans="1:21" ht="12.75">
      <c r="A79" s="4">
        <f>ROW()</f>
        <v>79</v>
      </c>
      <c r="B79" s="19" t="s">
        <v>72</v>
      </c>
      <c r="D79" s="5"/>
      <c r="E79" s="5"/>
      <c r="F79" s="5"/>
      <c r="G79" s="11"/>
      <c r="H79" s="11"/>
      <c r="I79" s="11">
        <f>I72</f>
        <v>0</v>
      </c>
      <c r="J79" s="11">
        <f aca="true" t="shared" si="22" ref="J79:T80">I79+J72</f>
        <v>0</v>
      </c>
      <c r="K79" s="11">
        <f t="shared" si="22"/>
        <v>0</v>
      </c>
      <c r="L79" s="11">
        <f t="shared" si="22"/>
        <v>0</v>
      </c>
      <c r="M79" s="11">
        <f t="shared" si="22"/>
        <v>0</v>
      </c>
      <c r="N79" s="11">
        <f t="shared" si="22"/>
        <v>0</v>
      </c>
      <c r="O79" s="11">
        <f t="shared" si="22"/>
        <v>0</v>
      </c>
      <c r="P79" s="11">
        <v>0</v>
      </c>
      <c r="Q79" s="12">
        <v>0</v>
      </c>
      <c r="R79" s="11">
        <v>0</v>
      </c>
      <c r="S79" s="11">
        <v>0</v>
      </c>
      <c r="T79" s="11">
        <v>0</v>
      </c>
      <c r="U79" s="11"/>
    </row>
    <row r="80" spans="1:21" ht="12.75">
      <c r="A80" s="4">
        <f>ROW()</f>
        <v>80</v>
      </c>
      <c r="B80" s="19" t="s">
        <v>73</v>
      </c>
      <c r="D80" s="5"/>
      <c r="E80" s="5"/>
      <c r="F80" s="5"/>
      <c r="G80" s="11"/>
      <c r="H80" s="11"/>
      <c r="I80" s="11">
        <f>I73</f>
        <v>8796894.602499394</v>
      </c>
      <c r="J80" s="11">
        <f t="shared" si="22"/>
        <v>25175318.587848235</v>
      </c>
      <c r="K80" s="11">
        <f t="shared" si="22"/>
        <v>36337549.115732744</v>
      </c>
      <c r="L80" s="11">
        <f t="shared" si="22"/>
        <v>30706545.511612236</v>
      </c>
      <c r="M80" s="11">
        <f t="shared" si="22"/>
        <v>17208123.399774138</v>
      </c>
      <c r="N80" s="11">
        <f t="shared" si="22"/>
        <v>26599273.89502798</v>
      </c>
      <c r="O80" s="11">
        <f t="shared" si="22"/>
        <v>19034567.10703911</v>
      </c>
      <c r="P80" s="11">
        <f t="shared" si="22"/>
        <v>15034994.829630028</v>
      </c>
      <c r="Q80" s="11">
        <f t="shared" si="22"/>
        <v>23366713.210495945</v>
      </c>
      <c r="R80" s="11">
        <f t="shared" si="22"/>
        <v>28545242.36239162</v>
      </c>
      <c r="S80" s="11">
        <f t="shared" si="22"/>
        <v>29274857.063023377</v>
      </c>
      <c r="T80" s="11">
        <f t="shared" si="22"/>
        <v>38312461.131160975</v>
      </c>
      <c r="U80" s="11"/>
    </row>
    <row r="81" spans="1:21" ht="12.75">
      <c r="A81" s="4">
        <f>ROW()</f>
        <v>81</v>
      </c>
      <c r="B81" s="19" t="s">
        <v>74</v>
      </c>
      <c r="D81" s="5"/>
      <c r="E81" s="5"/>
      <c r="F81" s="5"/>
      <c r="G81" s="11"/>
      <c r="H81" s="11"/>
      <c r="I81" s="11">
        <f aca="true" t="shared" si="23" ref="I81:T81">-I80</f>
        <v>-8796894.602499394</v>
      </c>
      <c r="J81" s="11">
        <f t="shared" si="23"/>
        <v>-25175318.587848235</v>
      </c>
      <c r="K81" s="11">
        <f t="shared" si="23"/>
        <v>-36337549.115732744</v>
      </c>
      <c r="L81" s="11">
        <f t="shared" si="23"/>
        <v>-30706545.511612236</v>
      </c>
      <c r="M81" s="11">
        <f t="shared" si="23"/>
        <v>-17208123.399774138</v>
      </c>
      <c r="N81" s="11">
        <f t="shared" si="23"/>
        <v>-26599273.89502798</v>
      </c>
      <c r="O81" s="11">
        <f t="shared" si="23"/>
        <v>-19034567.10703911</v>
      </c>
      <c r="P81" s="11">
        <f t="shared" si="23"/>
        <v>-15034994.829630028</v>
      </c>
      <c r="Q81" s="11">
        <f t="shared" si="23"/>
        <v>-23366713.210495945</v>
      </c>
      <c r="R81" s="11">
        <f t="shared" si="23"/>
        <v>-28545242.36239162</v>
      </c>
      <c r="S81" s="11">
        <f t="shared" si="23"/>
        <v>-29274857.063023377</v>
      </c>
      <c r="T81" s="11">
        <f t="shared" si="23"/>
        <v>-38312461.131160975</v>
      </c>
      <c r="U81" s="11"/>
    </row>
    <row r="82" spans="1:21" ht="12.75">
      <c r="A82" s="4">
        <f>ROW()</f>
        <v>82</v>
      </c>
      <c r="B82" s="19"/>
      <c r="D82" s="5"/>
      <c r="E82" s="5"/>
      <c r="F82" s="5"/>
      <c r="G82" s="11"/>
      <c r="H82" s="11"/>
      <c r="I82" s="11"/>
      <c r="J82" s="11"/>
      <c r="K82" s="11"/>
      <c r="L82" s="11"/>
      <c r="M82" s="12"/>
      <c r="N82" s="11"/>
      <c r="O82" s="11"/>
      <c r="P82" s="11"/>
      <c r="Q82" s="11"/>
      <c r="R82" s="11"/>
      <c r="S82" s="11"/>
      <c r="T82" s="11"/>
      <c r="U82" s="11"/>
    </row>
    <row r="83" spans="1:21" ht="12.75">
      <c r="A83" s="4">
        <f>ROW()</f>
        <v>83</v>
      </c>
      <c r="B83" s="19"/>
      <c r="D83" s="5"/>
      <c r="E83" s="5"/>
      <c r="F83" s="5"/>
      <c r="G83" s="11"/>
      <c r="H83" s="11"/>
      <c r="I83" s="11"/>
      <c r="J83" s="11"/>
      <c r="K83" s="11"/>
      <c r="L83" s="11"/>
      <c r="M83" s="11"/>
      <c r="N83" s="11"/>
      <c r="O83" s="11"/>
      <c r="P83" s="11"/>
      <c r="Q83" s="11"/>
      <c r="R83" s="11"/>
      <c r="S83" s="11"/>
      <c r="T83" s="11"/>
      <c r="U83" s="11"/>
    </row>
    <row r="84" spans="1:21" ht="12.75">
      <c r="A84" s="4">
        <f>ROW()</f>
        <v>84</v>
      </c>
      <c r="B84" s="19" t="s">
        <v>304</v>
      </c>
      <c r="C84" s="5"/>
      <c r="D84" s="5"/>
      <c r="E84" s="5"/>
      <c r="F84" s="5"/>
      <c r="G84" s="11"/>
      <c r="H84" s="11"/>
      <c r="I84" s="11"/>
      <c r="J84" s="11"/>
      <c r="K84" s="11"/>
      <c r="L84" s="11"/>
      <c r="M84" s="11"/>
      <c r="N84" s="11"/>
      <c r="O84" s="11"/>
      <c r="P84" s="11"/>
      <c r="Q84" s="11"/>
      <c r="R84" s="11"/>
      <c r="S84" s="11"/>
      <c r="T84" s="11"/>
      <c r="U84" s="11"/>
    </row>
    <row r="85" spans="1:21" ht="51" customHeight="1" hidden="1">
      <c r="A85" s="4">
        <v>65</v>
      </c>
      <c r="B85" s="1039" t="s">
        <v>91</v>
      </c>
      <c r="C85" s="1039"/>
      <c r="D85" s="1039"/>
      <c r="E85" s="1039"/>
      <c r="F85" s="1039"/>
      <c r="G85" s="1039"/>
      <c r="H85" s="1039"/>
      <c r="I85" s="1039"/>
      <c r="J85" s="1039"/>
      <c r="K85" s="1039"/>
      <c r="L85" s="1039"/>
      <c r="M85" s="11"/>
      <c r="N85" s="11"/>
      <c r="O85" s="11"/>
      <c r="P85" s="11"/>
      <c r="Q85" s="11"/>
      <c r="R85" s="11"/>
      <c r="S85" s="11"/>
      <c r="T85" s="11"/>
      <c r="U85" s="11"/>
    </row>
    <row r="86" spans="4:21" ht="12.75">
      <c r="D86" s="21"/>
      <c r="E86" s="21"/>
      <c r="F86" s="21"/>
      <c r="G86" s="21"/>
      <c r="H86" s="11"/>
      <c r="I86" s="11"/>
      <c r="J86" s="11"/>
      <c r="K86" s="11"/>
      <c r="L86" s="11"/>
      <c r="M86" s="11"/>
      <c r="N86" s="11"/>
      <c r="O86" s="11"/>
      <c r="P86" s="11"/>
      <c r="Q86" s="11"/>
      <c r="R86" s="11"/>
      <c r="S86" s="11"/>
      <c r="T86" s="11"/>
      <c r="U86" s="11"/>
    </row>
    <row r="90" ht="12.75">
      <c r="A90" s="3"/>
    </row>
    <row r="91" ht="12.75">
      <c r="A91" s="3"/>
    </row>
    <row r="92" ht="12.75">
      <c r="A92" s="3"/>
    </row>
    <row r="93" ht="12.75">
      <c r="A93" s="3"/>
    </row>
    <row r="94" ht="12.75">
      <c r="A94" s="3"/>
    </row>
    <row r="95" ht="12.75">
      <c r="A95" s="3"/>
    </row>
    <row r="96" ht="12.75">
      <c r="A96" s="3"/>
    </row>
    <row r="97" ht="12.75">
      <c r="A97" s="3"/>
    </row>
    <row r="98" ht="12.75">
      <c r="A98" s="3"/>
    </row>
    <row r="99" ht="12.75">
      <c r="A99" s="3"/>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624"/>
    </row>
    <row r="112" ht="12.75">
      <c r="A112" s="624"/>
    </row>
    <row r="113" ht="12.75">
      <c r="A113" s="624"/>
    </row>
    <row r="114" ht="12.75">
      <c r="A114" s="624"/>
    </row>
    <row r="115" ht="12.75">
      <c r="A115" s="624"/>
    </row>
    <row r="116" ht="12.75">
      <c r="A116" s="624"/>
    </row>
    <row r="117" ht="12.75">
      <c r="A117" s="624"/>
    </row>
    <row r="118" ht="12.75">
      <c r="A118" s="624"/>
    </row>
    <row r="119" ht="12.75">
      <c r="A119" s="624"/>
    </row>
    <row r="120" ht="12.75">
      <c r="A120" s="624"/>
    </row>
    <row r="121" ht="12.75">
      <c r="A121" s="624"/>
    </row>
    <row r="122" ht="12.75">
      <c r="A122" s="624"/>
    </row>
    <row r="123" ht="12.75">
      <c r="A123" s="624"/>
    </row>
    <row r="124" ht="12.75">
      <c r="A124" s="624"/>
    </row>
    <row r="125" ht="12.75">
      <c r="A125" s="624"/>
    </row>
    <row r="126" ht="12.75">
      <c r="A126" s="624"/>
    </row>
    <row r="127" ht="12.75">
      <c r="A127" s="624"/>
    </row>
    <row r="128" ht="12.75">
      <c r="A128" s="624"/>
    </row>
    <row r="129" ht="12.75">
      <c r="A129" s="624"/>
    </row>
    <row r="130" ht="12.75">
      <c r="A130" s="624"/>
    </row>
    <row r="131" ht="12.75">
      <c r="A131" s="624"/>
    </row>
    <row r="132" ht="12.75">
      <c r="A132" s="624"/>
    </row>
    <row r="133" ht="12.75">
      <c r="A133" s="624"/>
    </row>
    <row r="134" ht="12.75">
      <c r="A134" s="624"/>
    </row>
    <row r="135" ht="12.75">
      <c r="A135" s="624"/>
    </row>
    <row r="136" ht="12.75">
      <c r="A136" s="624"/>
    </row>
    <row r="137" ht="12.75">
      <c r="A137" s="624"/>
    </row>
    <row r="138" ht="12.75">
      <c r="A138" s="624"/>
    </row>
    <row r="139" ht="12.75">
      <c r="A139" s="624"/>
    </row>
    <row r="140" ht="12.75">
      <c r="A140" s="624"/>
    </row>
    <row r="141" ht="12.75">
      <c r="A141" s="624"/>
    </row>
    <row r="142" ht="12.75">
      <c r="A142" s="624"/>
    </row>
    <row r="143" ht="12.75">
      <c r="A143" s="624"/>
    </row>
    <row r="144" ht="12.75">
      <c r="A144" s="624"/>
    </row>
    <row r="145" ht="12.75">
      <c r="A145" s="624"/>
    </row>
    <row r="146" ht="12.75">
      <c r="A146" s="624"/>
    </row>
    <row r="147" ht="12.75">
      <c r="A147" s="624"/>
    </row>
    <row r="148" ht="12.75">
      <c r="A148" s="624"/>
    </row>
    <row r="149" ht="12.75">
      <c r="A149" s="624"/>
    </row>
    <row r="150" ht="12.75">
      <c r="A150" s="624"/>
    </row>
    <row r="151" ht="12.75">
      <c r="A151" s="624"/>
    </row>
    <row r="152" ht="12.75">
      <c r="A152" s="624"/>
    </row>
    <row r="153" ht="12.75">
      <c r="A153" s="624"/>
    </row>
    <row r="154" ht="12.75">
      <c r="A154" s="624"/>
    </row>
    <row r="155" ht="12.75">
      <c r="A155" s="624"/>
    </row>
    <row r="156" ht="12.75">
      <c r="A156" s="624"/>
    </row>
    <row r="157" ht="12.75">
      <c r="A157" s="624"/>
    </row>
    <row r="158" ht="12.75">
      <c r="A158" s="624"/>
    </row>
    <row r="159" ht="12.75">
      <c r="A159" s="624"/>
    </row>
    <row r="160" ht="12.75">
      <c r="A160" s="624"/>
    </row>
    <row r="161" ht="12.75">
      <c r="A161" s="624"/>
    </row>
    <row r="162" ht="12.75">
      <c r="A162" s="624"/>
    </row>
    <row r="163" ht="12.75">
      <c r="A163" s="624"/>
    </row>
    <row r="164" ht="12.75">
      <c r="A164" s="624"/>
    </row>
    <row r="165" ht="12.75">
      <c r="A165" s="624"/>
    </row>
    <row r="166" ht="12.75">
      <c r="A166" s="624"/>
    </row>
    <row r="167" ht="12.75">
      <c r="A167" s="624"/>
    </row>
    <row r="168" ht="12.75">
      <c r="A168" s="624"/>
    </row>
    <row r="169" ht="12.75">
      <c r="A169" s="624"/>
    </row>
    <row r="170" ht="12.75">
      <c r="A170" s="624"/>
    </row>
    <row r="171" ht="12.75">
      <c r="A171" s="624"/>
    </row>
    <row r="172" ht="12.75">
      <c r="A172" s="624"/>
    </row>
    <row r="173" ht="12.75">
      <c r="A173" s="624"/>
    </row>
    <row r="174" ht="12.75">
      <c r="A174" s="624"/>
    </row>
    <row r="175" ht="12.75">
      <c r="A175" s="624"/>
    </row>
    <row r="176" ht="12.75">
      <c r="A176" s="624"/>
    </row>
    <row r="177" ht="12.75">
      <c r="A177" s="624"/>
    </row>
    <row r="178" ht="12.75">
      <c r="A178" s="624"/>
    </row>
    <row r="179" ht="12.75">
      <c r="A179" s="624"/>
    </row>
    <row r="180" ht="12.75">
      <c r="A180" s="624"/>
    </row>
    <row r="181" ht="12.75">
      <c r="A181" s="624"/>
    </row>
    <row r="182" ht="12.75">
      <c r="A182" s="624"/>
    </row>
    <row r="183" ht="12.75">
      <c r="A183" s="624"/>
    </row>
    <row r="184" ht="12.75">
      <c r="A184" s="624"/>
    </row>
    <row r="185" ht="12.75">
      <c r="A185" s="624"/>
    </row>
    <row r="186" ht="12.75">
      <c r="A186" s="624"/>
    </row>
    <row r="187" ht="12.75">
      <c r="A187" s="624"/>
    </row>
    <row r="188" ht="12.75">
      <c r="A188" s="624"/>
    </row>
    <row r="189" ht="12.75">
      <c r="A189" s="624"/>
    </row>
    <row r="190" ht="12.75">
      <c r="A190" s="624"/>
    </row>
    <row r="191" ht="12.75">
      <c r="A191" s="624"/>
    </row>
    <row r="192" ht="12.75">
      <c r="A192" s="624"/>
    </row>
    <row r="193" ht="12.75">
      <c r="A193" s="624"/>
    </row>
    <row r="194" ht="12.75">
      <c r="A194" s="624"/>
    </row>
    <row r="195" ht="12.75">
      <c r="A195" s="624"/>
    </row>
    <row r="196" ht="12.75">
      <c r="A196" s="624"/>
    </row>
    <row r="197" ht="12.75">
      <c r="A197" s="624"/>
    </row>
    <row r="198" ht="12.75">
      <c r="A198" s="624"/>
    </row>
    <row r="199" ht="12.75">
      <c r="A199" s="624"/>
    </row>
    <row r="200" ht="12.75">
      <c r="A200" s="624"/>
    </row>
    <row r="201" ht="12.75">
      <c r="A201" s="624"/>
    </row>
    <row r="202" ht="12.75">
      <c r="A202" s="624"/>
    </row>
    <row r="203" ht="12.75">
      <c r="A203" s="624"/>
    </row>
    <row r="204" ht="12.75">
      <c r="A204" s="624"/>
    </row>
    <row r="205" ht="12.75">
      <c r="A205" s="624"/>
    </row>
    <row r="206" ht="12.75">
      <c r="A206" s="624"/>
    </row>
    <row r="207" ht="12.75">
      <c r="A207" s="624"/>
    </row>
    <row r="208" ht="12.75">
      <c r="A208" s="624"/>
    </row>
    <row r="209" ht="12.75">
      <c r="A209" s="624"/>
    </row>
    <row r="210" ht="12.75">
      <c r="A210" s="624"/>
    </row>
    <row r="211" ht="12.75">
      <c r="A211" s="624"/>
    </row>
    <row r="212" ht="12.75">
      <c r="A212" s="624"/>
    </row>
    <row r="213" ht="12.75">
      <c r="A213" s="624"/>
    </row>
    <row r="214" ht="12.75">
      <c r="A214" s="624"/>
    </row>
    <row r="215" ht="12.75">
      <c r="A215" s="624"/>
    </row>
    <row r="216" ht="12.75">
      <c r="A216" s="624"/>
    </row>
    <row r="217" ht="12.75">
      <c r="A217" s="624"/>
    </row>
    <row r="218" ht="12.75">
      <c r="A218" s="624"/>
    </row>
    <row r="219" ht="12.75">
      <c r="A219" s="624"/>
    </row>
    <row r="220" ht="12.75">
      <c r="A220" s="624"/>
    </row>
    <row r="221" ht="12.75">
      <c r="A221" s="624"/>
    </row>
    <row r="222" ht="12.75">
      <c r="A222" s="624"/>
    </row>
    <row r="223" ht="12.75">
      <c r="A223" s="624"/>
    </row>
    <row r="224" ht="12.75">
      <c r="A224" s="624"/>
    </row>
    <row r="225" ht="12.75">
      <c r="A225" s="624"/>
    </row>
    <row r="226" ht="12.75">
      <c r="A226" s="624"/>
    </row>
    <row r="227" ht="12.75">
      <c r="A227" s="624"/>
    </row>
    <row r="228" ht="12.75">
      <c r="A228" s="624"/>
    </row>
    <row r="229" ht="12.75">
      <c r="A229" s="624"/>
    </row>
    <row r="230" ht="12.75">
      <c r="A230" s="624"/>
    </row>
    <row r="231" ht="12.75">
      <c r="A231" s="624"/>
    </row>
    <row r="232" ht="12.75">
      <c r="A232" s="624"/>
    </row>
    <row r="233" ht="12.75">
      <c r="A233" s="624"/>
    </row>
    <row r="234" ht="12.75">
      <c r="A234" s="624"/>
    </row>
    <row r="235" ht="12.75">
      <c r="A235" s="624"/>
    </row>
    <row r="236" ht="12.75">
      <c r="A236" s="624"/>
    </row>
    <row r="237" ht="12.75">
      <c r="A237" s="624"/>
    </row>
    <row r="238" ht="12.75">
      <c r="A238" s="624"/>
    </row>
    <row r="239" ht="12.75">
      <c r="A239" s="624"/>
    </row>
    <row r="240" ht="12.75">
      <c r="A240" s="624"/>
    </row>
    <row r="241" ht="12.75">
      <c r="A241" s="624"/>
    </row>
    <row r="242" ht="12.75">
      <c r="A242" s="624"/>
    </row>
    <row r="243" ht="12.75">
      <c r="A243" s="624"/>
    </row>
    <row r="244" ht="12.75">
      <c r="A244" s="624"/>
    </row>
    <row r="245" ht="12.75">
      <c r="A245" s="624"/>
    </row>
    <row r="246" ht="12.75">
      <c r="A246" s="624"/>
    </row>
    <row r="247" ht="12.75">
      <c r="A247" s="624"/>
    </row>
    <row r="248" ht="12.75">
      <c r="A248" s="624"/>
    </row>
    <row r="249" ht="12.75">
      <c r="A249" s="624"/>
    </row>
    <row r="250" ht="12.75">
      <c r="A250" s="624"/>
    </row>
    <row r="251" ht="12.75">
      <c r="A251" s="624"/>
    </row>
    <row r="252" ht="12.75">
      <c r="A252" s="624"/>
    </row>
    <row r="253" ht="12.75">
      <c r="A253" s="624"/>
    </row>
    <row r="254" ht="12.75">
      <c r="A254" s="624"/>
    </row>
    <row r="255" ht="12.75">
      <c r="A255" s="624"/>
    </row>
    <row r="256" ht="12.75">
      <c r="A256" s="624"/>
    </row>
    <row r="257" ht="12.75">
      <c r="A257" s="624"/>
    </row>
    <row r="258" ht="12.75">
      <c r="A258" s="624"/>
    </row>
    <row r="259" ht="12.75">
      <c r="A259" s="624"/>
    </row>
    <row r="260" ht="12.75">
      <c r="A260" s="624"/>
    </row>
    <row r="261" ht="12.75">
      <c r="A261" s="624"/>
    </row>
    <row r="262" ht="12.75">
      <c r="A262" s="624"/>
    </row>
    <row r="263" ht="12.75">
      <c r="A263" s="624"/>
    </row>
    <row r="264" ht="12.75">
      <c r="A264" s="624"/>
    </row>
    <row r="265" ht="12.75">
      <c r="A265" s="624"/>
    </row>
    <row r="266" ht="12.75">
      <c r="A266" s="624"/>
    </row>
    <row r="267" ht="12.75">
      <c r="A267" s="624"/>
    </row>
    <row r="268" ht="12.75">
      <c r="A268" s="624"/>
    </row>
    <row r="269" ht="12.75">
      <c r="A269" s="624"/>
    </row>
    <row r="270" ht="12.75">
      <c r="A270" s="624"/>
    </row>
    <row r="271" ht="12.75">
      <c r="A271" s="624"/>
    </row>
    <row r="272" ht="12.75">
      <c r="A272" s="624"/>
    </row>
    <row r="273" ht="12.75">
      <c r="A273" s="624"/>
    </row>
    <row r="274" ht="12.75">
      <c r="A274" s="624"/>
    </row>
    <row r="275" ht="12.75">
      <c r="A275" s="624"/>
    </row>
    <row r="276" ht="12.75">
      <c r="A276" s="624"/>
    </row>
    <row r="277" ht="12.75">
      <c r="A277" s="624"/>
    </row>
    <row r="278" ht="12.75">
      <c r="A278" s="624"/>
    </row>
    <row r="279" ht="12.75">
      <c r="A279" s="624"/>
    </row>
    <row r="280" ht="12.75">
      <c r="A280" s="624"/>
    </row>
    <row r="281" ht="12.75">
      <c r="A281" s="624"/>
    </row>
    <row r="282" ht="12.75">
      <c r="A282" s="624"/>
    </row>
    <row r="283" ht="12.75">
      <c r="A283" s="624"/>
    </row>
    <row r="284" ht="12.75">
      <c r="A284" s="624"/>
    </row>
    <row r="285" ht="12.75">
      <c r="A285" s="624"/>
    </row>
    <row r="286" ht="12.75">
      <c r="A286" s="624"/>
    </row>
    <row r="287" ht="12.75">
      <c r="A287" s="624"/>
    </row>
    <row r="288" ht="12.75">
      <c r="A288" s="624"/>
    </row>
    <row r="289" ht="12.75">
      <c r="A289" s="624"/>
    </row>
    <row r="290" ht="12.75">
      <c r="A290" s="624"/>
    </row>
    <row r="291" ht="12.75">
      <c r="A291" s="624"/>
    </row>
    <row r="292" ht="12.75">
      <c r="A292" s="624"/>
    </row>
    <row r="293" ht="12.75">
      <c r="A293" s="624"/>
    </row>
    <row r="294" ht="12.75">
      <c r="A294" s="624"/>
    </row>
    <row r="295" ht="12.75">
      <c r="A295" s="624"/>
    </row>
    <row r="296" ht="12.75">
      <c r="A296" s="624"/>
    </row>
    <row r="297" ht="12.75">
      <c r="A297" s="624"/>
    </row>
    <row r="298" ht="12.75">
      <c r="A298" s="624"/>
    </row>
    <row r="299" ht="12.75">
      <c r="A299" s="624"/>
    </row>
    <row r="300" ht="12.75">
      <c r="A300" s="624"/>
    </row>
    <row r="301" ht="12.75">
      <c r="A301" s="624"/>
    </row>
    <row r="302" ht="12.75">
      <c r="A302" s="624"/>
    </row>
    <row r="303" ht="12.75">
      <c r="A303" s="624"/>
    </row>
    <row r="304" ht="12.75">
      <c r="A304" s="624"/>
    </row>
    <row r="305" ht="12.75">
      <c r="A305" s="624"/>
    </row>
    <row r="306" ht="12.75">
      <c r="A306" s="624"/>
    </row>
    <row r="307" ht="12.75">
      <c r="A307" s="624"/>
    </row>
    <row r="308" ht="12.75">
      <c r="A308" s="624"/>
    </row>
    <row r="309" ht="12.75">
      <c r="A309" s="624"/>
    </row>
    <row r="310" ht="12.75">
      <c r="A310" s="624"/>
    </row>
    <row r="311" ht="12.75">
      <c r="A311" s="624"/>
    </row>
    <row r="312" ht="12.75">
      <c r="A312" s="624"/>
    </row>
    <row r="313" ht="12.75">
      <c r="A313" s="624"/>
    </row>
    <row r="314" ht="12.75">
      <c r="A314" s="624"/>
    </row>
    <row r="315" ht="12.75">
      <c r="A315" s="624"/>
    </row>
    <row r="316" ht="12.75">
      <c r="A316" s="624"/>
    </row>
    <row r="317" ht="12.75">
      <c r="A317" s="624"/>
    </row>
    <row r="318" ht="12.75">
      <c r="A318" s="624"/>
    </row>
    <row r="319" ht="12.75">
      <c r="A319" s="624"/>
    </row>
    <row r="320" ht="12.75">
      <c r="A320" s="624"/>
    </row>
    <row r="321" ht="12.75">
      <c r="A321" s="624"/>
    </row>
    <row r="322" ht="12.75">
      <c r="A322" s="624"/>
    </row>
    <row r="323" ht="12.75">
      <c r="A323" s="624"/>
    </row>
    <row r="324" ht="12.75">
      <c r="A324" s="624"/>
    </row>
    <row r="325" ht="12.75">
      <c r="A325" s="624"/>
    </row>
    <row r="326" ht="12.75">
      <c r="A326" s="624"/>
    </row>
    <row r="327" ht="12.75">
      <c r="A327" s="624"/>
    </row>
    <row r="328" ht="12.75">
      <c r="A328" s="624"/>
    </row>
    <row r="329" ht="12.75">
      <c r="A329" s="624"/>
    </row>
    <row r="330" ht="12.75">
      <c r="A330" s="624"/>
    </row>
    <row r="331" ht="12.75">
      <c r="A331" s="624"/>
    </row>
    <row r="332" ht="12.75">
      <c r="A332" s="624"/>
    </row>
    <row r="333" ht="12.75">
      <c r="A333" s="624"/>
    </row>
    <row r="334" ht="12.75">
      <c r="A334" s="624"/>
    </row>
    <row r="335" ht="12.75">
      <c r="A335" s="624"/>
    </row>
    <row r="336" ht="12.75">
      <c r="A336" s="624"/>
    </row>
    <row r="337" ht="12.75">
      <c r="A337" s="624"/>
    </row>
    <row r="338" ht="12.75">
      <c r="A338" s="624"/>
    </row>
    <row r="339" ht="12.75">
      <c r="A339" s="624"/>
    </row>
    <row r="340" ht="12.75">
      <c r="A340" s="624"/>
    </row>
    <row r="341" ht="12.75">
      <c r="A341" s="624"/>
    </row>
    <row r="342" ht="12.75">
      <c r="A342" s="624"/>
    </row>
    <row r="343" ht="12.75">
      <c r="A343" s="624"/>
    </row>
    <row r="344" ht="12.75">
      <c r="A344" s="624"/>
    </row>
    <row r="345" ht="12.75">
      <c r="A345" s="624"/>
    </row>
    <row r="346" ht="12.75">
      <c r="A346" s="624"/>
    </row>
    <row r="347" ht="12.75">
      <c r="A347" s="624"/>
    </row>
    <row r="348" ht="12.75">
      <c r="A348" s="624"/>
    </row>
    <row r="349" ht="12.75">
      <c r="A349" s="624"/>
    </row>
    <row r="350" ht="12.75">
      <c r="A350" s="624"/>
    </row>
    <row r="351" ht="12.75">
      <c r="A351" s="624"/>
    </row>
    <row r="352" ht="12.75">
      <c r="A352" s="624"/>
    </row>
    <row r="353" ht="12.75">
      <c r="A353" s="624"/>
    </row>
    <row r="354" ht="12.75">
      <c r="A354" s="624"/>
    </row>
    <row r="355" ht="12.75">
      <c r="A355" s="624"/>
    </row>
    <row r="356" ht="12.75">
      <c r="A356" s="624"/>
    </row>
    <row r="357" ht="12.75">
      <c r="A357" s="624"/>
    </row>
    <row r="358" ht="12.75">
      <c r="A358" s="624"/>
    </row>
    <row r="359" ht="12.75">
      <c r="A359" s="624"/>
    </row>
    <row r="360" ht="12.75">
      <c r="A360" s="624"/>
    </row>
    <row r="361" ht="12.75">
      <c r="A361" s="624"/>
    </row>
    <row r="362" ht="12.75">
      <c r="A362" s="624"/>
    </row>
    <row r="363" ht="12.75">
      <c r="A363" s="624"/>
    </row>
    <row r="364" ht="12.75">
      <c r="A364" s="624"/>
    </row>
    <row r="365" ht="12.75">
      <c r="A365" s="624"/>
    </row>
    <row r="366" ht="12.75">
      <c r="A366" s="624"/>
    </row>
    <row r="367" ht="12.75">
      <c r="A367" s="624"/>
    </row>
    <row r="368" ht="12.75">
      <c r="A368" s="624"/>
    </row>
    <row r="369" ht="12.75">
      <c r="A369" s="624"/>
    </row>
    <row r="370" ht="12.75">
      <c r="A370" s="624"/>
    </row>
    <row r="371" ht="12.75">
      <c r="A371" s="624"/>
    </row>
    <row r="372" ht="12.75">
      <c r="A372" s="624"/>
    </row>
    <row r="373" ht="12.75">
      <c r="A373" s="624"/>
    </row>
    <row r="374" ht="12.75">
      <c r="A374" s="624"/>
    </row>
    <row r="375" ht="12.75">
      <c r="A375" s="624"/>
    </row>
    <row r="376" ht="12.75">
      <c r="A376" s="624"/>
    </row>
    <row r="377" ht="12.75">
      <c r="A377" s="624"/>
    </row>
    <row r="378" ht="12.75">
      <c r="A378" s="624"/>
    </row>
    <row r="379" ht="12.75">
      <c r="A379" s="624"/>
    </row>
    <row r="380" ht="12.75">
      <c r="A380" s="624"/>
    </row>
    <row r="381" ht="12.75">
      <c r="A381" s="624"/>
    </row>
    <row r="382" ht="12.75">
      <c r="A382" s="624"/>
    </row>
    <row r="383" ht="12.75">
      <c r="A383" s="624"/>
    </row>
    <row r="384" ht="12.75">
      <c r="A384" s="624"/>
    </row>
    <row r="385" ht="12.75">
      <c r="A385" s="624"/>
    </row>
    <row r="386" ht="12.75">
      <c r="A386" s="624"/>
    </row>
    <row r="387" ht="12.75">
      <c r="A387" s="624"/>
    </row>
    <row r="388" ht="12.75">
      <c r="A388" s="624"/>
    </row>
    <row r="389" ht="12.75">
      <c r="A389" s="624"/>
    </row>
    <row r="390" ht="12.75">
      <c r="A390" s="624"/>
    </row>
    <row r="391" ht="12.75">
      <c r="A391" s="624"/>
    </row>
    <row r="392" ht="12.75">
      <c r="A392" s="624"/>
    </row>
    <row r="393" ht="12.75">
      <c r="A393" s="624"/>
    </row>
    <row r="394" ht="12.75">
      <c r="A394" s="624"/>
    </row>
    <row r="395" ht="12.75">
      <c r="A395" s="624"/>
    </row>
    <row r="396" ht="12.75">
      <c r="A396" s="624"/>
    </row>
    <row r="397" ht="12.75">
      <c r="A397" s="624"/>
    </row>
    <row r="398" ht="12.75">
      <c r="A398" s="624"/>
    </row>
    <row r="399" ht="12.75">
      <c r="A399" s="624"/>
    </row>
    <row r="400" ht="12.75">
      <c r="A400" s="624"/>
    </row>
    <row r="401" ht="12.75">
      <c r="A401" s="624"/>
    </row>
    <row r="402" ht="12.75">
      <c r="A402" s="624"/>
    </row>
    <row r="403" ht="12.75">
      <c r="A403" s="624"/>
    </row>
    <row r="404" ht="12.75">
      <c r="A404" s="624"/>
    </row>
    <row r="405" ht="12.75">
      <c r="A405" s="624"/>
    </row>
    <row r="406" ht="12.75">
      <c r="A406" s="624"/>
    </row>
    <row r="407" ht="12.75">
      <c r="A407" s="624"/>
    </row>
    <row r="408" ht="12.75">
      <c r="A408" s="624"/>
    </row>
    <row r="409" ht="12.75">
      <c r="A409" s="624"/>
    </row>
    <row r="410" ht="12.75">
      <c r="A410" s="624"/>
    </row>
    <row r="411" ht="12.75">
      <c r="A411" s="624"/>
    </row>
    <row r="412" ht="12.75">
      <c r="A412" s="624"/>
    </row>
    <row r="413" ht="12.75">
      <c r="A413" s="624"/>
    </row>
    <row r="414" ht="12.75">
      <c r="A414" s="624"/>
    </row>
    <row r="415" ht="12.75">
      <c r="A415" s="624"/>
    </row>
    <row r="416" ht="12.75">
      <c r="A416" s="624"/>
    </row>
    <row r="417" ht="12.75">
      <c r="A417" s="624"/>
    </row>
    <row r="418" ht="12.75">
      <c r="A418" s="624"/>
    </row>
    <row r="419" ht="12.75">
      <c r="A419" s="624"/>
    </row>
    <row r="420" ht="12.75">
      <c r="A420" s="624"/>
    </row>
    <row r="421" ht="12.75">
      <c r="A421" s="624"/>
    </row>
    <row r="422" ht="12.75">
      <c r="A422" s="624"/>
    </row>
    <row r="423" ht="12.75">
      <c r="A423" s="624"/>
    </row>
    <row r="424" ht="12.75">
      <c r="A424" s="624"/>
    </row>
    <row r="425" ht="12.75">
      <c r="A425" s="624"/>
    </row>
    <row r="426" ht="12.75">
      <c r="A426" s="624"/>
    </row>
    <row r="427" ht="12.75">
      <c r="A427" s="624"/>
    </row>
    <row r="428" ht="12.75">
      <c r="A428" s="624"/>
    </row>
    <row r="429" ht="12.75">
      <c r="A429" s="624"/>
    </row>
    <row r="430" ht="12.75">
      <c r="A430" s="624"/>
    </row>
    <row r="431" ht="12.75">
      <c r="A431" s="624"/>
    </row>
    <row r="432" ht="12.75">
      <c r="A432" s="624"/>
    </row>
    <row r="433" ht="12.75">
      <c r="A433" s="624"/>
    </row>
    <row r="434" ht="12.75">
      <c r="A434" s="624"/>
    </row>
    <row r="435" ht="12.75">
      <c r="A435" s="624"/>
    </row>
    <row r="436" ht="12.75">
      <c r="A436" s="624"/>
    </row>
    <row r="437" ht="12.75">
      <c r="A437" s="624"/>
    </row>
    <row r="438" ht="12.75">
      <c r="A438" s="624"/>
    </row>
    <row r="439" ht="12.75">
      <c r="A439" s="624"/>
    </row>
    <row r="440" ht="12.75">
      <c r="A440" s="624"/>
    </row>
    <row r="441" ht="12.75">
      <c r="A441" s="624"/>
    </row>
    <row r="442" ht="12.75">
      <c r="A442" s="624"/>
    </row>
    <row r="443" ht="12.75">
      <c r="A443" s="624"/>
    </row>
    <row r="444" ht="12.75">
      <c r="A444" s="624"/>
    </row>
    <row r="445" ht="12.75">
      <c r="A445" s="624"/>
    </row>
    <row r="446" ht="12.75">
      <c r="A446" s="624"/>
    </row>
    <row r="447" ht="12.75">
      <c r="A447" s="624"/>
    </row>
    <row r="448" ht="12.75">
      <c r="A448" s="624"/>
    </row>
    <row r="449" ht="12.75">
      <c r="A449" s="624"/>
    </row>
    <row r="450" ht="12.75">
      <c r="A450" s="624"/>
    </row>
    <row r="451" ht="12.75">
      <c r="A451" s="624"/>
    </row>
    <row r="452" ht="12.75">
      <c r="A452" s="624"/>
    </row>
    <row r="453" ht="12.75">
      <c r="A453" s="624"/>
    </row>
    <row r="454" ht="12.75">
      <c r="A454" s="624"/>
    </row>
    <row r="455" ht="12.75">
      <c r="A455" s="624"/>
    </row>
    <row r="456" ht="12.75">
      <c r="A456" s="624"/>
    </row>
    <row r="457" ht="12.75">
      <c r="A457" s="624"/>
    </row>
    <row r="458" ht="12.75">
      <c r="A458" s="624"/>
    </row>
    <row r="459" ht="12.75">
      <c r="A459" s="624"/>
    </row>
    <row r="460" ht="12.75">
      <c r="A460" s="624"/>
    </row>
    <row r="461" ht="12.75">
      <c r="A461" s="624"/>
    </row>
    <row r="462" ht="12.75">
      <c r="A462" s="624"/>
    </row>
    <row r="463" ht="12.75">
      <c r="A463" s="624"/>
    </row>
    <row r="464" ht="12.75">
      <c r="A464" s="624"/>
    </row>
    <row r="465" ht="12.75">
      <c r="A465" s="624"/>
    </row>
    <row r="466" ht="12.75">
      <c r="A466" s="624"/>
    </row>
    <row r="467" ht="12.75">
      <c r="A467" s="624"/>
    </row>
    <row r="468" ht="12.75">
      <c r="A468" s="624"/>
    </row>
    <row r="469" ht="12.75">
      <c r="A469" s="624"/>
    </row>
    <row r="470" ht="12.75">
      <c r="A470" s="624"/>
    </row>
    <row r="471" ht="12.75">
      <c r="A471" s="624"/>
    </row>
    <row r="472" ht="12.75">
      <c r="A472" s="624"/>
    </row>
    <row r="473" ht="12.75">
      <c r="A473" s="624"/>
    </row>
    <row r="474" ht="12.75">
      <c r="A474" s="624"/>
    </row>
    <row r="475" ht="12.75">
      <c r="A475" s="624"/>
    </row>
    <row r="476" ht="12.75">
      <c r="A476" s="624"/>
    </row>
    <row r="477" ht="12.75">
      <c r="A477" s="624"/>
    </row>
    <row r="478" ht="12.75">
      <c r="A478" s="624"/>
    </row>
    <row r="479" ht="12.75">
      <c r="A479" s="624"/>
    </row>
    <row r="480" ht="12.75">
      <c r="A480" s="624"/>
    </row>
    <row r="481" ht="12.75">
      <c r="A481" s="624"/>
    </row>
    <row r="482" ht="12.75">
      <c r="A482" s="624"/>
    </row>
    <row r="483" ht="12.75">
      <c r="A483" s="624"/>
    </row>
    <row r="484" ht="12.75">
      <c r="A484" s="624"/>
    </row>
    <row r="485" ht="12.75">
      <c r="A485" s="624"/>
    </row>
    <row r="486" ht="12.75">
      <c r="A486" s="624"/>
    </row>
    <row r="487" ht="12.75">
      <c r="A487" s="624"/>
    </row>
    <row r="488" ht="12.75">
      <c r="A488" s="624"/>
    </row>
    <row r="489" ht="12.75">
      <c r="A489" s="624"/>
    </row>
    <row r="490" ht="12.75">
      <c r="A490" s="624"/>
    </row>
    <row r="491" ht="12.75">
      <c r="A491" s="624"/>
    </row>
    <row r="492" ht="12.75">
      <c r="A492" s="624"/>
    </row>
    <row r="493" ht="12.75">
      <c r="A493" s="624"/>
    </row>
    <row r="494" ht="12.75">
      <c r="A494" s="624"/>
    </row>
    <row r="495" ht="12.75">
      <c r="A495" s="624"/>
    </row>
    <row r="496" ht="12.75">
      <c r="A496" s="624"/>
    </row>
    <row r="497" ht="12.75">
      <c r="A497" s="624"/>
    </row>
    <row r="498" ht="12.75">
      <c r="A498" s="624"/>
    </row>
    <row r="499" ht="12.75">
      <c r="A499" s="624"/>
    </row>
    <row r="500" ht="12.75">
      <c r="A500" s="624"/>
    </row>
    <row r="501" ht="12.75">
      <c r="A501" s="624"/>
    </row>
    <row r="502" ht="12.75">
      <c r="A502" s="624"/>
    </row>
    <row r="503" ht="12.75">
      <c r="A503" s="624"/>
    </row>
    <row r="504" ht="12.75">
      <c r="A504" s="624"/>
    </row>
    <row r="505" ht="12.75">
      <c r="A505" s="624"/>
    </row>
    <row r="506" ht="12.75">
      <c r="A506" s="624"/>
    </row>
    <row r="507" ht="12.75">
      <c r="A507" s="624"/>
    </row>
    <row r="508" ht="12.75">
      <c r="A508" s="624"/>
    </row>
    <row r="509" ht="12.75">
      <c r="A509" s="624"/>
    </row>
    <row r="510" ht="12.75">
      <c r="A510" s="624"/>
    </row>
    <row r="511" ht="12.75">
      <c r="A511" s="624"/>
    </row>
    <row r="512" ht="12.75">
      <c r="A512" s="624"/>
    </row>
    <row r="513" ht="12.75">
      <c r="A513" s="624"/>
    </row>
    <row r="514" ht="12.75">
      <c r="A514" s="624"/>
    </row>
    <row r="515" ht="12.75">
      <c r="A515" s="624"/>
    </row>
    <row r="516" ht="12.75">
      <c r="A516" s="624"/>
    </row>
    <row r="517" ht="12.75">
      <c r="A517" s="624"/>
    </row>
    <row r="518" ht="12.75">
      <c r="A518" s="624"/>
    </row>
    <row r="519" ht="12.75">
      <c r="A519" s="624"/>
    </row>
    <row r="520" ht="12.75">
      <c r="A520" s="624"/>
    </row>
    <row r="521" ht="12.75">
      <c r="A521" s="624"/>
    </row>
    <row r="522" ht="12.75">
      <c r="A522" s="624"/>
    </row>
    <row r="523" ht="12.75">
      <c r="A523" s="624"/>
    </row>
    <row r="524" ht="12.75">
      <c r="A524" s="624"/>
    </row>
    <row r="525" ht="12.75">
      <c r="A525" s="624"/>
    </row>
    <row r="526" ht="12.75">
      <c r="A526" s="624"/>
    </row>
    <row r="527" ht="12.75">
      <c r="A527" s="624"/>
    </row>
    <row r="528" ht="12.75">
      <c r="A528" s="624"/>
    </row>
    <row r="529" ht="12.75">
      <c r="A529" s="624"/>
    </row>
    <row r="530" ht="12.75">
      <c r="A530" s="624"/>
    </row>
    <row r="531" ht="12.75">
      <c r="A531" s="624"/>
    </row>
    <row r="532" ht="12.75">
      <c r="A532" s="624"/>
    </row>
    <row r="533" ht="12.75">
      <c r="A533" s="624"/>
    </row>
    <row r="534" ht="12.75">
      <c r="A534" s="624"/>
    </row>
    <row r="535" ht="12.75">
      <c r="A535" s="624"/>
    </row>
    <row r="536" ht="12.75">
      <c r="A536" s="624"/>
    </row>
    <row r="537" ht="12.75">
      <c r="A537" s="624"/>
    </row>
    <row r="538" ht="12.75">
      <c r="A538" s="624"/>
    </row>
    <row r="539" ht="12.75">
      <c r="A539" s="624"/>
    </row>
    <row r="540" ht="12.75">
      <c r="A540" s="624"/>
    </row>
    <row r="541" ht="12.75">
      <c r="A541" s="624"/>
    </row>
    <row r="542" ht="12.75">
      <c r="A542" s="624"/>
    </row>
    <row r="543" ht="12.75">
      <c r="A543" s="624"/>
    </row>
    <row r="544" ht="12.75">
      <c r="A544" s="624"/>
    </row>
    <row r="545" ht="12.75">
      <c r="A545" s="624"/>
    </row>
    <row r="546" ht="12.75">
      <c r="A546" s="624"/>
    </row>
    <row r="547" ht="12.75">
      <c r="A547" s="624"/>
    </row>
    <row r="548" ht="12.75">
      <c r="A548" s="624"/>
    </row>
    <row r="549" ht="12.75">
      <c r="A549" s="624"/>
    </row>
    <row r="550" ht="12.75">
      <c r="A550" s="624"/>
    </row>
    <row r="551" ht="12.75">
      <c r="A551" s="624"/>
    </row>
    <row r="552" ht="12.75">
      <c r="A552" s="624"/>
    </row>
    <row r="553" ht="12.75">
      <c r="A553" s="624"/>
    </row>
    <row r="554" ht="12.75">
      <c r="A554" s="624"/>
    </row>
    <row r="555" ht="12.75">
      <c r="A555" s="624"/>
    </row>
    <row r="556" ht="12.75">
      <c r="A556" s="624"/>
    </row>
    <row r="557" ht="12.75">
      <c r="A557" s="624"/>
    </row>
    <row r="558" ht="12.75">
      <c r="A558" s="624"/>
    </row>
    <row r="559" ht="12.75">
      <c r="A559" s="624"/>
    </row>
    <row r="560" ht="12.75">
      <c r="A560" s="624"/>
    </row>
    <row r="561" ht="12.75">
      <c r="A561" s="624"/>
    </row>
    <row r="562" ht="12.75">
      <c r="A562" s="624"/>
    </row>
    <row r="563" ht="12.75">
      <c r="A563" s="624"/>
    </row>
    <row r="564" ht="12.75">
      <c r="A564" s="624"/>
    </row>
    <row r="565" ht="12.75">
      <c r="A565" s="624"/>
    </row>
    <row r="566" ht="12.75">
      <c r="A566" s="624"/>
    </row>
    <row r="567" ht="12.75">
      <c r="A567" s="624"/>
    </row>
    <row r="568" ht="12.75">
      <c r="A568" s="624"/>
    </row>
    <row r="569" ht="12.75">
      <c r="A569" s="624"/>
    </row>
    <row r="570" ht="12.75">
      <c r="A570" s="624"/>
    </row>
    <row r="571" ht="12.75">
      <c r="A571" s="624"/>
    </row>
    <row r="572" ht="12.75">
      <c r="A572" s="624"/>
    </row>
    <row r="573" ht="12.75">
      <c r="A573" s="624"/>
    </row>
    <row r="574" ht="12.75">
      <c r="A574" s="624"/>
    </row>
    <row r="575" ht="12.75">
      <c r="A575" s="624"/>
    </row>
    <row r="576" ht="12.75">
      <c r="A576" s="624"/>
    </row>
    <row r="577" ht="12.75">
      <c r="A577" s="624"/>
    </row>
    <row r="578" ht="12.75">
      <c r="A578" s="624"/>
    </row>
    <row r="579" ht="12.75">
      <c r="A579" s="624"/>
    </row>
    <row r="580" ht="12.75">
      <c r="A580" s="624"/>
    </row>
    <row r="581" ht="12.75">
      <c r="A581" s="624"/>
    </row>
    <row r="582" ht="12.75">
      <c r="A582" s="624"/>
    </row>
    <row r="583" ht="12.75">
      <c r="A583" s="624"/>
    </row>
    <row r="584" ht="12.75">
      <c r="A584" s="624"/>
    </row>
    <row r="585" ht="12.75">
      <c r="A585" s="624"/>
    </row>
    <row r="586" ht="12.75">
      <c r="A586" s="624"/>
    </row>
    <row r="587" ht="12.75">
      <c r="A587" s="624"/>
    </row>
    <row r="588" ht="12.75">
      <c r="A588" s="624"/>
    </row>
    <row r="589" ht="12.75">
      <c r="A589" s="624"/>
    </row>
    <row r="590" ht="12.75">
      <c r="A590" s="624"/>
    </row>
    <row r="591" ht="12.75">
      <c r="A591" s="624"/>
    </row>
    <row r="592" ht="12.75">
      <c r="A592" s="624"/>
    </row>
    <row r="593" ht="12.75">
      <c r="A593" s="624"/>
    </row>
    <row r="594" ht="12.75">
      <c r="A594" s="624"/>
    </row>
    <row r="595" ht="12.75">
      <c r="A595" s="624"/>
    </row>
    <row r="596" ht="12.75">
      <c r="A596" s="624"/>
    </row>
    <row r="597" ht="12.75">
      <c r="A597" s="624"/>
    </row>
    <row r="598" ht="12.75">
      <c r="A598" s="624"/>
    </row>
    <row r="599" ht="12.75">
      <c r="A599" s="624"/>
    </row>
    <row r="600" ht="12.75">
      <c r="A600" s="624"/>
    </row>
    <row r="601" ht="12.75">
      <c r="A601" s="624"/>
    </row>
    <row r="602" ht="12.75">
      <c r="A602" s="624"/>
    </row>
    <row r="603" ht="12.75">
      <c r="A603" s="624"/>
    </row>
    <row r="604" ht="12.75">
      <c r="A604" s="624"/>
    </row>
    <row r="605" ht="12.75">
      <c r="A605" s="624"/>
    </row>
    <row r="606" ht="12.75">
      <c r="A606" s="624"/>
    </row>
    <row r="607" ht="12.75">
      <c r="A607" s="624"/>
    </row>
    <row r="608" ht="12.75">
      <c r="A608" s="624"/>
    </row>
    <row r="609" ht="12.75">
      <c r="A609" s="624"/>
    </row>
    <row r="610" ht="12.75">
      <c r="A610" s="624"/>
    </row>
    <row r="611" ht="12.75">
      <c r="A611" s="624"/>
    </row>
    <row r="612" ht="12.75">
      <c r="A612" s="624"/>
    </row>
    <row r="613" ht="12.75">
      <c r="A613" s="624"/>
    </row>
    <row r="614" ht="12.75">
      <c r="A614" s="624"/>
    </row>
    <row r="615" ht="12.75">
      <c r="A615" s="624"/>
    </row>
    <row r="616" ht="12.75">
      <c r="A616" s="624"/>
    </row>
    <row r="617" ht="12.75">
      <c r="A617" s="624"/>
    </row>
    <row r="618" ht="12.75">
      <c r="A618" s="624"/>
    </row>
    <row r="619" ht="12.75">
      <c r="A619" s="624"/>
    </row>
    <row r="620" ht="12.75">
      <c r="A620" s="624"/>
    </row>
    <row r="621" ht="12.75">
      <c r="A621" s="624"/>
    </row>
    <row r="622" ht="12.75">
      <c r="A622" s="624"/>
    </row>
    <row r="623" ht="12.75">
      <c r="A623" s="624"/>
    </row>
    <row r="624" ht="12.75">
      <c r="A624" s="624"/>
    </row>
    <row r="625" ht="12.75">
      <c r="A625" s="624"/>
    </row>
    <row r="626" ht="12.75">
      <c r="A626" s="624"/>
    </row>
    <row r="627" ht="12.75">
      <c r="A627" s="624"/>
    </row>
    <row r="628" ht="12.75">
      <c r="A628" s="624"/>
    </row>
    <row r="629" ht="12.75">
      <c r="A629" s="624"/>
    </row>
    <row r="630" ht="12.75">
      <c r="A630" s="624"/>
    </row>
    <row r="631" ht="12.75">
      <c r="A631" s="624"/>
    </row>
    <row r="632" ht="12.75">
      <c r="A632" s="624"/>
    </row>
    <row r="633" ht="12.75">
      <c r="A633" s="624"/>
    </row>
    <row r="634" ht="12.75">
      <c r="A634" s="624"/>
    </row>
    <row r="635" ht="12.75">
      <c r="A635" s="624"/>
    </row>
    <row r="636" ht="12.75">
      <c r="A636" s="624"/>
    </row>
    <row r="637" ht="12.75">
      <c r="A637" s="624"/>
    </row>
    <row r="638" ht="12.75">
      <c r="A638" s="624"/>
    </row>
    <row r="639" ht="12.75">
      <c r="A639" s="624"/>
    </row>
    <row r="640" ht="12.75">
      <c r="A640" s="624"/>
    </row>
    <row r="641" ht="12.75">
      <c r="A641" s="624"/>
    </row>
    <row r="642" ht="12.75">
      <c r="A642" s="624"/>
    </row>
    <row r="643" ht="12.75">
      <c r="A643" s="624"/>
    </row>
    <row r="644" ht="12.75">
      <c r="A644" s="624"/>
    </row>
    <row r="645" ht="12.75">
      <c r="A645" s="624"/>
    </row>
    <row r="646" ht="12.75">
      <c r="A646" s="624"/>
    </row>
    <row r="647" ht="12.75">
      <c r="A647" s="624"/>
    </row>
    <row r="648" ht="12.75">
      <c r="A648" s="624"/>
    </row>
    <row r="649" ht="12.75">
      <c r="A649" s="624"/>
    </row>
    <row r="650" ht="12.75">
      <c r="A650" s="624"/>
    </row>
    <row r="651" ht="12.75">
      <c r="A651" s="624"/>
    </row>
    <row r="652" ht="12.75">
      <c r="A652" s="624"/>
    </row>
    <row r="653" ht="12.75">
      <c r="A653" s="624"/>
    </row>
    <row r="654" ht="12.75">
      <c r="A654" s="624"/>
    </row>
    <row r="655" ht="12.75">
      <c r="A655" s="624"/>
    </row>
    <row r="656" ht="12.75">
      <c r="A656" s="624"/>
    </row>
    <row r="657" ht="12.75">
      <c r="A657" s="624"/>
    </row>
    <row r="658" ht="12.75">
      <c r="A658" s="624"/>
    </row>
    <row r="659" ht="12.75">
      <c r="A659" s="624"/>
    </row>
    <row r="660" ht="12.75">
      <c r="A660" s="624"/>
    </row>
    <row r="661" ht="12.75">
      <c r="A661" s="624"/>
    </row>
    <row r="662" ht="12.75">
      <c r="A662" s="624"/>
    </row>
    <row r="663" ht="12.75">
      <c r="A663" s="624"/>
    </row>
    <row r="664" ht="12.75">
      <c r="A664" s="624"/>
    </row>
    <row r="665" ht="12.75">
      <c r="A665" s="624"/>
    </row>
    <row r="666" ht="12.75">
      <c r="A666" s="624"/>
    </row>
    <row r="667" ht="12.75">
      <c r="A667" s="624"/>
    </row>
    <row r="668" ht="12.75">
      <c r="A668" s="624"/>
    </row>
    <row r="669" ht="12.75">
      <c r="A669" s="624"/>
    </row>
    <row r="670" ht="12.75">
      <c r="A670" s="624"/>
    </row>
    <row r="671" ht="12.75">
      <c r="A671" s="624"/>
    </row>
    <row r="672" ht="12.75">
      <c r="A672" s="624"/>
    </row>
    <row r="673" ht="12.75">
      <c r="A673" s="624"/>
    </row>
    <row r="674" ht="12.75">
      <c r="A674" s="624"/>
    </row>
    <row r="675" ht="12.75">
      <c r="A675" s="624"/>
    </row>
    <row r="676" ht="12.75">
      <c r="A676" s="624"/>
    </row>
    <row r="677" ht="12.75">
      <c r="A677" s="624"/>
    </row>
    <row r="678" ht="12.75">
      <c r="A678" s="624"/>
    </row>
    <row r="679" ht="12.75">
      <c r="A679" s="624"/>
    </row>
    <row r="680" ht="12.75">
      <c r="A680" s="624"/>
    </row>
    <row r="681" ht="12.75">
      <c r="A681" s="624"/>
    </row>
    <row r="682" ht="12.75">
      <c r="A682" s="624"/>
    </row>
    <row r="683" ht="12.75">
      <c r="A683" s="624"/>
    </row>
    <row r="684" ht="12.75">
      <c r="A684" s="624"/>
    </row>
    <row r="685" ht="12.75">
      <c r="A685" s="624"/>
    </row>
    <row r="686" ht="12.75">
      <c r="A686" s="624"/>
    </row>
    <row r="687" ht="12.75">
      <c r="A687" s="624"/>
    </row>
    <row r="688" ht="12.75">
      <c r="A688" s="624"/>
    </row>
    <row r="689" ht="12.75">
      <c r="A689" s="624"/>
    </row>
    <row r="690" ht="12.75">
      <c r="A690" s="624"/>
    </row>
    <row r="691" ht="12.75">
      <c r="A691" s="624"/>
    </row>
    <row r="692" ht="12.75">
      <c r="A692" s="624"/>
    </row>
    <row r="693" ht="12.75">
      <c r="A693" s="624"/>
    </row>
    <row r="694" ht="12.75">
      <c r="A694" s="624"/>
    </row>
    <row r="695" ht="12.75">
      <c r="A695" s="624"/>
    </row>
    <row r="696" ht="12.75">
      <c r="A696" s="624"/>
    </row>
    <row r="697" ht="12.75">
      <c r="A697" s="624"/>
    </row>
    <row r="698" ht="12.75">
      <c r="A698" s="624"/>
    </row>
    <row r="699" ht="12.75">
      <c r="A699" s="624"/>
    </row>
    <row r="700" ht="12.75">
      <c r="A700" s="624"/>
    </row>
    <row r="701" ht="12.75">
      <c r="A701" s="624"/>
    </row>
    <row r="702" ht="12.75">
      <c r="A702" s="624"/>
    </row>
    <row r="703" ht="12.75">
      <c r="A703" s="624"/>
    </row>
    <row r="704" ht="12.75">
      <c r="A704" s="624"/>
    </row>
    <row r="705" ht="12.75">
      <c r="A705" s="624"/>
    </row>
    <row r="706" ht="12.75">
      <c r="A706" s="624"/>
    </row>
    <row r="707" ht="12.75">
      <c r="A707" s="624"/>
    </row>
    <row r="708" ht="12.75">
      <c r="A708" s="624"/>
    </row>
    <row r="709" ht="12.75">
      <c r="A709" s="624"/>
    </row>
    <row r="710" ht="12.75">
      <c r="A710" s="624"/>
    </row>
    <row r="711" ht="12.75">
      <c r="A711" s="624"/>
    </row>
    <row r="712" ht="12.75">
      <c r="A712" s="624"/>
    </row>
    <row r="713" ht="12.75">
      <c r="A713" s="624"/>
    </row>
    <row r="714" ht="12.75">
      <c r="A714" s="624"/>
    </row>
    <row r="715" ht="12.75">
      <c r="A715" s="624"/>
    </row>
    <row r="716" ht="12.75">
      <c r="A716" s="624"/>
    </row>
    <row r="717" ht="12.75">
      <c r="A717" s="624"/>
    </row>
    <row r="718" ht="12.75">
      <c r="A718" s="624"/>
    </row>
    <row r="719" ht="12.75">
      <c r="A719" s="624"/>
    </row>
    <row r="720" ht="12.75">
      <c r="A720" s="624"/>
    </row>
    <row r="721" ht="12.75">
      <c r="A721" s="624"/>
    </row>
    <row r="722" ht="12.75">
      <c r="A722" s="624"/>
    </row>
    <row r="723" ht="12.75">
      <c r="A723" s="624"/>
    </row>
    <row r="724" ht="12.75">
      <c r="A724" s="624"/>
    </row>
    <row r="725" ht="12.75">
      <c r="A725" s="624"/>
    </row>
    <row r="726" ht="12.75">
      <c r="A726" s="624"/>
    </row>
    <row r="727" ht="12.75">
      <c r="A727" s="624"/>
    </row>
    <row r="728" ht="12.75">
      <c r="A728" s="624"/>
    </row>
    <row r="729" ht="12.75">
      <c r="A729" s="624"/>
    </row>
    <row r="730" ht="12.75">
      <c r="A730" s="624"/>
    </row>
    <row r="731" ht="12.75">
      <c r="A731" s="624"/>
    </row>
    <row r="732" ht="12.75">
      <c r="A732" s="624"/>
    </row>
    <row r="733" ht="12.75">
      <c r="A733" s="624"/>
    </row>
    <row r="734" ht="12.75">
      <c r="A734" s="624"/>
    </row>
    <row r="735" ht="12.75">
      <c r="A735" s="624"/>
    </row>
    <row r="736" ht="12.75">
      <c r="A736" s="624"/>
    </row>
    <row r="737" ht="12.75">
      <c r="A737" s="624"/>
    </row>
    <row r="738" ht="12.75">
      <c r="A738" s="624"/>
    </row>
    <row r="739" ht="12.75">
      <c r="A739" s="624"/>
    </row>
    <row r="740" ht="12.75">
      <c r="A740" s="624"/>
    </row>
    <row r="741" ht="12.75">
      <c r="A741" s="624"/>
    </row>
    <row r="742" ht="12.75">
      <c r="A742" s="624"/>
    </row>
    <row r="743" ht="12.75">
      <c r="A743" s="624"/>
    </row>
    <row r="744" ht="12.75">
      <c r="A744" s="624"/>
    </row>
    <row r="745" ht="12.75">
      <c r="A745" s="624"/>
    </row>
    <row r="746" ht="12.75">
      <c r="A746" s="624"/>
    </row>
    <row r="747" ht="12.75">
      <c r="A747" s="624"/>
    </row>
    <row r="748" ht="12.75">
      <c r="A748" s="624"/>
    </row>
    <row r="749" ht="12.75">
      <c r="A749" s="624"/>
    </row>
    <row r="750" ht="12.75">
      <c r="A750" s="624"/>
    </row>
    <row r="751" ht="12.75">
      <c r="A751" s="624"/>
    </row>
    <row r="752" ht="12.75">
      <c r="A752" s="624"/>
    </row>
    <row r="753" ht="12.75">
      <c r="A753" s="624"/>
    </row>
    <row r="754" ht="12.75">
      <c r="A754" s="624"/>
    </row>
    <row r="755" ht="12.75">
      <c r="A755" s="624"/>
    </row>
    <row r="756" ht="12.75">
      <c r="A756" s="624"/>
    </row>
    <row r="757" ht="12.75">
      <c r="A757" s="624"/>
    </row>
    <row r="758" ht="12.75">
      <c r="A758" s="624"/>
    </row>
    <row r="759" ht="12.75">
      <c r="A759" s="624"/>
    </row>
    <row r="760" ht="12.75">
      <c r="A760" s="624"/>
    </row>
    <row r="761" ht="12.75">
      <c r="A761" s="624"/>
    </row>
    <row r="762" ht="12.75">
      <c r="A762" s="624"/>
    </row>
    <row r="763" ht="12.75">
      <c r="A763" s="624"/>
    </row>
    <row r="764" ht="12.75">
      <c r="A764" s="624"/>
    </row>
    <row r="765" ht="12.75">
      <c r="A765" s="624"/>
    </row>
    <row r="766" ht="12.75">
      <c r="A766" s="624"/>
    </row>
    <row r="767" ht="12.75">
      <c r="A767" s="624"/>
    </row>
    <row r="768" ht="12.75">
      <c r="A768" s="624"/>
    </row>
    <row r="769" ht="12.75">
      <c r="A769" s="624"/>
    </row>
    <row r="770" ht="12.75">
      <c r="A770" s="624"/>
    </row>
    <row r="771" ht="12.75">
      <c r="A771" s="624"/>
    </row>
    <row r="772" ht="12.75">
      <c r="A772" s="624"/>
    </row>
    <row r="773" ht="12.75">
      <c r="A773" s="624"/>
    </row>
    <row r="774" ht="12.75">
      <c r="A774" s="624"/>
    </row>
    <row r="775" ht="12.75">
      <c r="A775" s="624"/>
    </row>
    <row r="776" ht="12.75">
      <c r="A776" s="624"/>
    </row>
    <row r="777" ht="12.75">
      <c r="A777" s="624"/>
    </row>
    <row r="778" ht="12.75">
      <c r="A778" s="624"/>
    </row>
    <row r="779" ht="12.75">
      <c r="A779" s="624"/>
    </row>
    <row r="780" ht="12.75">
      <c r="A780" s="624"/>
    </row>
    <row r="781" ht="12.75">
      <c r="A781" s="624"/>
    </row>
    <row r="782" ht="12.75">
      <c r="A782" s="624"/>
    </row>
    <row r="783" ht="12.75">
      <c r="A783" s="624"/>
    </row>
    <row r="784" ht="12.75">
      <c r="A784" s="624"/>
    </row>
    <row r="785" ht="12.75">
      <c r="A785" s="624"/>
    </row>
    <row r="786" ht="12.75">
      <c r="A786" s="624"/>
    </row>
    <row r="787" ht="12.75">
      <c r="A787" s="624"/>
    </row>
    <row r="788" ht="12.75">
      <c r="A788" s="624"/>
    </row>
    <row r="789" ht="12.75">
      <c r="A789" s="624"/>
    </row>
    <row r="790" ht="12.75">
      <c r="A790" s="624"/>
    </row>
    <row r="791" ht="12.75">
      <c r="A791" s="624"/>
    </row>
    <row r="792" ht="12.75">
      <c r="A792" s="624"/>
    </row>
    <row r="793" ht="12.75">
      <c r="A793" s="624"/>
    </row>
    <row r="794" ht="12.75">
      <c r="A794" s="624"/>
    </row>
    <row r="795" ht="12.75">
      <c r="A795" s="624"/>
    </row>
    <row r="796" ht="12.75">
      <c r="A796" s="624"/>
    </row>
    <row r="797" ht="12.75">
      <c r="A797" s="624"/>
    </row>
    <row r="798" ht="12.75">
      <c r="A798" s="624"/>
    </row>
    <row r="799" ht="12.75">
      <c r="A799" s="624"/>
    </row>
    <row r="800" ht="12.75">
      <c r="A800" s="624"/>
    </row>
    <row r="801" ht="12.75">
      <c r="A801" s="624"/>
    </row>
    <row r="802" ht="12.75">
      <c r="A802" s="624"/>
    </row>
    <row r="803" ht="12.75">
      <c r="A803" s="624"/>
    </row>
    <row r="804" ht="12.75">
      <c r="A804" s="624"/>
    </row>
    <row r="805" ht="12.75">
      <c r="A805" s="624"/>
    </row>
    <row r="806" ht="12.75">
      <c r="A806" s="624"/>
    </row>
    <row r="807" ht="12.75">
      <c r="A807" s="624"/>
    </row>
    <row r="808" ht="12.75">
      <c r="A808" s="624"/>
    </row>
    <row r="809" ht="12.75">
      <c r="A809" s="624"/>
    </row>
    <row r="810" ht="12.75">
      <c r="A810" s="624"/>
    </row>
    <row r="811" ht="12.75">
      <c r="A811" s="624"/>
    </row>
    <row r="812" ht="12.75">
      <c r="A812" s="624"/>
    </row>
    <row r="813" ht="12.75">
      <c r="A813" s="624"/>
    </row>
    <row r="814" ht="12.75">
      <c r="A814" s="624"/>
    </row>
    <row r="815" ht="12.75">
      <c r="A815" s="624"/>
    </row>
    <row r="816" ht="12.75">
      <c r="A816" s="624"/>
    </row>
    <row r="817" ht="12.75">
      <c r="A817" s="624"/>
    </row>
    <row r="818" ht="12.75">
      <c r="A818" s="624"/>
    </row>
    <row r="819" ht="12.75">
      <c r="A819" s="624"/>
    </row>
    <row r="820" ht="12.75">
      <c r="A820" s="624"/>
    </row>
    <row r="821" ht="12.75">
      <c r="A821" s="624"/>
    </row>
    <row r="822" ht="12.75">
      <c r="A822" s="624"/>
    </row>
    <row r="823" ht="12.75">
      <c r="A823" s="624"/>
    </row>
    <row r="824" ht="12.75">
      <c r="A824" s="624"/>
    </row>
    <row r="825" ht="12.75">
      <c r="A825" s="624"/>
    </row>
    <row r="826" ht="12.75">
      <c r="A826" s="624"/>
    </row>
    <row r="827" ht="12.75">
      <c r="A827" s="624"/>
    </row>
    <row r="828" ht="12.75">
      <c r="A828" s="624"/>
    </row>
    <row r="829" ht="12.75">
      <c r="A829" s="624"/>
    </row>
    <row r="830" ht="12.75">
      <c r="A830" s="624"/>
    </row>
    <row r="831" ht="12.75">
      <c r="A831" s="624"/>
    </row>
    <row r="832" ht="12.75">
      <c r="A832" s="624"/>
    </row>
    <row r="833" ht="12.75">
      <c r="A833" s="624"/>
    </row>
    <row r="834" ht="12.75">
      <c r="A834" s="624"/>
    </row>
    <row r="835" ht="12.75">
      <c r="A835" s="624"/>
    </row>
    <row r="836" ht="12.75">
      <c r="A836" s="624"/>
    </row>
    <row r="837" ht="12.75">
      <c r="A837" s="624"/>
    </row>
    <row r="838" ht="12.75">
      <c r="A838" s="624"/>
    </row>
    <row r="839" ht="12.75">
      <c r="A839" s="624"/>
    </row>
    <row r="840" ht="12.75">
      <c r="A840" s="624"/>
    </row>
    <row r="841" ht="12.75">
      <c r="A841" s="624"/>
    </row>
    <row r="842" ht="12.75">
      <c r="A842" s="624"/>
    </row>
    <row r="843" ht="12.75">
      <c r="A843" s="624"/>
    </row>
    <row r="844" ht="12.75">
      <c r="A844" s="624"/>
    </row>
    <row r="845" ht="12.75">
      <c r="A845" s="624"/>
    </row>
    <row r="846" ht="12.75">
      <c r="A846" s="624"/>
    </row>
    <row r="847" ht="12.75">
      <c r="A847" s="624"/>
    </row>
    <row r="848" ht="12.75">
      <c r="A848" s="624"/>
    </row>
    <row r="849" ht="12.75">
      <c r="A849" s="624"/>
    </row>
    <row r="850" ht="12.75">
      <c r="A850" s="624"/>
    </row>
    <row r="851" ht="12.75">
      <c r="A851" s="624"/>
    </row>
    <row r="852" ht="12.75">
      <c r="A852" s="624"/>
    </row>
    <row r="853" ht="12.75">
      <c r="A853" s="624"/>
    </row>
    <row r="854" ht="12.75">
      <c r="A854" s="624"/>
    </row>
    <row r="855" ht="12.75">
      <c r="A855" s="624"/>
    </row>
    <row r="856" ht="12.75">
      <c r="A856" s="624"/>
    </row>
    <row r="857" ht="12.75">
      <c r="A857" s="624"/>
    </row>
    <row r="858" ht="12.75">
      <c r="A858" s="624"/>
    </row>
    <row r="859" ht="12.75">
      <c r="A859" s="624"/>
    </row>
    <row r="860" ht="12.75">
      <c r="A860" s="624"/>
    </row>
    <row r="861" ht="12.75">
      <c r="A861" s="624"/>
    </row>
    <row r="862" ht="12.75">
      <c r="A862" s="624"/>
    </row>
    <row r="863" ht="12.75">
      <c r="A863" s="624"/>
    </row>
    <row r="864" ht="12.75">
      <c r="A864" s="624"/>
    </row>
    <row r="865" ht="12.75">
      <c r="A865" s="624"/>
    </row>
    <row r="866" ht="12.75">
      <c r="A866" s="624"/>
    </row>
    <row r="867" ht="12.75">
      <c r="A867" s="624"/>
    </row>
    <row r="868" ht="12.75">
      <c r="A868" s="624"/>
    </row>
    <row r="869" ht="12.75">
      <c r="A869" s="624"/>
    </row>
    <row r="870" ht="12.75">
      <c r="A870" s="624"/>
    </row>
    <row r="871" ht="12.75">
      <c r="A871" s="624"/>
    </row>
    <row r="872" ht="12.75">
      <c r="A872" s="624"/>
    </row>
    <row r="873" ht="12.75">
      <c r="A873" s="624"/>
    </row>
    <row r="874" ht="12.75">
      <c r="A874" s="624"/>
    </row>
    <row r="875" ht="12.75">
      <c r="A875" s="624"/>
    </row>
    <row r="876" ht="12.75">
      <c r="A876" s="624"/>
    </row>
    <row r="877" ht="12.75">
      <c r="A877" s="624"/>
    </row>
    <row r="878" ht="12.75">
      <c r="A878" s="624"/>
    </row>
    <row r="879" ht="12.75">
      <c r="A879" s="624"/>
    </row>
    <row r="880" ht="12.75">
      <c r="A880" s="624"/>
    </row>
    <row r="881" ht="12.75">
      <c r="A881" s="624"/>
    </row>
    <row r="882" ht="12.75">
      <c r="A882" s="624"/>
    </row>
    <row r="883" ht="12.75">
      <c r="A883" s="624"/>
    </row>
    <row r="884" ht="12.75">
      <c r="A884" s="624"/>
    </row>
    <row r="885" ht="12.75">
      <c r="A885" s="624"/>
    </row>
    <row r="886" ht="12.75">
      <c r="A886" s="624"/>
    </row>
    <row r="887" ht="12.75">
      <c r="A887" s="624"/>
    </row>
    <row r="888" ht="12.75">
      <c r="A888" s="624"/>
    </row>
    <row r="889" ht="12.75">
      <c r="A889" s="624"/>
    </row>
    <row r="890" ht="12.75">
      <c r="A890" s="624"/>
    </row>
    <row r="891" ht="12.75">
      <c r="A891" s="624"/>
    </row>
    <row r="892" ht="12.75">
      <c r="A892" s="624"/>
    </row>
    <row r="893" ht="12.75">
      <c r="A893" s="624"/>
    </row>
    <row r="894" ht="12.75">
      <c r="A894" s="624"/>
    </row>
    <row r="895" ht="12.75">
      <c r="A895" s="624"/>
    </row>
    <row r="896" ht="12.75">
      <c r="A896" s="624"/>
    </row>
    <row r="897" ht="12.75">
      <c r="A897" s="624"/>
    </row>
    <row r="898" ht="12.75">
      <c r="A898" s="624"/>
    </row>
    <row r="899" ht="12.75">
      <c r="A899" s="624"/>
    </row>
    <row r="900" ht="12.75">
      <c r="A900" s="624"/>
    </row>
    <row r="901" ht="12.75">
      <c r="A901" s="624"/>
    </row>
    <row r="902" ht="12.75">
      <c r="A902" s="624"/>
    </row>
    <row r="903" ht="12.75">
      <c r="A903" s="624"/>
    </row>
    <row r="904" ht="12.75">
      <c r="A904" s="624"/>
    </row>
    <row r="905" ht="12.75">
      <c r="A905" s="624"/>
    </row>
    <row r="906" ht="12.75">
      <c r="A906" s="624"/>
    </row>
    <row r="907" ht="12.75">
      <c r="A907" s="624"/>
    </row>
    <row r="908" ht="12.75">
      <c r="A908" s="624"/>
    </row>
    <row r="909" ht="12.75">
      <c r="A909" s="624"/>
    </row>
    <row r="910" ht="12.75">
      <c r="A910" s="624"/>
    </row>
    <row r="911" ht="12.75">
      <c r="A911" s="624"/>
    </row>
    <row r="912" ht="12.75">
      <c r="A912" s="624"/>
    </row>
    <row r="913" ht="12.75">
      <c r="A913" s="624"/>
    </row>
    <row r="914" ht="12.75">
      <c r="A914" s="624"/>
    </row>
    <row r="915" ht="12.75">
      <c r="A915" s="624"/>
    </row>
    <row r="916" ht="12.75">
      <c r="A916" s="624"/>
    </row>
    <row r="917" ht="12.75">
      <c r="A917" s="624"/>
    </row>
    <row r="918" ht="12.75">
      <c r="A918" s="624"/>
    </row>
    <row r="919" ht="12.75">
      <c r="A919" s="624"/>
    </row>
    <row r="920" ht="12.75">
      <c r="A920" s="624"/>
    </row>
    <row r="921" ht="12.75">
      <c r="A921" s="624"/>
    </row>
    <row r="922" ht="12.75">
      <c r="A922" s="624"/>
    </row>
    <row r="923" ht="12.75">
      <c r="A923" s="624"/>
    </row>
    <row r="924" ht="12.75">
      <c r="A924" s="624"/>
    </row>
    <row r="925" ht="12.75">
      <c r="A925" s="624"/>
    </row>
    <row r="926" ht="12.75">
      <c r="A926" s="624"/>
    </row>
    <row r="927" ht="12.75">
      <c r="A927" s="624"/>
    </row>
    <row r="928" ht="12.75">
      <c r="A928" s="624"/>
    </row>
    <row r="929" ht="12.75">
      <c r="A929" s="624"/>
    </row>
    <row r="930" ht="12.75">
      <c r="A930" s="624"/>
    </row>
    <row r="931" ht="12.75">
      <c r="A931" s="624"/>
    </row>
    <row r="932" ht="12.75">
      <c r="A932" s="624"/>
    </row>
    <row r="933" ht="12.75">
      <c r="A933" s="624"/>
    </row>
    <row r="934" ht="12.75">
      <c r="A934" s="624"/>
    </row>
    <row r="935" ht="12.75">
      <c r="A935" s="624"/>
    </row>
    <row r="936" ht="12.75">
      <c r="A936" s="624"/>
    </row>
    <row r="937" ht="12.75">
      <c r="A937" s="624"/>
    </row>
    <row r="938" ht="12.75">
      <c r="A938" s="624"/>
    </row>
    <row r="939" ht="12.75">
      <c r="A939" s="624"/>
    </row>
    <row r="940" ht="12.75">
      <c r="A940" s="624"/>
    </row>
    <row r="941" ht="12.75">
      <c r="A941" s="624"/>
    </row>
    <row r="942" ht="12.75">
      <c r="A942" s="624"/>
    </row>
    <row r="943" ht="12.75">
      <c r="A943" s="624"/>
    </row>
    <row r="944" ht="12.75">
      <c r="A944" s="624"/>
    </row>
    <row r="945" ht="12.75">
      <c r="A945" s="624"/>
    </row>
    <row r="946" ht="12.75">
      <c r="A946" s="624"/>
    </row>
    <row r="947" ht="12.75">
      <c r="A947" s="624"/>
    </row>
    <row r="948" ht="12.75">
      <c r="A948" s="624"/>
    </row>
    <row r="949" ht="12.75">
      <c r="A949" s="624"/>
    </row>
    <row r="950" ht="12.75">
      <c r="A950" s="624"/>
    </row>
    <row r="951" ht="12.75">
      <c r="A951" s="624"/>
    </row>
    <row r="952" ht="12.75">
      <c r="A952" s="624"/>
    </row>
    <row r="953" ht="12.75">
      <c r="A953" s="624"/>
    </row>
    <row r="954" ht="12.75">
      <c r="A954" s="624"/>
    </row>
    <row r="955" ht="12.75">
      <c r="A955" s="624"/>
    </row>
    <row r="956" ht="12.75">
      <c r="A956" s="624"/>
    </row>
    <row r="957" ht="12.75">
      <c r="A957" s="624"/>
    </row>
    <row r="958" ht="12.75">
      <c r="A958" s="624"/>
    </row>
    <row r="959" ht="12.75">
      <c r="A959" s="624"/>
    </row>
    <row r="960" ht="12.75">
      <c r="A960" s="624"/>
    </row>
    <row r="961" ht="12.75">
      <c r="A961" s="624"/>
    </row>
    <row r="962" ht="12.75">
      <c r="A962" s="624"/>
    </row>
    <row r="963" ht="12.75">
      <c r="A963" s="624"/>
    </row>
    <row r="964" ht="12.75">
      <c r="A964" s="624"/>
    </row>
    <row r="965" ht="12.75">
      <c r="A965" s="624"/>
    </row>
    <row r="966" ht="12.75">
      <c r="A966" s="624"/>
    </row>
    <row r="967" ht="12.75">
      <c r="A967" s="624"/>
    </row>
    <row r="968" ht="12.75">
      <c r="A968" s="624"/>
    </row>
    <row r="969" ht="12.75">
      <c r="A969" s="624"/>
    </row>
    <row r="970" ht="12.75">
      <c r="A970" s="624"/>
    </row>
    <row r="971" ht="12.75">
      <c r="A971" s="624"/>
    </row>
    <row r="972" ht="12.75">
      <c r="A972" s="624"/>
    </row>
    <row r="973" ht="12.75">
      <c r="A973" s="624"/>
    </row>
    <row r="974" ht="12.75">
      <c r="A974" s="624"/>
    </row>
    <row r="975" ht="12.75">
      <c r="A975" s="624"/>
    </row>
    <row r="976" ht="12.75">
      <c r="A976" s="624"/>
    </row>
    <row r="977" ht="12.75">
      <c r="A977" s="624"/>
    </row>
    <row r="978" ht="12.75">
      <c r="A978" s="624"/>
    </row>
    <row r="979" ht="12.75">
      <c r="A979" s="624"/>
    </row>
    <row r="980" ht="12.75">
      <c r="A980" s="624"/>
    </row>
    <row r="981" ht="12.75">
      <c r="A981" s="624"/>
    </row>
    <row r="982" ht="12.75">
      <c r="A982" s="624"/>
    </row>
    <row r="983" ht="12.75">
      <c r="A983" s="624"/>
    </row>
    <row r="984" ht="12.75">
      <c r="A984" s="624"/>
    </row>
    <row r="985" ht="12.75">
      <c r="A985" s="624"/>
    </row>
    <row r="986" ht="12.75">
      <c r="A986" s="624"/>
    </row>
    <row r="987" ht="12.75">
      <c r="A987" s="624"/>
    </row>
    <row r="988" ht="12.75">
      <c r="A988" s="624"/>
    </row>
    <row r="989" ht="12.75">
      <c r="A989" s="624"/>
    </row>
    <row r="990" ht="12.75">
      <c r="A990" s="624"/>
    </row>
    <row r="991" ht="12.75">
      <c r="A991" s="624"/>
    </row>
    <row r="992" ht="12.75">
      <c r="A992" s="624"/>
    </row>
    <row r="993" ht="12.75">
      <c r="A993" s="624"/>
    </row>
    <row r="994" ht="12.75">
      <c r="A994" s="624"/>
    </row>
    <row r="995" ht="12.75">
      <c r="A995" s="624"/>
    </row>
    <row r="996" ht="12.75">
      <c r="A996" s="624"/>
    </row>
    <row r="997" ht="12.75">
      <c r="A997" s="624"/>
    </row>
    <row r="998" ht="12.75">
      <c r="A998" s="624"/>
    </row>
    <row r="999" ht="12.75">
      <c r="A999" s="624"/>
    </row>
    <row r="1000" ht="12.75">
      <c r="A1000" s="624"/>
    </row>
    <row r="1001" ht="12.75">
      <c r="A1001" s="624"/>
    </row>
    <row r="1002" ht="12.75">
      <c r="A1002" s="624"/>
    </row>
    <row r="1003" ht="12.75">
      <c r="A1003" s="624"/>
    </row>
    <row r="1004" ht="12.75">
      <c r="A1004" s="624"/>
    </row>
    <row r="1005" ht="12.75">
      <c r="A1005" s="624"/>
    </row>
    <row r="1006" ht="12.75">
      <c r="A1006" s="624"/>
    </row>
    <row r="1007" ht="12.75">
      <c r="A1007" s="624"/>
    </row>
    <row r="1008" ht="12.75">
      <c r="A1008" s="624"/>
    </row>
    <row r="1009" ht="12.75">
      <c r="A1009" s="624"/>
    </row>
    <row r="1010" ht="12.75">
      <c r="A1010" s="624"/>
    </row>
    <row r="1011" ht="12.75">
      <c r="A1011" s="624"/>
    </row>
    <row r="1012" ht="12.75">
      <c r="A1012" s="624"/>
    </row>
    <row r="1013" ht="12.75">
      <c r="A1013" s="624"/>
    </row>
    <row r="1014" ht="12.75">
      <c r="A1014" s="624"/>
    </row>
    <row r="1015" ht="12.75">
      <c r="A1015" s="624"/>
    </row>
    <row r="1016" ht="12.75">
      <c r="A1016" s="624"/>
    </row>
    <row r="1017" ht="12.75">
      <c r="A1017" s="624"/>
    </row>
    <row r="1018" ht="12.75">
      <c r="A1018" s="624"/>
    </row>
    <row r="1019" ht="12.75">
      <c r="A1019" s="624"/>
    </row>
    <row r="1020" ht="12.75">
      <c r="A1020" s="624"/>
    </row>
    <row r="1021" ht="12.75">
      <c r="A1021" s="624"/>
    </row>
    <row r="1022" ht="12.75">
      <c r="A1022" s="624"/>
    </row>
    <row r="1023" ht="12.75">
      <c r="A1023" s="624"/>
    </row>
    <row r="1024" ht="12.75">
      <c r="A1024" s="624"/>
    </row>
    <row r="1025" ht="12.75">
      <c r="A1025" s="624"/>
    </row>
    <row r="1026" ht="12.75">
      <c r="A1026" s="624"/>
    </row>
    <row r="1027" ht="12.75">
      <c r="A1027" s="624"/>
    </row>
    <row r="1028" ht="12.75">
      <c r="A1028" s="624"/>
    </row>
    <row r="1029" ht="12.75">
      <c r="A1029" s="624"/>
    </row>
    <row r="1030" ht="12.75">
      <c r="A1030" s="624"/>
    </row>
    <row r="1031" ht="12.75">
      <c r="A1031" s="624"/>
    </row>
    <row r="1032" ht="12.75">
      <c r="A1032" s="624"/>
    </row>
    <row r="1033" ht="12.75">
      <c r="A1033" s="624"/>
    </row>
    <row r="1034" ht="12.75">
      <c r="A1034" s="624"/>
    </row>
    <row r="1035" ht="12.75">
      <c r="A1035" s="624"/>
    </row>
    <row r="1036" ht="12.75">
      <c r="A1036" s="624"/>
    </row>
    <row r="1037" ht="12.75">
      <c r="A1037" s="624"/>
    </row>
    <row r="1038" ht="12.75">
      <c r="A1038" s="624"/>
    </row>
    <row r="1039" ht="12.75">
      <c r="A1039" s="624"/>
    </row>
    <row r="1040" ht="12.75">
      <c r="A1040" s="624"/>
    </row>
    <row r="1041" ht="12.75">
      <c r="A1041" s="624"/>
    </row>
    <row r="1042" ht="12.75">
      <c r="A1042" s="624"/>
    </row>
    <row r="1043" ht="12.75">
      <c r="A1043" s="624"/>
    </row>
    <row r="1044" ht="12.75">
      <c r="A1044" s="624"/>
    </row>
    <row r="1045" ht="12.75">
      <c r="A1045" s="624"/>
    </row>
    <row r="1046" ht="12.75">
      <c r="A1046" s="624"/>
    </row>
    <row r="1047" ht="12.75">
      <c r="A1047" s="624"/>
    </row>
    <row r="1048" ht="12.75">
      <c r="A1048" s="624"/>
    </row>
    <row r="1049" ht="12.75">
      <c r="A1049" s="624"/>
    </row>
    <row r="1050" ht="12.75">
      <c r="A1050" s="624"/>
    </row>
    <row r="1051" ht="12.75">
      <c r="A1051" s="624"/>
    </row>
    <row r="1052" ht="12.75">
      <c r="A1052" s="624"/>
    </row>
    <row r="1053" ht="12.75">
      <c r="A1053" s="624"/>
    </row>
    <row r="1054" ht="12.75">
      <c r="A1054" s="624"/>
    </row>
    <row r="1055" ht="12.75">
      <c r="A1055" s="624"/>
    </row>
    <row r="1056" ht="12.75">
      <c r="A1056" s="624"/>
    </row>
    <row r="1057" ht="12.75">
      <c r="A1057" s="624"/>
    </row>
    <row r="1058" ht="12.75">
      <c r="A1058" s="624"/>
    </row>
    <row r="1059" ht="12.75">
      <c r="A1059" s="624"/>
    </row>
    <row r="1060" ht="12.75">
      <c r="A1060" s="624"/>
    </row>
    <row r="1061" ht="12.75">
      <c r="A1061" s="624"/>
    </row>
    <row r="1062" ht="12.75">
      <c r="A1062" s="624"/>
    </row>
    <row r="1063" ht="12.75">
      <c r="A1063" s="624"/>
    </row>
    <row r="1064" ht="12.75">
      <c r="A1064" s="624"/>
    </row>
    <row r="1065" ht="12.75">
      <c r="A1065" s="624"/>
    </row>
    <row r="1066" ht="12.75">
      <c r="A1066" s="624"/>
    </row>
    <row r="1067" ht="12.75">
      <c r="A1067" s="624"/>
    </row>
    <row r="1068" ht="12.75">
      <c r="A1068" s="624"/>
    </row>
    <row r="1069" ht="12.75">
      <c r="A1069" s="624"/>
    </row>
    <row r="1070" ht="12.75">
      <c r="A1070" s="624"/>
    </row>
    <row r="1071" ht="12.75">
      <c r="A1071" s="624"/>
    </row>
    <row r="1072" ht="12.75">
      <c r="A1072" s="624"/>
    </row>
    <row r="1073" ht="12.75">
      <c r="A1073" s="624"/>
    </row>
    <row r="1074" ht="12.75">
      <c r="A1074" s="624"/>
    </row>
    <row r="1075" ht="12.75">
      <c r="A1075" s="624"/>
    </row>
    <row r="1076" ht="12.75">
      <c r="A1076" s="624"/>
    </row>
    <row r="1077" ht="12.75">
      <c r="A1077" s="624"/>
    </row>
    <row r="1078" ht="12.75">
      <c r="A1078" s="624"/>
    </row>
    <row r="1079" ht="12.75">
      <c r="A1079" s="624"/>
    </row>
    <row r="1080" ht="12.75">
      <c r="A1080" s="624"/>
    </row>
    <row r="1081" ht="12.75">
      <c r="A1081" s="624"/>
    </row>
    <row r="1082" ht="12.75">
      <c r="A1082" s="624"/>
    </row>
    <row r="1083" ht="12.75">
      <c r="A1083" s="624"/>
    </row>
    <row r="1084" ht="12.75">
      <c r="A1084" s="624"/>
    </row>
    <row r="1085" ht="12.75">
      <c r="A1085" s="624"/>
    </row>
    <row r="1086" ht="12.75">
      <c r="A1086" s="624"/>
    </row>
    <row r="1087" ht="12.75">
      <c r="A1087" s="624"/>
    </row>
    <row r="1088" ht="12.75">
      <c r="A1088" s="624"/>
    </row>
    <row r="1089" ht="12.75">
      <c r="A1089" s="624"/>
    </row>
    <row r="1090" ht="12.75">
      <c r="A1090" s="624"/>
    </row>
    <row r="1091" ht="12.75">
      <c r="A1091" s="624"/>
    </row>
    <row r="1092" ht="12.75">
      <c r="A1092" s="624"/>
    </row>
    <row r="1093" ht="12.75">
      <c r="A1093" s="624"/>
    </row>
    <row r="1094" ht="12.75">
      <c r="A1094" s="624"/>
    </row>
    <row r="1095" ht="12.75">
      <c r="A1095" s="624"/>
    </row>
    <row r="1096" ht="12.75">
      <c r="A1096" s="624"/>
    </row>
    <row r="1097" ht="12.75">
      <c r="A1097" s="624"/>
    </row>
    <row r="1098" ht="12.75">
      <c r="A1098" s="624"/>
    </row>
    <row r="1099" ht="12.75">
      <c r="A1099" s="624"/>
    </row>
    <row r="1100" ht="12.75">
      <c r="A1100" s="624"/>
    </row>
    <row r="1101" ht="12.75">
      <c r="A1101" s="624"/>
    </row>
    <row r="1102" ht="12.75">
      <c r="A1102" s="624"/>
    </row>
    <row r="1103" ht="12.75">
      <c r="A1103" s="624"/>
    </row>
    <row r="1104" ht="12.75">
      <c r="A1104" s="624"/>
    </row>
    <row r="1105" ht="12.75">
      <c r="A1105" s="624"/>
    </row>
    <row r="1106" ht="12.75">
      <c r="A1106" s="624"/>
    </row>
    <row r="1107" ht="12.75">
      <c r="A1107" s="624"/>
    </row>
    <row r="1108" ht="12.75">
      <c r="A1108" s="624"/>
    </row>
    <row r="1109" ht="12.75">
      <c r="A1109" s="624"/>
    </row>
    <row r="1110" ht="12.75">
      <c r="A1110" s="624"/>
    </row>
    <row r="1111" ht="12.75">
      <c r="A1111" s="624"/>
    </row>
    <row r="1112" ht="12.75">
      <c r="A1112" s="624"/>
    </row>
    <row r="1113" ht="12.75">
      <c r="A1113" s="624"/>
    </row>
    <row r="1114" ht="12.75">
      <c r="A1114" s="624"/>
    </row>
    <row r="1115" ht="12.75">
      <c r="A1115" s="624"/>
    </row>
    <row r="1116" ht="12.75">
      <c r="A1116" s="624"/>
    </row>
    <row r="1117" ht="12.75">
      <c r="A1117" s="624"/>
    </row>
    <row r="1118" ht="12.75">
      <c r="A1118" s="624"/>
    </row>
    <row r="1119" ht="12.75">
      <c r="A1119" s="624"/>
    </row>
    <row r="1120" ht="12.75">
      <c r="A1120" s="624"/>
    </row>
    <row r="1121" ht="12.75">
      <c r="A1121" s="624"/>
    </row>
    <row r="1122" ht="12.75">
      <c r="A1122" s="624"/>
    </row>
    <row r="1123" ht="12.75">
      <c r="A1123" s="624"/>
    </row>
    <row r="1124" ht="12.75">
      <c r="A1124" s="624"/>
    </row>
    <row r="1125" ht="12.75">
      <c r="A1125" s="624"/>
    </row>
    <row r="1126" ht="12.75">
      <c r="A1126" s="624"/>
    </row>
    <row r="1127" ht="12.75">
      <c r="A1127" s="624"/>
    </row>
    <row r="1128" ht="12.75">
      <c r="A1128" s="624"/>
    </row>
    <row r="1129" ht="12.75">
      <c r="A1129" s="624"/>
    </row>
    <row r="1130" ht="12.75">
      <c r="A1130" s="624"/>
    </row>
    <row r="1131" ht="12.75">
      <c r="A1131" s="624"/>
    </row>
    <row r="1132" ht="12.75">
      <c r="A1132" s="624"/>
    </row>
    <row r="1133" ht="12.75">
      <c r="A1133" s="624"/>
    </row>
    <row r="1134" ht="12.75">
      <c r="A1134" s="624"/>
    </row>
    <row r="1135" ht="12.75">
      <c r="A1135" s="624"/>
    </row>
    <row r="1136" ht="12.75">
      <c r="A1136" s="624"/>
    </row>
    <row r="1137" ht="12.75">
      <c r="A1137" s="624"/>
    </row>
    <row r="1138" ht="12.75">
      <c r="A1138" s="624"/>
    </row>
    <row r="1139" ht="12.75">
      <c r="A1139" s="624"/>
    </row>
    <row r="1140" ht="12.75">
      <c r="A1140" s="624"/>
    </row>
    <row r="1141" ht="12.75">
      <c r="A1141" s="624"/>
    </row>
    <row r="1142" ht="12.75">
      <c r="A1142" s="624"/>
    </row>
    <row r="1143" ht="12.75">
      <c r="A1143" s="624"/>
    </row>
    <row r="1144" ht="12.75">
      <c r="A1144" s="624"/>
    </row>
    <row r="1145" ht="12.75">
      <c r="A1145" s="624"/>
    </row>
    <row r="1146" ht="12.75">
      <c r="A1146" s="624"/>
    </row>
    <row r="1147" ht="12.75">
      <c r="A1147" s="624"/>
    </row>
    <row r="1148" ht="12.75">
      <c r="A1148" s="624"/>
    </row>
    <row r="1149" ht="12.75">
      <c r="A1149" s="624"/>
    </row>
    <row r="1150" ht="12.75">
      <c r="A1150" s="624"/>
    </row>
    <row r="1151" ht="12.75">
      <c r="A1151" s="624"/>
    </row>
    <row r="1152" ht="12.75">
      <c r="A1152" s="624"/>
    </row>
    <row r="1153" ht="12.75">
      <c r="A1153" s="624"/>
    </row>
    <row r="1154" ht="12.75">
      <c r="A1154" s="624"/>
    </row>
    <row r="1155" ht="12.75">
      <c r="A1155" s="624"/>
    </row>
    <row r="1156" ht="12.75">
      <c r="A1156" s="624"/>
    </row>
    <row r="1157" ht="12.75">
      <c r="A1157" s="624"/>
    </row>
    <row r="1158" ht="12.75">
      <c r="A1158" s="624"/>
    </row>
    <row r="1159" ht="12.75">
      <c r="A1159" s="624"/>
    </row>
    <row r="1160" ht="12.75">
      <c r="A1160" s="624"/>
    </row>
    <row r="1161" ht="12.75">
      <c r="A1161" s="624"/>
    </row>
    <row r="1162" ht="12.75">
      <c r="A1162" s="624"/>
    </row>
    <row r="1163" ht="12.75">
      <c r="A1163" s="624"/>
    </row>
    <row r="1164" ht="12.75">
      <c r="A1164" s="624"/>
    </row>
    <row r="1165" ht="12.75">
      <c r="A1165" s="624"/>
    </row>
    <row r="1166" ht="12.75">
      <c r="A1166" s="624"/>
    </row>
    <row r="1167" ht="12.75">
      <c r="A1167" s="624"/>
    </row>
    <row r="1168" ht="12.75">
      <c r="A1168" s="624"/>
    </row>
    <row r="1169" ht="12.75">
      <c r="A1169" s="624"/>
    </row>
    <row r="1170" ht="12.75">
      <c r="A1170" s="624"/>
    </row>
    <row r="1171" ht="12.75">
      <c r="A1171" s="624"/>
    </row>
    <row r="1172" ht="12.75">
      <c r="A1172" s="624"/>
    </row>
    <row r="1173" ht="12.75">
      <c r="A1173" s="624"/>
    </row>
    <row r="1174" ht="12.75">
      <c r="A1174" s="624"/>
    </row>
    <row r="1175" ht="12.75">
      <c r="A1175" s="624"/>
    </row>
    <row r="1176" ht="12.75">
      <c r="A1176" s="624"/>
    </row>
    <row r="1177" ht="12.75">
      <c r="A1177" s="624"/>
    </row>
    <row r="1178" ht="12.75">
      <c r="A1178" s="624"/>
    </row>
    <row r="1179" ht="12.75">
      <c r="A1179" s="624"/>
    </row>
    <row r="1180" ht="12.75">
      <c r="A1180" s="624"/>
    </row>
    <row r="1181" ht="12.75">
      <c r="A1181" s="624"/>
    </row>
    <row r="1182" ht="12.75">
      <c r="A1182" s="624"/>
    </row>
    <row r="1183" ht="12.75">
      <c r="A1183" s="624"/>
    </row>
    <row r="1184" ht="12.75">
      <c r="A1184" s="624"/>
    </row>
    <row r="1185" ht="12.75">
      <c r="A1185" s="624"/>
    </row>
    <row r="1186" ht="12.75">
      <c r="A1186" s="624"/>
    </row>
    <row r="1187" ht="12.75">
      <c r="A1187" s="624"/>
    </row>
    <row r="1188" ht="12.75">
      <c r="A1188" s="624"/>
    </row>
    <row r="1189" ht="12.75">
      <c r="A1189" s="624"/>
    </row>
    <row r="1190" ht="12.75">
      <c r="A1190" s="624"/>
    </row>
    <row r="1191" ht="12.75">
      <c r="A1191" s="624"/>
    </row>
    <row r="1192" ht="12.75">
      <c r="A1192" s="624"/>
    </row>
    <row r="1193" ht="12.75">
      <c r="A1193" s="624"/>
    </row>
    <row r="1194" ht="12.75">
      <c r="A1194" s="624"/>
    </row>
    <row r="1195" ht="12.75">
      <c r="A1195" s="624"/>
    </row>
    <row r="1196" ht="12.75">
      <c r="A1196" s="624"/>
    </row>
    <row r="1197" ht="12.75">
      <c r="A1197" s="624"/>
    </row>
    <row r="1198" ht="12.75">
      <c r="A1198" s="624"/>
    </row>
    <row r="1199" ht="12.75">
      <c r="A1199" s="624"/>
    </row>
    <row r="1200" ht="12.75">
      <c r="A1200" s="624"/>
    </row>
    <row r="1201" ht="12.75">
      <c r="A1201" s="624"/>
    </row>
    <row r="1202" ht="12.75">
      <c r="A1202" s="624"/>
    </row>
    <row r="1203" ht="12.75">
      <c r="A1203" s="624"/>
    </row>
    <row r="1204" ht="12.75">
      <c r="A1204" s="624"/>
    </row>
    <row r="1205" ht="12.75">
      <c r="A1205" s="624"/>
    </row>
    <row r="1206" ht="12.75">
      <c r="A1206" s="624"/>
    </row>
    <row r="1207" ht="12.75">
      <c r="A1207" s="624"/>
    </row>
    <row r="1208" ht="12.75">
      <c r="A1208" s="624"/>
    </row>
    <row r="1209" ht="12.75">
      <c r="A1209" s="624"/>
    </row>
    <row r="1210" ht="12.75">
      <c r="A1210" s="624"/>
    </row>
    <row r="1211" ht="12.75">
      <c r="A1211" s="624"/>
    </row>
    <row r="1212" ht="12.75">
      <c r="A1212" s="624"/>
    </row>
    <row r="1213" ht="12.75">
      <c r="A1213" s="624"/>
    </row>
    <row r="1214" ht="12.75">
      <c r="A1214" s="624"/>
    </row>
    <row r="1215" ht="12.75">
      <c r="A1215" s="624"/>
    </row>
    <row r="1216" ht="12.75">
      <c r="A1216" s="624"/>
    </row>
    <row r="1217" ht="12.75">
      <c r="A1217" s="624"/>
    </row>
    <row r="1218" ht="12.75">
      <c r="A1218" s="624"/>
    </row>
    <row r="1219" ht="12.75">
      <c r="A1219" s="624"/>
    </row>
    <row r="1220" ht="12.75">
      <c r="A1220" s="624"/>
    </row>
    <row r="1221" ht="12.75">
      <c r="A1221" s="624"/>
    </row>
    <row r="1222" ht="12.75">
      <c r="A1222" s="624"/>
    </row>
    <row r="1223" ht="12.75">
      <c r="A1223" s="624"/>
    </row>
    <row r="1224" ht="12.75">
      <c r="A1224" s="624"/>
    </row>
    <row r="1225" ht="12.75">
      <c r="A1225" s="624"/>
    </row>
    <row r="1226" ht="12.75">
      <c r="A1226" s="624"/>
    </row>
    <row r="1227" ht="12.75">
      <c r="A1227" s="624"/>
    </row>
    <row r="1228" ht="12.75">
      <c r="A1228" s="624"/>
    </row>
    <row r="1229" ht="12.75">
      <c r="A1229" s="624"/>
    </row>
    <row r="1230" ht="12.75">
      <c r="A1230" s="624"/>
    </row>
    <row r="1231" ht="12.75">
      <c r="A1231" s="624"/>
    </row>
    <row r="1232" ht="12.75">
      <c r="A1232" s="624"/>
    </row>
    <row r="1233" ht="12.75">
      <c r="A1233" s="624"/>
    </row>
    <row r="1234" ht="12.75">
      <c r="A1234" s="624"/>
    </row>
    <row r="1235" ht="12.75">
      <c r="A1235" s="624"/>
    </row>
    <row r="1236" ht="12.75">
      <c r="A1236" s="624"/>
    </row>
    <row r="1237" ht="12.75">
      <c r="A1237" s="624"/>
    </row>
    <row r="1238" ht="12.75">
      <c r="A1238" s="624"/>
    </row>
    <row r="1239" ht="12.75">
      <c r="A1239" s="624"/>
    </row>
    <row r="1240" ht="12.75">
      <c r="A1240" s="624"/>
    </row>
    <row r="1241" ht="12.75">
      <c r="A1241" s="624"/>
    </row>
    <row r="1242" ht="12.75">
      <c r="A1242" s="624"/>
    </row>
    <row r="1243" ht="12.75">
      <c r="A1243" s="624"/>
    </row>
    <row r="1244" ht="12.75">
      <c r="A1244" s="624"/>
    </row>
    <row r="1245" ht="12.75">
      <c r="A1245" s="624"/>
    </row>
    <row r="1246" ht="12.75">
      <c r="A1246" s="624"/>
    </row>
    <row r="1247" ht="12.75">
      <c r="A1247" s="624"/>
    </row>
    <row r="1248" ht="12.75">
      <c r="A1248" s="624"/>
    </row>
    <row r="1249" ht="12.75">
      <c r="A1249" s="624"/>
    </row>
    <row r="1250" ht="12.75">
      <c r="A1250" s="624"/>
    </row>
    <row r="1251" ht="12.75">
      <c r="A1251" s="624"/>
    </row>
    <row r="1252" ht="12.75">
      <c r="A1252" s="624"/>
    </row>
    <row r="1253" ht="12.75">
      <c r="A1253" s="624"/>
    </row>
    <row r="1254" ht="12.75">
      <c r="A1254" s="624"/>
    </row>
    <row r="1255" ht="12.75">
      <c r="A1255" s="624"/>
    </row>
    <row r="1256" ht="12.75">
      <c r="A1256" s="624"/>
    </row>
    <row r="1257" ht="12.75">
      <c r="A1257" s="624"/>
    </row>
    <row r="1258" ht="12.75">
      <c r="A1258" s="624"/>
    </row>
    <row r="1259" ht="12.75">
      <c r="A1259" s="624"/>
    </row>
    <row r="1260" ht="12.75">
      <c r="A1260" s="624"/>
    </row>
    <row r="1261" ht="12.75">
      <c r="A1261" s="624"/>
    </row>
    <row r="1262" ht="12.75">
      <c r="A1262" s="624"/>
    </row>
    <row r="1263" ht="12.75">
      <c r="A1263" s="624"/>
    </row>
    <row r="1264" ht="12.75">
      <c r="A1264" s="624"/>
    </row>
    <row r="1265" ht="12.75">
      <c r="A1265" s="624"/>
    </row>
    <row r="1266" ht="12.75">
      <c r="A1266" s="624"/>
    </row>
    <row r="1267" ht="12.75">
      <c r="A1267" s="624"/>
    </row>
    <row r="1268" ht="12.75">
      <c r="A1268" s="624"/>
    </row>
    <row r="1269" ht="12.75">
      <c r="A1269" s="624"/>
    </row>
    <row r="1270" ht="12.75">
      <c r="A1270" s="624"/>
    </row>
    <row r="1271" ht="12.75">
      <c r="A1271" s="624"/>
    </row>
    <row r="1272" ht="12.75">
      <c r="A1272" s="624"/>
    </row>
    <row r="1273" ht="12.75">
      <c r="A1273" s="624"/>
    </row>
    <row r="1274" ht="12.75">
      <c r="A1274" s="624"/>
    </row>
    <row r="1275" ht="12.75">
      <c r="A1275" s="624"/>
    </row>
    <row r="1276" ht="12.75">
      <c r="A1276" s="624"/>
    </row>
    <row r="1277" ht="12.75">
      <c r="A1277" s="624"/>
    </row>
    <row r="1278" ht="12.75">
      <c r="A1278" s="624"/>
    </row>
    <row r="1279" ht="12.75">
      <c r="A1279" s="624"/>
    </row>
    <row r="1280" ht="12.75">
      <c r="A1280" s="624"/>
    </row>
    <row r="1281" ht="12.75">
      <c r="A1281" s="624"/>
    </row>
    <row r="1282" ht="12.75">
      <c r="A1282" s="624"/>
    </row>
    <row r="1283" ht="12.75">
      <c r="A1283" s="624"/>
    </row>
    <row r="1284" ht="12.75">
      <c r="A1284" s="624"/>
    </row>
    <row r="1285" ht="12.75">
      <c r="A1285" s="624"/>
    </row>
    <row r="1286" ht="12.75">
      <c r="A1286" s="624"/>
    </row>
    <row r="1287" ht="12.75">
      <c r="A1287" s="624"/>
    </row>
    <row r="1288" ht="12.75">
      <c r="A1288" s="624"/>
    </row>
    <row r="1289" ht="12.75">
      <c r="A1289" s="624"/>
    </row>
    <row r="1290" ht="12.75">
      <c r="A1290" s="624"/>
    </row>
    <row r="1291" ht="12.75">
      <c r="A1291" s="624"/>
    </row>
    <row r="1292" ht="12.75">
      <c r="A1292" s="624"/>
    </row>
    <row r="1293" ht="12.75">
      <c r="A1293" s="624"/>
    </row>
    <row r="1294" ht="12.75">
      <c r="A1294" s="624"/>
    </row>
    <row r="1295" ht="12.75">
      <c r="A1295" s="624"/>
    </row>
    <row r="1296" ht="12.75">
      <c r="A1296" s="624"/>
    </row>
    <row r="1297" ht="12.75">
      <c r="A1297" s="624"/>
    </row>
    <row r="1298" ht="12.75">
      <c r="A1298" s="624"/>
    </row>
    <row r="1299" ht="12.75">
      <c r="A1299" s="624"/>
    </row>
    <row r="1300" ht="12.75">
      <c r="A1300" s="624"/>
    </row>
    <row r="1301" ht="12.75">
      <c r="A1301" s="624"/>
    </row>
    <row r="1302" ht="12.75">
      <c r="A1302" s="624"/>
    </row>
    <row r="1303" ht="12.75">
      <c r="A1303" s="624"/>
    </row>
    <row r="1304" ht="12.75">
      <c r="A1304" s="624"/>
    </row>
    <row r="1305" ht="12.75">
      <c r="A1305" s="624"/>
    </row>
    <row r="1306" ht="12.75">
      <c r="A1306" s="624"/>
    </row>
    <row r="1307" ht="12.75">
      <c r="A1307" s="624"/>
    </row>
    <row r="1308" ht="12.75">
      <c r="A1308" s="624"/>
    </row>
    <row r="1309" ht="12.75">
      <c r="A1309" s="624"/>
    </row>
    <row r="1310" ht="12.75">
      <c r="A1310" s="624"/>
    </row>
    <row r="1311" ht="12.75">
      <c r="A1311" s="624"/>
    </row>
    <row r="1312" ht="12.75">
      <c r="A1312" s="624"/>
    </row>
    <row r="1313" ht="12.75">
      <c r="A1313" s="624"/>
    </row>
    <row r="1314" ht="12.75">
      <c r="A1314" s="624"/>
    </row>
    <row r="1315" ht="12.75">
      <c r="A1315" s="624"/>
    </row>
    <row r="1316" ht="12.75">
      <c r="A1316" s="624"/>
    </row>
    <row r="1317" ht="12.75">
      <c r="A1317" s="624"/>
    </row>
    <row r="1318" ht="12.75">
      <c r="A1318" s="624"/>
    </row>
    <row r="1319" ht="12.75">
      <c r="A1319" s="624"/>
    </row>
    <row r="1320" ht="12.75">
      <c r="A1320" s="624"/>
    </row>
    <row r="1321" ht="12.75">
      <c r="A1321" s="624"/>
    </row>
    <row r="1322" ht="12.75">
      <c r="A1322" s="624"/>
    </row>
    <row r="1323" ht="12.75">
      <c r="A1323" s="624"/>
    </row>
    <row r="1324" ht="12.75">
      <c r="A1324" s="624"/>
    </row>
    <row r="1325" ht="12.75">
      <c r="A1325" s="624"/>
    </row>
    <row r="1326" ht="12.75">
      <c r="A1326" s="624"/>
    </row>
    <row r="1327" ht="12.75">
      <c r="A1327" s="624"/>
    </row>
    <row r="1328" ht="12.75">
      <c r="A1328" s="624"/>
    </row>
    <row r="1329" ht="12.75">
      <c r="A1329" s="624"/>
    </row>
    <row r="1330" ht="12.75">
      <c r="A1330" s="624"/>
    </row>
    <row r="1331" ht="12.75">
      <c r="A1331" s="624"/>
    </row>
    <row r="1332" ht="12.75">
      <c r="A1332" s="624"/>
    </row>
    <row r="1333" ht="12.75">
      <c r="A1333" s="624"/>
    </row>
    <row r="1334" ht="12.75">
      <c r="A1334" s="624"/>
    </row>
    <row r="1335" ht="12.75">
      <c r="A1335" s="624"/>
    </row>
    <row r="1336" ht="12.75">
      <c r="A1336" s="624"/>
    </row>
    <row r="1337" ht="12.75">
      <c r="A1337" s="624"/>
    </row>
    <row r="1338" ht="12.75">
      <c r="A1338" s="624"/>
    </row>
    <row r="1339" ht="12.75">
      <c r="A1339" s="624"/>
    </row>
    <row r="1340" ht="12.75">
      <c r="A1340" s="624"/>
    </row>
    <row r="1341" ht="12.75">
      <c r="A1341" s="624"/>
    </row>
    <row r="1342" ht="12.75">
      <c r="A1342" s="624"/>
    </row>
    <row r="1343" ht="12.75">
      <c r="A1343" s="624"/>
    </row>
    <row r="1344" ht="12.75">
      <c r="A1344" s="624"/>
    </row>
    <row r="1345" ht="12.75">
      <c r="A1345" s="624"/>
    </row>
    <row r="1346" ht="12.75">
      <c r="A1346" s="624"/>
    </row>
    <row r="1347" ht="12.75">
      <c r="A1347" s="624"/>
    </row>
    <row r="1348" ht="12.75">
      <c r="A1348" s="624"/>
    </row>
    <row r="1349" ht="12.75">
      <c r="A1349" s="624"/>
    </row>
    <row r="1350" ht="12.75">
      <c r="A1350" s="624"/>
    </row>
    <row r="1351" ht="12.75">
      <c r="A1351" s="624"/>
    </row>
    <row r="1352" ht="12.75">
      <c r="A1352" s="624"/>
    </row>
    <row r="1353" ht="12.75">
      <c r="A1353" s="624"/>
    </row>
    <row r="1354" ht="12.75">
      <c r="A1354" s="624"/>
    </row>
    <row r="1355" ht="12.75">
      <c r="A1355" s="624"/>
    </row>
    <row r="1356" ht="12.75">
      <c r="A1356" s="624"/>
    </row>
    <row r="1357" ht="12.75">
      <c r="A1357" s="624"/>
    </row>
    <row r="1358" ht="12.75">
      <c r="A1358" s="624"/>
    </row>
    <row r="1359" ht="12.75">
      <c r="A1359" s="624"/>
    </row>
    <row r="1360" ht="12.75">
      <c r="A1360" s="624"/>
    </row>
    <row r="1361" ht="12.75">
      <c r="A1361" s="624"/>
    </row>
    <row r="1362" ht="12.75">
      <c r="A1362" s="624"/>
    </row>
    <row r="1363" ht="12.75">
      <c r="A1363" s="624"/>
    </row>
    <row r="1364" ht="12.75">
      <c r="A1364" s="624"/>
    </row>
    <row r="1365" ht="12.75">
      <c r="A1365" s="624"/>
    </row>
    <row r="1366" ht="12.75">
      <c r="A1366" s="624"/>
    </row>
    <row r="1367" ht="12.75">
      <c r="A1367" s="624"/>
    </row>
    <row r="1368" ht="12.75">
      <c r="A1368" s="624"/>
    </row>
    <row r="1369" ht="12.75">
      <c r="A1369" s="624"/>
    </row>
    <row r="1370" ht="12.75">
      <c r="A1370" s="624"/>
    </row>
    <row r="1371" ht="12.75">
      <c r="A1371" s="624"/>
    </row>
    <row r="1372" ht="12.75">
      <c r="A1372" s="624"/>
    </row>
    <row r="1373" ht="12.75">
      <c r="A1373" s="624"/>
    </row>
    <row r="1374" ht="12.75">
      <c r="A1374" s="624"/>
    </row>
    <row r="1375" ht="12.75">
      <c r="A1375" s="624"/>
    </row>
    <row r="1376" ht="12.75">
      <c r="A1376" s="624"/>
    </row>
    <row r="1377" ht="12.75">
      <c r="A1377" s="624"/>
    </row>
    <row r="1378" ht="12.75">
      <c r="A1378" s="624"/>
    </row>
    <row r="1379" ht="12.75">
      <c r="A1379" s="624"/>
    </row>
    <row r="1380" ht="12.75">
      <c r="A1380" s="624"/>
    </row>
    <row r="1381" ht="12.75">
      <c r="A1381" s="624"/>
    </row>
    <row r="1382" ht="12.75">
      <c r="A1382" s="624"/>
    </row>
    <row r="1383" ht="12.75">
      <c r="A1383" s="624"/>
    </row>
    <row r="1384" ht="12.75">
      <c r="A1384" s="624"/>
    </row>
    <row r="1385" ht="12.75">
      <c r="A1385" s="624"/>
    </row>
    <row r="1386" ht="12.75">
      <c r="A1386" s="624"/>
    </row>
    <row r="1387" ht="12.75">
      <c r="A1387" s="624"/>
    </row>
    <row r="1388" ht="12.75">
      <c r="A1388" s="624"/>
    </row>
    <row r="1389" ht="12.75">
      <c r="A1389" s="624"/>
    </row>
    <row r="1390" ht="12.75">
      <c r="A1390" s="624"/>
    </row>
    <row r="1391" ht="12.75">
      <c r="A1391" s="624"/>
    </row>
    <row r="1392" ht="12.75">
      <c r="A1392" s="624"/>
    </row>
    <row r="1393" ht="12.75">
      <c r="A1393" s="624"/>
    </row>
    <row r="1394" ht="12.75">
      <c r="A1394" s="624"/>
    </row>
    <row r="1395" ht="12.75">
      <c r="A1395" s="624"/>
    </row>
    <row r="1396" ht="12.75">
      <c r="A1396" s="624"/>
    </row>
    <row r="1397" ht="12.75">
      <c r="A1397" s="624"/>
    </row>
    <row r="1398" ht="12.75">
      <c r="A1398" s="624"/>
    </row>
    <row r="1399" ht="12.75">
      <c r="A1399" s="624"/>
    </row>
    <row r="1400" ht="12.75">
      <c r="A1400" s="624"/>
    </row>
    <row r="1401" ht="12.75">
      <c r="A1401" s="624"/>
    </row>
    <row r="1402" ht="12.75">
      <c r="A1402" s="624"/>
    </row>
    <row r="1403" ht="12.75">
      <c r="A1403" s="624"/>
    </row>
    <row r="1404" ht="12.75">
      <c r="A1404" s="624"/>
    </row>
    <row r="1405" ht="12.75">
      <c r="A1405" s="624"/>
    </row>
    <row r="1406" ht="12.75">
      <c r="A1406" s="624"/>
    </row>
    <row r="1407" ht="12.75">
      <c r="A1407" s="624"/>
    </row>
    <row r="1408" ht="12.75">
      <c r="A1408" s="624"/>
    </row>
    <row r="1409" ht="12.75">
      <c r="A1409" s="624"/>
    </row>
    <row r="1410" ht="12.75">
      <c r="A1410" s="624"/>
    </row>
    <row r="1411" ht="12.75">
      <c r="A1411" s="624"/>
    </row>
    <row r="1412" ht="12.75">
      <c r="A1412" s="624"/>
    </row>
    <row r="1413" ht="12.75">
      <c r="A1413" s="624"/>
    </row>
    <row r="1414" ht="12.75">
      <c r="A1414" s="624"/>
    </row>
    <row r="1415" ht="12.75">
      <c r="A1415" s="624"/>
    </row>
    <row r="1416" ht="12.75">
      <c r="A1416" s="624"/>
    </row>
    <row r="1417" ht="12.75">
      <c r="A1417" s="624"/>
    </row>
    <row r="1418" ht="12.75">
      <c r="A1418" s="624"/>
    </row>
    <row r="1419" ht="12.75">
      <c r="A1419" s="624"/>
    </row>
    <row r="1420" ht="12.75">
      <c r="A1420" s="624"/>
    </row>
    <row r="1421" ht="12.75">
      <c r="A1421" s="624"/>
    </row>
    <row r="1422" ht="12.75">
      <c r="A1422" s="624"/>
    </row>
    <row r="1423" ht="12.75">
      <c r="A1423" s="624"/>
    </row>
    <row r="1424" ht="12.75">
      <c r="A1424" s="624"/>
    </row>
    <row r="1425" ht="12.75">
      <c r="A1425" s="624"/>
    </row>
    <row r="1426" ht="12.75">
      <c r="A1426" s="624"/>
    </row>
    <row r="1427" ht="12.75">
      <c r="A1427" s="624"/>
    </row>
    <row r="1428" ht="12.75">
      <c r="A1428" s="624"/>
    </row>
    <row r="1429" ht="12.75">
      <c r="A1429" s="624"/>
    </row>
    <row r="1430" ht="12.75">
      <c r="A1430" s="624"/>
    </row>
    <row r="1431" ht="12.75">
      <c r="A1431" s="624"/>
    </row>
    <row r="1432" ht="12.75">
      <c r="A1432" s="624"/>
    </row>
    <row r="1433" ht="12.75">
      <c r="A1433" s="624"/>
    </row>
    <row r="1434" ht="12.75">
      <c r="A1434" s="624"/>
    </row>
    <row r="1435" ht="12.75">
      <c r="A1435" s="624"/>
    </row>
    <row r="1436" ht="12.75">
      <c r="A1436" s="624"/>
    </row>
    <row r="1437" ht="12.75">
      <c r="A1437" s="624"/>
    </row>
    <row r="1438" ht="12.75">
      <c r="A1438" s="624"/>
    </row>
    <row r="1439" ht="12.75">
      <c r="A1439" s="624"/>
    </row>
    <row r="1440" ht="12.75">
      <c r="A1440" s="624"/>
    </row>
    <row r="1441" ht="12.75">
      <c r="A1441" s="624"/>
    </row>
    <row r="1442" ht="12.75">
      <c r="A1442" s="624"/>
    </row>
    <row r="1443" ht="12.75">
      <c r="A1443" s="624"/>
    </row>
    <row r="1444" ht="12.75">
      <c r="A1444" s="624"/>
    </row>
    <row r="1445" ht="12.75">
      <c r="A1445" s="624"/>
    </row>
    <row r="1446" ht="12.75">
      <c r="A1446" s="624"/>
    </row>
    <row r="1447" ht="12.75">
      <c r="A1447" s="624"/>
    </row>
    <row r="1448" ht="12.75">
      <c r="A1448" s="624"/>
    </row>
    <row r="1449" ht="12.75">
      <c r="A1449" s="624"/>
    </row>
    <row r="1450" ht="12.75">
      <c r="A1450" s="624"/>
    </row>
    <row r="1451" ht="12.75">
      <c r="A1451" s="624"/>
    </row>
    <row r="1452" ht="12.75">
      <c r="A1452" s="624"/>
    </row>
    <row r="1453" ht="12.75">
      <c r="A1453" s="624"/>
    </row>
    <row r="1454" ht="12.75">
      <c r="A1454" s="624"/>
    </row>
    <row r="1455" ht="12.75">
      <c r="A1455" s="624"/>
    </row>
    <row r="1456" ht="12.75">
      <c r="A1456" s="624"/>
    </row>
    <row r="1457" ht="12.75">
      <c r="A1457" s="624"/>
    </row>
    <row r="1458" ht="12.75">
      <c r="A1458" s="624"/>
    </row>
    <row r="1459" ht="12.75">
      <c r="A1459" s="624"/>
    </row>
    <row r="1460" ht="12.75">
      <c r="A1460" s="624"/>
    </row>
    <row r="1461" ht="12.75">
      <c r="A1461" s="624"/>
    </row>
    <row r="1462" ht="12.75">
      <c r="A1462" s="624"/>
    </row>
    <row r="1463" ht="12.75">
      <c r="A1463" s="624"/>
    </row>
    <row r="1464" ht="12.75">
      <c r="A1464" s="624"/>
    </row>
    <row r="1465" ht="12.75">
      <c r="A1465" s="624"/>
    </row>
    <row r="1466" ht="12.75">
      <c r="A1466" s="624"/>
    </row>
    <row r="1467" ht="12.75">
      <c r="A1467" s="624"/>
    </row>
    <row r="1468" ht="12.75">
      <c r="A1468" s="624"/>
    </row>
    <row r="1469" ht="12.75">
      <c r="A1469" s="624"/>
    </row>
    <row r="1470" ht="12.75">
      <c r="A1470" s="624"/>
    </row>
    <row r="1471" ht="12.75">
      <c r="A1471" s="624"/>
    </row>
    <row r="1472" ht="12.75">
      <c r="A1472" s="624"/>
    </row>
    <row r="1473" ht="12.75">
      <c r="A1473" s="624"/>
    </row>
    <row r="1474" ht="12.75">
      <c r="A1474" s="624"/>
    </row>
    <row r="1475" ht="12.75">
      <c r="A1475" s="624"/>
    </row>
    <row r="1476" ht="12.75">
      <c r="A1476" s="624"/>
    </row>
    <row r="1477" ht="12.75">
      <c r="A1477" s="624"/>
    </row>
    <row r="1478" ht="12.75">
      <c r="A1478" s="624"/>
    </row>
    <row r="1479" ht="12.75">
      <c r="A1479" s="624"/>
    </row>
    <row r="1480" ht="12.75">
      <c r="A1480" s="624"/>
    </row>
    <row r="1481" ht="12.75">
      <c r="A1481" s="624"/>
    </row>
    <row r="1482" ht="12.75">
      <c r="A1482" s="624"/>
    </row>
    <row r="1483" ht="12.75">
      <c r="A1483" s="624"/>
    </row>
    <row r="1484" ht="12.75">
      <c r="A1484" s="624"/>
    </row>
    <row r="1485" ht="12.75">
      <c r="A1485" s="624"/>
    </row>
    <row r="1486" ht="12.75">
      <c r="A1486" s="624"/>
    </row>
    <row r="1487" ht="12.75">
      <c r="A1487" s="624"/>
    </row>
    <row r="1488" ht="12.75">
      <c r="A1488" s="624"/>
    </row>
    <row r="1489" ht="12.75">
      <c r="A1489" s="624"/>
    </row>
    <row r="1490" ht="12.75">
      <c r="A1490" s="624"/>
    </row>
    <row r="1491" ht="12.75">
      <c r="A1491" s="624"/>
    </row>
    <row r="1492" ht="12.75">
      <c r="A1492" s="624"/>
    </row>
    <row r="1493" ht="12.75">
      <c r="A1493" s="624"/>
    </row>
    <row r="1494" ht="12.75">
      <c r="A1494" s="624"/>
    </row>
    <row r="1495" ht="12.75">
      <c r="A1495" s="624"/>
    </row>
    <row r="1496" ht="12.75">
      <c r="A1496" s="624"/>
    </row>
    <row r="1497" ht="12.75">
      <c r="A1497" s="624"/>
    </row>
    <row r="1498" ht="12.75">
      <c r="A1498" s="624"/>
    </row>
    <row r="1499" ht="12.75">
      <c r="A1499" s="624"/>
    </row>
    <row r="1500" ht="12.75">
      <c r="A1500" s="624"/>
    </row>
    <row r="1501" ht="12.75">
      <c r="A1501" s="624"/>
    </row>
    <row r="1502" ht="12.75">
      <c r="A1502" s="624"/>
    </row>
    <row r="1503" ht="12.75">
      <c r="A1503" s="624"/>
    </row>
    <row r="1504" ht="12.75">
      <c r="A1504" s="624"/>
    </row>
    <row r="1505" ht="12.75">
      <c r="A1505" s="624"/>
    </row>
    <row r="1506" ht="12.75">
      <c r="A1506" s="624"/>
    </row>
    <row r="1507" ht="12.75">
      <c r="A1507" s="624"/>
    </row>
    <row r="1508" ht="12.75">
      <c r="A1508" s="624"/>
    </row>
    <row r="1509" ht="12.75">
      <c r="A1509" s="624"/>
    </row>
    <row r="1510" ht="12.75">
      <c r="A1510" s="624"/>
    </row>
    <row r="1511" ht="12.75">
      <c r="A1511" s="624"/>
    </row>
    <row r="1512" ht="12.75">
      <c r="A1512" s="624"/>
    </row>
    <row r="1513" ht="12.75">
      <c r="A1513" s="624"/>
    </row>
    <row r="1514" ht="12.75">
      <c r="A1514" s="624"/>
    </row>
    <row r="1515" ht="12.75">
      <c r="A1515" s="624"/>
    </row>
    <row r="1516" ht="12.75">
      <c r="A1516" s="624"/>
    </row>
    <row r="1517" ht="12.75">
      <c r="A1517" s="624"/>
    </row>
    <row r="1518" ht="12.75">
      <c r="A1518" s="624"/>
    </row>
    <row r="1519" ht="12.75">
      <c r="A1519" s="624"/>
    </row>
    <row r="1520" ht="12.75">
      <c r="A1520" s="624"/>
    </row>
    <row r="1521" ht="12.75">
      <c r="A1521" s="624"/>
    </row>
    <row r="1522" ht="12.75">
      <c r="A1522" s="624"/>
    </row>
    <row r="1523" ht="12.75">
      <c r="A1523" s="624"/>
    </row>
    <row r="1524" ht="12.75">
      <c r="A1524" s="624"/>
    </row>
    <row r="1525" ht="12.75">
      <c r="A1525" s="624"/>
    </row>
    <row r="1526" ht="12.75">
      <c r="A1526" s="624"/>
    </row>
    <row r="1527" ht="12.75">
      <c r="A1527" s="624"/>
    </row>
    <row r="1528" ht="12.75">
      <c r="A1528" s="624"/>
    </row>
    <row r="1529" ht="12.75">
      <c r="A1529" s="624"/>
    </row>
    <row r="1530" ht="12.75">
      <c r="A1530" s="624"/>
    </row>
    <row r="1531" ht="12.75">
      <c r="A1531" s="624"/>
    </row>
    <row r="1532" ht="12.75">
      <c r="A1532" s="624"/>
    </row>
    <row r="1533" ht="12.75">
      <c r="A1533" s="624"/>
    </row>
    <row r="1534" ht="12.75">
      <c r="A1534" s="624"/>
    </row>
    <row r="1535" ht="12.75">
      <c r="A1535" s="624"/>
    </row>
    <row r="1536" ht="12.75">
      <c r="A1536" s="624"/>
    </row>
    <row r="1537" ht="12.75">
      <c r="A1537" s="624"/>
    </row>
    <row r="1538" ht="12.75">
      <c r="A1538" s="624"/>
    </row>
    <row r="1539" ht="12.75">
      <c r="A1539" s="624"/>
    </row>
    <row r="1540" ht="12.75">
      <c r="A1540" s="624"/>
    </row>
    <row r="1541" ht="12.75">
      <c r="A1541" s="624"/>
    </row>
    <row r="1542" ht="12.75">
      <c r="A1542" s="624"/>
    </row>
    <row r="1543" ht="12.75">
      <c r="A1543" s="624"/>
    </row>
    <row r="1544" ht="12.75">
      <c r="A1544" s="624"/>
    </row>
    <row r="1545" ht="12.75">
      <c r="A1545" s="624"/>
    </row>
    <row r="1546" ht="12.75">
      <c r="A1546" s="624"/>
    </row>
    <row r="1547" ht="12.75">
      <c r="A1547" s="624"/>
    </row>
    <row r="1548" ht="12.75">
      <c r="A1548" s="624"/>
    </row>
    <row r="1549" ht="12.75">
      <c r="A1549" s="624"/>
    </row>
    <row r="1550" ht="12.75">
      <c r="A1550" s="624"/>
    </row>
    <row r="1551" ht="12.75">
      <c r="A1551" s="624"/>
    </row>
    <row r="1552" ht="12.75">
      <c r="A1552" s="624"/>
    </row>
    <row r="1553" ht="12.75">
      <c r="A1553" s="624"/>
    </row>
    <row r="1554" ht="12.75">
      <c r="A1554" s="624"/>
    </row>
    <row r="1555" ht="12.75">
      <c r="A1555" s="624"/>
    </row>
    <row r="1556" ht="12.75">
      <c r="A1556" s="624"/>
    </row>
    <row r="1557" ht="12.75">
      <c r="A1557" s="624"/>
    </row>
    <row r="1558" ht="12.75">
      <c r="A1558" s="624"/>
    </row>
    <row r="1559" ht="12.75">
      <c r="A1559" s="624"/>
    </row>
    <row r="1560" ht="12.75">
      <c r="A1560" s="624"/>
    </row>
    <row r="1561" ht="12.75">
      <c r="A1561" s="624"/>
    </row>
    <row r="1562" ht="12.75">
      <c r="A1562" s="624"/>
    </row>
    <row r="1563" ht="12.75">
      <c r="A1563" s="624"/>
    </row>
    <row r="1564" ht="12.75">
      <c r="A1564" s="624"/>
    </row>
    <row r="1565" ht="12.75">
      <c r="A1565" s="624"/>
    </row>
    <row r="1566" ht="12.75">
      <c r="A1566" s="624"/>
    </row>
    <row r="1567" ht="12.75">
      <c r="A1567" s="624"/>
    </row>
    <row r="1568" ht="12.75">
      <c r="A1568" s="624"/>
    </row>
    <row r="1569" ht="12.75">
      <c r="A1569" s="624"/>
    </row>
    <row r="1570" ht="12.75">
      <c r="A1570" s="624"/>
    </row>
    <row r="1571" ht="12.75">
      <c r="A1571" s="624"/>
    </row>
    <row r="1572" ht="12.75">
      <c r="A1572" s="624"/>
    </row>
    <row r="1573" ht="12.75">
      <c r="A1573" s="624"/>
    </row>
    <row r="1574" ht="12.75">
      <c r="A1574" s="624"/>
    </row>
    <row r="1575" ht="12.75">
      <c r="A1575" s="624"/>
    </row>
    <row r="1576" ht="12.75">
      <c r="A1576" s="624"/>
    </row>
    <row r="1577" ht="12.75">
      <c r="A1577" s="624"/>
    </row>
    <row r="1578" ht="12.75">
      <c r="A1578" s="624"/>
    </row>
    <row r="1579" ht="12.75">
      <c r="A1579" s="624"/>
    </row>
    <row r="1580" ht="12.75">
      <c r="A1580" s="624"/>
    </row>
    <row r="1581" ht="12.75">
      <c r="A1581" s="624"/>
    </row>
    <row r="1582" ht="12.75">
      <c r="A1582" s="624"/>
    </row>
    <row r="1583" ht="12.75">
      <c r="A1583" s="624"/>
    </row>
    <row r="1584" ht="12.75">
      <c r="A1584" s="624"/>
    </row>
    <row r="1585" ht="12.75">
      <c r="A1585" s="624"/>
    </row>
    <row r="1586" ht="12.75">
      <c r="A1586" s="624"/>
    </row>
    <row r="1587" ht="12.75">
      <c r="A1587" s="624"/>
    </row>
    <row r="1588" ht="12.75">
      <c r="A1588" s="624"/>
    </row>
    <row r="1589" ht="12.75">
      <c r="A1589" s="624"/>
    </row>
    <row r="1590" ht="12.75">
      <c r="A1590" s="624"/>
    </row>
    <row r="1591" ht="12.75">
      <c r="A1591" s="624"/>
    </row>
    <row r="1592" ht="12.75">
      <c r="A1592" s="624"/>
    </row>
    <row r="1593" ht="12.75">
      <c r="A1593" s="624"/>
    </row>
    <row r="1594" ht="12.75">
      <c r="A1594" s="624"/>
    </row>
    <row r="1595" ht="12.75">
      <c r="A1595" s="624"/>
    </row>
    <row r="1596" ht="12.75">
      <c r="A1596" s="624"/>
    </row>
    <row r="1597" ht="12.75">
      <c r="A1597" s="624"/>
    </row>
    <row r="1598" ht="12.75">
      <c r="A1598" s="624"/>
    </row>
    <row r="1599" ht="12.75">
      <c r="A1599" s="624"/>
    </row>
    <row r="1600" ht="12.75">
      <c r="A1600" s="624"/>
    </row>
    <row r="1601" ht="12.75">
      <c r="A1601" s="624"/>
    </row>
    <row r="1602" ht="12.75">
      <c r="A1602" s="624"/>
    </row>
    <row r="1603" ht="12.75">
      <c r="A1603" s="624"/>
    </row>
    <row r="1604" ht="12.75">
      <c r="A1604" s="624"/>
    </row>
    <row r="1605" ht="12.75">
      <c r="A1605" s="624"/>
    </row>
    <row r="1606" ht="12.75">
      <c r="A1606" s="624"/>
    </row>
    <row r="1607" ht="12.75">
      <c r="A1607" s="624"/>
    </row>
    <row r="1608" ht="12.75">
      <c r="A1608" s="624"/>
    </row>
    <row r="1609" ht="12.75">
      <c r="A1609" s="624"/>
    </row>
    <row r="1610" ht="12.75">
      <c r="A1610" s="624"/>
    </row>
    <row r="1611" ht="12.75">
      <c r="A1611" s="624"/>
    </row>
    <row r="1612" ht="12.75">
      <c r="A1612" s="624"/>
    </row>
    <row r="1613" ht="12.75">
      <c r="A1613" s="624"/>
    </row>
    <row r="1614" ht="12.75">
      <c r="A1614" s="624"/>
    </row>
    <row r="1615" ht="12.75">
      <c r="A1615" s="624"/>
    </row>
    <row r="1616" ht="12.75">
      <c r="A1616" s="624"/>
    </row>
    <row r="1617" ht="12.75">
      <c r="A1617" s="624"/>
    </row>
    <row r="1618" ht="12.75">
      <c r="A1618" s="624"/>
    </row>
    <row r="1619" ht="12.75">
      <c r="A1619" s="624"/>
    </row>
    <row r="1620" ht="12.75">
      <c r="A1620" s="624"/>
    </row>
    <row r="1621" ht="12.75">
      <c r="A1621" s="624"/>
    </row>
    <row r="1622" ht="12.75">
      <c r="A1622" s="624"/>
    </row>
    <row r="1623" ht="12.75">
      <c r="A1623" s="624"/>
    </row>
    <row r="1624" ht="12.75">
      <c r="A1624" s="624"/>
    </row>
    <row r="1625" ht="12.75">
      <c r="A1625" s="624"/>
    </row>
    <row r="1626" ht="12.75">
      <c r="A1626" s="624"/>
    </row>
    <row r="1627" ht="12.75">
      <c r="A1627" s="624"/>
    </row>
    <row r="1628" ht="12.75">
      <c r="A1628" s="624"/>
    </row>
    <row r="1629" ht="12.75">
      <c r="A1629" s="624"/>
    </row>
    <row r="1630" ht="12.75">
      <c r="A1630" s="624"/>
    </row>
    <row r="1631" ht="12.75">
      <c r="A1631" s="624"/>
    </row>
    <row r="1632" ht="12.75">
      <c r="A1632" s="624"/>
    </row>
    <row r="1633" ht="12.75">
      <c r="A1633" s="624"/>
    </row>
    <row r="1634" ht="12.75">
      <c r="A1634" s="624"/>
    </row>
    <row r="1635" ht="12.75">
      <c r="A1635" s="624"/>
    </row>
    <row r="1636" ht="12.75">
      <c r="A1636" s="624"/>
    </row>
    <row r="1637" ht="12.75">
      <c r="A1637" s="624"/>
    </row>
    <row r="1638" ht="12.75">
      <c r="A1638" s="624"/>
    </row>
    <row r="1639" ht="12.75">
      <c r="A1639" s="624"/>
    </row>
    <row r="1640" ht="12.75">
      <c r="A1640" s="624"/>
    </row>
    <row r="1641" ht="12.75">
      <c r="A1641" s="624"/>
    </row>
    <row r="1642" ht="12.75">
      <c r="A1642" s="624"/>
    </row>
    <row r="1643" ht="12.75">
      <c r="A1643" s="624"/>
    </row>
    <row r="1644" ht="12.75">
      <c r="A1644" s="624"/>
    </row>
    <row r="1645" ht="12.75">
      <c r="A1645" s="624"/>
    </row>
    <row r="1646" ht="12.75">
      <c r="A1646" s="624"/>
    </row>
    <row r="1647" ht="12.75">
      <c r="A1647" s="624"/>
    </row>
    <row r="1648" ht="12.75">
      <c r="A1648" s="624"/>
    </row>
    <row r="1649" ht="12.75">
      <c r="A1649" s="624"/>
    </row>
    <row r="1650" ht="12.75">
      <c r="A1650" s="624"/>
    </row>
    <row r="1651" ht="12.75">
      <c r="A1651" s="624"/>
    </row>
    <row r="1652" ht="12.75">
      <c r="A1652" s="624"/>
    </row>
    <row r="1653" ht="12.75">
      <c r="A1653" s="624"/>
    </row>
    <row r="1654" ht="12.75">
      <c r="A1654" s="624"/>
    </row>
    <row r="1655" ht="12.75">
      <c r="A1655" s="624"/>
    </row>
    <row r="1656" ht="12.75">
      <c r="A1656" s="624"/>
    </row>
    <row r="1657" ht="12.75">
      <c r="A1657" s="624"/>
    </row>
    <row r="1658" ht="12.75">
      <c r="A1658" s="624"/>
    </row>
    <row r="1659" ht="12.75">
      <c r="A1659" s="624"/>
    </row>
    <row r="1660" ht="12.75">
      <c r="A1660" s="624"/>
    </row>
    <row r="1661" ht="12.75">
      <c r="A1661" s="624"/>
    </row>
    <row r="1662" ht="12.75">
      <c r="A1662" s="624"/>
    </row>
    <row r="1663" ht="12.75">
      <c r="A1663" s="624"/>
    </row>
    <row r="1664" ht="12.75">
      <c r="A1664" s="624"/>
    </row>
    <row r="1665" ht="12.75">
      <c r="A1665" s="624"/>
    </row>
    <row r="1666" ht="12.75">
      <c r="A1666" s="624"/>
    </row>
    <row r="1667" ht="12.75">
      <c r="A1667" s="624"/>
    </row>
    <row r="1668" ht="12.75">
      <c r="A1668" s="624"/>
    </row>
    <row r="1669" ht="12.75">
      <c r="A1669" s="624"/>
    </row>
    <row r="1670" ht="12.75">
      <c r="A1670" s="624"/>
    </row>
    <row r="1671" ht="12.75">
      <c r="A1671" s="624"/>
    </row>
    <row r="1672" ht="12.75">
      <c r="A1672" s="624"/>
    </row>
    <row r="1673" ht="12.75">
      <c r="A1673" s="624"/>
    </row>
    <row r="1674" ht="12.75">
      <c r="A1674" s="624"/>
    </row>
    <row r="1675" ht="12.75">
      <c r="A1675" s="624"/>
    </row>
    <row r="1676" ht="12.75">
      <c r="A1676" s="624"/>
    </row>
    <row r="1677" ht="12.75">
      <c r="A1677" s="624"/>
    </row>
    <row r="1678" ht="12.75">
      <c r="A1678" s="624"/>
    </row>
    <row r="1679" ht="12.75">
      <c r="A1679" s="624"/>
    </row>
    <row r="1680" ht="12.75">
      <c r="A1680" s="624"/>
    </row>
    <row r="1681" ht="12.75">
      <c r="A1681" s="624"/>
    </row>
    <row r="1682" ht="12.75">
      <c r="A1682" s="624"/>
    </row>
    <row r="1683" ht="12.75">
      <c r="A1683" s="624"/>
    </row>
    <row r="1684" ht="12.75">
      <c r="A1684" s="624"/>
    </row>
    <row r="1685" ht="12.75">
      <c r="A1685" s="624"/>
    </row>
    <row r="1686" ht="12.75">
      <c r="A1686" s="624"/>
    </row>
    <row r="1687" ht="12.75">
      <c r="A1687" s="624"/>
    </row>
    <row r="1688" ht="12.75">
      <c r="A1688" s="624"/>
    </row>
    <row r="1689" ht="12.75">
      <c r="A1689" s="624"/>
    </row>
    <row r="1690" ht="12.75">
      <c r="A1690" s="624"/>
    </row>
    <row r="1691" ht="12.75">
      <c r="A1691" s="624"/>
    </row>
    <row r="1692" ht="12.75">
      <c r="A1692" s="624"/>
    </row>
    <row r="1693" ht="12.75">
      <c r="A1693" s="624"/>
    </row>
    <row r="1694" ht="12.75">
      <c r="A1694" s="624"/>
    </row>
    <row r="1695" ht="12.75">
      <c r="A1695" s="624"/>
    </row>
    <row r="1696" ht="12.75">
      <c r="A1696" s="624"/>
    </row>
    <row r="1697" ht="12.75">
      <c r="A1697" s="624"/>
    </row>
    <row r="1698" ht="12.75">
      <c r="A1698" s="624"/>
    </row>
    <row r="1699" ht="12.75">
      <c r="A1699" s="624"/>
    </row>
    <row r="1700" ht="12.75">
      <c r="A1700" s="624"/>
    </row>
    <row r="1701" ht="12.75">
      <c r="A1701" s="624"/>
    </row>
    <row r="1702" ht="12.75">
      <c r="A1702" s="624"/>
    </row>
    <row r="1703" ht="12.75">
      <c r="A1703" s="624"/>
    </row>
    <row r="1704" ht="12.75">
      <c r="A1704" s="624"/>
    </row>
    <row r="1705" ht="12.75">
      <c r="A1705" s="624"/>
    </row>
    <row r="1706" ht="12.75">
      <c r="A1706" s="624"/>
    </row>
    <row r="1707" ht="12.75">
      <c r="A1707" s="624"/>
    </row>
    <row r="1708" ht="12.75">
      <c r="A1708" s="624"/>
    </row>
    <row r="1709" ht="12.75">
      <c r="A1709" s="624"/>
    </row>
    <row r="1710" ht="12.75">
      <c r="A1710" s="624"/>
    </row>
    <row r="1711" ht="12.75">
      <c r="A1711" s="624"/>
    </row>
    <row r="1712" ht="12.75">
      <c r="A1712" s="624"/>
    </row>
    <row r="1713" ht="12.75">
      <c r="A1713" s="624"/>
    </row>
    <row r="1714" ht="12.75">
      <c r="A1714" s="624"/>
    </row>
    <row r="1715" ht="12.75">
      <c r="A1715" s="624"/>
    </row>
    <row r="1716" ht="12.75">
      <c r="A1716" s="624"/>
    </row>
    <row r="1717" ht="12.75">
      <c r="A1717" s="624"/>
    </row>
    <row r="1718" ht="12.75">
      <c r="A1718" s="624"/>
    </row>
    <row r="1719" ht="12.75">
      <c r="A1719" s="624"/>
    </row>
    <row r="1720" ht="12.75">
      <c r="A1720" s="624"/>
    </row>
    <row r="1721" ht="12.75">
      <c r="A1721" s="624"/>
    </row>
    <row r="1722" ht="12.75">
      <c r="A1722" s="624"/>
    </row>
    <row r="1723" ht="12.75">
      <c r="A1723" s="624"/>
    </row>
    <row r="1724" ht="12.75">
      <c r="A1724" s="624"/>
    </row>
    <row r="1725" ht="12.75">
      <c r="A1725" s="624"/>
    </row>
    <row r="1726" ht="12.75">
      <c r="A1726" s="624"/>
    </row>
    <row r="1727" ht="12.75">
      <c r="A1727" s="624"/>
    </row>
    <row r="1728" ht="12.75">
      <c r="A1728" s="624"/>
    </row>
    <row r="1729" ht="12.75">
      <c r="A1729" s="624"/>
    </row>
    <row r="1730" ht="12.75">
      <c r="A1730" s="624"/>
    </row>
    <row r="1731" ht="12.75">
      <c r="A1731" s="624"/>
    </row>
    <row r="1732" ht="12.75">
      <c r="A1732" s="624"/>
    </row>
    <row r="1733" ht="12.75">
      <c r="A1733" s="624"/>
    </row>
    <row r="1734" ht="12.75">
      <c r="A1734" s="624"/>
    </row>
    <row r="1735" ht="12.75">
      <c r="A1735" s="624"/>
    </row>
    <row r="1736" ht="12.75">
      <c r="A1736" s="624"/>
    </row>
    <row r="1737" ht="12.75">
      <c r="A1737" s="624"/>
    </row>
    <row r="1738" ht="12.75">
      <c r="A1738" s="624"/>
    </row>
    <row r="1739" ht="12.75">
      <c r="A1739" s="624"/>
    </row>
    <row r="1740" ht="12.75">
      <c r="A1740" s="624"/>
    </row>
    <row r="1741" ht="12.75">
      <c r="A1741" s="624"/>
    </row>
    <row r="1742" ht="12.75">
      <c r="A1742" s="624"/>
    </row>
    <row r="1743" ht="12.75">
      <c r="A1743" s="624"/>
    </row>
    <row r="1744" ht="12.75">
      <c r="A1744" s="624"/>
    </row>
    <row r="1745" ht="12.75">
      <c r="A1745" s="624"/>
    </row>
    <row r="1746" ht="12.75">
      <c r="A1746" s="624"/>
    </row>
    <row r="1747" ht="12.75">
      <c r="A1747" s="624"/>
    </row>
    <row r="1748" ht="12.75">
      <c r="A1748" s="624"/>
    </row>
    <row r="1749" ht="12.75">
      <c r="A1749" s="624"/>
    </row>
    <row r="1750" ht="12.75">
      <c r="A1750" s="624"/>
    </row>
    <row r="1751" ht="12.75">
      <c r="A1751" s="624"/>
    </row>
    <row r="1752" ht="12.75">
      <c r="A1752" s="624"/>
    </row>
    <row r="1753" ht="12.75">
      <c r="A1753" s="624"/>
    </row>
    <row r="1754" ht="12.75">
      <c r="A1754" s="624"/>
    </row>
    <row r="1755" ht="12.75">
      <c r="A1755" s="624"/>
    </row>
    <row r="1756" ht="12.75">
      <c r="A1756" s="624"/>
    </row>
    <row r="1757" ht="12.75">
      <c r="A1757" s="624"/>
    </row>
    <row r="1758" ht="12.75">
      <c r="A1758" s="624"/>
    </row>
    <row r="1759" ht="12.75">
      <c r="A1759" s="624"/>
    </row>
    <row r="1760" ht="12.75">
      <c r="A1760" s="624"/>
    </row>
    <row r="1761" ht="12.75">
      <c r="A1761" s="624"/>
    </row>
    <row r="1762" ht="12.75">
      <c r="A1762" s="624"/>
    </row>
    <row r="1763" ht="12.75">
      <c r="A1763" s="624"/>
    </row>
    <row r="1764" ht="12.75">
      <c r="A1764" s="624"/>
    </row>
    <row r="1765" ht="12.75">
      <c r="A1765" s="624"/>
    </row>
    <row r="1766" ht="12.75">
      <c r="A1766" s="624"/>
    </row>
    <row r="1767" ht="12.75">
      <c r="A1767" s="624"/>
    </row>
    <row r="1768" ht="12.75">
      <c r="A1768" s="624"/>
    </row>
    <row r="1769" ht="12.75">
      <c r="A1769" s="624"/>
    </row>
    <row r="1770" ht="12.75">
      <c r="A1770" s="624"/>
    </row>
    <row r="1771" ht="12.75">
      <c r="A1771" s="624"/>
    </row>
    <row r="1772" ht="12.75">
      <c r="A1772" s="624"/>
    </row>
    <row r="1773" ht="12.75">
      <c r="A1773" s="624"/>
    </row>
    <row r="1774" ht="12.75">
      <c r="A1774" s="624"/>
    </row>
    <row r="1775" ht="12.75">
      <c r="A1775" s="624"/>
    </row>
    <row r="1776" ht="12.75">
      <c r="A1776" s="624"/>
    </row>
    <row r="1777" ht="12.75">
      <c r="A1777" s="624"/>
    </row>
    <row r="1778" ht="12.75">
      <c r="A1778" s="624"/>
    </row>
    <row r="1779" ht="12.75">
      <c r="A1779" s="624"/>
    </row>
    <row r="1780" ht="12.75">
      <c r="A1780" s="624"/>
    </row>
    <row r="1781" ht="12.75">
      <c r="A1781" s="624"/>
    </row>
    <row r="1782" ht="12.75">
      <c r="A1782" s="624"/>
    </row>
    <row r="1783" ht="12.75">
      <c r="A1783" s="624"/>
    </row>
    <row r="1784" ht="12.75">
      <c r="A1784" s="624"/>
    </row>
    <row r="1785" ht="12.75">
      <c r="A1785" s="624"/>
    </row>
    <row r="1786" ht="12.75">
      <c r="A1786" s="624"/>
    </row>
    <row r="1787" ht="12.75">
      <c r="A1787" s="624"/>
    </row>
    <row r="1788" ht="12.75">
      <c r="A1788" s="624"/>
    </row>
    <row r="1789" ht="12.75">
      <c r="A1789" s="624"/>
    </row>
    <row r="1790" ht="12.75">
      <c r="A1790" s="624"/>
    </row>
    <row r="1791" ht="12.75">
      <c r="A1791" s="624"/>
    </row>
    <row r="1792" ht="12.75">
      <c r="A1792" s="624"/>
    </row>
    <row r="1793" ht="12.75">
      <c r="A1793" s="624"/>
    </row>
    <row r="1794" ht="12.75">
      <c r="A1794" s="624"/>
    </row>
    <row r="1795" ht="12.75">
      <c r="A1795" s="624"/>
    </row>
    <row r="1796" ht="12.75">
      <c r="A1796" s="624"/>
    </row>
    <row r="1797" ht="12.75">
      <c r="A1797" s="624"/>
    </row>
    <row r="1798" ht="12.75">
      <c r="A1798" s="624"/>
    </row>
    <row r="1799" ht="12.75">
      <c r="A1799" s="624"/>
    </row>
    <row r="1800" ht="12.75">
      <c r="A1800" s="624"/>
    </row>
    <row r="1801" ht="12.75">
      <c r="A1801" s="624"/>
    </row>
    <row r="1802" ht="12.75">
      <c r="A1802" s="624"/>
    </row>
    <row r="1803" ht="12.75">
      <c r="A1803" s="624"/>
    </row>
    <row r="1804" ht="12.75">
      <c r="A1804" s="624"/>
    </row>
    <row r="1805" ht="12.75">
      <c r="A1805" s="624"/>
    </row>
    <row r="1806" ht="12.75">
      <c r="A1806" s="624"/>
    </row>
    <row r="1807" ht="12.75">
      <c r="A1807" s="624"/>
    </row>
    <row r="1808" ht="12.75">
      <c r="A1808" s="624"/>
    </row>
    <row r="1809" ht="12.75">
      <c r="A1809" s="624"/>
    </row>
    <row r="1810" ht="12.75">
      <c r="A1810" s="624"/>
    </row>
    <row r="1811" ht="12.75">
      <c r="A1811" s="624"/>
    </row>
    <row r="1812" ht="12.75">
      <c r="A1812" s="624"/>
    </row>
    <row r="1813" ht="12.75">
      <c r="A1813" s="624"/>
    </row>
    <row r="1814" ht="12.75">
      <c r="A1814" s="624"/>
    </row>
    <row r="1815" ht="12.75">
      <c r="A1815" s="624"/>
    </row>
    <row r="1816" ht="12.75">
      <c r="A1816" s="624"/>
    </row>
    <row r="1817" ht="12.75">
      <c r="A1817" s="624"/>
    </row>
    <row r="1818" ht="12.75">
      <c r="A1818" s="624"/>
    </row>
    <row r="1819" ht="12.75">
      <c r="A1819" s="624"/>
    </row>
    <row r="1820" ht="12.75">
      <c r="A1820" s="624"/>
    </row>
    <row r="1821" ht="12.75">
      <c r="A1821" s="624"/>
    </row>
    <row r="1822" ht="12.75">
      <c r="A1822" s="624"/>
    </row>
    <row r="1823" ht="12.75">
      <c r="A1823" s="624"/>
    </row>
    <row r="1824" ht="12.75">
      <c r="A1824" s="624"/>
    </row>
    <row r="1825" ht="12.75">
      <c r="A1825" s="624"/>
    </row>
    <row r="1826" ht="12.75">
      <c r="A1826" s="624"/>
    </row>
    <row r="1827" ht="12.75">
      <c r="A1827" s="624"/>
    </row>
    <row r="1828" ht="12.75">
      <c r="A1828" s="624"/>
    </row>
    <row r="1829" ht="12.75">
      <c r="A1829" s="624"/>
    </row>
    <row r="1830" ht="12.75">
      <c r="A1830" s="624"/>
    </row>
    <row r="1831" ht="12.75">
      <c r="A1831" s="624"/>
    </row>
    <row r="1832" ht="12.75">
      <c r="A1832" s="624"/>
    </row>
    <row r="1833" ht="12.75">
      <c r="A1833" s="624"/>
    </row>
    <row r="1834" ht="12.75">
      <c r="A1834" s="624"/>
    </row>
    <row r="1835" ht="12.75">
      <c r="A1835" s="624"/>
    </row>
    <row r="1836" ht="12.75">
      <c r="A1836" s="624"/>
    </row>
    <row r="1837" ht="12.75">
      <c r="A1837" s="624"/>
    </row>
    <row r="1838" ht="12.75">
      <c r="A1838" s="624"/>
    </row>
    <row r="1839" ht="12.75">
      <c r="A1839" s="624"/>
    </row>
    <row r="1840" ht="12.75">
      <c r="A1840" s="624"/>
    </row>
    <row r="1841" ht="12.75">
      <c r="A1841" s="624"/>
    </row>
    <row r="1842" ht="12.75">
      <c r="A1842" s="624"/>
    </row>
    <row r="1843" ht="12.75">
      <c r="A1843" s="624"/>
    </row>
    <row r="1844" ht="12.75">
      <c r="A1844" s="624"/>
    </row>
    <row r="1845" ht="12.75">
      <c r="A1845" s="624"/>
    </row>
    <row r="1846" ht="12.75">
      <c r="A1846" s="624"/>
    </row>
    <row r="1847" ht="12.75">
      <c r="A1847" s="624"/>
    </row>
    <row r="1848" ht="12.75">
      <c r="A1848" s="624"/>
    </row>
    <row r="1849" ht="12.75">
      <c r="A1849" s="624"/>
    </row>
    <row r="1850" ht="12.75">
      <c r="A1850" s="624"/>
    </row>
    <row r="1851" ht="12.75">
      <c r="A1851" s="624"/>
    </row>
    <row r="1852" ht="12.75">
      <c r="A1852" s="624"/>
    </row>
    <row r="1853" ht="12.75">
      <c r="A1853" s="624"/>
    </row>
    <row r="1854" ht="12.75">
      <c r="A1854" s="624"/>
    </row>
    <row r="1855" ht="12.75">
      <c r="A1855" s="624"/>
    </row>
    <row r="1856" ht="12.75">
      <c r="A1856" s="624"/>
    </row>
    <row r="1857" ht="12.75">
      <c r="A1857" s="624"/>
    </row>
    <row r="1858" ht="12.75">
      <c r="A1858" s="624"/>
    </row>
    <row r="1859" ht="12.75">
      <c r="A1859" s="624"/>
    </row>
    <row r="1860" ht="12.75">
      <c r="A1860" s="624"/>
    </row>
    <row r="1861" ht="12.75">
      <c r="A1861" s="624"/>
    </row>
    <row r="1862" ht="12.75">
      <c r="A1862" s="624"/>
    </row>
    <row r="1863" ht="12.75">
      <c r="A1863" s="624"/>
    </row>
    <row r="1864" ht="12.75">
      <c r="A1864" s="624"/>
    </row>
    <row r="1865" ht="12.75">
      <c r="A1865" s="624"/>
    </row>
    <row r="1866" ht="12.75">
      <c r="A1866" s="624"/>
    </row>
    <row r="1867" ht="12.75">
      <c r="A1867" s="624"/>
    </row>
    <row r="1868" ht="12.75">
      <c r="A1868" s="624"/>
    </row>
    <row r="1869" ht="12.75">
      <c r="A1869" s="624"/>
    </row>
    <row r="1870" ht="12.75">
      <c r="A1870" s="624"/>
    </row>
    <row r="1871" ht="12.75">
      <c r="A1871" s="624"/>
    </row>
    <row r="1872" ht="12.75">
      <c r="A1872" s="624"/>
    </row>
    <row r="1873" ht="12.75">
      <c r="A1873" s="624"/>
    </row>
    <row r="1874" ht="12.75">
      <c r="A1874" s="624"/>
    </row>
    <row r="1875" ht="12.75">
      <c r="A1875" s="624"/>
    </row>
    <row r="1876" ht="12.75">
      <c r="A1876" s="624"/>
    </row>
    <row r="1877" ht="12.75">
      <c r="A1877" s="624"/>
    </row>
    <row r="1878" ht="12.75">
      <c r="A1878" s="624"/>
    </row>
    <row r="1879" ht="12.75">
      <c r="A1879" s="624"/>
    </row>
    <row r="1880" ht="12.75">
      <c r="A1880" s="624"/>
    </row>
    <row r="1881" ht="12.75">
      <c r="A1881" s="624"/>
    </row>
    <row r="1882" ht="12.75">
      <c r="A1882" s="624"/>
    </row>
    <row r="1883" ht="12.75">
      <c r="A1883" s="624"/>
    </row>
    <row r="1884" ht="12.75">
      <c r="A1884" s="624"/>
    </row>
    <row r="1885" ht="12.75">
      <c r="A1885" s="624"/>
    </row>
    <row r="1886" ht="12.75">
      <c r="A1886" s="624"/>
    </row>
    <row r="1887" ht="12.75">
      <c r="A1887" s="624"/>
    </row>
    <row r="1888" ht="12.75">
      <c r="A1888" s="624"/>
    </row>
    <row r="1889" ht="12.75">
      <c r="A1889" s="624"/>
    </row>
    <row r="1890" ht="12.75">
      <c r="A1890" s="624"/>
    </row>
    <row r="1891" ht="12.75">
      <c r="A1891" s="624"/>
    </row>
    <row r="1892" ht="12.75">
      <c r="A1892" s="624"/>
    </row>
    <row r="1893" ht="12.75">
      <c r="A1893" s="624"/>
    </row>
    <row r="1894" ht="12.75">
      <c r="A1894" s="624"/>
    </row>
    <row r="1895" ht="12.75">
      <c r="A1895" s="624"/>
    </row>
    <row r="1896" ht="12.75">
      <c r="A1896" s="624"/>
    </row>
    <row r="1897" ht="12.75">
      <c r="A1897" s="624"/>
    </row>
    <row r="1898" ht="12.75">
      <c r="A1898" s="624"/>
    </row>
    <row r="1899" ht="12.75">
      <c r="A1899" s="624"/>
    </row>
    <row r="1900" ht="12.75">
      <c r="A1900" s="624"/>
    </row>
    <row r="1901" ht="12.75">
      <c r="A1901" s="624"/>
    </row>
    <row r="1902" ht="12.75">
      <c r="A1902" s="624"/>
    </row>
    <row r="1903" ht="12.75">
      <c r="A1903" s="624"/>
    </row>
    <row r="1904" ht="12.75">
      <c r="A1904" s="624"/>
    </row>
    <row r="1905" ht="12.75">
      <c r="A1905" s="624"/>
    </row>
    <row r="1906" ht="12.75">
      <c r="A1906" s="624"/>
    </row>
    <row r="1907" ht="12.75">
      <c r="A1907" s="624"/>
    </row>
    <row r="1908" ht="12.75">
      <c r="A1908" s="624"/>
    </row>
    <row r="1909" ht="12.75">
      <c r="A1909" s="624"/>
    </row>
    <row r="1910" ht="12.75">
      <c r="A1910" s="624"/>
    </row>
    <row r="1911" ht="12.75">
      <c r="A1911" s="624"/>
    </row>
    <row r="1912" ht="12.75">
      <c r="A1912" s="624"/>
    </row>
    <row r="1913" ht="12.75">
      <c r="A1913" s="624"/>
    </row>
    <row r="1914" ht="12.75">
      <c r="A1914" s="624"/>
    </row>
    <row r="1915" ht="12.75">
      <c r="A1915" s="624"/>
    </row>
    <row r="1916" ht="12.75">
      <c r="A1916" s="624"/>
    </row>
    <row r="1917" ht="12.75">
      <c r="A1917" s="624"/>
    </row>
    <row r="1918" ht="12.75">
      <c r="A1918" s="624"/>
    </row>
    <row r="1919" ht="12.75">
      <c r="A1919" s="624"/>
    </row>
    <row r="1920" ht="12.75">
      <c r="A1920" s="624"/>
    </row>
    <row r="1921" ht="12.75">
      <c r="A1921" s="624"/>
    </row>
    <row r="1922" ht="12.75">
      <c r="A1922" s="624"/>
    </row>
    <row r="1923" ht="12.75">
      <c r="A1923" s="624"/>
    </row>
    <row r="1924" ht="12.75">
      <c r="A1924" s="624"/>
    </row>
    <row r="1925" ht="12.75">
      <c r="A1925" s="624"/>
    </row>
    <row r="1926" ht="12.75">
      <c r="A1926" s="624"/>
    </row>
    <row r="1927" ht="12.75">
      <c r="A1927" s="624"/>
    </row>
    <row r="1928" ht="12.75">
      <c r="A1928" s="624"/>
    </row>
    <row r="1929" ht="12.75">
      <c r="A1929" s="624"/>
    </row>
    <row r="1930" ht="12.75">
      <c r="A1930" s="624"/>
    </row>
    <row r="1931" ht="12.75">
      <c r="A1931" s="624"/>
    </row>
    <row r="1932" ht="12.75">
      <c r="A1932" s="624"/>
    </row>
    <row r="1933" ht="12.75">
      <c r="A1933" s="624"/>
    </row>
    <row r="1934" ht="12.75">
      <c r="A1934" s="624"/>
    </row>
    <row r="1935" ht="12.75">
      <c r="A1935" s="624"/>
    </row>
    <row r="1936" ht="12.75">
      <c r="A1936" s="624"/>
    </row>
    <row r="1937" ht="12.75">
      <c r="A1937" s="624"/>
    </row>
    <row r="1938" ht="12.75">
      <c r="A1938" s="624"/>
    </row>
    <row r="1939" ht="12.75">
      <c r="A1939" s="624"/>
    </row>
    <row r="1940" ht="12.75">
      <c r="A1940" s="624"/>
    </row>
    <row r="1941" ht="12.75">
      <c r="A1941" s="624"/>
    </row>
    <row r="1942" ht="12.75">
      <c r="A1942" s="624"/>
    </row>
    <row r="1943" ht="12.75">
      <c r="A1943" s="624"/>
    </row>
    <row r="1944" ht="12.75">
      <c r="A1944" s="624"/>
    </row>
    <row r="1945" ht="12.75">
      <c r="A1945" s="624"/>
    </row>
    <row r="1946" ht="12.75">
      <c r="A1946" s="624"/>
    </row>
    <row r="1947" ht="12.75">
      <c r="A1947" s="624"/>
    </row>
    <row r="1948" ht="12.75">
      <c r="A1948" s="624"/>
    </row>
    <row r="1949" ht="12.75">
      <c r="A1949" s="624"/>
    </row>
    <row r="1950" ht="12.75">
      <c r="A1950" s="624"/>
    </row>
    <row r="1951" ht="12.75">
      <c r="A1951" s="624"/>
    </row>
    <row r="1952" ht="12.75">
      <c r="A1952" s="624"/>
    </row>
    <row r="1953" ht="12.75">
      <c r="A1953" s="624"/>
    </row>
    <row r="1954" ht="12.75">
      <c r="A1954" s="624"/>
    </row>
    <row r="1955" ht="12.75">
      <c r="A1955" s="624"/>
    </row>
    <row r="1956" ht="12.75">
      <c r="A1956" s="624"/>
    </row>
    <row r="1957" ht="12.75">
      <c r="A1957" s="624"/>
    </row>
    <row r="1958" ht="12.75">
      <c r="A1958" s="624"/>
    </row>
    <row r="1959" ht="12.75">
      <c r="A1959" s="624"/>
    </row>
    <row r="1960" ht="12.75">
      <c r="A1960" s="624"/>
    </row>
    <row r="1961" ht="12.75">
      <c r="A1961" s="624"/>
    </row>
    <row r="1962" ht="12.75">
      <c r="A1962" s="624"/>
    </row>
    <row r="1963" ht="12.75">
      <c r="A1963" s="624"/>
    </row>
    <row r="1964" ht="12.75">
      <c r="A1964" s="624"/>
    </row>
    <row r="1965" ht="12.75">
      <c r="A1965" s="624"/>
    </row>
    <row r="1966" ht="12.75">
      <c r="A1966" s="624"/>
    </row>
    <row r="1967" ht="12.75">
      <c r="A1967" s="624"/>
    </row>
    <row r="1968" ht="12.75">
      <c r="A1968" s="624"/>
    </row>
    <row r="1969" ht="12.75">
      <c r="A1969" s="624"/>
    </row>
    <row r="1970" ht="12.75">
      <c r="A1970" s="624"/>
    </row>
    <row r="1971" ht="12.75">
      <c r="A1971" s="624"/>
    </row>
    <row r="1972" ht="12.75">
      <c r="A1972" s="624"/>
    </row>
    <row r="1973" ht="12.75">
      <c r="A1973" s="624"/>
    </row>
    <row r="1974" ht="12.75">
      <c r="A1974" s="624"/>
    </row>
    <row r="1975" ht="12.75">
      <c r="A1975" s="624"/>
    </row>
    <row r="1976" ht="12.75">
      <c r="A1976" s="624"/>
    </row>
    <row r="1977" ht="12.75">
      <c r="A1977" s="624"/>
    </row>
    <row r="1978" ht="12.75">
      <c r="A1978" s="624"/>
    </row>
    <row r="1979" ht="12.75">
      <c r="A1979" s="624"/>
    </row>
    <row r="1980" ht="12.75">
      <c r="A1980" s="624"/>
    </row>
    <row r="1981" ht="12.75">
      <c r="A1981" s="624"/>
    </row>
    <row r="1982" ht="12.75">
      <c r="A1982" s="624"/>
    </row>
    <row r="1983" ht="12.75">
      <c r="A1983" s="624"/>
    </row>
    <row r="1984" ht="12.75">
      <c r="A1984" s="624"/>
    </row>
    <row r="1985" ht="12.75">
      <c r="A1985" s="624"/>
    </row>
    <row r="1986" ht="12.75">
      <c r="A1986" s="624"/>
    </row>
    <row r="1987" ht="12.75">
      <c r="A1987" s="624"/>
    </row>
    <row r="1988" ht="12.75">
      <c r="A1988" s="624"/>
    </row>
    <row r="1989" ht="12.75">
      <c r="A1989" s="624"/>
    </row>
    <row r="1990" ht="12.75">
      <c r="A1990" s="624"/>
    </row>
    <row r="1991" ht="12.75">
      <c r="A1991" s="624"/>
    </row>
    <row r="1992" ht="12.75">
      <c r="A1992" s="624"/>
    </row>
    <row r="1993" ht="12.75">
      <c r="A1993" s="624"/>
    </row>
    <row r="1994" ht="12.75">
      <c r="A1994" s="624"/>
    </row>
    <row r="1995" ht="12.75">
      <c r="A1995" s="624"/>
    </row>
    <row r="1996" ht="12.75">
      <c r="A1996" s="624"/>
    </row>
    <row r="1997" ht="12.75">
      <c r="A1997" s="624"/>
    </row>
    <row r="1998" ht="12.75">
      <c r="A1998" s="624"/>
    </row>
    <row r="1999" ht="12.75">
      <c r="A1999" s="624"/>
    </row>
    <row r="2000" ht="12.75">
      <c r="A2000" s="624"/>
    </row>
    <row r="2001" ht="12.75">
      <c r="A2001" s="624"/>
    </row>
    <row r="2002" ht="12.75">
      <c r="A2002" s="624"/>
    </row>
    <row r="2003" ht="12.75">
      <c r="A2003" s="624"/>
    </row>
    <row r="2004" ht="12.75">
      <c r="A2004" s="624"/>
    </row>
    <row r="2005" ht="12.75">
      <c r="A2005" s="624"/>
    </row>
    <row r="2006" ht="12.75">
      <c r="A2006" s="624"/>
    </row>
    <row r="2007" ht="12.75">
      <c r="A2007" s="624"/>
    </row>
    <row r="2008" ht="12.75">
      <c r="A2008" s="624"/>
    </row>
    <row r="2009" ht="12.75">
      <c r="A2009" s="624"/>
    </row>
    <row r="2010" ht="12.75">
      <c r="A2010" s="624"/>
    </row>
    <row r="2011" ht="12.75">
      <c r="A2011" s="624"/>
    </row>
    <row r="2012" ht="12.75">
      <c r="A2012" s="624"/>
    </row>
    <row r="2013" ht="12.75">
      <c r="A2013" s="624"/>
    </row>
    <row r="2014" ht="12.75">
      <c r="A2014" s="624"/>
    </row>
    <row r="2015" ht="12.75">
      <c r="A2015" s="624"/>
    </row>
    <row r="2016" ht="12.75">
      <c r="A2016" s="624"/>
    </row>
    <row r="2017" ht="12.75">
      <c r="A2017" s="624"/>
    </row>
    <row r="2018" ht="12.75">
      <c r="A2018" s="624"/>
    </row>
    <row r="2019" ht="12.75">
      <c r="A2019" s="624"/>
    </row>
    <row r="2020" ht="12.75">
      <c r="A2020" s="624"/>
    </row>
    <row r="2021" ht="12.75">
      <c r="A2021" s="624"/>
    </row>
    <row r="2022" ht="12.75">
      <c r="A2022" s="624"/>
    </row>
    <row r="2023" ht="12.75">
      <c r="A2023" s="624"/>
    </row>
    <row r="2024" ht="12.75">
      <c r="A2024" s="624"/>
    </row>
    <row r="2025" ht="12.75">
      <c r="A2025" s="624"/>
    </row>
    <row r="2026" ht="12.75">
      <c r="A2026" s="624"/>
    </row>
    <row r="2027" ht="12.75">
      <c r="A2027" s="624"/>
    </row>
    <row r="2028" ht="12.75">
      <c r="A2028" s="624"/>
    </row>
    <row r="2029" ht="12.75">
      <c r="A2029" s="624"/>
    </row>
    <row r="2030" ht="12.75">
      <c r="A2030" s="624"/>
    </row>
    <row r="2031" ht="12.75">
      <c r="A2031" s="624"/>
    </row>
    <row r="2032" ht="12.75">
      <c r="A2032" s="624"/>
    </row>
    <row r="2033" ht="12.75">
      <c r="A2033" s="624"/>
    </row>
    <row r="2034" ht="12.75">
      <c r="A2034" s="624"/>
    </row>
    <row r="2035" ht="12.75">
      <c r="A2035" s="624"/>
    </row>
    <row r="2036" ht="12.75">
      <c r="A2036" s="624"/>
    </row>
    <row r="2037" ht="12.75">
      <c r="A2037" s="624"/>
    </row>
    <row r="2038" ht="12.75">
      <c r="A2038" s="624"/>
    </row>
    <row r="2039" ht="12.75">
      <c r="A2039" s="624"/>
    </row>
    <row r="2040" ht="12.75">
      <c r="A2040" s="624"/>
    </row>
    <row r="2041" ht="12.75">
      <c r="A2041" s="624"/>
    </row>
    <row r="2042" ht="12.75">
      <c r="A2042" s="624"/>
    </row>
    <row r="2043" ht="12.75">
      <c r="A2043" s="624"/>
    </row>
    <row r="2044" ht="12.75">
      <c r="A2044" s="624"/>
    </row>
    <row r="2045" ht="12.75">
      <c r="A2045" s="624"/>
    </row>
    <row r="2046" ht="12.75">
      <c r="A2046" s="624"/>
    </row>
    <row r="2047" ht="12.75">
      <c r="A2047" s="624"/>
    </row>
    <row r="2048" ht="12.75">
      <c r="A2048" s="624"/>
    </row>
    <row r="2049" ht="12.75">
      <c r="A2049" s="624"/>
    </row>
    <row r="2050" ht="12.75">
      <c r="A2050" s="624"/>
    </row>
    <row r="2051" ht="12.75">
      <c r="A2051" s="624"/>
    </row>
    <row r="2052" ht="12.75">
      <c r="A2052" s="624"/>
    </row>
    <row r="2053" ht="12.75">
      <c r="A2053" s="624"/>
    </row>
    <row r="2054" ht="12.75">
      <c r="A2054" s="624"/>
    </row>
    <row r="2055" ht="12.75">
      <c r="A2055" s="624"/>
    </row>
    <row r="2056" ht="12.75">
      <c r="A2056" s="624"/>
    </row>
    <row r="2057" ht="12.75">
      <c r="A2057" s="624"/>
    </row>
    <row r="2058" ht="12.75">
      <c r="A2058" s="624"/>
    </row>
    <row r="2059" ht="12.75">
      <c r="A2059" s="624"/>
    </row>
    <row r="2060" ht="12.75">
      <c r="A2060" s="624"/>
    </row>
    <row r="2061" ht="12.75">
      <c r="A2061" s="624"/>
    </row>
    <row r="2062" ht="12.75">
      <c r="A2062" s="624"/>
    </row>
    <row r="2063" ht="12.75">
      <c r="A2063" s="624"/>
    </row>
    <row r="2064" ht="12.75">
      <c r="A2064" s="624"/>
    </row>
    <row r="2065" ht="12.75">
      <c r="A2065" s="624"/>
    </row>
    <row r="2066" ht="12.75">
      <c r="A2066" s="624"/>
    </row>
    <row r="2067" ht="12.75">
      <c r="A2067" s="624"/>
    </row>
    <row r="2068" ht="12.75">
      <c r="A2068" s="624"/>
    </row>
    <row r="2069" ht="12.75">
      <c r="A2069" s="624"/>
    </row>
    <row r="2070" ht="12.75">
      <c r="A2070" s="624"/>
    </row>
    <row r="2071" ht="12.75">
      <c r="A2071" s="624"/>
    </row>
    <row r="2072" ht="12.75">
      <c r="A2072" s="624"/>
    </row>
    <row r="2073" ht="12.75">
      <c r="A2073" s="624"/>
    </row>
    <row r="2074" ht="12.75">
      <c r="A2074" s="624"/>
    </row>
    <row r="2075" ht="12.75">
      <c r="A2075" s="624"/>
    </row>
    <row r="2076" ht="12.75">
      <c r="A2076" s="624"/>
    </row>
    <row r="2077" ht="12.75">
      <c r="A2077" s="624"/>
    </row>
    <row r="2078" ht="12.75">
      <c r="A2078" s="624"/>
    </row>
    <row r="2079" ht="12.75">
      <c r="A2079" s="624"/>
    </row>
    <row r="2080" ht="12.75">
      <c r="A2080" s="624"/>
    </row>
    <row r="2081" ht="12.75">
      <c r="A2081" s="624"/>
    </row>
    <row r="2082" ht="12.75">
      <c r="A2082" s="624"/>
    </row>
    <row r="2083" ht="12.75">
      <c r="A2083" s="624"/>
    </row>
    <row r="2084" ht="12.75">
      <c r="A2084" s="624"/>
    </row>
    <row r="2085" ht="12.75">
      <c r="A2085" s="624"/>
    </row>
    <row r="2086" ht="12.75">
      <c r="A2086" s="624"/>
    </row>
    <row r="2087" ht="12.75">
      <c r="A2087" s="624"/>
    </row>
    <row r="2088" ht="12.75">
      <c r="A2088" s="624"/>
    </row>
    <row r="2089" ht="12.75">
      <c r="A2089" s="624"/>
    </row>
    <row r="2090" ht="12.75">
      <c r="A2090" s="624"/>
    </row>
    <row r="2091" ht="12.75">
      <c r="A2091" s="624"/>
    </row>
    <row r="2092" ht="12.75">
      <c r="A2092" s="624"/>
    </row>
    <row r="2093" ht="12.75">
      <c r="A2093" s="624"/>
    </row>
    <row r="2094" ht="12.75">
      <c r="A2094" s="624"/>
    </row>
    <row r="2095" ht="12.75">
      <c r="A2095" s="624"/>
    </row>
    <row r="2096" ht="12.75">
      <c r="A2096" s="624"/>
    </row>
    <row r="2097" ht="12.75">
      <c r="A2097" s="624"/>
    </row>
    <row r="2098" ht="12.75">
      <c r="A2098" s="624"/>
    </row>
    <row r="2099" ht="12.75">
      <c r="A2099" s="624"/>
    </row>
    <row r="2100" ht="12.75">
      <c r="A2100" s="624"/>
    </row>
    <row r="2101" ht="12.75">
      <c r="A2101" s="624"/>
    </row>
    <row r="2102" ht="12.75">
      <c r="A2102" s="624"/>
    </row>
    <row r="2103" ht="12.75">
      <c r="A2103" s="624"/>
    </row>
    <row r="2104" ht="12.75">
      <c r="A2104" s="624"/>
    </row>
    <row r="2105" ht="12.75">
      <c r="A2105" s="624"/>
    </row>
    <row r="2106" ht="12.75">
      <c r="A2106" s="624"/>
    </row>
    <row r="2107" ht="12.75">
      <c r="A2107" s="624"/>
    </row>
    <row r="2108" ht="12.75">
      <c r="A2108" s="624"/>
    </row>
    <row r="2109" ht="12.75">
      <c r="A2109" s="624"/>
    </row>
    <row r="2110" ht="12.75">
      <c r="A2110" s="624"/>
    </row>
    <row r="2111" ht="12.75">
      <c r="A2111" s="624"/>
    </row>
    <row r="2112" ht="12.75">
      <c r="A2112" s="624"/>
    </row>
    <row r="2113" ht="12.75">
      <c r="A2113" s="624"/>
    </row>
    <row r="2114" ht="12.75">
      <c r="A2114" s="624"/>
    </row>
    <row r="2115" ht="12.75">
      <c r="A2115" s="624"/>
    </row>
    <row r="2116" ht="12.75">
      <c r="A2116" s="624"/>
    </row>
    <row r="2117" ht="12.75">
      <c r="A2117" s="624"/>
    </row>
    <row r="2118" ht="12.75">
      <c r="A2118" s="624"/>
    </row>
    <row r="2119" ht="12.75">
      <c r="A2119" s="624"/>
    </row>
    <row r="2120" ht="12.75">
      <c r="A2120" s="624"/>
    </row>
    <row r="2121" ht="12.75">
      <c r="A2121" s="624"/>
    </row>
    <row r="2122" ht="12.75">
      <c r="A2122" s="624"/>
    </row>
    <row r="2123" ht="12.75">
      <c r="A2123" s="624"/>
    </row>
    <row r="2124" ht="12.75">
      <c r="A2124" s="624"/>
    </row>
    <row r="2125" ht="12.75">
      <c r="A2125" s="624"/>
    </row>
    <row r="2126" ht="12.75">
      <c r="A2126" s="624"/>
    </row>
    <row r="2127" ht="12.75">
      <c r="A2127" s="624"/>
    </row>
    <row r="2128" ht="12.75">
      <c r="A2128" s="624"/>
    </row>
    <row r="2129" ht="12.75">
      <c r="A2129" s="624"/>
    </row>
    <row r="2130" ht="12.75">
      <c r="A2130" s="624"/>
    </row>
    <row r="2131" ht="12.75">
      <c r="A2131" s="624"/>
    </row>
    <row r="2132" ht="12.75">
      <c r="A2132" s="624"/>
    </row>
    <row r="2133" ht="12.75">
      <c r="A2133" s="624"/>
    </row>
    <row r="2134" ht="12.75">
      <c r="A2134" s="624"/>
    </row>
    <row r="2135" ht="12.75">
      <c r="A2135" s="624"/>
    </row>
    <row r="2136" ht="12.75">
      <c r="A2136" s="624"/>
    </row>
    <row r="2137" ht="12.75">
      <c r="A2137" s="624"/>
    </row>
    <row r="2138" ht="12.75">
      <c r="A2138" s="624"/>
    </row>
    <row r="2139" ht="12.75">
      <c r="A2139" s="624"/>
    </row>
    <row r="2140" ht="12.75">
      <c r="A2140" s="624"/>
    </row>
    <row r="2141" ht="12.75">
      <c r="A2141" s="624"/>
    </row>
    <row r="2142" ht="12.75">
      <c r="A2142" s="624"/>
    </row>
    <row r="2143" ht="12.75">
      <c r="A2143" s="624"/>
    </row>
    <row r="2144" ht="12.75">
      <c r="A2144" s="624"/>
    </row>
    <row r="2145" ht="12.75">
      <c r="A2145" s="624"/>
    </row>
    <row r="2146" ht="12.75">
      <c r="A2146" s="624"/>
    </row>
    <row r="2147" ht="12.75">
      <c r="A2147" s="624"/>
    </row>
    <row r="2148" ht="12.75">
      <c r="A2148" s="624"/>
    </row>
    <row r="2149" ht="12.75">
      <c r="A2149" s="624"/>
    </row>
    <row r="2150" ht="12.75">
      <c r="A2150" s="624"/>
    </row>
    <row r="2151" ht="12.75">
      <c r="A2151" s="624"/>
    </row>
    <row r="2152" ht="12.75">
      <c r="A2152" s="624"/>
    </row>
    <row r="2153" ht="12.75">
      <c r="A2153" s="624"/>
    </row>
    <row r="2154" ht="12.75">
      <c r="A2154" s="624"/>
    </row>
    <row r="2155" ht="12.75">
      <c r="A2155" s="624"/>
    </row>
    <row r="2156" ht="12.75">
      <c r="A2156" s="624"/>
    </row>
    <row r="2157" ht="12.75">
      <c r="A2157" s="624"/>
    </row>
    <row r="2158" ht="12.75">
      <c r="A2158" s="624"/>
    </row>
    <row r="2159" ht="12.75">
      <c r="A2159" s="624"/>
    </row>
    <row r="2160" ht="12.75">
      <c r="A2160" s="624"/>
    </row>
    <row r="2161" ht="12.75">
      <c r="A2161" s="624"/>
    </row>
    <row r="2162" ht="12.75">
      <c r="A2162" s="624"/>
    </row>
    <row r="2163" ht="12.75">
      <c r="A2163" s="624"/>
    </row>
    <row r="2164" ht="12.75">
      <c r="A2164" s="624"/>
    </row>
    <row r="2165" ht="12.75">
      <c r="A2165" s="624"/>
    </row>
    <row r="2166" ht="12.75">
      <c r="A2166" s="624"/>
    </row>
    <row r="2167" ht="12.75">
      <c r="A2167" s="624"/>
    </row>
    <row r="2168" ht="12.75">
      <c r="A2168" s="624"/>
    </row>
    <row r="2169" ht="12.75">
      <c r="A2169" s="624"/>
    </row>
    <row r="2170" ht="12.75">
      <c r="A2170" s="624"/>
    </row>
    <row r="2171" ht="12.75">
      <c r="A2171" s="624"/>
    </row>
    <row r="2172" ht="12.75">
      <c r="A2172" s="624"/>
    </row>
    <row r="2173" ht="12.75">
      <c r="A2173" s="624"/>
    </row>
    <row r="2174" ht="12.75">
      <c r="A2174" s="624"/>
    </row>
    <row r="2175" ht="12.75">
      <c r="A2175" s="624"/>
    </row>
    <row r="2176" ht="12.75">
      <c r="A2176" s="624"/>
    </row>
    <row r="2177" ht="12.75">
      <c r="A2177" s="624"/>
    </row>
    <row r="2178" ht="12.75">
      <c r="A2178" s="624"/>
    </row>
    <row r="2179" ht="12.75">
      <c r="A2179" s="624"/>
    </row>
    <row r="2180" ht="12.75">
      <c r="A2180" s="624"/>
    </row>
    <row r="2181" ht="12.75">
      <c r="A2181" s="624"/>
    </row>
    <row r="2182" ht="12.75">
      <c r="A2182" s="624"/>
    </row>
    <row r="2183" ht="12.75">
      <c r="A2183" s="624"/>
    </row>
    <row r="2184" ht="12.75">
      <c r="A2184" s="624"/>
    </row>
    <row r="2185" ht="12.75">
      <c r="A2185" s="624"/>
    </row>
    <row r="2186" ht="12.75">
      <c r="A2186" s="624"/>
    </row>
    <row r="2187" ht="12.75">
      <c r="A2187" s="624"/>
    </row>
    <row r="2188" ht="12.75">
      <c r="A2188" s="624"/>
    </row>
    <row r="2189" ht="12.75">
      <c r="A2189" s="624"/>
    </row>
    <row r="2190" ht="12.75">
      <c r="A2190" s="624"/>
    </row>
    <row r="2191" ht="12.75">
      <c r="A2191" s="624"/>
    </row>
    <row r="2192" ht="12.75">
      <c r="A2192" s="624"/>
    </row>
    <row r="2193" ht="12.75">
      <c r="A2193" s="624"/>
    </row>
    <row r="2194" ht="12.75">
      <c r="A2194" s="624"/>
    </row>
    <row r="2195" ht="12.75">
      <c r="A2195" s="624"/>
    </row>
    <row r="2196" ht="12.75">
      <c r="A2196" s="624"/>
    </row>
    <row r="2197" ht="12.75">
      <c r="A2197" s="624"/>
    </row>
    <row r="2198" ht="12.75">
      <c r="A2198" s="624"/>
    </row>
    <row r="2199" ht="12.75">
      <c r="A2199" s="624"/>
    </row>
    <row r="2200" ht="12.75">
      <c r="A2200" s="624"/>
    </row>
    <row r="2201" ht="12.75">
      <c r="A2201" s="624"/>
    </row>
    <row r="2202" ht="12.75">
      <c r="A2202" s="624"/>
    </row>
    <row r="2203" ht="12.75">
      <c r="A2203" s="624"/>
    </row>
    <row r="2204" ht="12.75">
      <c r="A2204" s="624"/>
    </row>
    <row r="2205" ht="12.75">
      <c r="A2205" s="624"/>
    </row>
    <row r="2206" ht="12.75">
      <c r="A2206" s="624"/>
    </row>
    <row r="2207" ht="12.75">
      <c r="A2207" s="624"/>
    </row>
    <row r="2208" ht="12.75">
      <c r="A2208" s="624"/>
    </row>
    <row r="2209" ht="12.75">
      <c r="A2209" s="624"/>
    </row>
    <row r="2210" ht="12.75">
      <c r="A2210" s="624"/>
    </row>
    <row r="2211" ht="12.75">
      <c r="A2211" s="624"/>
    </row>
    <row r="2212" ht="12.75">
      <c r="A2212" s="624"/>
    </row>
    <row r="2213" ht="12.75">
      <c r="A2213" s="624"/>
    </row>
    <row r="2214" ht="12.75">
      <c r="A2214" s="624"/>
    </row>
    <row r="2215" ht="12.75">
      <c r="A2215" s="624"/>
    </row>
    <row r="2216" ht="12.75">
      <c r="A2216" s="624"/>
    </row>
    <row r="2217" ht="12.75">
      <c r="A2217" s="624"/>
    </row>
    <row r="2218" ht="12.75">
      <c r="A2218" s="624"/>
    </row>
    <row r="2219" ht="12.75">
      <c r="A2219" s="624"/>
    </row>
    <row r="2220" ht="12.75">
      <c r="A2220" s="624"/>
    </row>
    <row r="2221" ht="12.75">
      <c r="A2221" s="624"/>
    </row>
    <row r="2222" ht="12.75">
      <c r="A2222" s="624"/>
    </row>
    <row r="2223" ht="12.75">
      <c r="A2223" s="624"/>
    </row>
    <row r="2224" ht="12.75">
      <c r="A2224" s="624"/>
    </row>
    <row r="2225" ht="12.75">
      <c r="A2225" s="624"/>
    </row>
    <row r="2226" ht="12.75">
      <c r="A2226" s="624"/>
    </row>
    <row r="2227" ht="12.75">
      <c r="A2227" s="624"/>
    </row>
    <row r="2228" ht="12.75">
      <c r="A2228" s="624"/>
    </row>
    <row r="2229" ht="12.75">
      <c r="A2229" s="624"/>
    </row>
    <row r="2230" ht="12.75">
      <c r="A2230" s="624"/>
    </row>
    <row r="2231" ht="12.75">
      <c r="A2231" s="624"/>
    </row>
    <row r="2232" ht="12.75">
      <c r="A2232" s="624"/>
    </row>
    <row r="2233" ht="12.75">
      <c r="A2233" s="624"/>
    </row>
    <row r="2234" ht="12.75">
      <c r="A2234" s="624"/>
    </row>
    <row r="2235" ht="12.75">
      <c r="A2235" s="624"/>
    </row>
    <row r="2236" ht="12.75">
      <c r="A2236" s="624"/>
    </row>
    <row r="2237" ht="12.75">
      <c r="A2237" s="624"/>
    </row>
    <row r="2238" ht="12.75">
      <c r="A2238" s="624"/>
    </row>
    <row r="2239" ht="12.75">
      <c r="A2239" s="624"/>
    </row>
    <row r="2240" ht="12.75">
      <c r="A2240" s="624"/>
    </row>
    <row r="2241" ht="12.75">
      <c r="A2241" s="624"/>
    </row>
    <row r="2242" ht="12.75">
      <c r="A2242" s="624"/>
    </row>
    <row r="2243" ht="12.75">
      <c r="A2243" s="624"/>
    </row>
    <row r="2244" ht="12.75">
      <c r="A2244" s="624"/>
    </row>
    <row r="2245" ht="12.75">
      <c r="A2245" s="624"/>
    </row>
    <row r="2246" ht="12.75">
      <c r="A2246" s="624"/>
    </row>
    <row r="2247" ht="12.75">
      <c r="A2247" s="624"/>
    </row>
    <row r="2248" ht="12.75">
      <c r="A2248" s="624"/>
    </row>
    <row r="2249" ht="12.75">
      <c r="A2249" s="624"/>
    </row>
    <row r="2250" ht="12.75">
      <c r="A2250" s="624"/>
    </row>
    <row r="2251" ht="12.75">
      <c r="A2251" s="624"/>
    </row>
    <row r="2252" ht="12.75">
      <c r="A2252" s="624"/>
    </row>
    <row r="2253" ht="12.75">
      <c r="A2253" s="624"/>
    </row>
    <row r="2254" ht="12.75">
      <c r="A2254" s="624"/>
    </row>
    <row r="2255" ht="12.75">
      <c r="A2255" s="624"/>
    </row>
    <row r="2256" ht="12.75">
      <c r="A2256" s="624"/>
    </row>
    <row r="2257" ht="12.75">
      <c r="A2257" s="624"/>
    </row>
    <row r="2258" ht="12.75">
      <c r="A2258" s="624"/>
    </row>
    <row r="2259" ht="12.75">
      <c r="A2259" s="624"/>
    </row>
    <row r="2260" ht="12.75">
      <c r="A2260" s="624"/>
    </row>
    <row r="2261" ht="12.75">
      <c r="A2261" s="624"/>
    </row>
    <row r="2262" ht="12.75">
      <c r="A2262" s="624"/>
    </row>
    <row r="2263" ht="12.75">
      <c r="A2263" s="624"/>
    </row>
    <row r="2264" ht="12.75">
      <c r="A2264" s="624"/>
    </row>
    <row r="2265" ht="12.75">
      <c r="A2265" s="624"/>
    </row>
    <row r="2266" ht="12.75">
      <c r="A2266" s="624"/>
    </row>
    <row r="2267" ht="12.75">
      <c r="A2267" s="624"/>
    </row>
    <row r="2268" ht="12.75">
      <c r="A2268" s="624"/>
    </row>
    <row r="2269" ht="12.75">
      <c r="A2269" s="624"/>
    </row>
    <row r="2270" ht="12.75">
      <c r="A2270" s="624"/>
    </row>
    <row r="2271" ht="12.75">
      <c r="A2271" s="624"/>
    </row>
    <row r="2272" ht="12.75">
      <c r="A2272" s="624"/>
    </row>
    <row r="2273" ht="12.75">
      <c r="A2273" s="624"/>
    </row>
    <row r="2274" ht="12.75">
      <c r="A2274" s="624"/>
    </row>
    <row r="2275" ht="12.75">
      <c r="A2275" s="624"/>
    </row>
    <row r="2276" ht="12.75">
      <c r="A2276" s="624"/>
    </row>
    <row r="2277" ht="12.75">
      <c r="A2277" s="624"/>
    </row>
    <row r="2278" ht="12.75">
      <c r="A2278" s="624"/>
    </row>
    <row r="2279" ht="12.75">
      <c r="A2279" s="624"/>
    </row>
    <row r="2280" ht="12.75">
      <c r="A2280" s="624"/>
    </row>
    <row r="2281" ht="12.75">
      <c r="A2281" s="624"/>
    </row>
    <row r="2282" ht="12.75">
      <c r="A2282" s="624"/>
    </row>
    <row r="2283" ht="12.75">
      <c r="A2283" s="624"/>
    </row>
    <row r="2284" ht="12.75">
      <c r="A2284" s="624"/>
    </row>
    <row r="2285" ht="12.75">
      <c r="A2285" s="624"/>
    </row>
    <row r="2286" ht="12.75">
      <c r="A2286" s="624"/>
    </row>
    <row r="2287" ht="12.75">
      <c r="A2287" s="624"/>
    </row>
    <row r="2288" ht="12.75">
      <c r="A2288" s="624"/>
    </row>
    <row r="2289" ht="12.75">
      <c r="A2289" s="624"/>
    </row>
    <row r="2290" ht="12.75">
      <c r="A2290" s="624"/>
    </row>
    <row r="2291" ht="12.75">
      <c r="A2291" s="624"/>
    </row>
    <row r="2292" ht="12.75">
      <c r="A2292" s="624"/>
    </row>
    <row r="2293" ht="12.75">
      <c r="A2293" s="624"/>
    </row>
    <row r="2294" ht="12.75">
      <c r="A2294" s="624"/>
    </row>
    <row r="2295" ht="12.75">
      <c r="A2295" s="624"/>
    </row>
    <row r="2296" ht="12.75">
      <c r="A2296" s="624"/>
    </row>
    <row r="2297" ht="12.75">
      <c r="A2297" s="624"/>
    </row>
    <row r="2298" ht="12.75">
      <c r="A2298" s="624"/>
    </row>
    <row r="2299" ht="12.75">
      <c r="A2299" s="624"/>
    </row>
    <row r="2300" ht="12.75">
      <c r="A2300" s="624"/>
    </row>
    <row r="2301" ht="12.75">
      <c r="A2301" s="624"/>
    </row>
    <row r="2302" ht="12.75">
      <c r="A2302" s="624"/>
    </row>
    <row r="2303" ht="12.75">
      <c r="A2303" s="624"/>
    </row>
    <row r="2304" ht="12.75">
      <c r="A2304" s="624"/>
    </row>
    <row r="2305" ht="12.75">
      <c r="A2305" s="624"/>
    </row>
    <row r="2306" ht="12.75">
      <c r="A2306" s="624"/>
    </row>
    <row r="2307" ht="12.75">
      <c r="A2307" s="624"/>
    </row>
    <row r="2308" ht="12.75">
      <c r="A2308" s="624"/>
    </row>
    <row r="2309" ht="12.75">
      <c r="A2309" s="624"/>
    </row>
    <row r="2310" ht="12.75">
      <c r="A2310" s="624"/>
    </row>
    <row r="2311" ht="12.75">
      <c r="A2311" s="624"/>
    </row>
    <row r="2312" ht="12.75">
      <c r="A2312" s="624"/>
    </row>
    <row r="2313" ht="12.75">
      <c r="A2313" s="624"/>
    </row>
    <row r="2314" ht="12.75">
      <c r="A2314" s="624"/>
    </row>
    <row r="2315" ht="12.75">
      <c r="A2315" s="624"/>
    </row>
    <row r="2316" ht="12.75">
      <c r="A2316" s="624"/>
    </row>
    <row r="2317" ht="12.75">
      <c r="A2317" s="624"/>
    </row>
    <row r="2318" ht="12.75">
      <c r="A2318" s="624"/>
    </row>
    <row r="2319" ht="12.75">
      <c r="A2319" s="624"/>
    </row>
    <row r="2320" ht="12.75">
      <c r="A2320" s="624"/>
    </row>
    <row r="2321" ht="12.75">
      <c r="A2321" s="624"/>
    </row>
    <row r="2322" ht="12.75">
      <c r="A2322" s="624"/>
    </row>
    <row r="2323" ht="12.75">
      <c r="A2323" s="624"/>
    </row>
    <row r="2324" ht="12.75">
      <c r="A2324" s="624"/>
    </row>
    <row r="2325" ht="12.75">
      <c r="A2325" s="624"/>
    </row>
    <row r="2326" ht="12.75">
      <c r="A2326" s="624"/>
    </row>
    <row r="2327" ht="12.75">
      <c r="A2327" s="624"/>
    </row>
    <row r="2328" ht="12.75">
      <c r="A2328" s="624"/>
    </row>
    <row r="2329" ht="12.75">
      <c r="A2329" s="624"/>
    </row>
    <row r="2330" ht="12.75">
      <c r="A2330" s="624"/>
    </row>
    <row r="2331" ht="12.75">
      <c r="A2331" s="624"/>
    </row>
    <row r="2332" ht="12.75">
      <c r="A2332" s="624"/>
    </row>
    <row r="2333" ht="12.75">
      <c r="A2333" s="624"/>
    </row>
    <row r="2334" ht="12.75">
      <c r="A2334" s="624"/>
    </row>
    <row r="2335" ht="12.75">
      <c r="A2335" s="624"/>
    </row>
    <row r="2336" ht="12.75">
      <c r="A2336" s="624"/>
    </row>
    <row r="2337" ht="12.75">
      <c r="A2337" s="624"/>
    </row>
    <row r="2338" ht="12.75">
      <c r="A2338" s="624"/>
    </row>
    <row r="2339" ht="12.75">
      <c r="A2339" s="624"/>
    </row>
    <row r="2340" ht="12.75">
      <c r="A2340" s="624"/>
    </row>
    <row r="2341" ht="12.75">
      <c r="A2341" s="624"/>
    </row>
    <row r="2342" ht="12.75">
      <c r="A2342" s="624"/>
    </row>
    <row r="2343" ht="12.75">
      <c r="A2343" s="624"/>
    </row>
    <row r="2344" ht="12.75">
      <c r="A2344" s="624"/>
    </row>
    <row r="2345" ht="12.75">
      <c r="A2345" s="624"/>
    </row>
    <row r="2346" ht="12.75">
      <c r="A2346" s="624"/>
    </row>
    <row r="2347" ht="12.75">
      <c r="A2347" s="624"/>
    </row>
    <row r="2348" ht="12.75">
      <c r="A2348" s="624"/>
    </row>
    <row r="2349" ht="12.75">
      <c r="A2349" s="624"/>
    </row>
    <row r="2350" ht="12.75">
      <c r="A2350" s="624"/>
    </row>
    <row r="2351" ht="12.75">
      <c r="A2351" s="624"/>
    </row>
    <row r="2352" ht="12.75">
      <c r="A2352" s="624"/>
    </row>
    <row r="2353" ht="12.75">
      <c r="A2353" s="624"/>
    </row>
    <row r="2354" ht="12.75">
      <c r="A2354" s="624"/>
    </row>
    <row r="2355" ht="12.75">
      <c r="A2355" s="624"/>
    </row>
    <row r="2356" ht="12.75">
      <c r="A2356" s="624"/>
    </row>
    <row r="2357" ht="12.75">
      <c r="A2357" s="624"/>
    </row>
    <row r="2358" ht="12.75">
      <c r="A2358" s="624"/>
    </row>
    <row r="2359" ht="12.75">
      <c r="A2359" s="624"/>
    </row>
    <row r="2360" ht="12.75">
      <c r="A2360" s="624"/>
    </row>
    <row r="2361" ht="12.75">
      <c r="A2361" s="624"/>
    </row>
    <row r="2362" ht="12.75">
      <c r="A2362" s="624"/>
    </row>
    <row r="2363" ht="12.75">
      <c r="A2363" s="624"/>
    </row>
    <row r="2364" ht="12.75">
      <c r="A2364" s="624"/>
    </row>
    <row r="2365" ht="12.75">
      <c r="A2365" s="624"/>
    </row>
    <row r="2366" ht="12.75">
      <c r="A2366" s="624"/>
    </row>
    <row r="2367" ht="12.75">
      <c r="A2367" s="624"/>
    </row>
    <row r="2368" ht="12.75">
      <c r="A2368" s="624"/>
    </row>
    <row r="2369" ht="12.75">
      <c r="A2369" s="624"/>
    </row>
    <row r="2370" ht="12.75">
      <c r="A2370" s="624"/>
    </row>
    <row r="2371" ht="12.75">
      <c r="A2371" s="624"/>
    </row>
    <row r="2372" ht="12.75">
      <c r="A2372" s="624"/>
    </row>
    <row r="2373" ht="12.75">
      <c r="A2373" s="624"/>
    </row>
    <row r="2374" ht="12.75">
      <c r="A2374" s="624"/>
    </row>
    <row r="2375" ht="12.75">
      <c r="A2375" s="624"/>
    </row>
    <row r="2376" ht="12.75">
      <c r="A2376" s="624"/>
    </row>
    <row r="2377" ht="12.75">
      <c r="A2377" s="624"/>
    </row>
    <row r="2378" ht="12.75">
      <c r="A2378" s="624"/>
    </row>
    <row r="2379" ht="12.75">
      <c r="A2379" s="624"/>
    </row>
    <row r="2380" ht="12.75">
      <c r="A2380" s="624"/>
    </row>
    <row r="2381" ht="12.75">
      <c r="A2381" s="624"/>
    </row>
    <row r="2382" ht="12.75">
      <c r="A2382" s="624"/>
    </row>
    <row r="2383" ht="12.75">
      <c r="A2383" s="624"/>
    </row>
    <row r="2384" ht="12.75">
      <c r="A2384" s="624"/>
    </row>
    <row r="2385" ht="12.75">
      <c r="A2385" s="624"/>
    </row>
    <row r="2386" ht="12.75">
      <c r="A2386" s="624"/>
    </row>
    <row r="2387" ht="12.75">
      <c r="A2387" s="624"/>
    </row>
    <row r="2388" ht="12.75">
      <c r="A2388" s="624"/>
    </row>
    <row r="2389" ht="12.75">
      <c r="A2389" s="624"/>
    </row>
    <row r="2390" ht="12.75">
      <c r="A2390" s="624"/>
    </row>
    <row r="2391" ht="12.75">
      <c r="A2391" s="624"/>
    </row>
    <row r="2392" ht="12.75">
      <c r="A2392" s="624"/>
    </row>
    <row r="2393" ht="12.75">
      <c r="A2393" s="624"/>
    </row>
    <row r="2394" ht="12.75">
      <c r="A2394" s="624"/>
    </row>
    <row r="2395" ht="12.75">
      <c r="A2395" s="624"/>
    </row>
    <row r="2396" ht="12.75">
      <c r="A2396" s="624"/>
    </row>
    <row r="2397" ht="12.75">
      <c r="A2397" s="624"/>
    </row>
    <row r="2398" ht="12.75">
      <c r="A2398" s="624"/>
    </row>
    <row r="2399" ht="12.75">
      <c r="A2399" s="624"/>
    </row>
    <row r="2400" ht="12.75">
      <c r="A2400" s="624"/>
    </row>
    <row r="2401" ht="12.75">
      <c r="A2401" s="624"/>
    </row>
    <row r="2402" ht="12.75">
      <c r="A2402" s="624"/>
    </row>
    <row r="2403" ht="12.75">
      <c r="A2403" s="624"/>
    </row>
    <row r="2404" ht="12.75">
      <c r="A2404" s="624"/>
    </row>
    <row r="2405" ht="12.75">
      <c r="A2405" s="624"/>
    </row>
    <row r="2406" ht="12.75">
      <c r="A2406" s="624"/>
    </row>
    <row r="2407" ht="12.75">
      <c r="A2407" s="624"/>
    </row>
    <row r="2408" ht="12.75">
      <c r="A2408" s="624"/>
    </row>
    <row r="2409" ht="12.75">
      <c r="A2409" s="624"/>
    </row>
    <row r="2410" ht="12.75">
      <c r="A2410" s="624"/>
    </row>
    <row r="2411" ht="12.75">
      <c r="A2411" s="624"/>
    </row>
    <row r="2412" ht="12.75">
      <c r="A2412" s="624"/>
    </row>
    <row r="2413" ht="12.75">
      <c r="A2413" s="624"/>
    </row>
    <row r="2414" ht="12.75">
      <c r="A2414" s="624"/>
    </row>
    <row r="2415" ht="12.75">
      <c r="A2415" s="624"/>
    </row>
    <row r="2416" ht="12.75">
      <c r="A2416" s="624"/>
    </row>
    <row r="2417" ht="12.75">
      <c r="A2417" s="624"/>
    </row>
    <row r="2418" ht="12.75">
      <c r="A2418" s="624"/>
    </row>
    <row r="2419" ht="12.75">
      <c r="A2419" s="624"/>
    </row>
    <row r="2420" ht="12.75">
      <c r="A2420" s="624"/>
    </row>
    <row r="2421" ht="12.75">
      <c r="A2421" s="624"/>
    </row>
    <row r="2422" ht="12.75">
      <c r="A2422" s="624"/>
    </row>
    <row r="2423" ht="12.75">
      <c r="A2423" s="624"/>
    </row>
    <row r="2424" ht="12.75">
      <c r="A2424" s="624"/>
    </row>
    <row r="2425" ht="12.75">
      <c r="A2425" s="624"/>
    </row>
    <row r="2426" ht="12.75">
      <c r="A2426" s="624"/>
    </row>
    <row r="2427" ht="12.75">
      <c r="A2427" s="624"/>
    </row>
    <row r="2428" ht="12.75">
      <c r="A2428" s="624"/>
    </row>
    <row r="2429" ht="12.75">
      <c r="A2429" s="624"/>
    </row>
    <row r="2430" ht="12.75">
      <c r="A2430" s="624"/>
    </row>
    <row r="2431" ht="12.75">
      <c r="A2431" s="624"/>
    </row>
    <row r="2432" ht="12.75">
      <c r="A2432" s="624"/>
    </row>
    <row r="2433" ht="12.75">
      <c r="A2433" s="624"/>
    </row>
    <row r="2434" ht="12.75">
      <c r="A2434" s="624"/>
    </row>
    <row r="2435" ht="12.75">
      <c r="A2435" s="624"/>
    </row>
    <row r="2436" ht="12.75">
      <c r="A2436" s="624"/>
    </row>
    <row r="2437" ht="12.75">
      <c r="A2437" s="624"/>
    </row>
    <row r="2438" ht="12.75">
      <c r="A2438" s="624"/>
    </row>
    <row r="2439" ht="12.75">
      <c r="A2439" s="624"/>
    </row>
    <row r="2440" ht="12.75">
      <c r="A2440" s="624"/>
    </row>
    <row r="2441" ht="12.75">
      <c r="A2441" s="624"/>
    </row>
    <row r="2442" ht="12.75">
      <c r="A2442" s="624"/>
    </row>
    <row r="2443" ht="12.75">
      <c r="A2443" s="624"/>
    </row>
    <row r="2444" ht="12.75">
      <c r="A2444" s="624"/>
    </row>
    <row r="2445" ht="12.75">
      <c r="A2445" s="624"/>
    </row>
    <row r="2446" ht="12.75">
      <c r="A2446" s="624"/>
    </row>
    <row r="2447" ht="12.75">
      <c r="A2447" s="624"/>
    </row>
    <row r="2448" ht="12.75">
      <c r="A2448" s="624"/>
    </row>
    <row r="2449" ht="12.75">
      <c r="A2449" s="624"/>
    </row>
    <row r="2450" ht="12.75">
      <c r="A2450" s="624"/>
    </row>
    <row r="2451" ht="12.75">
      <c r="A2451" s="624"/>
    </row>
    <row r="2452" ht="12.75">
      <c r="A2452" s="624"/>
    </row>
    <row r="2453" ht="12.75">
      <c r="A2453" s="624"/>
    </row>
    <row r="2454" ht="12.75">
      <c r="A2454" s="624"/>
    </row>
    <row r="2455" ht="12.75">
      <c r="A2455" s="624"/>
    </row>
    <row r="2456" ht="12.75">
      <c r="A2456" s="624"/>
    </row>
    <row r="2457" ht="12.75">
      <c r="A2457" s="624"/>
    </row>
    <row r="2458" ht="12.75">
      <c r="A2458" s="624"/>
    </row>
    <row r="2459" ht="12.75">
      <c r="A2459" s="624"/>
    </row>
    <row r="2460" ht="12.75">
      <c r="A2460" s="624"/>
    </row>
    <row r="2461" ht="12.75">
      <c r="A2461" s="624"/>
    </row>
    <row r="2462" ht="12.75">
      <c r="A2462" s="624"/>
    </row>
    <row r="2463" ht="12.75">
      <c r="A2463" s="624"/>
    </row>
    <row r="2464" ht="12.75">
      <c r="A2464" s="624"/>
    </row>
    <row r="2465" ht="12.75">
      <c r="A2465" s="624"/>
    </row>
    <row r="2466" ht="12.75">
      <c r="A2466" s="624"/>
    </row>
    <row r="2467" ht="12.75">
      <c r="A2467" s="624"/>
    </row>
    <row r="2468" ht="12.75">
      <c r="A2468" s="624"/>
    </row>
    <row r="2469" ht="12.75">
      <c r="A2469" s="624"/>
    </row>
    <row r="2470" ht="12.75">
      <c r="A2470" s="624"/>
    </row>
    <row r="2471" ht="12.75">
      <c r="A2471" s="624"/>
    </row>
    <row r="2472" ht="12.75">
      <c r="A2472" s="624"/>
    </row>
    <row r="2473" ht="12.75">
      <c r="A2473" s="624"/>
    </row>
    <row r="2474" ht="12.75">
      <c r="A2474" s="624"/>
    </row>
    <row r="2475" ht="12.75">
      <c r="A2475" s="624"/>
    </row>
    <row r="2476" ht="12.75">
      <c r="A2476" s="624"/>
    </row>
    <row r="2477" ht="12.75">
      <c r="A2477" s="624"/>
    </row>
    <row r="2478" ht="12.75">
      <c r="A2478" s="624"/>
    </row>
    <row r="2479" ht="12.75">
      <c r="A2479" s="624"/>
    </row>
    <row r="2480" ht="12.75">
      <c r="A2480" s="624"/>
    </row>
    <row r="2481" ht="12.75">
      <c r="A2481" s="624"/>
    </row>
    <row r="2482" ht="12.75">
      <c r="A2482" s="624"/>
    </row>
    <row r="2483" ht="12.75">
      <c r="A2483" s="624"/>
    </row>
    <row r="2484" ht="12.75">
      <c r="A2484" s="624"/>
    </row>
    <row r="2485" ht="12.75">
      <c r="A2485" s="624"/>
    </row>
    <row r="2486" ht="12.75">
      <c r="A2486" s="624"/>
    </row>
    <row r="2487" ht="12.75">
      <c r="A2487" s="624"/>
    </row>
    <row r="2488" ht="12.75">
      <c r="A2488" s="624"/>
    </row>
    <row r="2489" ht="12.75">
      <c r="A2489" s="624"/>
    </row>
    <row r="2490" ht="12.75">
      <c r="A2490" s="624"/>
    </row>
    <row r="2491" ht="12.75">
      <c r="A2491" s="624"/>
    </row>
    <row r="2492" ht="12.75">
      <c r="A2492" s="624"/>
    </row>
    <row r="2493" ht="12.75">
      <c r="A2493" s="624"/>
    </row>
    <row r="2494" ht="12.75">
      <c r="A2494" s="624"/>
    </row>
    <row r="2495" ht="12.75">
      <c r="A2495" s="624"/>
    </row>
    <row r="2496" ht="12.75">
      <c r="A2496" s="624"/>
    </row>
    <row r="2497" ht="12.75">
      <c r="A2497" s="624"/>
    </row>
    <row r="2498" ht="12.75">
      <c r="A2498" s="624"/>
    </row>
    <row r="2499" ht="12.75">
      <c r="A2499" s="624"/>
    </row>
    <row r="2500" ht="12.75">
      <c r="A2500" s="624"/>
    </row>
    <row r="2501" ht="12.75">
      <c r="A2501" s="624"/>
    </row>
    <row r="2502" ht="12.75">
      <c r="A2502" s="624"/>
    </row>
    <row r="2503" ht="12.75">
      <c r="A2503" s="624"/>
    </row>
    <row r="2504" ht="12.75">
      <c r="A2504" s="624"/>
    </row>
    <row r="2505" ht="12.75">
      <c r="A2505" s="624"/>
    </row>
    <row r="2506" ht="12.75">
      <c r="A2506" s="624"/>
    </row>
    <row r="2507" ht="12.75">
      <c r="A2507" s="624"/>
    </row>
    <row r="2508" ht="12.75">
      <c r="A2508" s="624"/>
    </row>
    <row r="2509" ht="12.75">
      <c r="A2509" s="624"/>
    </row>
    <row r="2510" ht="12.75">
      <c r="A2510" s="624"/>
    </row>
    <row r="2511" ht="12.75">
      <c r="A2511" s="624"/>
    </row>
    <row r="2512" ht="12.75">
      <c r="A2512" s="624"/>
    </row>
    <row r="2513" ht="12.75">
      <c r="A2513" s="624"/>
    </row>
    <row r="2514" ht="12.75">
      <c r="A2514" s="624"/>
    </row>
    <row r="2515" ht="12.75">
      <c r="A2515" s="624"/>
    </row>
    <row r="2516" ht="12.75">
      <c r="A2516" s="624"/>
    </row>
    <row r="2517" ht="12.75">
      <c r="A2517" s="624"/>
    </row>
    <row r="2518" ht="12.75">
      <c r="A2518" s="624"/>
    </row>
    <row r="2519" ht="12.75">
      <c r="A2519" s="624"/>
    </row>
    <row r="2520" ht="12.75">
      <c r="A2520" s="624"/>
    </row>
    <row r="2521" ht="12.75">
      <c r="A2521" s="624"/>
    </row>
    <row r="2522" ht="12.75">
      <c r="A2522" s="624"/>
    </row>
    <row r="2523" ht="12.75">
      <c r="A2523" s="624"/>
    </row>
    <row r="2524" ht="12.75">
      <c r="A2524" s="624"/>
    </row>
    <row r="2525" ht="12.75">
      <c r="A2525" s="624"/>
    </row>
    <row r="2526" ht="12.75">
      <c r="A2526" s="624"/>
    </row>
    <row r="2527" ht="12.75">
      <c r="A2527" s="624"/>
    </row>
    <row r="2528" ht="12.75">
      <c r="A2528" s="624"/>
    </row>
    <row r="2529" ht="12.75">
      <c r="A2529" s="624"/>
    </row>
    <row r="2530" ht="12.75">
      <c r="A2530" s="624"/>
    </row>
    <row r="2531" ht="12.75">
      <c r="A2531" s="624"/>
    </row>
    <row r="2532" ht="12.75">
      <c r="A2532" s="624"/>
    </row>
    <row r="2533" ht="12.75">
      <c r="A2533" s="624"/>
    </row>
    <row r="2534" ht="12.75">
      <c r="A2534" s="624"/>
    </row>
    <row r="2535" ht="12.75">
      <c r="A2535" s="624"/>
    </row>
    <row r="2536" ht="12.75">
      <c r="A2536" s="624"/>
    </row>
    <row r="2537" ht="12.75">
      <c r="A2537" s="624"/>
    </row>
    <row r="2538" ht="12.75">
      <c r="A2538" s="624"/>
    </row>
    <row r="2539" ht="12.75">
      <c r="A2539" s="624"/>
    </row>
    <row r="2540" ht="12.75">
      <c r="A2540" s="624"/>
    </row>
    <row r="2541" ht="12.75">
      <c r="A2541" s="624"/>
    </row>
    <row r="2542" ht="12.75">
      <c r="A2542" s="624"/>
    </row>
    <row r="2543" ht="12.75">
      <c r="A2543" s="624"/>
    </row>
    <row r="2544" ht="12.75">
      <c r="A2544" s="624"/>
    </row>
    <row r="2545" ht="12.75">
      <c r="A2545" s="624"/>
    </row>
    <row r="2546" ht="12.75">
      <c r="A2546" s="624"/>
    </row>
    <row r="2547" ht="12.75">
      <c r="A2547" s="624"/>
    </row>
    <row r="2548" ht="12.75">
      <c r="A2548" s="624"/>
    </row>
    <row r="2549" ht="12.75">
      <c r="A2549" s="624"/>
    </row>
    <row r="2550" ht="12.75">
      <c r="A2550" s="624"/>
    </row>
    <row r="2551" ht="12.75">
      <c r="A2551" s="624"/>
    </row>
    <row r="2552" ht="12.75">
      <c r="A2552" s="624"/>
    </row>
    <row r="2553" ht="12.75">
      <c r="A2553" s="624"/>
    </row>
    <row r="2554" ht="12.75">
      <c r="A2554" s="624"/>
    </row>
    <row r="2555" ht="12.75">
      <c r="A2555" s="624"/>
    </row>
    <row r="2556" ht="12.75">
      <c r="A2556" s="624"/>
    </row>
    <row r="2557" ht="12.75">
      <c r="A2557" s="624"/>
    </row>
    <row r="2558" ht="12.75">
      <c r="A2558" s="624"/>
    </row>
    <row r="2559" ht="12.75">
      <c r="A2559" s="624"/>
    </row>
    <row r="2560" ht="12.75">
      <c r="A2560" s="624"/>
    </row>
    <row r="2561" ht="12.75">
      <c r="A2561" s="624"/>
    </row>
    <row r="2562" ht="12.75">
      <c r="A2562" s="624"/>
    </row>
    <row r="2563" ht="12.75">
      <c r="A2563" s="624"/>
    </row>
    <row r="2564" ht="12.75">
      <c r="A2564" s="624"/>
    </row>
    <row r="2565" ht="12.75">
      <c r="A2565" s="624"/>
    </row>
    <row r="2566" ht="12.75">
      <c r="A2566" s="624"/>
    </row>
    <row r="2567" ht="12.75">
      <c r="A2567" s="624"/>
    </row>
    <row r="2568" ht="12.75">
      <c r="A2568" s="624"/>
    </row>
    <row r="2569" ht="12.75">
      <c r="A2569" s="624"/>
    </row>
    <row r="2570" ht="12.75">
      <c r="A2570" s="624"/>
    </row>
    <row r="2571" ht="12.75">
      <c r="A2571" s="624"/>
    </row>
    <row r="2572" ht="12.75">
      <c r="A2572" s="624"/>
    </row>
    <row r="2573" ht="12.75">
      <c r="A2573" s="624"/>
    </row>
    <row r="2574" ht="12.75">
      <c r="A2574" s="624"/>
    </row>
    <row r="2575" ht="12.75">
      <c r="A2575" s="624"/>
    </row>
    <row r="2576" ht="12.75">
      <c r="A2576" s="624"/>
    </row>
    <row r="2577" ht="12.75">
      <c r="A2577" s="624"/>
    </row>
    <row r="2578" ht="12.75">
      <c r="A2578" s="624"/>
    </row>
    <row r="2579" ht="12.75">
      <c r="A2579" s="624"/>
    </row>
    <row r="2580" ht="12.75">
      <c r="A2580" s="624"/>
    </row>
    <row r="2581" ht="12.75">
      <c r="A2581" s="624"/>
    </row>
    <row r="2582" ht="12.75">
      <c r="A2582" s="624"/>
    </row>
    <row r="2583" ht="12.75">
      <c r="A2583" s="624"/>
    </row>
    <row r="2584" ht="12.75">
      <c r="A2584" s="624"/>
    </row>
    <row r="2585" ht="12.75">
      <c r="A2585" s="624"/>
    </row>
    <row r="2586" ht="12.75">
      <c r="A2586" s="624"/>
    </row>
    <row r="2587" ht="12.75">
      <c r="A2587" s="624"/>
    </row>
    <row r="2588" ht="12.75">
      <c r="A2588" s="624"/>
    </row>
    <row r="2589" ht="12.75">
      <c r="A2589" s="624"/>
    </row>
    <row r="2590" ht="12.75">
      <c r="A2590" s="624"/>
    </row>
    <row r="2591" ht="12.75">
      <c r="A2591" s="624"/>
    </row>
    <row r="2592" ht="12.75">
      <c r="A2592" s="624"/>
    </row>
    <row r="2593" ht="12.75">
      <c r="A2593" s="624"/>
    </row>
    <row r="2594" ht="12.75">
      <c r="A2594" s="624"/>
    </row>
    <row r="2595" ht="12.75">
      <c r="A2595" s="624"/>
    </row>
    <row r="2596" ht="12.75">
      <c r="A2596" s="624"/>
    </row>
    <row r="2597" ht="12.75">
      <c r="A2597" s="624"/>
    </row>
    <row r="2598" ht="12.75">
      <c r="A2598" s="624"/>
    </row>
    <row r="2599" ht="12.75">
      <c r="A2599" s="624"/>
    </row>
    <row r="2600" ht="12.75">
      <c r="A2600" s="624"/>
    </row>
    <row r="2601" ht="12.75">
      <c r="A2601" s="624"/>
    </row>
    <row r="2602" ht="12.75">
      <c r="A2602" s="624"/>
    </row>
    <row r="2603" ht="12.75">
      <c r="A2603" s="624"/>
    </row>
    <row r="2604" ht="12.75">
      <c r="A2604" s="624"/>
    </row>
    <row r="2605" ht="12.75">
      <c r="A2605" s="624"/>
    </row>
    <row r="2606" ht="12.75">
      <c r="A2606" s="624"/>
    </row>
    <row r="2607" ht="12.75">
      <c r="A2607" s="624"/>
    </row>
    <row r="2608" ht="12.75">
      <c r="A2608" s="624"/>
    </row>
    <row r="2609" ht="12.75">
      <c r="A2609" s="624"/>
    </row>
    <row r="2610" ht="12.75">
      <c r="A2610" s="624"/>
    </row>
    <row r="2611" ht="12.75">
      <c r="A2611" s="624"/>
    </row>
    <row r="2612" ht="12.75">
      <c r="A2612" s="624"/>
    </row>
    <row r="2613" ht="12.75">
      <c r="A2613" s="624"/>
    </row>
    <row r="2614" ht="12.75">
      <c r="A2614" s="624"/>
    </row>
    <row r="2615" ht="12.75">
      <c r="A2615" s="624"/>
    </row>
    <row r="2616" ht="12.75">
      <c r="A2616" s="624"/>
    </row>
    <row r="2617" ht="12.75">
      <c r="A2617" s="624"/>
    </row>
    <row r="2618" ht="12.75">
      <c r="A2618" s="624"/>
    </row>
    <row r="2619" ht="12.75">
      <c r="A2619" s="624"/>
    </row>
    <row r="2620" ht="12.75">
      <c r="A2620" s="624"/>
    </row>
    <row r="2621" ht="12.75">
      <c r="A2621" s="624"/>
    </row>
    <row r="2622" ht="12.75">
      <c r="A2622" s="624"/>
    </row>
    <row r="2623" ht="12.75">
      <c r="A2623" s="624"/>
    </row>
    <row r="2624" ht="12.75">
      <c r="A2624" s="624"/>
    </row>
    <row r="2625" ht="12.75">
      <c r="A2625" s="624"/>
    </row>
    <row r="2626" ht="12.75">
      <c r="A2626" s="624"/>
    </row>
    <row r="2627" ht="12.75">
      <c r="A2627" s="624"/>
    </row>
    <row r="2628" ht="12.75">
      <c r="A2628" s="624"/>
    </row>
    <row r="2629" ht="12.75">
      <c r="A2629" s="624"/>
    </row>
    <row r="2630" ht="12.75">
      <c r="A2630" s="624"/>
    </row>
    <row r="2631" ht="12.75">
      <c r="A2631" s="624"/>
    </row>
    <row r="2632" ht="12.75">
      <c r="A2632" s="624"/>
    </row>
    <row r="2633" ht="12.75">
      <c r="A2633" s="624"/>
    </row>
    <row r="2634" ht="12.75">
      <c r="A2634" s="624"/>
    </row>
    <row r="2635" ht="12.75">
      <c r="A2635" s="624"/>
    </row>
    <row r="2636" ht="12.75">
      <c r="A2636" s="624"/>
    </row>
    <row r="2637" ht="12.75">
      <c r="A2637" s="624"/>
    </row>
    <row r="2638" ht="12.75">
      <c r="A2638" s="624"/>
    </row>
    <row r="2639" ht="12.75">
      <c r="A2639" s="624"/>
    </row>
    <row r="2640" ht="12.75">
      <c r="A2640" s="624"/>
    </row>
    <row r="2641" ht="12.75">
      <c r="A2641" s="624"/>
    </row>
    <row r="2642" ht="12.75">
      <c r="A2642" s="624"/>
    </row>
    <row r="2643" ht="12.75">
      <c r="A2643" s="624"/>
    </row>
    <row r="2644" ht="12.75">
      <c r="A2644" s="624"/>
    </row>
    <row r="2645" ht="12.75">
      <c r="A2645" s="624"/>
    </row>
    <row r="2646" ht="12.75">
      <c r="A2646" s="624"/>
    </row>
    <row r="2647" ht="12.75">
      <c r="A2647" s="624"/>
    </row>
    <row r="2648" ht="12.75">
      <c r="A2648" s="624"/>
    </row>
    <row r="2649" ht="12.75">
      <c r="A2649" s="624"/>
    </row>
    <row r="2650" ht="12.75">
      <c r="A2650" s="624"/>
    </row>
    <row r="2651" ht="12.75">
      <c r="A2651" s="624"/>
    </row>
    <row r="2652" ht="12.75">
      <c r="A2652" s="624"/>
    </row>
    <row r="2653" ht="12.75">
      <c r="A2653" s="624"/>
    </row>
    <row r="2654" ht="12.75">
      <c r="A2654" s="624"/>
    </row>
    <row r="2655" ht="12.75">
      <c r="A2655" s="624"/>
    </row>
    <row r="2656" ht="12.75">
      <c r="A2656" s="624"/>
    </row>
    <row r="2657" ht="12.75">
      <c r="A2657" s="624"/>
    </row>
    <row r="2658" ht="12.75">
      <c r="A2658" s="624"/>
    </row>
    <row r="2659" ht="12.75">
      <c r="A2659" s="624"/>
    </row>
    <row r="2660" ht="12.75">
      <c r="A2660" s="624"/>
    </row>
    <row r="2661" ht="12.75">
      <c r="A2661" s="624"/>
    </row>
    <row r="2662" ht="12.75">
      <c r="A2662" s="624"/>
    </row>
    <row r="2663" ht="12.75">
      <c r="A2663" s="624"/>
    </row>
    <row r="2664" ht="12.75">
      <c r="A2664" s="624"/>
    </row>
    <row r="2665" ht="12.75">
      <c r="A2665" s="624"/>
    </row>
    <row r="2666" ht="12.75">
      <c r="A2666" s="624"/>
    </row>
    <row r="2667" ht="12.75">
      <c r="A2667" s="624"/>
    </row>
    <row r="2668" ht="12.75">
      <c r="A2668" s="624"/>
    </row>
    <row r="2669" ht="12.75">
      <c r="A2669" s="624"/>
    </row>
    <row r="2670" ht="12.75">
      <c r="A2670" s="624"/>
    </row>
    <row r="2671" ht="12.75">
      <c r="A2671" s="624"/>
    </row>
    <row r="2672" ht="12.75">
      <c r="A2672" s="624"/>
    </row>
    <row r="2673" ht="12.75">
      <c r="A2673" s="624"/>
    </row>
    <row r="2674" ht="12.75">
      <c r="A2674" s="624"/>
    </row>
    <row r="2675" ht="12.75">
      <c r="A2675" s="624"/>
    </row>
    <row r="2676" ht="12.75">
      <c r="A2676" s="624"/>
    </row>
    <row r="2677" ht="12.75">
      <c r="A2677" s="624"/>
    </row>
    <row r="2678" ht="12.75">
      <c r="A2678" s="624"/>
    </row>
    <row r="2679" ht="12.75">
      <c r="A2679" s="624"/>
    </row>
    <row r="2680" ht="12.75">
      <c r="A2680" s="624"/>
    </row>
    <row r="2681" ht="12.75">
      <c r="A2681" s="624"/>
    </row>
    <row r="2682" ht="12.75">
      <c r="A2682" s="624"/>
    </row>
    <row r="2683" ht="12.75">
      <c r="A2683" s="624"/>
    </row>
    <row r="2684" ht="12.75">
      <c r="A2684" s="624"/>
    </row>
    <row r="2685" ht="12.75">
      <c r="A2685" s="624"/>
    </row>
    <row r="2686" ht="12.75">
      <c r="A2686" s="624"/>
    </row>
    <row r="2687" ht="12.75">
      <c r="A2687" s="624"/>
    </row>
    <row r="2688" ht="12.75">
      <c r="A2688" s="624"/>
    </row>
    <row r="2689" ht="12.75">
      <c r="A2689" s="624"/>
    </row>
    <row r="2690" ht="12.75">
      <c r="A2690" s="624"/>
    </row>
    <row r="2691" ht="12.75">
      <c r="A2691" s="624"/>
    </row>
    <row r="2692" ht="12.75">
      <c r="A2692" s="624"/>
    </row>
    <row r="2693" ht="12.75">
      <c r="A2693" s="624"/>
    </row>
    <row r="2694" ht="12.75">
      <c r="A2694" s="624"/>
    </row>
    <row r="2695" ht="12.75">
      <c r="A2695" s="624"/>
    </row>
    <row r="2696" ht="12.75">
      <c r="A2696" s="624"/>
    </row>
    <row r="2697" ht="12.75">
      <c r="A2697" s="624"/>
    </row>
    <row r="2698" ht="12.75">
      <c r="A2698" s="624"/>
    </row>
    <row r="2699" ht="12.75">
      <c r="A2699" s="624"/>
    </row>
    <row r="2700" ht="12.75">
      <c r="A2700" s="624"/>
    </row>
    <row r="2701" ht="12.75">
      <c r="A2701" s="624"/>
    </row>
    <row r="2702" ht="12.75">
      <c r="A2702" s="624"/>
    </row>
    <row r="2703" ht="12.75">
      <c r="A2703" s="624"/>
    </row>
    <row r="2704" ht="12.75">
      <c r="A2704" s="624"/>
    </row>
    <row r="2705" ht="12.75">
      <c r="A2705" s="624"/>
    </row>
    <row r="2706" ht="12.75">
      <c r="A2706" s="624"/>
    </row>
    <row r="2707" ht="12.75">
      <c r="A2707" s="624"/>
    </row>
    <row r="2708" ht="12.75">
      <c r="A2708" s="624"/>
    </row>
    <row r="2709" ht="12.75">
      <c r="A2709" s="624"/>
    </row>
    <row r="2710" ht="12.75">
      <c r="A2710" s="624"/>
    </row>
    <row r="2711" ht="12.75">
      <c r="A2711" s="624"/>
    </row>
    <row r="2712" ht="12.75">
      <c r="A2712" s="624"/>
    </row>
    <row r="2713" ht="12.75">
      <c r="A2713" s="624"/>
    </row>
    <row r="2714" ht="12.75">
      <c r="A2714" s="624"/>
    </row>
    <row r="2715" ht="12.75">
      <c r="A2715" s="624"/>
    </row>
    <row r="2716" ht="12.75">
      <c r="A2716" s="624"/>
    </row>
    <row r="2717" ht="12.75">
      <c r="A2717" s="624"/>
    </row>
    <row r="2718" ht="12.75">
      <c r="A2718" s="624"/>
    </row>
    <row r="2719" ht="12.75">
      <c r="A2719" s="624"/>
    </row>
    <row r="2720" ht="12.75">
      <c r="A2720" s="624"/>
    </row>
    <row r="2721" ht="12.75">
      <c r="A2721" s="624"/>
    </row>
    <row r="2722" ht="12.75">
      <c r="A2722" s="624"/>
    </row>
    <row r="2723" ht="12.75">
      <c r="A2723" s="624"/>
    </row>
    <row r="2724" ht="12.75">
      <c r="A2724" s="624"/>
    </row>
    <row r="2725" ht="12.75">
      <c r="A2725" s="624"/>
    </row>
    <row r="2726" ht="12.75">
      <c r="A2726" s="624"/>
    </row>
    <row r="2727" ht="12.75">
      <c r="A2727" s="624"/>
    </row>
    <row r="2728" ht="12.75">
      <c r="A2728" s="624"/>
    </row>
    <row r="2729" ht="12.75">
      <c r="A2729" s="624"/>
    </row>
    <row r="2730" ht="12.75">
      <c r="A2730" s="624"/>
    </row>
    <row r="2731" ht="12.75">
      <c r="A2731" s="624"/>
    </row>
    <row r="2732" ht="12.75">
      <c r="A2732" s="624"/>
    </row>
    <row r="2733" ht="12.75">
      <c r="A2733" s="624"/>
    </row>
    <row r="2734" ht="12.75">
      <c r="A2734" s="624"/>
    </row>
    <row r="2735" ht="12.75">
      <c r="A2735" s="624"/>
    </row>
    <row r="2736" ht="12.75">
      <c r="A2736" s="624"/>
    </row>
    <row r="2737" ht="12.75">
      <c r="A2737" s="624"/>
    </row>
    <row r="2738" ht="12.75">
      <c r="A2738" s="624"/>
    </row>
    <row r="2739" ht="12.75">
      <c r="A2739" s="624"/>
    </row>
    <row r="2740" ht="12.75">
      <c r="A2740" s="624"/>
    </row>
    <row r="2741" ht="12.75">
      <c r="A2741" s="624"/>
    </row>
    <row r="2742" ht="12.75">
      <c r="A2742" s="624"/>
    </row>
    <row r="2743" ht="12.75">
      <c r="A2743" s="624"/>
    </row>
    <row r="2744" ht="12.75">
      <c r="A2744" s="624"/>
    </row>
    <row r="2745" ht="12.75">
      <c r="A2745" s="624"/>
    </row>
    <row r="2746" ht="12.75">
      <c r="A2746" s="624"/>
    </row>
    <row r="2747" ht="12.75">
      <c r="A2747" s="624"/>
    </row>
    <row r="2748" ht="12.75">
      <c r="A2748" s="624"/>
    </row>
    <row r="2749" ht="12.75">
      <c r="A2749" s="624"/>
    </row>
    <row r="2750" ht="12.75">
      <c r="A2750" s="624"/>
    </row>
    <row r="2751" ht="12.75">
      <c r="A2751" s="624"/>
    </row>
    <row r="2752" ht="12.75">
      <c r="A2752" s="624"/>
    </row>
    <row r="2753" ht="12.75">
      <c r="A2753" s="624"/>
    </row>
    <row r="2754" ht="12.75">
      <c r="A2754" s="624"/>
    </row>
    <row r="2755" ht="12.75">
      <c r="A2755" s="624"/>
    </row>
    <row r="2756" ht="12.75">
      <c r="A2756" s="624"/>
    </row>
    <row r="2757" ht="12.75">
      <c r="A2757" s="624"/>
    </row>
    <row r="2758" ht="12.75">
      <c r="A2758" s="624"/>
    </row>
    <row r="2759" ht="12.75">
      <c r="A2759" s="624"/>
    </row>
    <row r="2760" ht="12.75">
      <c r="A2760" s="624"/>
    </row>
    <row r="2761" ht="12.75">
      <c r="A2761" s="624"/>
    </row>
    <row r="2762" ht="12.75">
      <c r="A2762" s="624"/>
    </row>
    <row r="2763" ht="12.75">
      <c r="A2763" s="624"/>
    </row>
    <row r="2764" ht="12.75">
      <c r="A2764" s="624"/>
    </row>
    <row r="2765" ht="12.75">
      <c r="A2765" s="624"/>
    </row>
    <row r="2766" ht="12.75">
      <c r="A2766" s="624"/>
    </row>
    <row r="2767" ht="12.75">
      <c r="A2767" s="624"/>
    </row>
    <row r="2768" ht="12.75">
      <c r="A2768" s="624"/>
    </row>
    <row r="2769" ht="12.75">
      <c r="A2769" s="624"/>
    </row>
    <row r="2770" ht="12.75">
      <c r="A2770" s="624"/>
    </row>
    <row r="2771" ht="12.75">
      <c r="A2771" s="624"/>
    </row>
    <row r="2772" ht="12.75">
      <c r="A2772" s="624"/>
    </row>
    <row r="2773" ht="12.75">
      <c r="A2773" s="624"/>
    </row>
    <row r="2774" ht="12.75">
      <c r="A2774" s="624"/>
    </row>
    <row r="2775" ht="12.75">
      <c r="A2775" s="624"/>
    </row>
    <row r="2776" ht="12.75">
      <c r="A2776" s="624"/>
    </row>
    <row r="2777" ht="12.75">
      <c r="A2777" s="624"/>
    </row>
    <row r="2778" ht="12.75">
      <c r="A2778" s="624"/>
    </row>
    <row r="2779" ht="12.75">
      <c r="A2779" s="624"/>
    </row>
    <row r="2780" ht="12.75">
      <c r="A2780" s="624"/>
    </row>
    <row r="2781" ht="12.75">
      <c r="A2781" s="624"/>
    </row>
    <row r="2782" ht="12.75">
      <c r="A2782" s="624"/>
    </row>
    <row r="2783" ht="12.75">
      <c r="A2783" s="624"/>
    </row>
    <row r="2784" ht="12.75">
      <c r="A2784" s="624"/>
    </row>
    <row r="2785" ht="12.75">
      <c r="A2785" s="624"/>
    </row>
    <row r="2786" ht="12.75">
      <c r="A2786" s="624"/>
    </row>
    <row r="2787" ht="12.75">
      <c r="A2787" s="624"/>
    </row>
    <row r="2788" ht="12.75">
      <c r="A2788" s="624"/>
    </row>
    <row r="2789" ht="12.75">
      <c r="A2789" s="624"/>
    </row>
    <row r="2790" ht="12.75">
      <c r="A2790" s="624"/>
    </row>
    <row r="2791" ht="12.75">
      <c r="A2791" s="624"/>
    </row>
    <row r="2792" ht="12.75">
      <c r="A2792" s="624"/>
    </row>
    <row r="2793" ht="12.75">
      <c r="A2793" s="624"/>
    </row>
    <row r="2794" ht="12.75">
      <c r="A2794" s="624"/>
    </row>
    <row r="2795" ht="12.75">
      <c r="A2795" s="624"/>
    </row>
    <row r="2796" ht="12.75">
      <c r="A2796" s="624"/>
    </row>
    <row r="2797" ht="12.75">
      <c r="A2797" s="624"/>
    </row>
    <row r="2798" ht="12.75">
      <c r="A2798" s="624"/>
    </row>
    <row r="2799" ht="12.75">
      <c r="A2799" s="624"/>
    </row>
    <row r="2800" ht="12.75">
      <c r="A2800" s="624"/>
    </row>
    <row r="2801" ht="12.75">
      <c r="A2801" s="624"/>
    </row>
    <row r="2802" ht="12.75">
      <c r="A2802" s="624"/>
    </row>
    <row r="2803" ht="12.75">
      <c r="A2803" s="624"/>
    </row>
    <row r="2804" ht="12.75">
      <c r="A2804" s="624"/>
    </row>
    <row r="2805" ht="12.75">
      <c r="A2805" s="624"/>
    </row>
    <row r="2806" ht="12.75">
      <c r="A2806" s="624"/>
    </row>
    <row r="2807" ht="12.75">
      <c r="A2807" s="624"/>
    </row>
    <row r="2808" ht="12.75">
      <c r="A2808" s="624"/>
    </row>
    <row r="2809" ht="12.75">
      <c r="A2809" s="624"/>
    </row>
    <row r="2810" ht="12.75">
      <c r="A2810" s="624"/>
    </row>
    <row r="2811" ht="12.75">
      <c r="A2811" s="624"/>
    </row>
    <row r="2812" ht="12.75">
      <c r="A2812" s="624"/>
    </row>
    <row r="2813" ht="12.75">
      <c r="A2813" s="624"/>
    </row>
    <row r="2814" ht="12.75">
      <c r="A2814" s="624"/>
    </row>
    <row r="2815" ht="12.75">
      <c r="A2815" s="624"/>
    </row>
    <row r="2816" ht="12.75">
      <c r="A2816" s="624"/>
    </row>
    <row r="2817" ht="12.75">
      <c r="A2817" s="624"/>
    </row>
    <row r="2818" ht="12.75">
      <c r="A2818" s="624"/>
    </row>
    <row r="2819" ht="12.75">
      <c r="A2819" s="624"/>
    </row>
    <row r="2820" ht="12.75">
      <c r="A2820" s="624"/>
    </row>
    <row r="2821" ht="12.75">
      <c r="A2821" s="624"/>
    </row>
    <row r="2822" ht="12.75">
      <c r="A2822" s="624"/>
    </row>
    <row r="2823" ht="12.75">
      <c r="A2823" s="624"/>
    </row>
    <row r="2824" ht="12.75">
      <c r="A2824" s="624"/>
    </row>
    <row r="2825" ht="12.75">
      <c r="A2825" s="624"/>
    </row>
    <row r="2826" ht="12.75">
      <c r="A2826" s="624"/>
    </row>
    <row r="2827" ht="12.75">
      <c r="A2827" s="624"/>
    </row>
    <row r="2828" ht="12.75">
      <c r="A2828" s="624"/>
    </row>
    <row r="2829" ht="12.75">
      <c r="A2829" s="624"/>
    </row>
    <row r="2830" ht="12.75">
      <c r="A2830" s="624"/>
    </row>
    <row r="2831" ht="12.75">
      <c r="A2831" s="624"/>
    </row>
    <row r="2832" ht="12.75">
      <c r="A2832" s="624"/>
    </row>
    <row r="2833" ht="12.75">
      <c r="A2833" s="624"/>
    </row>
    <row r="2834" ht="12.75">
      <c r="A2834" s="624"/>
    </row>
    <row r="2835" ht="12.75">
      <c r="A2835" s="624"/>
    </row>
    <row r="2836" ht="12.75">
      <c r="A2836" s="624"/>
    </row>
    <row r="2837" ht="12.75">
      <c r="A2837" s="624"/>
    </row>
    <row r="2838" ht="12.75">
      <c r="A2838" s="624"/>
    </row>
    <row r="2839" ht="12.75">
      <c r="A2839" s="624"/>
    </row>
    <row r="2840" ht="12.75">
      <c r="A2840" s="624"/>
    </row>
    <row r="2841" ht="12.75">
      <c r="A2841" s="624"/>
    </row>
    <row r="2842" ht="12.75">
      <c r="A2842" s="624"/>
    </row>
    <row r="2843" ht="12.75">
      <c r="A2843" s="624"/>
    </row>
    <row r="2844" ht="12.75">
      <c r="A2844" s="624"/>
    </row>
    <row r="2845" ht="12.75">
      <c r="A2845" s="624"/>
    </row>
    <row r="2846" ht="12.75">
      <c r="A2846" s="624"/>
    </row>
    <row r="2847" ht="12.75">
      <c r="A2847" s="624"/>
    </row>
    <row r="2848" ht="12.75">
      <c r="A2848" s="624"/>
    </row>
    <row r="2849" ht="12.75">
      <c r="A2849" s="624"/>
    </row>
    <row r="2850" ht="12.75">
      <c r="A2850" s="624"/>
    </row>
    <row r="2851" ht="12.75">
      <c r="A2851" s="624"/>
    </row>
    <row r="2852" ht="12.75">
      <c r="A2852" s="624"/>
    </row>
    <row r="2853" ht="12.75">
      <c r="A2853" s="624"/>
    </row>
    <row r="2854" ht="12.75">
      <c r="A2854" s="624"/>
    </row>
    <row r="2855" ht="12.75">
      <c r="A2855" s="624"/>
    </row>
    <row r="2856" ht="12.75">
      <c r="A2856" s="624"/>
    </row>
    <row r="2857" ht="12.75">
      <c r="A2857" s="624"/>
    </row>
    <row r="2858" ht="12.75">
      <c r="A2858" s="624"/>
    </row>
    <row r="2859" ht="12.75">
      <c r="A2859" s="624"/>
    </row>
    <row r="2860" ht="12.75">
      <c r="A2860" s="624"/>
    </row>
    <row r="2861" ht="12.75">
      <c r="A2861" s="624"/>
    </row>
    <row r="2862" ht="12.75">
      <c r="A2862" s="624"/>
    </row>
    <row r="2863" ht="12.75">
      <c r="A2863" s="624"/>
    </row>
    <row r="2864" ht="12.75">
      <c r="A2864" s="624"/>
    </row>
    <row r="2865" ht="12.75">
      <c r="A2865" s="624"/>
    </row>
    <row r="2866" ht="12.75">
      <c r="A2866" s="624"/>
    </row>
    <row r="2867" ht="12.75">
      <c r="A2867" s="624"/>
    </row>
    <row r="2868" ht="12.75">
      <c r="A2868" s="624"/>
    </row>
    <row r="2869" ht="12.75">
      <c r="A2869" s="624"/>
    </row>
    <row r="2870" ht="12.75">
      <c r="A2870" s="624"/>
    </row>
    <row r="2871" ht="12.75">
      <c r="A2871" s="624"/>
    </row>
    <row r="2872" ht="12.75">
      <c r="A2872" s="624"/>
    </row>
    <row r="2873" ht="12.75">
      <c r="A2873" s="624"/>
    </row>
    <row r="2874" ht="12.75">
      <c r="A2874" s="624"/>
    </row>
    <row r="2875" ht="12.75">
      <c r="A2875" s="624"/>
    </row>
    <row r="2876" ht="12.75">
      <c r="A2876" s="624"/>
    </row>
    <row r="2877" ht="12.75">
      <c r="A2877" s="624"/>
    </row>
    <row r="2878" ht="12.75">
      <c r="A2878" s="624"/>
    </row>
    <row r="2879" ht="12.75">
      <c r="A2879" s="624"/>
    </row>
    <row r="2880" ht="12.75">
      <c r="A2880" s="624"/>
    </row>
    <row r="2881" ht="12.75">
      <c r="A2881" s="624"/>
    </row>
    <row r="2882" ht="12.75">
      <c r="A2882" s="624"/>
    </row>
    <row r="2883" ht="12.75">
      <c r="A2883" s="624"/>
    </row>
    <row r="2884" ht="12.75">
      <c r="A2884" s="624"/>
    </row>
    <row r="2885" ht="12.75">
      <c r="A2885" s="624"/>
    </row>
    <row r="2886" ht="12.75">
      <c r="A2886" s="624"/>
    </row>
    <row r="2887" ht="12.75">
      <c r="A2887" s="624"/>
    </row>
    <row r="2888" ht="12.75">
      <c r="A2888" s="624"/>
    </row>
    <row r="2889" ht="12.75">
      <c r="A2889" s="624"/>
    </row>
    <row r="2890" ht="12.75">
      <c r="A2890" s="624"/>
    </row>
    <row r="2891" ht="12.75">
      <c r="A2891" s="624"/>
    </row>
    <row r="2892" ht="12.75">
      <c r="A2892" s="624"/>
    </row>
    <row r="2893" ht="12.75">
      <c r="A2893" s="624"/>
    </row>
    <row r="2894" ht="12.75">
      <c r="A2894" s="624"/>
    </row>
    <row r="2895" ht="12.75">
      <c r="A2895" s="624"/>
    </row>
    <row r="2896" ht="12.75">
      <c r="A2896" s="624"/>
    </row>
    <row r="2897" ht="12.75">
      <c r="A2897" s="624"/>
    </row>
    <row r="2898" ht="12.75">
      <c r="A2898" s="624"/>
    </row>
    <row r="2899" ht="12.75">
      <c r="A2899" s="624"/>
    </row>
    <row r="2900" ht="12.75">
      <c r="A2900" s="624"/>
    </row>
    <row r="2901" ht="12.75">
      <c r="A2901" s="624"/>
    </row>
    <row r="2902" ht="12.75">
      <c r="A2902" s="624"/>
    </row>
    <row r="2903" ht="12.75">
      <c r="A2903" s="624"/>
    </row>
    <row r="2904" ht="12.75">
      <c r="A2904" s="624"/>
    </row>
    <row r="2905" ht="12.75">
      <c r="A2905" s="624"/>
    </row>
    <row r="2906" ht="12.75">
      <c r="A2906" s="624"/>
    </row>
    <row r="2907" ht="12.75">
      <c r="A2907" s="624"/>
    </row>
    <row r="2908" ht="12.75">
      <c r="A2908" s="624"/>
    </row>
    <row r="2909" ht="12.75">
      <c r="A2909" s="624"/>
    </row>
    <row r="2910" ht="12.75">
      <c r="A2910" s="624"/>
    </row>
    <row r="2911" ht="12.75">
      <c r="A2911" s="624"/>
    </row>
    <row r="2912" ht="12.75">
      <c r="A2912" s="624"/>
    </row>
    <row r="2913" ht="12.75">
      <c r="A2913" s="624"/>
    </row>
    <row r="2914" ht="12.75">
      <c r="A2914" s="624"/>
    </row>
    <row r="2915" ht="12.75">
      <c r="A2915" s="624"/>
    </row>
    <row r="2916" ht="12.75">
      <c r="A2916" s="624"/>
    </row>
    <row r="2917" ht="12.75">
      <c r="A2917" s="624"/>
    </row>
    <row r="2918" ht="12.75">
      <c r="A2918" s="624"/>
    </row>
    <row r="2919" ht="12.75">
      <c r="A2919" s="624"/>
    </row>
    <row r="2920" ht="12.75">
      <c r="A2920" s="624"/>
    </row>
    <row r="2921" ht="12.75">
      <c r="A2921" s="624"/>
    </row>
    <row r="2922" ht="12.75">
      <c r="A2922" s="624"/>
    </row>
    <row r="2923" ht="12.75">
      <c r="A2923" s="624"/>
    </row>
    <row r="2924" ht="12.75">
      <c r="A2924" s="624"/>
    </row>
    <row r="2925" ht="12.75">
      <c r="A2925" s="624"/>
    </row>
    <row r="2926" ht="12.75">
      <c r="A2926" s="624"/>
    </row>
    <row r="2927" ht="12.75">
      <c r="A2927" s="624"/>
    </row>
    <row r="2928" ht="12.75">
      <c r="A2928" s="624"/>
    </row>
    <row r="2929" ht="12.75">
      <c r="A2929" s="624"/>
    </row>
    <row r="2930" ht="12.75">
      <c r="A2930" s="624"/>
    </row>
    <row r="2931" ht="12.75">
      <c r="A2931" s="624"/>
    </row>
    <row r="2932" ht="12.75">
      <c r="A2932" s="624"/>
    </row>
    <row r="2933" ht="12.75">
      <c r="A2933" s="624"/>
    </row>
    <row r="2934" ht="12.75">
      <c r="A2934" s="624"/>
    </row>
    <row r="2935" ht="12.75">
      <c r="A2935" s="624"/>
    </row>
    <row r="2936" ht="12.75">
      <c r="A2936" s="624"/>
    </row>
    <row r="2937" ht="12.75">
      <c r="A2937" s="624"/>
    </row>
    <row r="2938" ht="12.75">
      <c r="A2938" s="624"/>
    </row>
    <row r="2939" ht="12.75">
      <c r="A2939" s="624"/>
    </row>
    <row r="2940" ht="12.75">
      <c r="A2940" s="624"/>
    </row>
    <row r="2941" ht="12.75">
      <c r="A2941" s="624"/>
    </row>
    <row r="2942" ht="12.75">
      <c r="A2942" s="624"/>
    </row>
    <row r="2943" ht="12.75">
      <c r="A2943" s="624"/>
    </row>
    <row r="2944" ht="12.75">
      <c r="A2944" s="624"/>
    </row>
    <row r="2945" ht="12.75">
      <c r="A2945" s="624"/>
    </row>
    <row r="2946" ht="12.75">
      <c r="A2946" s="624"/>
    </row>
    <row r="2947" ht="12.75">
      <c r="A2947" s="624"/>
    </row>
    <row r="2948" ht="12.75">
      <c r="A2948" s="624"/>
    </row>
    <row r="2949" ht="12.75">
      <c r="A2949" s="624"/>
    </row>
    <row r="2950" ht="12.75">
      <c r="A2950" s="624"/>
    </row>
    <row r="2951" ht="12.75">
      <c r="A2951" s="624"/>
    </row>
    <row r="2952" ht="12.75">
      <c r="A2952" s="624"/>
    </row>
    <row r="2953" ht="12.75">
      <c r="A2953" s="624"/>
    </row>
    <row r="2954" ht="12.75">
      <c r="A2954" s="624"/>
    </row>
    <row r="2955" ht="12.75">
      <c r="A2955" s="624"/>
    </row>
    <row r="2956" ht="12.75">
      <c r="A2956" s="624"/>
    </row>
    <row r="2957" ht="12.75">
      <c r="A2957" s="624"/>
    </row>
    <row r="2958" ht="12.75">
      <c r="A2958" s="624"/>
    </row>
    <row r="2959" ht="12.75">
      <c r="A2959" s="624"/>
    </row>
    <row r="2960" ht="12.75">
      <c r="A2960" s="624"/>
    </row>
    <row r="2961" ht="12.75">
      <c r="A2961" s="624"/>
    </row>
    <row r="2962" ht="12.75">
      <c r="A2962" s="624"/>
    </row>
    <row r="2963" ht="12.75">
      <c r="A2963" s="624"/>
    </row>
    <row r="2964" ht="12.75">
      <c r="A2964" s="624"/>
    </row>
    <row r="2965" ht="12.75">
      <c r="A2965" s="624"/>
    </row>
    <row r="2966" ht="12.75">
      <c r="A2966" s="624"/>
    </row>
    <row r="2967" ht="12.75">
      <c r="A2967" s="624"/>
    </row>
    <row r="2968" ht="12.75">
      <c r="A2968" s="624"/>
    </row>
    <row r="2969" ht="12.75">
      <c r="A2969" s="624"/>
    </row>
    <row r="2970" ht="12.75">
      <c r="A2970" s="624"/>
    </row>
    <row r="2971" ht="12.75">
      <c r="A2971" s="624"/>
    </row>
    <row r="2972" ht="12.75">
      <c r="A2972" s="624"/>
    </row>
    <row r="2973" ht="12.75">
      <c r="A2973" s="624"/>
    </row>
    <row r="2974" ht="12.75">
      <c r="A2974" s="624"/>
    </row>
    <row r="2975" ht="12.75">
      <c r="A2975" s="624"/>
    </row>
    <row r="2976" ht="12.75">
      <c r="A2976" s="624"/>
    </row>
    <row r="2977" ht="12.75">
      <c r="A2977" s="624"/>
    </row>
    <row r="2978" ht="12.75">
      <c r="A2978" s="624"/>
    </row>
    <row r="2979" ht="12.75">
      <c r="A2979" s="624"/>
    </row>
    <row r="2980" ht="12.75">
      <c r="A2980" s="624"/>
    </row>
    <row r="2981" ht="12.75">
      <c r="A2981" s="624"/>
    </row>
    <row r="2982" ht="12.75">
      <c r="A2982" s="624"/>
    </row>
    <row r="2983" ht="12.75">
      <c r="A2983" s="624"/>
    </row>
    <row r="2984" ht="12.75">
      <c r="A2984" s="624"/>
    </row>
    <row r="2985" ht="12.75">
      <c r="A2985" s="624"/>
    </row>
    <row r="2986" ht="12.75">
      <c r="A2986" s="624"/>
    </row>
    <row r="2987" ht="12.75">
      <c r="A2987" s="624"/>
    </row>
    <row r="2988" ht="12.75">
      <c r="A2988" s="624"/>
    </row>
    <row r="2989" ht="12.75">
      <c r="A2989" s="624"/>
    </row>
    <row r="2990" ht="12.75">
      <c r="A2990" s="624"/>
    </row>
    <row r="2991" ht="12.75">
      <c r="A2991" s="624"/>
    </row>
    <row r="2992" ht="12.75">
      <c r="A2992" s="624"/>
    </row>
    <row r="2993" ht="12.75">
      <c r="A2993" s="624"/>
    </row>
    <row r="2994" ht="12.75">
      <c r="A2994" s="624"/>
    </row>
    <row r="2995" ht="12.75">
      <c r="A2995" s="624"/>
    </row>
    <row r="2996" ht="12.75">
      <c r="A2996" s="624"/>
    </row>
    <row r="2997" ht="12.75">
      <c r="A2997" s="624"/>
    </row>
    <row r="2998" ht="12.75">
      <c r="A2998" s="624"/>
    </row>
    <row r="2999" ht="12.75">
      <c r="A2999" s="624"/>
    </row>
    <row r="3000" ht="12.75">
      <c r="A3000" s="624"/>
    </row>
    <row r="3001" ht="12.75">
      <c r="A3001" s="624"/>
    </row>
    <row r="3002" ht="12.75">
      <c r="A3002" s="624"/>
    </row>
    <row r="3003" ht="12.75">
      <c r="A3003" s="624"/>
    </row>
    <row r="3004" ht="12.75">
      <c r="A3004" s="624"/>
    </row>
    <row r="3005" ht="12.75">
      <c r="A3005" s="624"/>
    </row>
    <row r="3006" ht="12.75">
      <c r="A3006" s="624"/>
    </row>
    <row r="3007" ht="12.75">
      <c r="A3007" s="624"/>
    </row>
    <row r="3008" ht="12.75">
      <c r="A3008" s="624"/>
    </row>
    <row r="3009" ht="12.75">
      <c r="A3009" s="624"/>
    </row>
    <row r="3010" ht="12.75">
      <c r="A3010" s="624"/>
    </row>
    <row r="3011" ht="12.75">
      <c r="A3011" s="624"/>
    </row>
    <row r="3012" ht="12.75">
      <c r="A3012" s="624"/>
    </row>
    <row r="3013" ht="12.75">
      <c r="A3013" s="624"/>
    </row>
    <row r="3014" ht="12.75">
      <c r="A3014" s="624"/>
    </row>
    <row r="3015" ht="12.75">
      <c r="A3015" s="624"/>
    </row>
    <row r="3016" ht="12.75">
      <c r="A3016" s="624"/>
    </row>
    <row r="3017" ht="12.75">
      <c r="A3017" s="624"/>
    </row>
    <row r="3018" ht="12.75">
      <c r="A3018" s="624"/>
    </row>
    <row r="3019" ht="12.75">
      <c r="A3019" s="624"/>
    </row>
    <row r="3020" ht="12.75">
      <c r="A3020" s="624"/>
    </row>
    <row r="3021" ht="12.75">
      <c r="A3021" s="624"/>
    </row>
    <row r="3022" ht="12.75">
      <c r="A3022" s="624"/>
    </row>
    <row r="3023" ht="12.75">
      <c r="A3023" s="624"/>
    </row>
    <row r="3024" ht="12.75">
      <c r="A3024" s="624"/>
    </row>
    <row r="3025" ht="12.75">
      <c r="A3025" s="624"/>
    </row>
    <row r="3026" ht="12.75">
      <c r="A3026" s="624"/>
    </row>
    <row r="3027" ht="12.75">
      <c r="A3027" s="624"/>
    </row>
    <row r="3028" ht="12.75">
      <c r="A3028" s="624"/>
    </row>
    <row r="3029" ht="12.75">
      <c r="A3029" s="624"/>
    </row>
    <row r="3030" ht="12.75">
      <c r="A3030" s="624"/>
    </row>
    <row r="3031" ht="12.75">
      <c r="A3031" s="624"/>
    </row>
    <row r="3032" ht="12.75">
      <c r="A3032" s="624"/>
    </row>
    <row r="3033" ht="12.75">
      <c r="A3033" s="624"/>
    </row>
    <row r="3034" ht="12.75">
      <c r="A3034" s="624"/>
    </row>
    <row r="3035" ht="12.75">
      <c r="A3035" s="624"/>
    </row>
    <row r="3036" ht="12.75">
      <c r="A3036" s="624"/>
    </row>
    <row r="3037" ht="12.75">
      <c r="A3037" s="624"/>
    </row>
    <row r="3038" ht="12.75">
      <c r="A3038" s="624"/>
    </row>
    <row r="3039" ht="12.75">
      <c r="A3039" s="624"/>
    </row>
    <row r="3040" ht="12.75">
      <c r="A3040" s="624"/>
    </row>
    <row r="3041" ht="12.75">
      <c r="A3041" s="624"/>
    </row>
    <row r="3042" ht="12.75">
      <c r="A3042" s="624"/>
    </row>
    <row r="3043" ht="12.75">
      <c r="A3043" s="624"/>
    </row>
    <row r="3044" ht="12.75">
      <c r="A3044" s="624"/>
    </row>
    <row r="3045" ht="12.75">
      <c r="A3045" s="624"/>
    </row>
    <row r="3046" ht="12.75">
      <c r="A3046" s="624"/>
    </row>
    <row r="3047" ht="12.75">
      <c r="A3047" s="624"/>
    </row>
    <row r="3048" ht="12.75">
      <c r="A3048" s="624"/>
    </row>
    <row r="3049" ht="12.75">
      <c r="A3049" s="624"/>
    </row>
    <row r="3050" ht="12.75">
      <c r="A3050" s="624"/>
    </row>
    <row r="3051" ht="12.75">
      <c r="A3051" s="624"/>
    </row>
    <row r="3052" ht="12.75">
      <c r="A3052" s="624"/>
    </row>
    <row r="3053" ht="12.75">
      <c r="A3053" s="624"/>
    </row>
    <row r="3054" ht="12.75">
      <c r="A3054" s="624"/>
    </row>
    <row r="3055" ht="12.75">
      <c r="A3055" s="624"/>
    </row>
    <row r="3056" ht="12.75">
      <c r="A3056" s="624"/>
    </row>
    <row r="3057" ht="12.75">
      <c r="A3057" s="624"/>
    </row>
    <row r="3058" ht="12.75">
      <c r="A3058" s="624"/>
    </row>
    <row r="3059" ht="12.75">
      <c r="A3059" s="624"/>
    </row>
    <row r="3060" ht="12.75">
      <c r="A3060" s="624"/>
    </row>
    <row r="3061" ht="12.75">
      <c r="A3061" s="624"/>
    </row>
    <row r="3062" ht="12.75">
      <c r="A3062" s="624"/>
    </row>
    <row r="3063" ht="12.75">
      <c r="A3063" s="624"/>
    </row>
    <row r="3064" ht="12.75">
      <c r="A3064" s="624"/>
    </row>
    <row r="3065" ht="12.75">
      <c r="A3065" s="624"/>
    </row>
    <row r="3066" ht="12.75">
      <c r="A3066" s="624"/>
    </row>
    <row r="3067" ht="12.75">
      <c r="A3067" s="624"/>
    </row>
    <row r="3068" ht="12.75">
      <c r="A3068" s="624"/>
    </row>
    <row r="3069" ht="12.75">
      <c r="A3069" s="624"/>
    </row>
    <row r="3070" ht="12.75">
      <c r="A3070" s="624"/>
    </row>
    <row r="3071" ht="12.75">
      <c r="A3071" s="624"/>
    </row>
    <row r="3072" ht="12.75">
      <c r="A3072" s="624"/>
    </row>
    <row r="3073" ht="12.75">
      <c r="A3073" s="624"/>
    </row>
    <row r="3074" ht="12.75">
      <c r="A3074" s="624"/>
    </row>
    <row r="3075" ht="12.75">
      <c r="A3075" s="624"/>
    </row>
    <row r="3076" ht="12.75">
      <c r="A3076" s="624"/>
    </row>
    <row r="3077" ht="12.75">
      <c r="A3077" s="624"/>
    </row>
    <row r="3078" ht="12.75">
      <c r="A3078" s="624"/>
    </row>
    <row r="3079" ht="12.75">
      <c r="A3079" s="624"/>
    </row>
    <row r="3080" ht="12.75">
      <c r="A3080" s="624"/>
    </row>
    <row r="3081" ht="12.75">
      <c r="A3081" s="624"/>
    </row>
    <row r="3082" ht="12.75">
      <c r="A3082" s="624"/>
    </row>
    <row r="3083" ht="12.75">
      <c r="A3083" s="624"/>
    </row>
    <row r="3084" ht="12.75">
      <c r="A3084" s="624"/>
    </row>
    <row r="3085" ht="12.75">
      <c r="A3085" s="624"/>
    </row>
    <row r="3086" ht="12.75">
      <c r="A3086" s="624"/>
    </row>
    <row r="3087" ht="12.75">
      <c r="A3087" s="624"/>
    </row>
    <row r="3088" ht="12.75">
      <c r="A3088" s="624"/>
    </row>
    <row r="3089" ht="12.75">
      <c r="A3089" s="624"/>
    </row>
    <row r="3090" ht="12.75">
      <c r="A3090" s="624"/>
    </row>
    <row r="3091" ht="12.75">
      <c r="A3091" s="624"/>
    </row>
    <row r="3092" ht="12.75">
      <c r="A3092" s="624"/>
    </row>
    <row r="3093" ht="12.75">
      <c r="A3093" s="624"/>
    </row>
    <row r="3094" ht="12.75">
      <c r="A3094" s="624"/>
    </row>
    <row r="3095" ht="12.75">
      <c r="A3095" s="624"/>
    </row>
    <row r="3096" ht="12.75">
      <c r="A3096" s="624"/>
    </row>
    <row r="3097" ht="12.75">
      <c r="A3097" s="624"/>
    </row>
    <row r="3098" ht="12.75">
      <c r="A3098" s="624"/>
    </row>
    <row r="3099" ht="12.75">
      <c r="A3099" s="624"/>
    </row>
    <row r="3100" ht="12.75">
      <c r="A3100" s="624"/>
    </row>
    <row r="3101" ht="12.75">
      <c r="A3101" s="624"/>
    </row>
    <row r="3102" ht="12.75">
      <c r="A3102" s="624"/>
    </row>
    <row r="3103" ht="12.75">
      <c r="A3103" s="624"/>
    </row>
    <row r="3104" ht="12.75">
      <c r="A3104" s="624"/>
    </row>
    <row r="3105" ht="12.75">
      <c r="A3105" s="624"/>
    </row>
    <row r="3106" ht="12.75">
      <c r="A3106" s="624"/>
    </row>
    <row r="3107" ht="12.75">
      <c r="A3107" s="624"/>
    </row>
    <row r="3108" ht="12.75">
      <c r="A3108" s="624"/>
    </row>
    <row r="3109" ht="12.75">
      <c r="A3109" s="624"/>
    </row>
    <row r="3110" ht="12.75">
      <c r="A3110" s="624"/>
    </row>
    <row r="3111" ht="12.75">
      <c r="A3111" s="624"/>
    </row>
    <row r="3112" ht="12.75">
      <c r="A3112" s="624"/>
    </row>
    <row r="3113" ht="12.75">
      <c r="A3113" s="624"/>
    </row>
    <row r="3114" ht="12.75">
      <c r="A3114" s="624"/>
    </row>
    <row r="3115" ht="12.75">
      <c r="A3115" s="624"/>
    </row>
    <row r="3116" ht="12.75">
      <c r="A3116" s="624"/>
    </row>
    <row r="3117" ht="12.75">
      <c r="A3117" s="624"/>
    </row>
    <row r="3118" ht="12.75">
      <c r="A3118" s="624"/>
    </row>
    <row r="3119" ht="12.75">
      <c r="A3119" s="624"/>
    </row>
    <row r="3120" ht="12.75">
      <c r="A3120" s="624"/>
    </row>
    <row r="3121" ht="12.75">
      <c r="A3121" s="624"/>
    </row>
    <row r="3122" ht="12.75">
      <c r="A3122" s="624"/>
    </row>
    <row r="3123" ht="12.75">
      <c r="A3123" s="624"/>
    </row>
    <row r="3124" ht="12.75">
      <c r="A3124" s="624"/>
    </row>
    <row r="3125" ht="12.75">
      <c r="A3125" s="624"/>
    </row>
    <row r="3126" ht="12.75">
      <c r="A3126" s="624"/>
    </row>
    <row r="3127" ht="12.75">
      <c r="A3127" s="624"/>
    </row>
    <row r="3128" ht="12.75">
      <c r="A3128" s="624"/>
    </row>
    <row r="3129" ht="12.75">
      <c r="A3129" s="624"/>
    </row>
    <row r="3130" ht="12.75">
      <c r="A3130" s="624"/>
    </row>
    <row r="3131" ht="12.75">
      <c r="A3131" s="624"/>
    </row>
    <row r="3132" ht="12.75">
      <c r="A3132" s="624"/>
    </row>
    <row r="3133" ht="12.75">
      <c r="A3133" s="624"/>
    </row>
    <row r="3134" ht="12.75">
      <c r="A3134" s="624"/>
    </row>
    <row r="3135" ht="12.75">
      <c r="A3135" s="624"/>
    </row>
    <row r="3136" ht="12.75">
      <c r="A3136" s="624"/>
    </row>
    <row r="3137" ht="12.75">
      <c r="A3137" s="624"/>
    </row>
    <row r="3138" ht="12.75">
      <c r="A3138" s="624"/>
    </row>
    <row r="3139" ht="12.75">
      <c r="A3139" s="624"/>
    </row>
    <row r="3140" ht="12.75">
      <c r="A3140" s="624"/>
    </row>
    <row r="3141" ht="12.75">
      <c r="A3141" s="624"/>
    </row>
    <row r="3142" ht="12.75">
      <c r="A3142" s="624"/>
    </row>
    <row r="3143" ht="12.75">
      <c r="A3143" s="624"/>
    </row>
    <row r="3144" ht="12.75">
      <c r="A3144" s="624"/>
    </row>
    <row r="3145" ht="12.75">
      <c r="A3145" s="624"/>
    </row>
    <row r="3146" ht="12.75">
      <c r="A3146" s="624"/>
    </row>
    <row r="3147" ht="12.75">
      <c r="A3147" s="624"/>
    </row>
    <row r="3148" ht="12.75">
      <c r="A3148" s="624"/>
    </row>
    <row r="3149" ht="12.75">
      <c r="A3149" s="624"/>
    </row>
    <row r="3150" ht="12.75">
      <c r="A3150" s="624"/>
    </row>
    <row r="3151" ht="12.75">
      <c r="A3151" s="624"/>
    </row>
    <row r="3152" ht="12.75">
      <c r="A3152" s="624"/>
    </row>
    <row r="3153" ht="12.75">
      <c r="A3153" s="624"/>
    </row>
    <row r="3154" ht="12.75">
      <c r="A3154" s="624"/>
    </row>
    <row r="3155" ht="12.75">
      <c r="A3155" s="624"/>
    </row>
    <row r="3156" ht="12.75">
      <c r="A3156" s="624"/>
    </row>
    <row r="3157" ht="12.75">
      <c r="A3157" s="624"/>
    </row>
    <row r="3158" ht="12.75">
      <c r="A3158" s="624"/>
    </row>
    <row r="3159" ht="12.75">
      <c r="A3159" s="624"/>
    </row>
    <row r="3160" ht="12.75">
      <c r="A3160" s="624"/>
    </row>
    <row r="3161" ht="12.75">
      <c r="A3161" s="624"/>
    </row>
    <row r="3162" ht="12.75">
      <c r="A3162" s="624"/>
    </row>
    <row r="3163" ht="12.75">
      <c r="A3163" s="624"/>
    </row>
    <row r="3164" ht="12.75">
      <c r="A3164" s="624"/>
    </row>
    <row r="3165" ht="12.75">
      <c r="A3165" s="624"/>
    </row>
    <row r="3166" ht="12.75">
      <c r="A3166" s="624"/>
    </row>
    <row r="3167" ht="12.75">
      <c r="A3167" s="624"/>
    </row>
    <row r="3168" ht="12.75">
      <c r="A3168" s="624"/>
    </row>
    <row r="3169" ht="12.75">
      <c r="A3169" s="624"/>
    </row>
    <row r="3170" ht="12.75">
      <c r="A3170" s="624"/>
    </row>
    <row r="3171" ht="12.75">
      <c r="A3171" s="624"/>
    </row>
    <row r="3172" ht="12.75">
      <c r="A3172" s="624"/>
    </row>
    <row r="3173" ht="12.75">
      <c r="A3173" s="624"/>
    </row>
    <row r="3174" ht="12.75">
      <c r="A3174" s="624"/>
    </row>
    <row r="3175" ht="12.75">
      <c r="A3175" s="624"/>
    </row>
    <row r="3176" ht="12.75">
      <c r="A3176" s="624"/>
    </row>
    <row r="3177" ht="12.75">
      <c r="A3177" s="624"/>
    </row>
    <row r="3178" ht="12.75">
      <c r="A3178" s="624"/>
    </row>
    <row r="3179" ht="12.75">
      <c r="A3179" s="624"/>
    </row>
    <row r="3180" ht="12.75">
      <c r="A3180" s="624"/>
    </row>
    <row r="3181" ht="12.75">
      <c r="A3181" s="624"/>
    </row>
    <row r="3182" ht="12.75">
      <c r="A3182" s="624"/>
    </row>
    <row r="3183" ht="12.75">
      <c r="A3183" s="624"/>
    </row>
    <row r="3184" ht="12.75">
      <c r="A3184" s="624"/>
    </row>
    <row r="3185" ht="12.75">
      <c r="A3185" s="624"/>
    </row>
    <row r="3186" ht="12.75">
      <c r="A3186" s="624"/>
    </row>
    <row r="3187" ht="12.75">
      <c r="A3187" s="624"/>
    </row>
    <row r="3188" ht="12.75">
      <c r="A3188" s="624"/>
    </row>
    <row r="3189" ht="12.75">
      <c r="A3189" s="624"/>
    </row>
    <row r="3190" ht="12.75">
      <c r="A3190" s="624"/>
    </row>
    <row r="3191" ht="12.75">
      <c r="A3191" s="624"/>
    </row>
    <row r="3192" ht="12.75">
      <c r="A3192" s="624"/>
    </row>
    <row r="3193" ht="12.75">
      <c r="A3193" s="624"/>
    </row>
    <row r="3194" ht="12.75">
      <c r="A3194" s="624"/>
    </row>
    <row r="3195" ht="12.75">
      <c r="A3195" s="624"/>
    </row>
    <row r="3196" ht="12.75">
      <c r="A3196" s="624"/>
    </row>
    <row r="3197" ht="12.75">
      <c r="A3197" s="624"/>
    </row>
    <row r="3198" ht="12.75">
      <c r="A3198" s="624"/>
    </row>
    <row r="3199" ht="12.75">
      <c r="A3199" s="624"/>
    </row>
    <row r="3200" ht="12.75">
      <c r="A3200" s="624"/>
    </row>
    <row r="3201" ht="12.75">
      <c r="A3201" s="624"/>
    </row>
    <row r="3202" ht="12.75">
      <c r="A3202" s="624"/>
    </row>
    <row r="3203" ht="12.75">
      <c r="A3203" s="624"/>
    </row>
    <row r="3204" ht="12.75">
      <c r="A3204" s="624"/>
    </row>
    <row r="3205" ht="12.75">
      <c r="A3205" s="624"/>
    </row>
    <row r="3206" ht="12.75">
      <c r="A3206" s="624"/>
    </row>
    <row r="3207" ht="12.75">
      <c r="A3207" s="624"/>
    </row>
    <row r="3208" ht="12.75">
      <c r="A3208" s="624"/>
    </row>
    <row r="3209" ht="12.75">
      <c r="A3209" s="624"/>
    </row>
    <row r="3210" ht="12.75">
      <c r="A3210" s="624"/>
    </row>
    <row r="3211" ht="12.75">
      <c r="A3211" s="624"/>
    </row>
    <row r="3212" ht="12.75">
      <c r="A3212" s="624"/>
    </row>
    <row r="3213" ht="12.75">
      <c r="A3213" s="624"/>
    </row>
    <row r="3214" ht="12.75">
      <c r="A3214" s="624"/>
    </row>
    <row r="3215" ht="12.75">
      <c r="A3215" s="624"/>
    </row>
    <row r="3216" ht="12.75">
      <c r="A3216" s="624"/>
    </row>
    <row r="3217" ht="12.75">
      <c r="A3217" s="624"/>
    </row>
    <row r="3218" ht="12.75">
      <c r="A3218" s="624"/>
    </row>
    <row r="3219" ht="12.75">
      <c r="A3219" s="624"/>
    </row>
    <row r="3220" ht="12.75">
      <c r="A3220" s="624"/>
    </row>
    <row r="3221" ht="12.75">
      <c r="A3221" s="624"/>
    </row>
    <row r="3222" ht="12.75">
      <c r="A3222" s="624"/>
    </row>
    <row r="3223" ht="12.75">
      <c r="A3223" s="624"/>
    </row>
    <row r="3224" ht="12.75">
      <c r="A3224" s="624"/>
    </row>
    <row r="3225" ht="12.75">
      <c r="A3225" s="624"/>
    </row>
    <row r="3226" ht="12.75">
      <c r="A3226" s="624"/>
    </row>
    <row r="3227" ht="12.75">
      <c r="A3227" s="624"/>
    </row>
    <row r="3228" ht="12.75">
      <c r="A3228" s="624"/>
    </row>
    <row r="3229" ht="12.75">
      <c r="A3229" s="624"/>
    </row>
    <row r="3230" ht="12.75">
      <c r="A3230" s="624"/>
    </row>
    <row r="3231" ht="12.75">
      <c r="A3231" s="624"/>
    </row>
    <row r="3232" ht="12.75">
      <c r="A3232" s="624"/>
    </row>
    <row r="3233" ht="12.75">
      <c r="A3233" s="624"/>
    </row>
    <row r="3234" ht="12.75">
      <c r="A3234" s="624"/>
    </row>
    <row r="3235" ht="12.75">
      <c r="A3235" s="624"/>
    </row>
    <row r="3236" ht="12.75">
      <c r="A3236" s="624"/>
    </row>
    <row r="3237" ht="12.75">
      <c r="A3237" s="624"/>
    </row>
    <row r="3238" ht="12.75">
      <c r="A3238" s="624"/>
    </row>
    <row r="3239" ht="12.75">
      <c r="A3239" s="624"/>
    </row>
    <row r="3240" ht="12.75">
      <c r="A3240" s="624"/>
    </row>
    <row r="3241" ht="12.75">
      <c r="A3241" s="624"/>
    </row>
    <row r="3242" ht="12.75">
      <c r="A3242" s="624"/>
    </row>
    <row r="3243" ht="12.75">
      <c r="A3243" s="624"/>
    </row>
    <row r="3244" ht="12.75">
      <c r="A3244" s="624"/>
    </row>
    <row r="3245" ht="12.75">
      <c r="A3245" s="624"/>
    </row>
    <row r="3246" ht="12.75">
      <c r="A3246" s="624"/>
    </row>
    <row r="3247" ht="12.75">
      <c r="A3247" s="624"/>
    </row>
    <row r="3248" ht="12.75">
      <c r="A3248" s="624"/>
    </row>
    <row r="3249" ht="12.75">
      <c r="A3249" s="624"/>
    </row>
    <row r="3250" ht="12.75">
      <c r="A3250" s="624"/>
    </row>
    <row r="3251" ht="12.75">
      <c r="A3251" s="624"/>
    </row>
    <row r="3252" ht="12.75">
      <c r="A3252" s="624"/>
    </row>
    <row r="3253" ht="12.75">
      <c r="A3253" s="624"/>
    </row>
    <row r="3254" ht="12.75">
      <c r="A3254" s="624"/>
    </row>
    <row r="3255" ht="12.75">
      <c r="A3255" s="624"/>
    </row>
    <row r="3256" ht="12.75">
      <c r="A3256" s="624"/>
    </row>
    <row r="3257" ht="12.75">
      <c r="A3257" s="624"/>
    </row>
    <row r="3258" ht="12.75">
      <c r="A3258" s="624"/>
    </row>
    <row r="3259" ht="12.75">
      <c r="A3259" s="624"/>
    </row>
    <row r="3260" ht="12.75">
      <c r="A3260" s="624"/>
    </row>
    <row r="3261" ht="12.75">
      <c r="A3261" s="624"/>
    </row>
    <row r="3262" ht="12.75">
      <c r="A3262" s="624"/>
    </row>
    <row r="3263" ht="12.75">
      <c r="A3263" s="624"/>
    </row>
    <row r="3264" ht="12.75">
      <c r="A3264" s="624"/>
    </row>
    <row r="3265" ht="12.75">
      <c r="A3265" s="624"/>
    </row>
    <row r="3266" ht="12.75">
      <c r="A3266" s="624"/>
    </row>
    <row r="3267" ht="12.75">
      <c r="A3267" s="624"/>
    </row>
    <row r="3268" ht="12.75">
      <c r="A3268" s="624"/>
    </row>
    <row r="3269" ht="12.75">
      <c r="A3269" s="624"/>
    </row>
    <row r="3270" ht="12.75">
      <c r="A3270" s="624"/>
    </row>
    <row r="3271" ht="12.75">
      <c r="A3271" s="624"/>
    </row>
    <row r="3272" ht="12.75">
      <c r="A3272" s="624"/>
    </row>
    <row r="3273" ht="12.75">
      <c r="A3273" s="624"/>
    </row>
    <row r="3274" ht="12.75">
      <c r="A3274" s="624"/>
    </row>
    <row r="3275" ht="12.75">
      <c r="A3275" s="624"/>
    </row>
    <row r="3276" ht="12.75">
      <c r="A3276" s="624"/>
    </row>
    <row r="3277" ht="12.75">
      <c r="A3277" s="624"/>
    </row>
    <row r="3278" ht="12.75">
      <c r="A3278" s="624"/>
    </row>
    <row r="3279" ht="12.75">
      <c r="A3279" s="624"/>
    </row>
    <row r="3280" ht="12.75">
      <c r="A3280" s="624"/>
    </row>
    <row r="3281" ht="12.75">
      <c r="A3281" s="624"/>
    </row>
    <row r="3282" ht="12.75">
      <c r="A3282" s="624"/>
    </row>
    <row r="3283" ht="12.75">
      <c r="A3283" s="624"/>
    </row>
    <row r="3284" ht="12.75">
      <c r="A3284" s="624"/>
    </row>
    <row r="3285" ht="12.75">
      <c r="A3285" s="624"/>
    </row>
    <row r="3286" ht="12.75">
      <c r="A3286" s="624"/>
    </row>
    <row r="3287" ht="12.75">
      <c r="A3287" s="624"/>
    </row>
    <row r="3288" ht="12.75">
      <c r="A3288" s="624"/>
    </row>
    <row r="3289" ht="12.75">
      <c r="A3289" s="624"/>
    </row>
    <row r="3290" ht="12.75">
      <c r="A3290" s="624"/>
    </row>
    <row r="3291" ht="12.75">
      <c r="A3291" s="624"/>
    </row>
    <row r="3292" ht="12.75">
      <c r="A3292" s="624"/>
    </row>
    <row r="3293" ht="12.75">
      <c r="A3293" s="624"/>
    </row>
    <row r="3294" ht="12.75">
      <c r="A3294" s="624"/>
    </row>
    <row r="3295" ht="12.75">
      <c r="A3295" s="624"/>
    </row>
    <row r="3296" ht="12.75">
      <c r="A3296" s="624"/>
    </row>
    <row r="3297" ht="12.75">
      <c r="A3297" s="624"/>
    </row>
    <row r="3298" ht="12.75">
      <c r="A3298" s="624"/>
    </row>
    <row r="3299" ht="12.75">
      <c r="A3299" s="624"/>
    </row>
    <row r="3300" ht="12.75">
      <c r="A3300" s="624"/>
    </row>
    <row r="3301" ht="12.75">
      <c r="A3301" s="624"/>
    </row>
    <row r="3302" ht="12.75">
      <c r="A3302" s="624"/>
    </row>
    <row r="3303" ht="12.75">
      <c r="A3303" s="624"/>
    </row>
    <row r="3304" ht="12.75">
      <c r="A3304" s="624"/>
    </row>
    <row r="3305" ht="12.75">
      <c r="A3305" s="624"/>
    </row>
    <row r="3306" ht="12.75">
      <c r="A3306" s="624"/>
    </row>
    <row r="3307" ht="12.75">
      <c r="A3307" s="624"/>
    </row>
    <row r="3308" ht="12.75">
      <c r="A3308" s="624"/>
    </row>
    <row r="3309" ht="12.75">
      <c r="A3309" s="624"/>
    </row>
    <row r="3310" ht="12.75">
      <c r="A3310" s="624"/>
    </row>
    <row r="3311" ht="12.75">
      <c r="A3311" s="624"/>
    </row>
    <row r="3312" ht="12.75">
      <c r="A3312" s="624"/>
    </row>
    <row r="3313" ht="12.75">
      <c r="A3313" s="624"/>
    </row>
    <row r="3314" ht="12.75">
      <c r="A3314" s="624"/>
    </row>
    <row r="3315" ht="12.75">
      <c r="A3315" s="624"/>
    </row>
    <row r="3316" ht="12.75">
      <c r="A3316" s="624"/>
    </row>
    <row r="3317" ht="12.75">
      <c r="A3317" s="624"/>
    </row>
    <row r="3318" ht="12.75">
      <c r="A3318" s="624"/>
    </row>
    <row r="3319" ht="12.75">
      <c r="A3319" s="624"/>
    </row>
    <row r="3320" ht="12.75">
      <c r="A3320" s="624"/>
    </row>
    <row r="3321" ht="12.75">
      <c r="A3321" s="624"/>
    </row>
    <row r="3322" ht="12.75">
      <c r="A3322" s="624"/>
    </row>
    <row r="3323" ht="12.75">
      <c r="A3323" s="624"/>
    </row>
    <row r="3324" ht="12.75">
      <c r="A3324" s="624"/>
    </row>
    <row r="3325" ht="12.75">
      <c r="A3325" s="624"/>
    </row>
    <row r="3326" ht="12.75">
      <c r="A3326" s="624"/>
    </row>
    <row r="3327" ht="12.75">
      <c r="A3327" s="624"/>
    </row>
    <row r="3328" ht="12.75">
      <c r="A3328" s="624"/>
    </row>
    <row r="3329" ht="12.75">
      <c r="A3329" s="624"/>
    </row>
    <row r="3330" ht="12.75">
      <c r="A3330" s="624"/>
    </row>
    <row r="3331" ht="12.75">
      <c r="A3331" s="624"/>
    </row>
    <row r="3332" ht="12.75">
      <c r="A3332" s="624"/>
    </row>
    <row r="3333" ht="12.75">
      <c r="A3333" s="624"/>
    </row>
    <row r="3334" ht="12.75">
      <c r="A3334" s="624"/>
    </row>
    <row r="3335" ht="12.75">
      <c r="A3335" s="624"/>
    </row>
    <row r="3336" ht="12.75">
      <c r="A3336" s="624"/>
    </row>
    <row r="3337" ht="12.75">
      <c r="A3337" s="624"/>
    </row>
    <row r="3338" ht="12.75">
      <c r="A3338" s="624"/>
    </row>
    <row r="3339" ht="12.75">
      <c r="A3339" s="624"/>
    </row>
    <row r="3340" ht="12.75">
      <c r="A3340" s="624"/>
    </row>
    <row r="3341" ht="12.75">
      <c r="A3341" s="624"/>
    </row>
    <row r="3342" ht="12.75">
      <c r="A3342" s="624"/>
    </row>
    <row r="3343" ht="12.75">
      <c r="A3343" s="624"/>
    </row>
    <row r="3344" ht="12.75">
      <c r="A3344" s="624"/>
    </row>
    <row r="3345" ht="12.75">
      <c r="A3345" s="624"/>
    </row>
    <row r="3346" ht="12.75">
      <c r="A3346" s="624"/>
    </row>
    <row r="3347" ht="12.75">
      <c r="A3347" s="624"/>
    </row>
    <row r="3348" ht="12.75">
      <c r="A3348" s="624"/>
    </row>
    <row r="3349" ht="12.75">
      <c r="A3349" s="624"/>
    </row>
    <row r="3350" ht="12.75">
      <c r="A3350" s="624"/>
    </row>
    <row r="3351" ht="12.75">
      <c r="A3351" s="624"/>
    </row>
    <row r="3352" ht="12.75">
      <c r="A3352" s="624"/>
    </row>
    <row r="3353" ht="12.75">
      <c r="A3353" s="624"/>
    </row>
    <row r="3354" ht="12.75">
      <c r="A3354" s="624"/>
    </row>
    <row r="3355" ht="12.75">
      <c r="A3355" s="624"/>
    </row>
    <row r="3356" ht="12.75">
      <c r="A3356" s="624"/>
    </row>
    <row r="3357" ht="12.75">
      <c r="A3357" s="624"/>
    </row>
    <row r="3358" ht="12.75">
      <c r="A3358" s="624"/>
    </row>
    <row r="3359" ht="12.75">
      <c r="A3359" s="624"/>
    </row>
    <row r="3360" ht="12.75">
      <c r="A3360" s="624"/>
    </row>
    <row r="3361" ht="12.75">
      <c r="A3361" s="624"/>
    </row>
    <row r="3362" ht="12.75">
      <c r="A3362" s="624"/>
    </row>
    <row r="3363" ht="12.75">
      <c r="A3363" s="624"/>
    </row>
    <row r="3364" ht="12.75">
      <c r="A3364" s="624"/>
    </row>
    <row r="3365" ht="12.75">
      <c r="A3365" s="624"/>
    </row>
    <row r="3366" ht="12.75">
      <c r="A3366" s="624"/>
    </row>
    <row r="3367" ht="12.75">
      <c r="A3367" s="624"/>
    </row>
    <row r="3368" ht="12.75">
      <c r="A3368" s="624"/>
    </row>
    <row r="3369" ht="12.75">
      <c r="A3369" s="624"/>
    </row>
    <row r="3370" ht="12.75">
      <c r="A3370" s="624"/>
    </row>
    <row r="3371" ht="12.75">
      <c r="A3371" s="624"/>
    </row>
    <row r="3372" ht="12.75">
      <c r="A3372" s="624"/>
    </row>
    <row r="3373" ht="12.75">
      <c r="A3373" s="624"/>
    </row>
    <row r="3374" ht="12.75">
      <c r="A3374" s="624"/>
    </row>
    <row r="3375" ht="12.75">
      <c r="A3375" s="624"/>
    </row>
    <row r="3376" ht="12.75">
      <c r="A3376" s="624"/>
    </row>
    <row r="3377" ht="12.75">
      <c r="A3377" s="624"/>
    </row>
    <row r="3378" ht="12.75">
      <c r="A3378" s="624"/>
    </row>
    <row r="3379" ht="12.75">
      <c r="A3379" s="624"/>
    </row>
    <row r="3380" ht="12.75">
      <c r="A3380" s="624"/>
    </row>
    <row r="3381" ht="12.75">
      <c r="A3381" s="624"/>
    </row>
    <row r="3382" ht="12.75">
      <c r="A3382" s="624"/>
    </row>
    <row r="3383" ht="12.75">
      <c r="A3383" s="624"/>
    </row>
    <row r="3384" ht="12.75">
      <c r="A3384" s="624"/>
    </row>
    <row r="3385" ht="12.75">
      <c r="A3385" s="624"/>
    </row>
    <row r="3386" ht="12.75">
      <c r="A3386" s="624"/>
    </row>
    <row r="3387" ht="12.75">
      <c r="A3387" s="624"/>
    </row>
    <row r="3388" ht="12.75">
      <c r="A3388" s="624"/>
    </row>
    <row r="3389" ht="12.75">
      <c r="A3389" s="624"/>
    </row>
    <row r="3390" ht="12.75">
      <c r="A3390" s="624"/>
    </row>
    <row r="3391" ht="12.75">
      <c r="A3391" s="624"/>
    </row>
    <row r="3392" ht="12.75">
      <c r="A3392" s="624"/>
    </row>
    <row r="3393" ht="12.75">
      <c r="A3393" s="624"/>
    </row>
    <row r="3394" ht="12.75">
      <c r="A3394" s="624"/>
    </row>
    <row r="3395" ht="12.75">
      <c r="A3395" s="624"/>
    </row>
    <row r="3396" ht="12.75">
      <c r="A3396" s="624"/>
    </row>
    <row r="3397" ht="12.75">
      <c r="A3397" s="624"/>
    </row>
    <row r="3398" ht="12.75">
      <c r="A3398" s="624"/>
    </row>
    <row r="3399" ht="12.75">
      <c r="A3399" s="624"/>
    </row>
    <row r="3400" ht="12.75">
      <c r="A3400" s="624"/>
    </row>
    <row r="3401" ht="12.75">
      <c r="A3401" s="624"/>
    </row>
    <row r="3402" ht="12.75">
      <c r="A3402" s="624"/>
    </row>
    <row r="3403" ht="12.75">
      <c r="A3403" s="624"/>
    </row>
    <row r="3404" ht="12.75">
      <c r="A3404" s="624"/>
    </row>
    <row r="3405" ht="12.75">
      <c r="A3405" s="624"/>
    </row>
    <row r="3406" ht="12.75">
      <c r="A3406" s="624"/>
    </row>
    <row r="3407" ht="12.75">
      <c r="A3407" s="624"/>
    </row>
    <row r="3408" ht="12.75">
      <c r="A3408" s="624"/>
    </row>
    <row r="3409" ht="12.75">
      <c r="A3409" s="624"/>
    </row>
    <row r="3410" ht="12.75">
      <c r="A3410" s="624"/>
    </row>
    <row r="3411" ht="12.75">
      <c r="A3411" s="624"/>
    </row>
    <row r="3412" ht="12.75">
      <c r="A3412" s="624"/>
    </row>
    <row r="3413" ht="12.75">
      <c r="A3413" s="624"/>
    </row>
    <row r="3414" ht="12.75">
      <c r="A3414" s="624"/>
    </row>
    <row r="3415" ht="12.75">
      <c r="A3415" s="624"/>
    </row>
    <row r="3416" ht="12.75">
      <c r="A3416" s="624"/>
    </row>
    <row r="3417" ht="12.75">
      <c r="A3417" s="624"/>
    </row>
    <row r="3418" ht="12.75">
      <c r="A3418" s="624"/>
    </row>
    <row r="3419" ht="12.75">
      <c r="A3419" s="624"/>
    </row>
    <row r="3420" ht="12.75">
      <c r="A3420" s="624"/>
    </row>
    <row r="3421" ht="12.75">
      <c r="A3421" s="624"/>
    </row>
    <row r="3422" ht="12.75">
      <c r="A3422" s="624"/>
    </row>
    <row r="3423" ht="12.75">
      <c r="A3423" s="624"/>
    </row>
    <row r="3424" ht="12.75">
      <c r="A3424" s="624"/>
    </row>
    <row r="3425" ht="12.75">
      <c r="A3425" s="624"/>
    </row>
    <row r="3426" ht="12.75">
      <c r="A3426" s="624"/>
    </row>
    <row r="3427" ht="12.75">
      <c r="A3427" s="624"/>
    </row>
    <row r="3428" ht="12.75">
      <c r="A3428" s="624"/>
    </row>
    <row r="3429" ht="12.75">
      <c r="A3429" s="624"/>
    </row>
    <row r="3430" ht="12.75">
      <c r="A3430" s="624"/>
    </row>
    <row r="3431" ht="12.75">
      <c r="A3431" s="624"/>
    </row>
    <row r="3432" ht="12.75">
      <c r="A3432" s="624"/>
    </row>
    <row r="3433" ht="12.75">
      <c r="A3433" s="624"/>
    </row>
    <row r="3434" ht="12.75">
      <c r="A3434" s="624"/>
    </row>
    <row r="3435" ht="12.75">
      <c r="A3435" s="624"/>
    </row>
    <row r="3436" ht="12.75">
      <c r="A3436" s="624"/>
    </row>
    <row r="3437" ht="12.75">
      <c r="A3437" s="624"/>
    </row>
    <row r="3438" ht="12.75">
      <c r="A3438" s="624"/>
    </row>
    <row r="3439" ht="12.75">
      <c r="A3439" s="624"/>
    </row>
    <row r="3440" ht="12.75">
      <c r="A3440" s="624"/>
    </row>
    <row r="3441" ht="12.75">
      <c r="A3441" s="624"/>
    </row>
    <row r="3442" ht="12.75">
      <c r="A3442" s="624"/>
    </row>
    <row r="3443" ht="12.75">
      <c r="A3443" s="624"/>
    </row>
    <row r="3444" ht="12.75">
      <c r="A3444" s="624"/>
    </row>
    <row r="3445" ht="12.75">
      <c r="A3445" s="624"/>
    </row>
    <row r="3446" ht="12.75">
      <c r="A3446" s="624"/>
    </row>
    <row r="3447" ht="12.75">
      <c r="A3447" s="624"/>
    </row>
    <row r="3448" ht="12.75">
      <c r="A3448" s="624"/>
    </row>
    <row r="3449" ht="12.75">
      <c r="A3449" s="624"/>
    </row>
    <row r="3450" ht="12.75">
      <c r="A3450" s="624"/>
    </row>
    <row r="3451" ht="12.75">
      <c r="A3451" s="624"/>
    </row>
    <row r="3452" ht="12.75">
      <c r="A3452" s="624"/>
    </row>
    <row r="3453" ht="12.75">
      <c r="A3453" s="624"/>
    </row>
    <row r="3454" ht="12.75">
      <c r="A3454" s="624"/>
    </row>
    <row r="3455" ht="12.75">
      <c r="A3455" s="624"/>
    </row>
    <row r="3456" ht="12.75">
      <c r="A3456" s="624"/>
    </row>
    <row r="3457" ht="12.75">
      <c r="A3457" s="624"/>
    </row>
    <row r="3458" ht="12.75">
      <c r="A3458" s="624"/>
    </row>
    <row r="3459" ht="12.75">
      <c r="A3459" s="624"/>
    </row>
    <row r="3460" ht="12.75">
      <c r="A3460" s="624"/>
    </row>
    <row r="3461" ht="12.75">
      <c r="A3461" s="624"/>
    </row>
    <row r="3462" ht="12.75">
      <c r="A3462" s="624"/>
    </row>
    <row r="3463" ht="12.75">
      <c r="A3463" s="624"/>
    </row>
    <row r="3464" ht="12.75">
      <c r="A3464" s="624"/>
    </row>
    <row r="3465" ht="12.75">
      <c r="A3465" s="624"/>
    </row>
    <row r="3466" ht="12.75">
      <c r="A3466" s="624"/>
    </row>
    <row r="3467" ht="12.75">
      <c r="A3467" s="624"/>
    </row>
    <row r="3468" ht="12.75">
      <c r="A3468" s="624"/>
    </row>
    <row r="3469" ht="12.75">
      <c r="A3469" s="624"/>
    </row>
    <row r="3470" ht="12.75">
      <c r="A3470" s="624"/>
    </row>
    <row r="3471" ht="12.75">
      <c r="A3471" s="624"/>
    </row>
    <row r="3472" ht="12.75">
      <c r="A3472" s="624"/>
    </row>
    <row r="3473" ht="12.75">
      <c r="A3473" s="624"/>
    </row>
    <row r="3474" ht="12.75">
      <c r="A3474" s="624"/>
    </row>
    <row r="3475" ht="12.75">
      <c r="A3475" s="624"/>
    </row>
    <row r="3476" ht="12.75">
      <c r="A3476" s="624"/>
    </row>
    <row r="3477" ht="12.75">
      <c r="A3477" s="624"/>
    </row>
    <row r="3478" ht="12.75">
      <c r="A3478" s="624"/>
    </row>
    <row r="3479" ht="12.75">
      <c r="A3479" s="624"/>
    </row>
    <row r="3480" ht="12.75">
      <c r="A3480" s="624"/>
    </row>
    <row r="3481" ht="12.75">
      <c r="A3481" s="624"/>
    </row>
    <row r="3482" ht="12.75">
      <c r="A3482" s="624"/>
    </row>
    <row r="3483" ht="12.75">
      <c r="A3483" s="624"/>
    </row>
    <row r="3484" ht="12.75">
      <c r="A3484" s="624"/>
    </row>
    <row r="3485" ht="12.75">
      <c r="A3485" s="624"/>
    </row>
    <row r="3486" ht="12.75">
      <c r="A3486" s="624"/>
    </row>
    <row r="3487" ht="12.75">
      <c r="A3487" s="624"/>
    </row>
    <row r="3488" ht="12.75">
      <c r="A3488" s="624"/>
    </row>
    <row r="3489" ht="12.75">
      <c r="A3489" s="624"/>
    </row>
    <row r="3490" ht="12.75">
      <c r="A3490" s="624"/>
    </row>
    <row r="3491" ht="12.75">
      <c r="A3491" s="624"/>
    </row>
    <row r="3492" ht="12.75">
      <c r="A3492" s="624"/>
    </row>
    <row r="3493" ht="12.75">
      <c r="A3493" s="624"/>
    </row>
    <row r="3494" ht="12.75">
      <c r="A3494" s="624"/>
    </row>
    <row r="3495" ht="12.75">
      <c r="A3495" s="624"/>
    </row>
    <row r="3496" ht="12.75">
      <c r="A3496" s="624"/>
    </row>
    <row r="3497" ht="12.75">
      <c r="A3497" s="624"/>
    </row>
    <row r="3498" ht="12.75">
      <c r="A3498" s="624"/>
    </row>
    <row r="3499" ht="12.75">
      <c r="A3499" s="624"/>
    </row>
    <row r="3500" ht="12.75">
      <c r="A3500" s="624"/>
    </row>
    <row r="3501" ht="12.75">
      <c r="A3501" s="624"/>
    </row>
    <row r="3502" ht="12.75">
      <c r="A3502" s="624"/>
    </row>
    <row r="3503" ht="12.75">
      <c r="A3503" s="624"/>
    </row>
    <row r="3504" ht="12.75">
      <c r="A3504" s="624"/>
    </row>
    <row r="3505" ht="12.75">
      <c r="A3505" s="624"/>
    </row>
    <row r="3506" ht="12.75">
      <c r="A3506" s="624"/>
    </row>
    <row r="3507" ht="12.75">
      <c r="A3507" s="624"/>
    </row>
    <row r="3508" ht="12.75">
      <c r="A3508" s="624"/>
    </row>
    <row r="3509" ht="12.75">
      <c r="A3509" s="624"/>
    </row>
    <row r="3510" ht="12.75">
      <c r="A3510" s="624"/>
    </row>
    <row r="3511" ht="12.75">
      <c r="A3511" s="624"/>
    </row>
    <row r="3512" ht="12.75">
      <c r="A3512" s="624"/>
    </row>
    <row r="3513" ht="12.75">
      <c r="A3513" s="624"/>
    </row>
    <row r="3514" ht="12.75">
      <c r="A3514" s="624"/>
    </row>
    <row r="3515" ht="12.75">
      <c r="A3515" s="624"/>
    </row>
    <row r="3516" ht="12.75">
      <c r="A3516" s="624"/>
    </row>
    <row r="3517" ht="12.75">
      <c r="A3517" s="624"/>
    </row>
    <row r="3518" ht="12.75">
      <c r="A3518" s="624"/>
    </row>
    <row r="3519" ht="12.75">
      <c r="A3519" s="624"/>
    </row>
    <row r="3520" ht="12.75">
      <c r="A3520" s="624"/>
    </row>
    <row r="3521" ht="12.75">
      <c r="A3521" s="624"/>
    </row>
    <row r="3522" ht="12.75">
      <c r="A3522" s="624"/>
    </row>
    <row r="3523" ht="12.75">
      <c r="A3523" s="624"/>
    </row>
    <row r="3524" ht="12.75">
      <c r="A3524" s="624"/>
    </row>
    <row r="3525" ht="12.75">
      <c r="A3525" s="624"/>
    </row>
    <row r="3526" ht="12.75">
      <c r="A3526" s="624"/>
    </row>
    <row r="3527" ht="12.75">
      <c r="A3527" s="624"/>
    </row>
    <row r="3528" ht="12.75">
      <c r="A3528" s="624"/>
    </row>
    <row r="3529" ht="12.75">
      <c r="A3529" s="624"/>
    </row>
    <row r="3530" ht="12.75">
      <c r="A3530" s="624"/>
    </row>
    <row r="3531" ht="12.75">
      <c r="A3531" s="624"/>
    </row>
    <row r="3532" ht="12.75">
      <c r="A3532" s="624"/>
    </row>
    <row r="3533" ht="12.75">
      <c r="A3533" s="624"/>
    </row>
    <row r="3534" ht="12.75">
      <c r="A3534" s="624"/>
    </row>
    <row r="3535" ht="12.75">
      <c r="A3535" s="624"/>
    </row>
    <row r="3536" ht="12.75">
      <c r="A3536" s="624"/>
    </row>
    <row r="3537" ht="12.75">
      <c r="A3537" s="624"/>
    </row>
    <row r="3538" ht="12.75">
      <c r="A3538" s="624"/>
    </row>
    <row r="3539" ht="12.75">
      <c r="A3539" s="624"/>
    </row>
    <row r="3540" ht="12.75">
      <c r="A3540" s="624"/>
    </row>
    <row r="3541" ht="12.75">
      <c r="A3541" s="624"/>
    </row>
    <row r="3542" ht="12.75">
      <c r="A3542" s="624"/>
    </row>
    <row r="3543" ht="12.75">
      <c r="A3543" s="624"/>
    </row>
    <row r="3544" ht="12.75">
      <c r="A3544" s="624"/>
    </row>
    <row r="3545" ht="12.75">
      <c r="A3545" s="624"/>
    </row>
    <row r="3546" ht="12.75">
      <c r="A3546" s="624"/>
    </row>
    <row r="3547" ht="12.75">
      <c r="A3547" s="624"/>
    </row>
    <row r="3548" ht="12.75">
      <c r="A3548" s="624"/>
    </row>
    <row r="3549" ht="12.75">
      <c r="A3549" s="624"/>
    </row>
    <row r="3550" ht="12.75">
      <c r="A3550" s="624"/>
    </row>
    <row r="3551" ht="12.75">
      <c r="A3551" s="624"/>
    </row>
    <row r="3552" ht="12.75">
      <c r="A3552" s="624"/>
    </row>
    <row r="3553" ht="12.75">
      <c r="A3553" s="624"/>
    </row>
    <row r="3554" ht="12.75">
      <c r="A3554" s="624"/>
    </row>
    <row r="3555" ht="12.75">
      <c r="A3555" s="624"/>
    </row>
    <row r="3556" ht="12.75">
      <c r="A3556" s="624"/>
    </row>
    <row r="3557" ht="12.75">
      <c r="A3557" s="624"/>
    </row>
    <row r="3558" ht="12.75">
      <c r="A3558" s="624"/>
    </row>
    <row r="3559" ht="12.75">
      <c r="A3559" s="624"/>
    </row>
    <row r="3560" ht="12.75">
      <c r="A3560" s="624"/>
    </row>
    <row r="3561" ht="12.75">
      <c r="A3561" s="624"/>
    </row>
    <row r="3562" ht="12.75">
      <c r="A3562" s="624"/>
    </row>
    <row r="3563" ht="12.75">
      <c r="A3563" s="624"/>
    </row>
    <row r="3564" ht="12.75">
      <c r="A3564" s="624"/>
    </row>
    <row r="3565" ht="12.75">
      <c r="A3565" s="624"/>
    </row>
    <row r="3566" ht="12.75">
      <c r="A3566" s="624"/>
    </row>
    <row r="3567" ht="12.75">
      <c r="A3567" s="624"/>
    </row>
    <row r="3568" ht="12.75">
      <c r="A3568" s="624"/>
    </row>
    <row r="3569" ht="12.75">
      <c r="A3569" s="624"/>
    </row>
    <row r="3570" ht="12.75">
      <c r="A3570" s="624"/>
    </row>
    <row r="3571" ht="12.75">
      <c r="A3571" s="624"/>
    </row>
    <row r="3572" ht="12.75">
      <c r="A3572" s="624"/>
    </row>
    <row r="3573" ht="12.75">
      <c r="A3573" s="624"/>
    </row>
    <row r="3574" ht="12.75">
      <c r="A3574" s="624"/>
    </row>
    <row r="3575" ht="12.75">
      <c r="A3575" s="624"/>
    </row>
    <row r="3576" ht="12.75">
      <c r="A3576" s="624"/>
    </row>
    <row r="3577" ht="12.75">
      <c r="A3577" s="624"/>
    </row>
    <row r="3578" ht="12.75">
      <c r="A3578" s="624"/>
    </row>
    <row r="3579" ht="12.75">
      <c r="A3579" s="624"/>
    </row>
    <row r="3580" ht="12.75">
      <c r="A3580" s="624"/>
    </row>
    <row r="3581" ht="12.75">
      <c r="A3581" s="624"/>
    </row>
    <row r="3582" ht="12.75">
      <c r="A3582" s="624"/>
    </row>
    <row r="3583" ht="12.75">
      <c r="A3583" s="624"/>
    </row>
    <row r="3584" ht="12.75">
      <c r="A3584" s="624"/>
    </row>
    <row r="3585" ht="12.75">
      <c r="A3585" s="624"/>
    </row>
    <row r="3586" ht="12.75">
      <c r="A3586" s="624"/>
    </row>
    <row r="3587" ht="12.75">
      <c r="A3587" s="624"/>
    </row>
    <row r="3588" ht="12.75">
      <c r="A3588" s="624"/>
    </row>
    <row r="3589" ht="12.75">
      <c r="A3589" s="624"/>
    </row>
    <row r="3590" ht="12.75">
      <c r="A3590" s="624"/>
    </row>
    <row r="3591" ht="12.75">
      <c r="A3591" s="624"/>
    </row>
    <row r="3592" ht="12.75">
      <c r="A3592" s="624"/>
    </row>
    <row r="3593" ht="12.75">
      <c r="A3593" s="624"/>
    </row>
    <row r="3594" ht="12.75">
      <c r="A3594" s="624"/>
    </row>
    <row r="3595" ht="12.75">
      <c r="A3595" s="624"/>
    </row>
    <row r="3596" ht="12.75">
      <c r="A3596" s="624"/>
    </row>
    <row r="3597" ht="12.75">
      <c r="A3597" s="624"/>
    </row>
    <row r="3598" ht="12.75">
      <c r="A3598" s="624"/>
    </row>
    <row r="3599" ht="12.75">
      <c r="A3599" s="624"/>
    </row>
    <row r="3600" ht="12.75">
      <c r="A3600" s="624"/>
    </row>
    <row r="3601" ht="12.75">
      <c r="A3601" s="624"/>
    </row>
    <row r="3602" ht="12.75">
      <c r="A3602" s="624"/>
    </row>
    <row r="3603" ht="12.75">
      <c r="A3603" s="624"/>
    </row>
    <row r="3604" ht="12.75">
      <c r="A3604" s="624"/>
    </row>
    <row r="3605" ht="12.75">
      <c r="A3605" s="624"/>
    </row>
    <row r="3606" ht="12.75">
      <c r="A3606" s="624"/>
    </row>
    <row r="3607" ht="12.75">
      <c r="A3607" s="624"/>
    </row>
    <row r="3608" ht="12.75">
      <c r="A3608" s="624"/>
    </row>
    <row r="3609" ht="12.75">
      <c r="A3609" s="624"/>
    </row>
    <row r="3610" ht="12.75">
      <c r="A3610" s="624"/>
    </row>
    <row r="3611" ht="12.75">
      <c r="A3611" s="624"/>
    </row>
    <row r="3612" ht="12.75">
      <c r="A3612" s="624"/>
    </row>
    <row r="3613" ht="12.75">
      <c r="A3613" s="624"/>
    </row>
    <row r="3614" ht="12.75">
      <c r="A3614" s="624"/>
    </row>
    <row r="3615" ht="12.75">
      <c r="A3615" s="624"/>
    </row>
    <row r="3616" ht="12.75">
      <c r="A3616" s="624"/>
    </row>
    <row r="3617" ht="12.75">
      <c r="A3617" s="624"/>
    </row>
    <row r="3618" ht="12.75">
      <c r="A3618" s="624"/>
    </row>
    <row r="3619" ht="12.75">
      <c r="A3619" s="624"/>
    </row>
    <row r="3620" ht="12.75">
      <c r="A3620" s="624"/>
    </row>
    <row r="3621" ht="12.75">
      <c r="A3621" s="624"/>
    </row>
    <row r="3622" ht="12.75">
      <c r="A3622" s="624"/>
    </row>
    <row r="3623" ht="12.75">
      <c r="A3623" s="624"/>
    </row>
    <row r="3624" ht="12.75">
      <c r="A3624" s="624"/>
    </row>
    <row r="3625" ht="12.75">
      <c r="A3625" s="624"/>
    </row>
    <row r="3626" ht="12.75">
      <c r="A3626" s="624"/>
    </row>
    <row r="3627" ht="12.75">
      <c r="A3627" s="624"/>
    </row>
    <row r="3628" ht="12.75">
      <c r="A3628" s="624"/>
    </row>
    <row r="3629" ht="12.75">
      <c r="A3629" s="624"/>
    </row>
    <row r="3630" ht="12.75">
      <c r="A3630" s="624"/>
    </row>
    <row r="3631" ht="12.75">
      <c r="A3631" s="624"/>
    </row>
    <row r="3632" ht="12.75">
      <c r="A3632" s="624"/>
    </row>
    <row r="3633" ht="12.75">
      <c r="A3633" s="624"/>
    </row>
    <row r="3634" ht="12.75">
      <c r="A3634" s="624"/>
    </row>
    <row r="3635" ht="12.75">
      <c r="A3635" s="624"/>
    </row>
    <row r="3636" ht="12.75">
      <c r="A3636" s="624"/>
    </row>
    <row r="3637" ht="12.75">
      <c r="A3637" s="624"/>
    </row>
    <row r="3638" ht="12.75">
      <c r="A3638" s="624"/>
    </row>
    <row r="3639" ht="12.75">
      <c r="A3639" s="624"/>
    </row>
    <row r="3640" ht="12.75">
      <c r="A3640" s="624"/>
    </row>
    <row r="3641" ht="12.75">
      <c r="A3641" s="624"/>
    </row>
    <row r="3642" ht="12.75">
      <c r="A3642" s="624"/>
    </row>
    <row r="3643" ht="12.75">
      <c r="A3643" s="624"/>
    </row>
    <row r="3644" ht="12.75">
      <c r="A3644" s="624"/>
    </row>
    <row r="3645" ht="12.75">
      <c r="A3645" s="624"/>
    </row>
    <row r="3646" ht="12.75">
      <c r="A3646" s="624"/>
    </row>
    <row r="3647" ht="12.75">
      <c r="A3647" s="624"/>
    </row>
    <row r="3648" ht="12.75">
      <c r="A3648" s="624"/>
    </row>
    <row r="3649" ht="12.75">
      <c r="A3649" s="624"/>
    </row>
    <row r="3650" ht="12.75">
      <c r="A3650" s="624"/>
    </row>
    <row r="3651" ht="12.75">
      <c r="A3651" s="624"/>
    </row>
    <row r="3652" ht="12.75">
      <c r="A3652" s="624"/>
    </row>
    <row r="3653" ht="12.75">
      <c r="A3653" s="624"/>
    </row>
    <row r="3654" ht="12.75">
      <c r="A3654" s="624"/>
    </row>
    <row r="3655" ht="12.75">
      <c r="A3655" s="624"/>
    </row>
    <row r="3656" ht="12.75">
      <c r="A3656" s="624"/>
    </row>
    <row r="3657" ht="12.75">
      <c r="A3657" s="624"/>
    </row>
    <row r="3658" ht="12.75">
      <c r="A3658" s="624"/>
    </row>
    <row r="3659" ht="12.75">
      <c r="A3659" s="624"/>
    </row>
    <row r="3660" ht="12.75">
      <c r="A3660" s="624"/>
    </row>
    <row r="3661" ht="12.75">
      <c r="A3661" s="624"/>
    </row>
    <row r="3662" ht="12.75">
      <c r="A3662" s="624"/>
    </row>
    <row r="3663" ht="12.75">
      <c r="A3663" s="624"/>
    </row>
    <row r="3664" ht="12.75">
      <c r="A3664" s="624"/>
    </row>
    <row r="3665" ht="12.75">
      <c r="A3665" s="624"/>
    </row>
    <row r="3666" ht="12.75">
      <c r="A3666" s="624"/>
    </row>
    <row r="3667" ht="12.75">
      <c r="A3667" s="624"/>
    </row>
    <row r="3668" ht="12.75">
      <c r="A3668" s="624"/>
    </row>
    <row r="3669" ht="12.75">
      <c r="A3669" s="624"/>
    </row>
    <row r="3670" ht="12.75">
      <c r="A3670" s="624"/>
    </row>
    <row r="3671" ht="12.75">
      <c r="A3671" s="624"/>
    </row>
    <row r="3672" ht="12.75">
      <c r="A3672" s="624"/>
    </row>
    <row r="3673" ht="12.75">
      <c r="A3673" s="624"/>
    </row>
    <row r="3674" ht="12.75">
      <c r="A3674" s="624"/>
    </row>
    <row r="3675" ht="12.75">
      <c r="A3675" s="624"/>
    </row>
    <row r="3676" ht="12.75">
      <c r="A3676" s="624"/>
    </row>
    <row r="3677" ht="12.75">
      <c r="A3677" s="624"/>
    </row>
    <row r="3678" ht="12.75">
      <c r="A3678" s="624"/>
    </row>
    <row r="3679" ht="12.75">
      <c r="A3679" s="624"/>
    </row>
    <row r="3680" ht="12.75">
      <c r="A3680" s="624"/>
    </row>
    <row r="3681" ht="12.75">
      <c r="A3681" s="624"/>
    </row>
    <row r="3682" ht="12.75">
      <c r="A3682" s="624"/>
    </row>
    <row r="3683" ht="12.75">
      <c r="A3683" s="624"/>
    </row>
    <row r="3684" ht="12.75">
      <c r="A3684" s="624"/>
    </row>
    <row r="3685" ht="12.75">
      <c r="A3685" s="624"/>
    </row>
    <row r="3686" ht="12.75">
      <c r="A3686" s="624"/>
    </row>
    <row r="3687" ht="12.75">
      <c r="A3687" s="624"/>
    </row>
    <row r="3688" ht="12.75">
      <c r="A3688" s="624"/>
    </row>
    <row r="3689" ht="12.75">
      <c r="A3689" s="624"/>
    </row>
    <row r="3690" ht="12.75">
      <c r="A3690" s="624"/>
    </row>
    <row r="3691" ht="12.75">
      <c r="A3691" s="624"/>
    </row>
    <row r="3692" ht="12.75">
      <c r="A3692" s="624"/>
    </row>
    <row r="3693" ht="12.75">
      <c r="A3693" s="624"/>
    </row>
    <row r="3694" ht="12.75">
      <c r="A3694" s="624"/>
    </row>
    <row r="3695" ht="12.75">
      <c r="A3695" s="624"/>
    </row>
    <row r="3696" ht="12.75">
      <c r="A3696" s="624"/>
    </row>
    <row r="3697" ht="12.75">
      <c r="A3697" s="624"/>
    </row>
    <row r="3698" ht="12.75">
      <c r="A3698" s="624"/>
    </row>
    <row r="3699" ht="12.75">
      <c r="A3699" s="624"/>
    </row>
    <row r="3700" ht="12.75">
      <c r="A3700" s="624"/>
    </row>
    <row r="3701" ht="12.75">
      <c r="A3701" s="624"/>
    </row>
    <row r="3702" ht="12.75">
      <c r="A3702" s="624"/>
    </row>
    <row r="3703" ht="12.75">
      <c r="A3703" s="624"/>
    </row>
    <row r="3704" ht="12.75">
      <c r="A3704" s="624"/>
    </row>
    <row r="3705" ht="12.75">
      <c r="A3705" s="624"/>
    </row>
    <row r="3706" ht="12.75">
      <c r="A3706" s="624"/>
    </row>
    <row r="3707" ht="12.75">
      <c r="A3707" s="624"/>
    </row>
    <row r="3708" ht="12.75">
      <c r="A3708" s="624"/>
    </row>
    <row r="3709" ht="12.75">
      <c r="A3709" s="624"/>
    </row>
    <row r="3710" ht="12.75">
      <c r="A3710" s="624"/>
    </row>
    <row r="3711" ht="12.75">
      <c r="A3711" s="624"/>
    </row>
    <row r="3712" ht="12.75">
      <c r="A3712" s="624"/>
    </row>
    <row r="3713" ht="12.75">
      <c r="A3713" s="624"/>
    </row>
    <row r="3714" ht="12.75">
      <c r="A3714" s="624"/>
    </row>
    <row r="3715" ht="12.75">
      <c r="A3715" s="624"/>
    </row>
    <row r="3716" ht="12.75">
      <c r="A3716" s="624"/>
    </row>
    <row r="3717" ht="12.75">
      <c r="A3717" s="624"/>
    </row>
    <row r="3718" ht="12.75">
      <c r="A3718" s="624"/>
    </row>
    <row r="3719" ht="12.75">
      <c r="A3719" s="624"/>
    </row>
    <row r="3720" ht="12.75">
      <c r="A3720" s="624"/>
    </row>
    <row r="3721" ht="12.75">
      <c r="A3721" s="624"/>
    </row>
    <row r="3722" ht="12.75">
      <c r="A3722" s="624"/>
    </row>
    <row r="3723" ht="12.75">
      <c r="A3723" s="624"/>
    </row>
    <row r="3724" ht="12.75">
      <c r="A3724" s="624"/>
    </row>
    <row r="3725" ht="12.75">
      <c r="A3725" s="624"/>
    </row>
    <row r="3726" ht="12.75">
      <c r="A3726" s="624"/>
    </row>
    <row r="3727" ht="12.75">
      <c r="A3727" s="624"/>
    </row>
    <row r="3728" ht="12.75">
      <c r="A3728" s="624"/>
    </row>
    <row r="3729" ht="12.75">
      <c r="A3729" s="624"/>
    </row>
    <row r="3730" ht="12.75">
      <c r="A3730" s="624"/>
    </row>
    <row r="3731" ht="12.75">
      <c r="A3731" s="624"/>
    </row>
    <row r="3732" ht="12.75">
      <c r="A3732" s="624"/>
    </row>
    <row r="3733" ht="12.75">
      <c r="A3733" s="624"/>
    </row>
    <row r="3734" ht="12.75">
      <c r="A3734" s="624"/>
    </row>
    <row r="3735" ht="12.75">
      <c r="A3735" s="624"/>
    </row>
    <row r="3736" ht="12.75">
      <c r="A3736" s="624"/>
    </row>
    <row r="3737" ht="12.75">
      <c r="A3737" s="624"/>
    </row>
    <row r="3738" ht="12.75">
      <c r="A3738" s="624"/>
    </row>
    <row r="3739" ht="12.75">
      <c r="A3739" s="624"/>
    </row>
    <row r="3740" ht="12.75">
      <c r="A3740" s="624"/>
    </row>
    <row r="3741" ht="12.75">
      <c r="A3741" s="624"/>
    </row>
    <row r="3742" ht="12.75">
      <c r="A3742" s="624"/>
    </row>
    <row r="3743" ht="12.75">
      <c r="A3743" s="624"/>
    </row>
    <row r="3744" ht="12.75">
      <c r="A3744" s="624"/>
    </row>
    <row r="3745" ht="12.75">
      <c r="A3745" s="624"/>
    </row>
    <row r="3746" ht="12.75">
      <c r="A3746" s="624"/>
    </row>
    <row r="3747" ht="12.75">
      <c r="A3747" s="624"/>
    </row>
    <row r="3748" ht="12.75">
      <c r="A3748" s="624"/>
    </row>
    <row r="3749" ht="12.75">
      <c r="A3749" s="624"/>
    </row>
    <row r="3750" ht="12.75">
      <c r="A3750" s="624"/>
    </row>
    <row r="3751" ht="12.75">
      <c r="A3751" s="624"/>
    </row>
    <row r="3752" ht="12.75">
      <c r="A3752" s="624"/>
    </row>
    <row r="3753" ht="12.75">
      <c r="A3753" s="624"/>
    </row>
    <row r="3754" ht="12.75">
      <c r="A3754" s="624"/>
    </row>
    <row r="3755" ht="12.75">
      <c r="A3755" s="624"/>
    </row>
    <row r="3756" ht="12.75">
      <c r="A3756" s="624"/>
    </row>
    <row r="3757" ht="12.75">
      <c r="A3757" s="624"/>
    </row>
    <row r="3758" ht="12.75">
      <c r="A3758" s="624"/>
    </row>
    <row r="3759" ht="12.75">
      <c r="A3759" s="624"/>
    </row>
    <row r="3760" ht="12.75">
      <c r="A3760" s="624"/>
    </row>
    <row r="3761" ht="12.75">
      <c r="A3761" s="624"/>
    </row>
    <row r="3762" ht="12.75">
      <c r="A3762" s="624"/>
    </row>
    <row r="3763" ht="12.75">
      <c r="A3763" s="624"/>
    </row>
    <row r="3764" ht="12.75">
      <c r="A3764" s="624"/>
    </row>
    <row r="3765" ht="12.75">
      <c r="A3765" s="624"/>
    </row>
    <row r="3766" ht="12.75">
      <c r="A3766" s="624"/>
    </row>
    <row r="3767" ht="12.75">
      <c r="A3767" s="624"/>
    </row>
    <row r="3768" ht="12.75">
      <c r="A3768" s="624"/>
    </row>
    <row r="3769" ht="12.75">
      <c r="A3769" s="624"/>
    </row>
    <row r="3770" ht="12.75">
      <c r="A3770" s="624"/>
    </row>
    <row r="3771" ht="12.75">
      <c r="A3771" s="624"/>
    </row>
    <row r="3772" ht="12.75">
      <c r="A3772" s="624"/>
    </row>
    <row r="3773" ht="12.75">
      <c r="A3773" s="624"/>
    </row>
    <row r="3774" ht="12.75">
      <c r="A3774" s="624"/>
    </row>
    <row r="3775" ht="12.75">
      <c r="A3775" s="624"/>
    </row>
    <row r="3776" ht="12.75">
      <c r="A3776" s="624"/>
    </row>
    <row r="3777" ht="12.75">
      <c r="A3777" s="624"/>
    </row>
    <row r="3778" ht="12.75">
      <c r="A3778" s="624"/>
    </row>
    <row r="3779" ht="12.75">
      <c r="A3779" s="624"/>
    </row>
    <row r="3780" ht="12.75">
      <c r="A3780" s="624"/>
    </row>
    <row r="3781" ht="12.75">
      <c r="A3781" s="624"/>
    </row>
    <row r="3782" ht="12.75">
      <c r="A3782" s="624"/>
    </row>
    <row r="3783" ht="12.75">
      <c r="A3783" s="624"/>
    </row>
    <row r="3784" ht="12.75">
      <c r="A3784" s="624"/>
    </row>
    <row r="3785" ht="12.75">
      <c r="A3785" s="624"/>
    </row>
    <row r="3786" ht="12.75">
      <c r="A3786" s="624"/>
    </row>
    <row r="3787" ht="12.75">
      <c r="A3787" s="624"/>
    </row>
    <row r="3788" ht="12.75">
      <c r="A3788" s="624"/>
    </row>
    <row r="3789" ht="12.75">
      <c r="A3789" s="624"/>
    </row>
    <row r="3790" ht="12.75">
      <c r="A3790" s="624"/>
    </row>
    <row r="3791" ht="12.75">
      <c r="A3791" s="624"/>
    </row>
    <row r="3792" ht="12.75">
      <c r="A3792" s="624"/>
    </row>
    <row r="3793" ht="12.75">
      <c r="A3793" s="624"/>
    </row>
    <row r="3794" ht="12.75">
      <c r="A3794" s="624"/>
    </row>
    <row r="3795" ht="12.75">
      <c r="A3795" s="624"/>
    </row>
    <row r="3796" ht="12.75">
      <c r="A3796" s="624"/>
    </row>
    <row r="3797" ht="12.75">
      <c r="A3797" s="624"/>
    </row>
    <row r="3798" ht="12.75">
      <c r="A3798" s="624"/>
    </row>
    <row r="3799" ht="12.75">
      <c r="A3799" s="624"/>
    </row>
    <row r="3800" ht="12.75">
      <c r="A3800" s="624"/>
    </row>
    <row r="3801" ht="12.75">
      <c r="A3801" s="624"/>
    </row>
    <row r="3802" ht="12.75">
      <c r="A3802" s="624"/>
    </row>
    <row r="3803" ht="12.75">
      <c r="A3803" s="624"/>
    </row>
    <row r="3804" ht="12.75">
      <c r="A3804" s="624"/>
    </row>
    <row r="3805" ht="12.75">
      <c r="A3805" s="624"/>
    </row>
    <row r="3806" ht="12.75">
      <c r="A3806" s="624"/>
    </row>
    <row r="3807" ht="12.75">
      <c r="A3807" s="624"/>
    </row>
    <row r="3808" ht="12.75">
      <c r="A3808" s="624"/>
    </row>
    <row r="3809" ht="12.75">
      <c r="A3809" s="624"/>
    </row>
    <row r="3810" ht="12.75">
      <c r="A3810" s="624"/>
    </row>
    <row r="3811" ht="12.75">
      <c r="A3811" s="624"/>
    </row>
    <row r="3812" ht="12.75">
      <c r="A3812" s="624"/>
    </row>
    <row r="3813" ht="12.75">
      <c r="A3813" s="624"/>
    </row>
    <row r="3814" ht="12.75">
      <c r="A3814" s="624"/>
    </row>
    <row r="3815" ht="12.75">
      <c r="A3815" s="624"/>
    </row>
    <row r="3816" ht="12.75">
      <c r="A3816" s="624"/>
    </row>
    <row r="3817" ht="12.75">
      <c r="A3817" s="624"/>
    </row>
    <row r="3818" ht="12.75">
      <c r="A3818" s="624"/>
    </row>
    <row r="3819" ht="12.75">
      <c r="A3819" s="624"/>
    </row>
    <row r="3820" ht="12.75">
      <c r="A3820" s="624"/>
    </row>
    <row r="3821" ht="12.75">
      <c r="A3821" s="624"/>
    </row>
    <row r="3822" ht="12.75">
      <c r="A3822" s="624"/>
    </row>
    <row r="3823" ht="12.75">
      <c r="A3823" s="624"/>
    </row>
    <row r="3824" ht="12.75">
      <c r="A3824" s="624"/>
    </row>
    <row r="3825" ht="12.75">
      <c r="A3825" s="624"/>
    </row>
    <row r="3826" ht="12.75">
      <c r="A3826" s="624"/>
    </row>
    <row r="3827" ht="12.75">
      <c r="A3827" s="624"/>
    </row>
    <row r="3828" ht="12.75">
      <c r="A3828" s="624"/>
    </row>
    <row r="3829" ht="12.75">
      <c r="A3829" s="624"/>
    </row>
    <row r="3830" ht="12.75">
      <c r="A3830" s="624"/>
    </row>
    <row r="3831" ht="12.75">
      <c r="A3831" s="624"/>
    </row>
    <row r="3832" ht="12.75">
      <c r="A3832" s="624"/>
    </row>
    <row r="3833" ht="12.75">
      <c r="A3833" s="624"/>
    </row>
    <row r="3834" ht="12.75">
      <c r="A3834" s="624"/>
    </row>
    <row r="3835" ht="12.75">
      <c r="A3835" s="624"/>
    </row>
    <row r="3836" ht="12.75">
      <c r="A3836" s="624"/>
    </row>
    <row r="3837" ht="12.75">
      <c r="A3837" s="624"/>
    </row>
    <row r="3838" ht="12.75">
      <c r="A3838" s="624"/>
    </row>
    <row r="3839" ht="12.75">
      <c r="A3839" s="624"/>
    </row>
    <row r="3840" ht="12.75">
      <c r="A3840" s="624"/>
    </row>
    <row r="3841" ht="12.75">
      <c r="A3841" s="624"/>
    </row>
    <row r="3842" ht="12.75">
      <c r="A3842" s="624"/>
    </row>
    <row r="3843" ht="12.75">
      <c r="A3843" s="624"/>
    </row>
    <row r="3844" ht="12.75">
      <c r="A3844" s="624"/>
    </row>
    <row r="3845" ht="12.75">
      <c r="A3845" s="624"/>
    </row>
    <row r="3846" ht="12.75">
      <c r="A3846" s="624"/>
    </row>
    <row r="3847" ht="12.75">
      <c r="A3847" s="624"/>
    </row>
    <row r="3848" ht="12.75">
      <c r="A3848" s="624"/>
    </row>
    <row r="3849" ht="12.75">
      <c r="A3849" s="624"/>
    </row>
    <row r="3850" ht="12.75">
      <c r="A3850" s="624"/>
    </row>
    <row r="3851" ht="12.75">
      <c r="A3851" s="624"/>
    </row>
    <row r="3852" ht="12.75">
      <c r="A3852" s="624"/>
    </row>
    <row r="3853" ht="12.75">
      <c r="A3853" s="624"/>
    </row>
    <row r="3854" ht="12.75">
      <c r="A3854" s="624"/>
    </row>
    <row r="3855" ht="12.75">
      <c r="A3855" s="624"/>
    </row>
    <row r="3856" ht="12.75">
      <c r="A3856" s="624"/>
    </row>
    <row r="3857" ht="12.75">
      <c r="A3857" s="624"/>
    </row>
    <row r="3858" ht="12.75">
      <c r="A3858" s="624"/>
    </row>
    <row r="3859" ht="12.75">
      <c r="A3859" s="624"/>
    </row>
    <row r="3860" ht="12.75">
      <c r="A3860" s="624"/>
    </row>
    <row r="3861" ht="12.75">
      <c r="A3861" s="624"/>
    </row>
    <row r="3862" ht="12.75">
      <c r="A3862" s="624"/>
    </row>
    <row r="3863" ht="12.75">
      <c r="A3863" s="624"/>
    </row>
    <row r="3864" ht="12.75">
      <c r="A3864" s="624"/>
    </row>
    <row r="3865" ht="12.75">
      <c r="A3865" s="624"/>
    </row>
    <row r="3866" ht="12.75">
      <c r="A3866" s="624"/>
    </row>
    <row r="3867" ht="12.75">
      <c r="A3867" s="624"/>
    </row>
    <row r="3868" ht="12.75">
      <c r="A3868" s="624"/>
    </row>
    <row r="3869" ht="12.75">
      <c r="A3869" s="624"/>
    </row>
    <row r="3870" ht="12.75">
      <c r="A3870" s="624"/>
    </row>
    <row r="3871" ht="12.75">
      <c r="A3871" s="624"/>
    </row>
    <row r="3872" ht="12.75">
      <c r="A3872" s="624"/>
    </row>
    <row r="3873" ht="12.75">
      <c r="A3873" s="624"/>
    </row>
    <row r="3874" ht="12.75">
      <c r="A3874" s="624"/>
    </row>
    <row r="3875" ht="12.75">
      <c r="A3875" s="624"/>
    </row>
    <row r="3876" ht="12.75">
      <c r="A3876" s="624"/>
    </row>
    <row r="3877" ht="12.75">
      <c r="A3877" s="624"/>
    </row>
    <row r="3878" ht="12.75">
      <c r="A3878" s="624"/>
    </row>
    <row r="3879" ht="12.75">
      <c r="A3879" s="624"/>
    </row>
    <row r="3880" ht="12.75">
      <c r="A3880" s="624"/>
    </row>
    <row r="3881" ht="12.75">
      <c r="A3881" s="624"/>
    </row>
    <row r="3882" ht="12.75">
      <c r="A3882" s="624"/>
    </row>
    <row r="3883" ht="12.75">
      <c r="A3883" s="624"/>
    </row>
    <row r="3884" ht="12.75">
      <c r="A3884" s="624"/>
    </row>
    <row r="3885" ht="12.75">
      <c r="A3885" s="624"/>
    </row>
    <row r="3886" ht="12.75">
      <c r="A3886" s="624"/>
    </row>
    <row r="3887" ht="12.75">
      <c r="A3887" s="624"/>
    </row>
    <row r="3888" ht="12.75">
      <c r="A3888" s="624"/>
    </row>
    <row r="3889" ht="12.75">
      <c r="A3889" s="624"/>
    </row>
    <row r="3890" ht="12.75">
      <c r="A3890" s="624"/>
    </row>
    <row r="3891" ht="12.75">
      <c r="A3891" s="624"/>
    </row>
    <row r="3892" ht="12.75">
      <c r="A3892" s="624"/>
    </row>
    <row r="3893" ht="12.75">
      <c r="A3893" s="624"/>
    </row>
    <row r="3894" ht="12.75">
      <c r="A3894" s="624"/>
    </row>
    <row r="3895" ht="12.75">
      <c r="A3895" s="624"/>
    </row>
    <row r="3896" ht="12.75">
      <c r="A3896" s="624"/>
    </row>
    <row r="3897" ht="12.75">
      <c r="A3897" s="624"/>
    </row>
    <row r="3898" ht="12.75">
      <c r="A3898" s="624"/>
    </row>
    <row r="3899" ht="12.75">
      <c r="A3899" s="624"/>
    </row>
    <row r="3900" ht="12.75">
      <c r="A3900" s="624"/>
    </row>
    <row r="3901" ht="12.75">
      <c r="A3901" s="624"/>
    </row>
    <row r="3902" ht="12.75">
      <c r="A3902" s="624"/>
    </row>
    <row r="3903" ht="12.75">
      <c r="A3903" s="624"/>
    </row>
    <row r="3904" ht="12.75">
      <c r="A3904" s="624"/>
    </row>
    <row r="3905" ht="12.75">
      <c r="A3905" s="624"/>
    </row>
    <row r="3906" ht="12.75">
      <c r="A3906" s="624"/>
    </row>
    <row r="3907" ht="12.75">
      <c r="A3907" s="624"/>
    </row>
    <row r="3908" ht="12.75">
      <c r="A3908" s="624"/>
    </row>
    <row r="3909" ht="12.75">
      <c r="A3909" s="624"/>
    </row>
    <row r="3910" ht="12.75">
      <c r="A3910" s="624"/>
    </row>
    <row r="3911" ht="12.75">
      <c r="A3911" s="624"/>
    </row>
    <row r="3912" ht="12.75">
      <c r="A3912" s="624"/>
    </row>
    <row r="3913" ht="12.75">
      <c r="A3913" s="624"/>
    </row>
    <row r="3914" ht="12.75">
      <c r="A3914" s="624"/>
    </row>
    <row r="3915" ht="12.75">
      <c r="A3915" s="624"/>
    </row>
    <row r="3916" ht="12.75">
      <c r="A3916" s="624"/>
    </row>
    <row r="3917" ht="12.75">
      <c r="A3917" s="624"/>
    </row>
    <row r="3918" ht="12.75">
      <c r="A3918" s="624"/>
    </row>
    <row r="3919" ht="12.75">
      <c r="A3919" s="624"/>
    </row>
    <row r="3920" ht="12.75">
      <c r="A3920" s="624"/>
    </row>
    <row r="3921" ht="12.75">
      <c r="A3921" s="624"/>
    </row>
    <row r="3922" ht="12.75">
      <c r="A3922" s="624"/>
    </row>
    <row r="3923" ht="12.75">
      <c r="A3923" s="624"/>
    </row>
    <row r="3924" ht="12.75">
      <c r="A3924" s="624"/>
    </row>
    <row r="3925" ht="12.75">
      <c r="A3925" s="624"/>
    </row>
    <row r="3926" ht="12.75">
      <c r="A3926" s="624"/>
    </row>
    <row r="3927" ht="12.75">
      <c r="A3927" s="624"/>
    </row>
    <row r="3928" ht="12.75">
      <c r="A3928" s="624"/>
    </row>
    <row r="3929" ht="12.75">
      <c r="A3929" s="624"/>
    </row>
    <row r="3930" ht="12.75">
      <c r="A3930" s="624"/>
    </row>
    <row r="3931" ht="12.75">
      <c r="A3931" s="624"/>
    </row>
    <row r="3932" ht="12.75">
      <c r="A3932" s="624"/>
    </row>
    <row r="3933" ht="12.75">
      <c r="A3933" s="624"/>
    </row>
    <row r="3934" ht="12.75">
      <c r="A3934" s="624"/>
    </row>
    <row r="3935" ht="12.75">
      <c r="A3935" s="624"/>
    </row>
    <row r="3936" ht="12.75">
      <c r="A3936" s="624"/>
    </row>
    <row r="3937" ht="12.75">
      <c r="A3937" s="624"/>
    </row>
    <row r="3938" ht="12.75">
      <c r="A3938" s="624"/>
    </row>
    <row r="3939" ht="12.75">
      <c r="A3939" s="624"/>
    </row>
    <row r="3940" ht="12.75">
      <c r="A3940" s="624"/>
    </row>
    <row r="3941" ht="12.75">
      <c r="A3941" s="624"/>
    </row>
    <row r="3942" ht="12.75">
      <c r="A3942" s="624"/>
    </row>
    <row r="3943" ht="12.75">
      <c r="A3943" s="624"/>
    </row>
    <row r="3944" ht="12.75">
      <c r="A3944" s="624"/>
    </row>
    <row r="3945" ht="12.75">
      <c r="A3945" s="624"/>
    </row>
    <row r="3946" ht="12.75">
      <c r="A3946" s="624"/>
    </row>
    <row r="3947" ht="12.75">
      <c r="A3947" s="624"/>
    </row>
    <row r="3948" ht="12.75">
      <c r="A3948" s="624"/>
    </row>
    <row r="3949" ht="12.75">
      <c r="A3949" s="624"/>
    </row>
    <row r="3950" ht="12.75">
      <c r="A3950" s="624"/>
    </row>
    <row r="3951" ht="12.75">
      <c r="A3951" s="624"/>
    </row>
    <row r="3952" ht="12.75">
      <c r="A3952" s="624"/>
    </row>
    <row r="3953" ht="12.75">
      <c r="A3953" s="624"/>
    </row>
    <row r="3954" ht="12.75">
      <c r="A3954" s="624"/>
    </row>
    <row r="3955" ht="12.75">
      <c r="A3955" s="624"/>
    </row>
    <row r="3956" ht="12.75">
      <c r="A3956" s="624"/>
    </row>
    <row r="3957" ht="12.75">
      <c r="A3957" s="624"/>
    </row>
    <row r="3958" ht="12.75">
      <c r="A3958" s="624"/>
    </row>
    <row r="3959" ht="12.75">
      <c r="A3959" s="624"/>
    </row>
    <row r="3960" ht="12.75">
      <c r="A3960" s="624"/>
    </row>
    <row r="3961" ht="12.75">
      <c r="A3961" s="624"/>
    </row>
    <row r="3962" ht="12.75">
      <c r="A3962" s="624"/>
    </row>
    <row r="3963" ht="12.75">
      <c r="A3963" s="624"/>
    </row>
    <row r="3964" ht="12.75">
      <c r="A3964" s="624"/>
    </row>
    <row r="3965" ht="12.75">
      <c r="A3965" s="624"/>
    </row>
    <row r="3966" ht="12.75">
      <c r="A3966" s="624"/>
    </row>
    <row r="3967" ht="12.75">
      <c r="A3967" s="624"/>
    </row>
    <row r="3968" ht="12.75">
      <c r="A3968" s="624"/>
    </row>
    <row r="3969" ht="12.75">
      <c r="A3969" s="624"/>
    </row>
    <row r="3970" ht="12.75">
      <c r="A3970" s="624"/>
    </row>
    <row r="3971" ht="12.75">
      <c r="A3971" s="624"/>
    </row>
    <row r="3972" ht="12.75">
      <c r="A3972" s="624"/>
    </row>
    <row r="3973" ht="12.75">
      <c r="A3973" s="624"/>
    </row>
    <row r="3974" ht="12.75">
      <c r="A3974" s="624"/>
    </row>
    <row r="3975" ht="12.75">
      <c r="A3975" s="624"/>
    </row>
    <row r="3976" ht="12.75">
      <c r="A3976" s="624"/>
    </row>
    <row r="3977" ht="12.75">
      <c r="A3977" s="624"/>
    </row>
    <row r="3978" ht="12.75">
      <c r="A3978" s="624"/>
    </row>
    <row r="3979" ht="12.75">
      <c r="A3979" s="624"/>
    </row>
    <row r="3980" ht="12.75">
      <c r="A3980" s="624"/>
    </row>
    <row r="3981" ht="12.75">
      <c r="A3981" s="624"/>
    </row>
    <row r="3982" ht="12.75">
      <c r="A3982" s="624"/>
    </row>
    <row r="3983" ht="12.75">
      <c r="A3983" s="624"/>
    </row>
    <row r="3984" ht="12.75">
      <c r="A3984" s="624"/>
    </row>
    <row r="3985" ht="12.75">
      <c r="A3985" s="624"/>
    </row>
    <row r="3986" ht="12.75">
      <c r="A3986" s="624"/>
    </row>
    <row r="3987" ht="12.75">
      <c r="A3987" s="624"/>
    </row>
    <row r="3988" ht="12.75">
      <c r="A3988" s="624"/>
    </row>
    <row r="3989" ht="12.75">
      <c r="A3989" s="624"/>
    </row>
  </sheetData>
  <sheetProtection/>
  <mergeCells count="1">
    <mergeCell ref="B85:L85"/>
  </mergeCells>
  <printOptions/>
  <pageMargins left="0" right="0" top="0.4" bottom="0.5" header="0.5" footer="0.3"/>
  <pageSetup blackAndWhite="1" horizontalDpi="600" verticalDpi="600" orientation="landscape" scale="50" r:id="rId1"/>
</worksheet>
</file>

<file path=xl/worksheets/sheet4.xml><?xml version="1.0" encoding="utf-8"?>
<worksheet xmlns="http://schemas.openxmlformats.org/spreadsheetml/2006/main" xmlns:r="http://schemas.openxmlformats.org/officeDocument/2006/relationships">
  <sheetPr>
    <pageSetUpPr fitToPage="1"/>
  </sheetPr>
  <dimension ref="A1:AC82"/>
  <sheetViews>
    <sheetView zoomScaleSheetLayoutView="125" zoomScalePageLayoutView="0" workbookViewId="0" topLeftCell="A1">
      <pane ySplit="8" topLeftCell="BM9" activePane="bottomLeft" state="frozen"/>
      <selection pane="topLeft" activeCell="L28" sqref="L28"/>
      <selection pane="bottomLeft" activeCell="N4" sqref="N4"/>
    </sheetView>
  </sheetViews>
  <sheetFormatPr defaultColWidth="9.140625" defaultRowHeight="12.75"/>
  <cols>
    <col min="1" max="1" width="6.28125" style="236" customWidth="1"/>
    <col min="2" max="2" width="12.421875" style="229" customWidth="1"/>
    <col min="3" max="3" width="2.00390625" style="229" customWidth="1"/>
    <col min="4" max="4" width="11.57421875" style="229" hidden="1" customWidth="1"/>
    <col min="5" max="5" width="13.57421875" style="229" bestFit="1" customWidth="1"/>
    <col min="6" max="6" width="13.28125" style="229" bestFit="1" customWidth="1"/>
    <col min="7" max="7" width="1.421875" style="412" customWidth="1"/>
    <col min="8" max="8" width="12.8515625" style="212" customWidth="1"/>
    <col min="9" max="9" width="13.7109375" style="212" bestFit="1" customWidth="1"/>
    <col min="10" max="10" width="5.28125" style="412" bestFit="1" customWidth="1"/>
    <col min="11" max="11" width="1.1484375" style="412" customWidth="1"/>
    <col min="12" max="12" width="10.8515625" style="411" bestFit="1" customWidth="1"/>
    <col min="13" max="13" width="11.8515625" style="229" bestFit="1" customWidth="1"/>
    <col min="14" max="14" width="13.8515625" style="229" customWidth="1"/>
    <col min="15" max="15" width="11.7109375" style="244" bestFit="1" customWidth="1"/>
    <col min="16" max="16" width="10.00390625" style="229" customWidth="1"/>
    <col min="17" max="18" width="13.00390625" style="229" bestFit="1" customWidth="1"/>
    <col min="19" max="19" width="11.8515625" style="229" bestFit="1" customWidth="1"/>
    <col min="20" max="21" width="11.28125" style="229" bestFit="1" customWidth="1"/>
    <col min="22" max="22" width="14.140625" style="229" bestFit="1" customWidth="1"/>
    <col min="23" max="28" width="11.28125" style="229" bestFit="1" customWidth="1"/>
    <col min="29" max="29" width="14.140625" style="229" bestFit="1" customWidth="1"/>
    <col min="30" max="16384" width="9.140625" style="229" customWidth="1"/>
  </cols>
  <sheetData>
    <row r="1" spans="1:15" s="226" customFormat="1" ht="13.5" thickBot="1">
      <c r="A1" s="225" t="s">
        <v>538</v>
      </c>
      <c r="C1" s="227"/>
      <c r="D1" s="227"/>
      <c r="E1" s="227"/>
      <c r="F1" s="227"/>
      <c r="G1" s="410"/>
      <c r="L1" s="411"/>
      <c r="M1" s="227"/>
      <c r="N1" s="227"/>
      <c r="O1" s="797" t="s">
        <v>537</v>
      </c>
    </row>
    <row r="2" spans="1:17" s="226" customFormat="1" ht="12.75">
      <c r="A2" s="225" t="s">
        <v>436</v>
      </c>
      <c r="C2" s="227"/>
      <c r="D2" s="227"/>
      <c r="H2" s="227"/>
      <c r="K2" s="225"/>
      <c r="L2" s="410"/>
      <c r="M2" s="388" t="s">
        <v>539</v>
      </c>
      <c r="N2" s="389" t="s">
        <v>540</v>
      </c>
      <c r="O2" s="390">
        <v>0.07</v>
      </c>
      <c r="Q2" s="411"/>
    </row>
    <row r="3" spans="1:15" s="226" customFormat="1" ht="13.5" thickBot="1">
      <c r="A3" s="225"/>
      <c r="C3" s="227"/>
      <c r="D3" s="227"/>
      <c r="G3" s="410"/>
      <c r="L3" s="411"/>
      <c r="M3" s="391" t="s">
        <v>15</v>
      </c>
      <c r="N3" s="392" t="s">
        <v>542</v>
      </c>
      <c r="O3" s="393">
        <v>0.069</v>
      </c>
    </row>
    <row r="4" spans="1:15" s="226" customFormat="1" ht="12.75">
      <c r="A4" s="275"/>
      <c r="C4" s="227"/>
      <c r="D4" s="227"/>
      <c r="G4" s="410"/>
      <c r="L4" s="411"/>
      <c r="M4" s="227"/>
      <c r="N4" s="227"/>
      <c r="O4" s="228"/>
    </row>
    <row r="5" spans="1:15" ht="13.5" customHeight="1">
      <c r="A5" s="229"/>
      <c r="C5" s="230"/>
      <c r="D5" s="230"/>
      <c r="E5" s="231" t="s">
        <v>435</v>
      </c>
      <c r="F5" s="231"/>
      <c r="H5" s="25" t="s">
        <v>284</v>
      </c>
      <c r="I5" s="25"/>
      <c r="J5" s="413"/>
      <c r="K5" s="413"/>
      <c r="L5" s="414"/>
      <c r="M5" s="232"/>
      <c r="N5" s="232"/>
      <c r="O5" s="232"/>
    </row>
    <row r="6" spans="1:15" ht="13.5" customHeight="1">
      <c r="A6" s="229"/>
      <c r="C6" s="230"/>
      <c r="D6" s="230"/>
      <c r="E6" s="233"/>
      <c r="F6" s="233" t="s">
        <v>259</v>
      </c>
      <c r="H6" s="26"/>
      <c r="I6" s="26"/>
      <c r="J6" s="415"/>
      <c r="K6" s="415"/>
      <c r="L6" s="416"/>
      <c r="M6" s="234"/>
      <c r="N6" s="234"/>
      <c r="O6" s="235"/>
    </row>
    <row r="7" spans="3:18" ht="13.5" customHeight="1">
      <c r="C7" s="230"/>
      <c r="D7" s="230"/>
      <c r="E7" s="230"/>
      <c r="F7" s="237" t="s">
        <v>54</v>
      </c>
      <c r="H7" s="26"/>
      <c r="I7" s="26"/>
      <c r="J7" s="415"/>
      <c r="K7" s="415"/>
      <c r="L7" s="238" t="s">
        <v>299</v>
      </c>
      <c r="M7" s="232"/>
      <c r="N7" s="238"/>
      <c r="O7" s="232"/>
      <c r="P7" s="244"/>
      <c r="Q7" s="244"/>
      <c r="R7" s="244"/>
    </row>
    <row r="8" spans="1:18" ht="12.75">
      <c r="A8" s="239" t="s">
        <v>46</v>
      </c>
      <c r="B8" s="240" t="s">
        <v>35</v>
      </c>
      <c r="C8" s="241"/>
      <c r="D8" s="239" t="s">
        <v>263</v>
      </c>
      <c r="E8" s="27" t="s">
        <v>47</v>
      </c>
      <c r="F8" s="239" t="s">
        <v>55</v>
      </c>
      <c r="G8" s="417"/>
      <c r="H8" s="27" t="s">
        <v>47</v>
      </c>
      <c r="I8" s="25" t="s">
        <v>49</v>
      </c>
      <c r="J8" s="418"/>
      <c r="K8" s="417"/>
      <c r="L8" s="419" t="s">
        <v>50</v>
      </c>
      <c r="M8" s="242" t="s">
        <v>51</v>
      </c>
      <c r="N8" s="239" t="s">
        <v>300</v>
      </c>
      <c r="O8" s="239" t="s">
        <v>262</v>
      </c>
      <c r="P8" s="279"/>
      <c r="Q8" s="252"/>
      <c r="R8" s="244"/>
    </row>
    <row r="9" spans="1:18" ht="12.75">
      <c r="A9" s="243"/>
      <c r="B9" s="244"/>
      <c r="C9" s="235"/>
      <c r="D9" s="247"/>
      <c r="E9" s="245"/>
      <c r="F9" s="245" t="s">
        <v>56</v>
      </c>
      <c r="G9" s="420"/>
      <c r="H9" s="245"/>
      <c r="I9" s="245" t="s">
        <v>56</v>
      </c>
      <c r="J9" s="421"/>
      <c r="K9" s="422"/>
      <c r="L9" s="423"/>
      <c r="M9" s="246"/>
      <c r="N9" s="247"/>
      <c r="O9" s="247"/>
      <c r="P9" s="244"/>
      <c r="Q9" s="244"/>
      <c r="R9" s="244"/>
    </row>
    <row r="10" spans="1:15" ht="12.75">
      <c r="A10" s="243">
        <f>ROW()</f>
        <v>10</v>
      </c>
      <c r="B10" s="251" t="s">
        <v>267</v>
      </c>
      <c r="C10" s="253"/>
      <c r="D10" s="207"/>
      <c r="E10" s="207"/>
      <c r="F10" s="207"/>
      <c r="G10" s="425"/>
      <c r="H10" s="30" t="s">
        <v>57</v>
      </c>
      <c r="I10" s="207"/>
      <c r="J10" s="433"/>
      <c r="K10" s="425"/>
      <c r="L10" s="423"/>
      <c r="M10" s="256"/>
      <c r="N10" s="256"/>
      <c r="O10" s="235"/>
    </row>
    <row r="11" spans="1:15" ht="12.75">
      <c r="A11" s="243">
        <f>ROW()</f>
        <v>11</v>
      </c>
      <c r="B11" s="254" t="s">
        <v>52</v>
      </c>
      <c r="C11" s="253" t="s">
        <v>265</v>
      </c>
      <c r="D11" s="207">
        <v>0</v>
      </c>
      <c r="E11" s="207">
        <v>-37533000</v>
      </c>
      <c r="F11" s="207">
        <v>38851000</v>
      </c>
      <c r="G11" s="425"/>
      <c r="H11" s="209">
        <v>-37533000</v>
      </c>
      <c r="I11" s="28">
        <v>56501833.333333336</v>
      </c>
      <c r="J11" s="433">
        <v>40543</v>
      </c>
      <c r="K11" s="425"/>
      <c r="L11" s="429" t="s">
        <v>16</v>
      </c>
      <c r="M11" s="29">
        <v>3913642.0557077625</v>
      </c>
      <c r="N11" s="29">
        <f>+M11/(1-0.35)</f>
        <v>6020987.778011942</v>
      </c>
      <c r="O11" s="29">
        <f>N11/12</f>
        <v>501748.98150099517</v>
      </c>
    </row>
    <row r="12" spans="1:15" ht="12.75">
      <c r="A12" s="248">
        <f>ROW()</f>
        <v>12</v>
      </c>
      <c r="B12" s="250"/>
      <c r="C12" s="255"/>
      <c r="D12" s="210"/>
      <c r="E12" s="210"/>
      <c r="F12" s="210"/>
      <c r="G12" s="430"/>
      <c r="H12" s="211"/>
      <c r="I12" s="210"/>
      <c r="J12" s="434"/>
      <c r="K12" s="430"/>
      <c r="L12" s="424"/>
      <c r="M12" s="35"/>
      <c r="N12" s="35"/>
      <c r="O12" s="35"/>
    </row>
    <row r="13" spans="1:15" ht="12.75">
      <c r="A13" s="243">
        <f>ROW()</f>
        <v>13</v>
      </c>
      <c r="B13" s="251" t="s">
        <v>268</v>
      </c>
      <c r="C13" s="253"/>
      <c r="D13" s="207"/>
      <c r="E13" s="207"/>
      <c r="F13" s="207"/>
      <c r="G13" s="425"/>
      <c r="H13" s="30" t="s">
        <v>32</v>
      </c>
      <c r="I13" s="207"/>
      <c r="J13" s="433"/>
      <c r="K13" s="425"/>
      <c r="L13" s="423"/>
      <c r="M13" s="29"/>
      <c r="N13" s="29"/>
      <c r="O13" s="208"/>
    </row>
    <row r="14" spans="1:15" ht="12.75">
      <c r="A14" s="243">
        <f>ROW()</f>
        <v>14</v>
      </c>
      <c r="B14" s="254" t="s">
        <v>52</v>
      </c>
      <c r="C14" s="253" t="s">
        <v>265</v>
      </c>
      <c r="D14" s="207">
        <v>0</v>
      </c>
      <c r="E14" s="207">
        <v>-3526620</v>
      </c>
      <c r="F14" s="207">
        <v>15612243.00999999</v>
      </c>
      <c r="G14" s="425"/>
      <c r="H14" s="31">
        <f>+E14</f>
        <v>-3526620</v>
      </c>
      <c r="I14" s="28">
        <v>16811553.00999999</v>
      </c>
      <c r="J14" s="433">
        <v>40543</v>
      </c>
      <c r="K14" s="425"/>
      <c r="L14" s="429" t="s">
        <v>16</v>
      </c>
      <c r="M14" s="29">
        <v>1164464.8854762185</v>
      </c>
      <c r="N14" s="29">
        <f>+M14/(1-0.35)</f>
        <v>1791484.4391941824</v>
      </c>
      <c r="O14" s="29">
        <f>N14/12</f>
        <v>149290.36993284852</v>
      </c>
    </row>
    <row r="15" spans="1:15" ht="12.75">
      <c r="A15" s="248">
        <f>ROW()</f>
        <v>15</v>
      </c>
      <c r="B15" s="258"/>
      <c r="C15" s="255"/>
      <c r="D15" s="210"/>
      <c r="E15" s="210"/>
      <c r="F15" s="210"/>
      <c r="G15" s="430"/>
      <c r="H15" s="211"/>
      <c r="I15" s="210"/>
      <c r="J15" s="434"/>
      <c r="K15" s="430"/>
      <c r="L15" s="432"/>
      <c r="M15" s="35"/>
      <c r="N15" s="35"/>
      <c r="O15" s="35"/>
    </row>
    <row r="16" spans="1:15" ht="12.75">
      <c r="A16" s="243">
        <f>ROW()</f>
        <v>16</v>
      </c>
      <c r="B16" s="251" t="s">
        <v>212</v>
      </c>
      <c r="C16" s="253"/>
      <c r="D16" s="256"/>
      <c r="E16" s="207"/>
      <c r="F16" s="207"/>
      <c r="G16" s="425"/>
      <c r="H16" s="30" t="s">
        <v>213</v>
      </c>
      <c r="I16" s="207"/>
      <c r="J16" s="433"/>
      <c r="K16" s="435"/>
      <c r="L16" s="435"/>
      <c r="M16" s="29"/>
      <c r="N16" s="29"/>
      <c r="O16" s="208"/>
    </row>
    <row r="17" spans="1:15" ht="12.75">
      <c r="A17" s="243">
        <f>ROW()</f>
        <v>17</v>
      </c>
      <c r="B17" s="254" t="s">
        <v>52</v>
      </c>
      <c r="C17" s="253" t="s">
        <v>265</v>
      </c>
      <c r="D17" s="207">
        <v>0</v>
      </c>
      <c r="E17" s="207"/>
      <c r="F17" s="276">
        <v>24865721.81</v>
      </c>
      <c r="G17" s="425"/>
      <c r="H17" s="31">
        <v>0</v>
      </c>
      <c r="I17" s="28">
        <v>24579160.11916666</v>
      </c>
      <c r="J17" s="433">
        <v>40543</v>
      </c>
      <c r="K17" s="425"/>
      <c r="L17" s="429" t="s">
        <v>16</v>
      </c>
      <c r="M17" s="29">
        <v>1702494.0441993738</v>
      </c>
      <c r="N17" s="29">
        <f>+M17/(1-0.35)</f>
        <v>2619221.606460575</v>
      </c>
      <c r="O17" s="29">
        <f>N17/12</f>
        <v>218268.46720504793</v>
      </c>
    </row>
    <row r="18" spans="1:15" ht="12.75">
      <c r="A18" s="248">
        <f>ROW()</f>
        <v>18</v>
      </c>
      <c r="B18" s="250"/>
      <c r="C18" s="255"/>
      <c r="D18" s="210"/>
      <c r="E18" s="210"/>
      <c r="F18" s="210"/>
      <c r="G18" s="430"/>
      <c r="H18" s="211"/>
      <c r="I18" s="210"/>
      <c r="J18" s="434"/>
      <c r="K18" s="436"/>
      <c r="L18" s="436"/>
      <c r="M18" s="35"/>
      <c r="N18" s="35"/>
      <c r="O18" s="35"/>
    </row>
    <row r="19" spans="1:15" ht="12.75">
      <c r="A19" s="243">
        <f>ROW()</f>
        <v>19</v>
      </c>
      <c r="B19" s="251" t="s">
        <v>53</v>
      </c>
      <c r="C19" s="253"/>
      <c r="D19" s="207"/>
      <c r="E19" s="207"/>
      <c r="F19" s="207"/>
      <c r="G19" s="425"/>
      <c r="H19" s="30" t="s">
        <v>226</v>
      </c>
      <c r="I19" s="207"/>
      <c r="J19" s="433"/>
      <c r="K19" s="435"/>
      <c r="L19" s="435"/>
      <c r="M19" s="29"/>
      <c r="N19" s="29"/>
      <c r="O19" s="208"/>
    </row>
    <row r="20" spans="1:15" ht="12.75">
      <c r="A20" s="243">
        <f>ROW()</f>
        <v>20</v>
      </c>
      <c r="B20" s="254" t="s">
        <v>52</v>
      </c>
      <c r="C20" s="253" t="s">
        <v>265</v>
      </c>
      <c r="D20" s="207">
        <v>0</v>
      </c>
      <c r="E20" s="207">
        <v>-1494701.982071016</v>
      </c>
      <c r="F20" s="207">
        <v>37305563.86384112</v>
      </c>
      <c r="G20" s="437"/>
      <c r="H20" s="31">
        <f>+E20</f>
        <v>-1494701.982071016</v>
      </c>
      <c r="I20" s="28">
        <v>37977362.051959954</v>
      </c>
      <c r="J20" s="433">
        <v>40543</v>
      </c>
      <c r="K20" s="438"/>
      <c r="L20" s="429" t="s">
        <v>16</v>
      </c>
      <c r="M20" s="29">
        <v>2630530.5956100053</v>
      </c>
      <c r="N20" s="29">
        <f>+M20/(1-0.35)</f>
        <v>4046970.147092316</v>
      </c>
      <c r="O20" s="29">
        <f>N20/12</f>
        <v>337247.512257693</v>
      </c>
    </row>
    <row r="21" spans="1:15" ht="12.75">
      <c r="A21" s="248">
        <f>ROW()</f>
        <v>21</v>
      </c>
      <c r="B21" s="250"/>
      <c r="C21" s="255"/>
      <c r="D21" s="210"/>
      <c r="E21" s="210"/>
      <c r="F21" s="210"/>
      <c r="G21" s="430"/>
      <c r="H21" s="211"/>
      <c r="I21" s="210"/>
      <c r="J21" s="434"/>
      <c r="K21" s="436"/>
      <c r="L21" s="436"/>
      <c r="M21" s="35"/>
      <c r="N21" s="35"/>
      <c r="O21" s="35"/>
    </row>
    <row r="22" spans="1:15" ht="12.75">
      <c r="A22" s="243">
        <f>ROW()</f>
        <v>22</v>
      </c>
      <c r="B22" s="251" t="s">
        <v>308</v>
      </c>
      <c r="C22" s="253"/>
      <c r="D22" s="207"/>
      <c r="E22" s="207"/>
      <c r="F22" s="207"/>
      <c r="G22" s="207"/>
      <c r="H22" s="30" t="s">
        <v>17</v>
      </c>
      <c r="I22" s="207"/>
      <c r="J22" s="426"/>
      <c r="K22" s="425"/>
      <c r="L22" s="425"/>
      <c r="M22" s="29"/>
      <c r="N22" s="29"/>
      <c r="O22" s="29"/>
    </row>
    <row r="23" spans="1:15" ht="12.75">
      <c r="A23" s="243">
        <f>ROW()</f>
        <v>23</v>
      </c>
      <c r="B23" s="254" t="s">
        <v>52</v>
      </c>
      <c r="C23" s="253" t="s">
        <v>265</v>
      </c>
      <c r="D23" s="207"/>
      <c r="E23" s="207"/>
      <c r="F23" s="207">
        <v>-24911730</v>
      </c>
      <c r="G23" s="207"/>
      <c r="H23" s="31"/>
      <c r="I23" s="207">
        <v>-25951720.1725</v>
      </c>
      <c r="J23" s="433">
        <v>40543</v>
      </c>
      <c r="K23" s="425"/>
      <c r="L23" s="429" t="s">
        <v>16</v>
      </c>
      <c r="M23" s="29">
        <v>-1797565.4504140962</v>
      </c>
      <c r="N23" s="29">
        <f>+M23/(1-0.35)</f>
        <v>-2765485.3083293787</v>
      </c>
      <c r="O23" s="29">
        <f>N23/12</f>
        <v>-230457.10902744823</v>
      </c>
    </row>
    <row r="24" spans="1:15" ht="12.75">
      <c r="A24" s="248">
        <f>ROW()</f>
        <v>24</v>
      </c>
      <c r="B24" s="258"/>
      <c r="C24" s="255"/>
      <c r="D24" s="210"/>
      <c r="E24" s="210"/>
      <c r="F24" s="210"/>
      <c r="G24" s="210"/>
      <c r="H24" s="211"/>
      <c r="I24" s="210"/>
      <c r="J24" s="439"/>
      <c r="K24" s="430"/>
      <c r="L24" s="430"/>
      <c r="M24" s="35"/>
      <c r="N24" s="35"/>
      <c r="O24" s="35"/>
    </row>
    <row r="25" spans="1:15" ht="12.75">
      <c r="A25" s="243">
        <f>ROW()</f>
        <v>25</v>
      </c>
      <c r="B25" s="251" t="s">
        <v>18</v>
      </c>
      <c r="C25" s="253"/>
      <c r="D25" s="207"/>
      <c r="E25" s="207"/>
      <c r="F25" s="207"/>
      <c r="G25" s="207"/>
      <c r="H25" s="30" t="s">
        <v>19</v>
      </c>
      <c r="I25" s="207"/>
      <c r="J25" s="426"/>
      <c r="K25" s="425"/>
      <c r="L25" s="425"/>
      <c r="M25" s="29"/>
      <c r="N25" s="29"/>
      <c r="O25" s="29"/>
    </row>
    <row r="26" spans="1:15" ht="12.75">
      <c r="A26" s="243">
        <f>ROW()</f>
        <v>26</v>
      </c>
      <c r="B26" s="254" t="s">
        <v>52</v>
      </c>
      <c r="C26" s="253" t="s">
        <v>265</v>
      </c>
      <c r="D26" s="207"/>
      <c r="E26" s="207"/>
      <c r="F26" s="207">
        <v>-11282061.525</v>
      </c>
      <c r="G26" s="207"/>
      <c r="H26" s="31"/>
      <c r="I26" s="207">
        <v>-12226571.646875</v>
      </c>
      <c r="J26" s="433">
        <v>40543</v>
      </c>
      <c r="K26" s="425"/>
      <c r="L26" s="429" t="s">
        <v>16</v>
      </c>
      <c r="M26" s="29">
        <v>-846882.6969213526</v>
      </c>
      <c r="N26" s="29">
        <f>+M26/(1-0.35)</f>
        <v>-1302896.4568020809</v>
      </c>
      <c r="O26" s="29">
        <f>N26/12</f>
        <v>-108574.70473350673</v>
      </c>
    </row>
    <row r="27" spans="1:15" ht="12.75">
      <c r="A27" s="248">
        <f>ROW()</f>
        <v>27</v>
      </c>
      <c r="B27" s="213"/>
      <c r="C27" s="210"/>
      <c r="D27" s="210"/>
      <c r="E27" s="210"/>
      <c r="F27" s="210"/>
      <c r="G27" s="440"/>
      <c r="H27" s="210"/>
      <c r="I27" s="210"/>
      <c r="J27" s="434"/>
      <c r="K27" s="430"/>
      <c r="L27" s="432"/>
      <c r="M27" s="35"/>
      <c r="N27" s="35"/>
      <c r="O27" s="35"/>
    </row>
    <row r="28" spans="1:14" ht="12.75">
      <c r="A28" s="243">
        <f>ROW()</f>
        <v>28</v>
      </c>
      <c r="B28" s="251" t="s">
        <v>214</v>
      </c>
      <c r="C28" s="207"/>
      <c r="D28" s="207"/>
      <c r="E28" s="207"/>
      <c r="F28" s="207"/>
      <c r="G28" s="259"/>
      <c r="H28" s="32" t="s">
        <v>114</v>
      </c>
      <c r="I28" s="207"/>
      <c r="J28" s="260"/>
      <c r="K28" s="261"/>
      <c r="L28" s="262"/>
      <c r="M28" s="29"/>
      <c r="N28" s="29"/>
    </row>
    <row r="29" spans="1:15" ht="12.75">
      <c r="A29" s="243">
        <f>ROW()</f>
        <v>29</v>
      </c>
      <c r="B29" s="254" t="s">
        <v>52</v>
      </c>
      <c r="C29" s="253" t="s">
        <v>265</v>
      </c>
      <c r="D29" s="207"/>
      <c r="E29" s="207">
        <v>-2325347.950000004</v>
      </c>
      <c r="F29" s="207">
        <v>308554.7699999947</v>
      </c>
      <c r="G29" s="259"/>
      <c r="H29" s="31">
        <f>E29</f>
        <v>-2325347.950000004</v>
      </c>
      <c r="I29" s="207">
        <v>1445640.3254166653</v>
      </c>
      <c r="J29" s="433">
        <v>40543</v>
      </c>
      <c r="K29" s="261"/>
      <c r="L29" s="429" t="s">
        <v>16</v>
      </c>
      <c r="M29" s="29">
        <v>100133.36632105241</v>
      </c>
      <c r="N29" s="29">
        <f>+M29/(1-0.35)</f>
        <v>154051.33280161908</v>
      </c>
      <c r="O29" s="29">
        <f>N29/12</f>
        <v>12837.61106680159</v>
      </c>
    </row>
    <row r="30" spans="1:15" ht="12.75">
      <c r="A30" s="248">
        <f>ROW()</f>
        <v>30</v>
      </c>
      <c r="B30" s="258"/>
      <c r="C30" s="255"/>
      <c r="D30" s="210"/>
      <c r="E30" s="210"/>
      <c r="F30" s="210"/>
      <c r="G30" s="394"/>
      <c r="H30" s="210"/>
      <c r="I30" s="210"/>
      <c r="J30" s="431"/>
      <c r="K30" s="384"/>
      <c r="L30" s="395"/>
      <c r="M30" s="35"/>
      <c r="N30" s="35"/>
      <c r="O30" s="35"/>
    </row>
    <row r="31" spans="1:14" ht="12.75">
      <c r="A31" s="243">
        <f>ROW()</f>
        <v>31</v>
      </c>
      <c r="B31" s="251" t="s">
        <v>115</v>
      </c>
      <c r="C31" s="207"/>
      <c r="D31" s="207"/>
      <c r="E31" s="207"/>
      <c r="F31" s="207"/>
      <c r="G31" s="425"/>
      <c r="H31" s="30" t="s">
        <v>33</v>
      </c>
      <c r="I31" s="207"/>
      <c r="J31" s="426"/>
      <c r="K31" s="425"/>
      <c r="L31" s="423"/>
      <c r="M31" s="29"/>
      <c r="N31" s="29"/>
    </row>
    <row r="32" spans="1:15" ht="12.75">
      <c r="A32" s="243">
        <f>ROW()</f>
        <v>32</v>
      </c>
      <c r="B32" s="264" t="s">
        <v>52</v>
      </c>
      <c r="C32" s="253" t="s">
        <v>265</v>
      </c>
      <c r="D32" s="207"/>
      <c r="E32" s="207">
        <v>-4162153.8237249996</v>
      </c>
      <c r="F32" s="207">
        <v>2254124.075326387</v>
      </c>
      <c r="G32" s="259"/>
      <c r="H32" s="207">
        <f>E32</f>
        <v>-4162153.8237249996</v>
      </c>
      <c r="I32" s="207">
        <v>3605722.95478148</v>
      </c>
      <c r="J32" s="433">
        <v>40543</v>
      </c>
      <c r="K32" s="261"/>
      <c r="L32" s="429" t="s">
        <v>16</v>
      </c>
      <c r="M32" s="29">
        <v>249753.11710352162</v>
      </c>
      <c r="N32" s="29">
        <f>+M32/(1-0.35)</f>
        <v>384235.56477464864</v>
      </c>
      <c r="O32" s="29">
        <f>N32/12</f>
        <v>32019.630397887388</v>
      </c>
    </row>
    <row r="33" spans="1:15" ht="12.75">
      <c r="A33" s="248">
        <f>ROW()</f>
        <v>33</v>
      </c>
      <c r="B33" s="258"/>
      <c r="C33" s="255"/>
      <c r="D33" s="210"/>
      <c r="E33" s="210"/>
      <c r="F33" s="210"/>
      <c r="G33" s="394"/>
      <c r="H33" s="210"/>
      <c r="I33" s="210"/>
      <c r="J33" s="431"/>
      <c r="K33" s="384"/>
      <c r="L33" s="395"/>
      <c r="M33" s="35"/>
      <c r="N33" s="35"/>
      <c r="O33" s="35"/>
    </row>
    <row r="34" spans="1:17" s="244" customFormat="1" ht="13.5" customHeight="1">
      <c r="A34" s="243">
        <f>ROW()</f>
        <v>34</v>
      </c>
      <c r="B34" s="251" t="s">
        <v>116</v>
      </c>
      <c r="C34" s="253"/>
      <c r="D34" s="207"/>
      <c r="E34" s="207"/>
      <c r="F34" s="207"/>
      <c r="G34" s="259"/>
      <c r="H34" s="30" t="s">
        <v>34</v>
      </c>
      <c r="I34" s="207"/>
      <c r="J34" s="428"/>
      <c r="K34" s="261"/>
      <c r="L34" s="263"/>
      <c r="M34" s="29"/>
      <c r="N34" s="29"/>
      <c r="O34" s="29"/>
      <c r="Q34" s="229"/>
    </row>
    <row r="35" spans="1:17" s="244" customFormat="1" ht="12.75">
      <c r="A35" s="243">
        <f>ROW()</f>
        <v>35</v>
      </c>
      <c r="B35" s="264" t="s">
        <v>52</v>
      </c>
      <c r="C35" s="253" t="s">
        <v>265</v>
      </c>
      <c r="D35" s="207"/>
      <c r="E35" s="207">
        <v>1209583.3333333333</v>
      </c>
      <c r="F35" s="207">
        <v>0</v>
      </c>
      <c r="G35" s="259"/>
      <c r="H35" s="31">
        <f>E35</f>
        <v>1209583.3333333333</v>
      </c>
      <c r="I35" s="207">
        <v>-327264.69444444455</v>
      </c>
      <c r="J35" s="433">
        <v>40543</v>
      </c>
      <c r="K35" s="261"/>
      <c r="L35" s="429" t="s">
        <v>16</v>
      </c>
      <c r="M35" s="29">
        <v>-22668.235629984785</v>
      </c>
      <c r="N35" s="29">
        <f>+M35/(1-0.35)</f>
        <v>-34874.208661515055</v>
      </c>
      <c r="O35" s="29">
        <f>N35/12</f>
        <v>-2906.1840551262544</v>
      </c>
      <c r="Q35" s="229"/>
    </row>
    <row r="36" spans="1:15" ht="12.75">
      <c r="A36" s="248">
        <f>ROW()</f>
        <v>36</v>
      </c>
      <c r="B36" s="383"/>
      <c r="C36" s="255"/>
      <c r="D36" s="210"/>
      <c r="E36" s="210"/>
      <c r="F36" s="210"/>
      <c r="G36" s="394"/>
      <c r="H36" s="211"/>
      <c r="I36" s="210"/>
      <c r="J36" s="431"/>
      <c r="K36" s="384"/>
      <c r="L36" s="432"/>
      <c r="M36" s="35"/>
      <c r="N36" s="35"/>
      <c r="O36" s="35"/>
    </row>
    <row r="37" spans="1:15" ht="12.75">
      <c r="A37" s="243">
        <f>ROW()</f>
        <v>37</v>
      </c>
      <c r="B37" s="251" t="s">
        <v>215</v>
      </c>
      <c r="C37" s="253"/>
      <c r="D37" s="207"/>
      <c r="E37" s="207"/>
      <c r="F37" s="207"/>
      <c r="G37" s="259"/>
      <c r="H37" s="30" t="s">
        <v>216</v>
      </c>
      <c r="I37" s="207"/>
      <c r="J37" s="428"/>
      <c r="K37" s="261"/>
      <c r="L37" s="427"/>
      <c r="M37" s="29"/>
      <c r="N37" s="29"/>
      <c r="O37" s="29"/>
    </row>
    <row r="38" spans="1:15" ht="12.75">
      <c r="A38" s="243">
        <f>ROW()</f>
        <v>38</v>
      </c>
      <c r="B38" s="264" t="s">
        <v>52</v>
      </c>
      <c r="C38" s="253" t="s">
        <v>265</v>
      </c>
      <c r="D38" s="207"/>
      <c r="E38" s="207">
        <v>457531</v>
      </c>
      <c r="F38" s="207">
        <v>-1996797.2021111113</v>
      </c>
      <c r="G38" s="259"/>
      <c r="H38" s="31">
        <f>E38</f>
        <v>457531</v>
      </c>
      <c r="I38" s="207">
        <v>-2135207.6825416666</v>
      </c>
      <c r="J38" s="433">
        <v>40543</v>
      </c>
      <c r="K38" s="261"/>
      <c r="L38" s="429" t="s">
        <v>16</v>
      </c>
      <c r="M38" s="29">
        <v>-147896.76884936553</v>
      </c>
      <c r="N38" s="29">
        <f>+M38/(1-0.35)</f>
        <v>-227533.49053748543</v>
      </c>
      <c r="O38" s="29">
        <f>N38/12</f>
        <v>-18961.124211457118</v>
      </c>
    </row>
    <row r="39" spans="1:15" ht="12.75">
      <c r="A39" s="248">
        <f>ROW()</f>
        <v>39</v>
      </c>
      <c r="B39" s="383"/>
      <c r="C39" s="255"/>
      <c r="D39" s="210"/>
      <c r="E39" s="210"/>
      <c r="F39" s="210"/>
      <c r="G39" s="394"/>
      <c r="H39" s="211"/>
      <c r="I39" s="210"/>
      <c r="J39" s="431"/>
      <c r="K39" s="384"/>
      <c r="L39" s="432"/>
      <c r="M39" s="35"/>
      <c r="N39" s="35"/>
      <c r="O39" s="35"/>
    </row>
    <row r="40" spans="1:15" ht="12.75">
      <c r="A40" s="243">
        <f>ROW()</f>
        <v>40</v>
      </c>
      <c r="B40" s="251" t="s">
        <v>217</v>
      </c>
      <c r="C40" s="253"/>
      <c r="D40" s="207"/>
      <c r="E40" s="207"/>
      <c r="F40" s="32"/>
      <c r="G40" s="396"/>
      <c r="H40" s="30" t="s">
        <v>218</v>
      </c>
      <c r="I40" s="427"/>
      <c r="J40" s="29"/>
      <c r="K40" s="29"/>
      <c r="L40" s="29"/>
      <c r="M40" s="29"/>
      <c r="N40" s="29"/>
      <c r="O40" s="29"/>
    </row>
    <row r="41" spans="1:15" ht="12.75">
      <c r="A41" s="243">
        <f>ROW()</f>
        <v>41</v>
      </c>
      <c r="B41" s="264" t="s">
        <v>52</v>
      </c>
      <c r="C41" s="253"/>
      <c r="D41" s="207"/>
      <c r="E41" s="207">
        <v>-2159053</v>
      </c>
      <c r="F41" s="207">
        <v>26614738.14086189</v>
      </c>
      <c r="G41" s="259"/>
      <c r="H41" s="31">
        <f>E41</f>
        <v>-2159053</v>
      </c>
      <c r="I41" s="385">
        <v>26528891.378850214</v>
      </c>
      <c r="J41" s="433">
        <v>40543</v>
      </c>
      <c r="K41" s="261"/>
      <c r="L41" s="429" t="s">
        <v>16</v>
      </c>
      <c r="M41" s="29">
        <v>1344033.5873361593</v>
      </c>
      <c r="N41" s="29">
        <f>+M41/(1-0.35)</f>
        <v>2067743.980517168</v>
      </c>
      <c r="O41" s="29">
        <f>N41/9</f>
        <v>229749.33116857422</v>
      </c>
    </row>
    <row r="42" spans="1:15" ht="12.75">
      <c r="A42" s="248"/>
      <c r="B42" s="383"/>
      <c r="C42" s="255"/>
      <c r="D42" s="210"/>
      <c r="E42" s="210"/>
      <c r="F42" s="210"/>
      <c r="G42" s="394"/>
      <c r="H42" s="211"/>
      <c r="I42" s="210"/>
      <c r="J42" s="431"/>
      <c r="K42" s="384"/>
      <c r="L42" s="432"/>
      <c r="M42" s="35"/>
      <c r="N42" s="35"/>
      <c r="O42" s="35"/>
    </row>
    <row r="43" spans="1:15" ht="12.75">
      <c r="A43" s="243">
        <f>ROW()</f>
        <v>43</v>
      </c>
      <c r="B43" s="251" t="s">
        <v>219</v>
      </c>
      <c r="C43" s="253"/>
      <c r="D43" s="207"/>
      <c r="E43" s="32"/>
      <c r="F43" s="32"/>
      <c r="G43" s="396"/>
      <c r="H43" s="30" t="s">
        <v>220</v>
      </c>
      <c r="I43" s="427"/>
      <c r="J43" s="29"/>
      <c r="K43" s="29"/>
      <c r="L43" s="427"/>
      <c r="M43" s="29"/>
      <c r="N43" s="29"/>
      <c r="O43" s="29"/>
    </row>
    <row r="44" spans="1:15" ht="12.75">
      <c r="A44" s="243">
        <f>ROW()</f>
        <v>44</v>
      </c>
      <c r="B44" s="264" t="s">
        <v>52</v>
      </c>
      <c r="C44" s="253"/>
      <c r="D44" s="207"/>
      <c r="E44" s="207">
        <v>-2102005.908375584</v>
      </c>
      <c r="F44" s="207">
        <v>1752245.1082231905</v>
      </c>
      <c r="G44" s="259"/>
      <c r="H44" s="31">
        <f>E44</f>
        <v>-2102005.908375584</v>
      </c>
      <c r="I44" s="207">
        <v>2331346.6928644767</v>
      </c>
      <c r="J44" s="433">
        <v>40543</v>
      </c>
      <c r="K44" s="261"/>
      <c r="L44" s="429" t="s">
        <v>16</v>
      </c>
      <c r="M44" s="441">
        <v>118113.04943684905</v>
      </c>
      <c r="N44" s="29">
        <f>+M44/(1-0.35)</f>
        <v>181712.38374899852</v>
      </c>
      <c r="O44" s="29">
        <f>N44/9</f>
        <v>20190.264860999836</v>
      </c>
    </row>
    <row r="45" spans="1:15" ht="12.75">
      <c r="A45" s="248">
        <f>ROW()</f>
        <v>45</v>
      </c>
      <c r="B45" s="383"/>
      <c r="C45" s="255"/>
      <c r="D45" s="210"/>
      <c r="E45" s="210"/>
      <c r="F45" s="210"/>
      <c r="G45" s="394"/>
      <c r="H45" s="211"/>
      <c r="I45" s="210"/>
      <c r="J45" s="431"/>
      <c r="K45" s="384"/>
      <c r="L45" s="432"/>
      <c r="M45" s="35"/>
      <c r="N45" s="35"/>
      <c r="O45" s="35"/>
    </row>
    <row r="46" spans="1:15" ht="12.75">
      <c r="A46" s="243">
        <f>ROW()</f>
        <v>46</v>
      </c>
      <c r="B46" s="251" t="s">
        <v>227</v>
      </c>
      <c r="C46" s="253"/>
      <c r="D46" s="207"/>
      <c r="E46" s="207"/>
      <c r="F46" s="32"/>
      <c r="G46" s="259"/>
      <c r="H46" s="30" t="s">
        <v>221</v>
      </c>
      <c r="I46" s="207"/>
      <c r="J46" s="433"/>
      <c r="K46" s="261"/>
      <c r="L46" s="427"/>
      <c r="M46" s="29"/>
      <c r="N46" s="29"/>
      <c r="O46" s="29"/>
    </row>
    <row r="47" spans="1:15" ht="12.75">
      <c r="A47" s="243">
        <f>ROW()</f>
        <v>47</v>
      </c>
      <c r="B47" s="264" t="s">
        <v>52</v>
      </c>
      <c r="C47" s="253"/>
      <c r="D47" s="207"/>
      <c r="E47" s="207">
        <v>403219.66019417474</v>
      </c>
      <c r="F47" s="207">
        <v>-2737413.470873787</v>
      </c>
      <c r="G47" s="259"/>
      <c r="H47" s="31">
        <f>E47</f>
        <v>403219.66019417474</v>
      </c>
      <c r="I47" s="207">
        <v>-2267178.4245550167</v>
      </c>
      <c r="J47" s="433">
        <v>40543</v>
      </c>
      <c r="K47" s="261"/>
      <c r="L47" s="429" t="s">
        <v>16</v>
      </c>
      <c r="M47" s="29">
        <v>-127036.52914794302</v>
      </c>
      <c r="N47" s="29">
        <f>+M47/(1-0.35)</f>
        <v>-195440.8140737585</v>
      </c>
      <c r="O47" s="29">
        <f>N47/((296/365)*12)</f>
        <v>-20083.304374133404</v>
      </c>
    </row>
    <row r="48" spans="1:15" ht="12.75">
      <c r="A48" s="248">
        <f>ROW()</f>
        <v>48</v>
      </c>
      <c r="B48" s="383"/>
      <c r="C48" s="255"/>
      <c r="D48" s="210"/>
      <c r="E48" s="210"/>
      <c r="F48" s="210"/>
      <c r="G48" s="394"/>
      <c r="H48" s="211"/>
      <c r="I48" s="210"/>
      <c r="J48" s="431"/>
      <c r="K48" s="384"/>
      <c r="L48" s="432"/>
      <c r="M48" s="35"/>
      <c r="N48" s="35"/>
      <c r="O48" s="35"/>
    </row>
    <row r="49" spans="1:15" ht="12.75">
      <c r="A49" s="243">
        <f>ROW()</f>
        <v>49</v>
      </c>
      <c r="B49" s="251" t="s">
        <v>20</v>
      </c>
      <c r="C49" s="253"/>
      <c r="D49" s="207"/>
      <c r="E49" s="207"/>
      <c r="F49" s="32"/>
      <c r="G49" s="259"/>
      <c r="H49" s="31"/>
      <c r="I49" s="207"/>
      <c r="J49" s="433"/>
      <c r="K49" s="261"/>
      <c r="L49" s="427"/>
      <c r="M49" s="29"/>
      <c r="N49" s="29"/>
      <c r="O49" s="29"/>
    </row>
    <row r="50" spans="1:15" ht="12.75">
      <c r="A50" s="243">
        <f>ROW()</f>
        <v>50</v>
      </c>
      <c r="B50" s="251" t="s">
        <v>21</v>
      </c>
      <c r="C50" s="253"/>
      <c r="D50" s="207"/>
      <c r="E50" s="207"/>
      <c r="F50" s="32"/>
      <c r="G50" s="259"/>
      <c r="H50" s="30" t="s">
        <v>22</v>
      </c>
      <c r="I50" s="207"/>
      <c r="J50" s="433"/>
      <c r="K50" s="261"/>
      <c r="L50" s="427"/>
      <c r="M50" s="29"/>
      <c r="N50" s="29"/>
      <c r="O50" s="29"/>
    </row>
    <row r="51" spans="1:15" ht="12.75">
      <c r="A51" s="243">
        <f>ROW()</f>
        <v>51</v>
      </c>
      <c r="B51" s="264" t="s">
        <v>52</v>
      </c>
      <c r="C51" s="253"/>
      <c r="D51" s="207"/>
      <c r="E51" s="207">
        <v>-103306</v>
      </c>
      <c r="F51" s="207">
        <v>141403.3987096775</v>
      </c>
      <c r="G51" s="259"/>
      <c r="H51" s="397">
        <f>E51</f>
        <v>-103306</v>
      </c>
      <c r="I51" s="207">
        <v>115872.28795698927</v>
      </c>
      <c r="J51" s="433">
        <v>40543</v>
      </c>
      <c r="K51" s="261"/>
      <c r="L51" s="429" t="s">
        <v>16</v>
      </c>
      <c r="M51" s="29">
        <v>5870.439312056565</v>
      </c>
      <c r="N51" s="29">
        <f>+M51/(1-0.35)</f>
        <v>9031.445095471638</v>
      </c>
      <c r="O51" s="29">
        <f>N51/8</f>
        <v>1128.9306369339547</v>
      </c>
    </row>
    <row r="52" spans="1:15" ht="12.75">
      <c r="A52" s="248">
        <f>ROW()</f>
        <v>52</v>
      </c>
      <c r="B52" s="383"/>
      <c r="C52" s="255"/>
      <c r="D52" s="210"/>
      <c r="E52" s="210"/>
      <c r="F52" s="210"/>
      <c r="G52" s="394"/>
      <c r="H52" s="211"/>
      <c r="I52" s="210"/>
      <c r="J52" s="431"/>
      <c r="K52" s="384"/>
      <c r="L52" s="432"/>
      <c r="M52" s="35"/>
      <c r="N52" s="35"/>
      <c r="O52" s="35"/>
    </row>
    <row r="53" spans="1:15" ht="12.75">
      <c r="A53" s="243">
        <f>ROW()</f>
        <v>53</v>
      </c>
      <c r="B53" s="251" t="s">
        <v>23</v>
      </c>
      <c r="C53" s="253"/>
      <c r="D53" s="207"/>
      <c r="E53" s="207"/>
      <c r="F53" s="207"/>
      <c r="G53" s="259"/>
      <c r="H53" s="31"/>
      <c r="I53" s="207"/>
      <c r="J53" s="433"/>
      <c r="K53" s="261"/>
      <c r="L53" s="427"/>
      <c r="M53" s="29"/>
      <c r="N53" s="29"/>
      <c r="O53" s="29"/>
    </row>
    <row r="54" spans="1:15" ht="12.75">
      <c r="A54" s="243">
        <f>ROW()</f>
        <v>54</v>
      </c>
      <c r="B54" s="251" t="s">
        <v>21</v>
      </c>
      <c r="C54" s="253"/>
      <c r="D54" s="207"/>
      <c r="E54" s="207"/>
      <c r="F54" s="32"/>
      <c r="G54" s="259"/>
      <c r="H54" s="30" t="s">
        <v>222</v>
      </c>
      <c r="I54" s="207"/>
      <c r="J54" s="433"/>
      <c r="K54" s="261"/>
      <c r="L54" s="427"/>
      <c r="M54" s="29"/>
      <c r="N54" s="29"/>
      <c r="O54" s="29"/>
    </row>
    <row r="55" spans="1:15" ht="12.75">
      <c r="A55" s="243">
        <f>ROW()</f>
        <v>55</v>
      </c>
      <c r="B55" s="264" t="s">
        <v>52</v>
      </c>
      <c r="C55" s="253"/>
      <c r="D55" s="207"/>
      <c r="E55" s="207">
        <v>-259038</v>
      </c>
      <c r="F55" s="207">
        <v>413676.9900000002</v>
      </c>
      <c r="G55" s="259"/>
      <c r="H55" s="397">
        <f>E55</f>
        <v>-259038</v>
      </c>
      <c r="I55" s="207">
        <v>590967.09</v>
      </c>
      <c r="J55" s="433">
        <v>40543</v>
      </c>
      <c r="K55" s="261"/>
      <c r="L55" s="429" t="s">
        <v>16</v>
      </c>
      <c r="M55" s="29">
        <v>29940.173776109586</v>
      </c>
      <c r="N55" s="29">
        <f>+M55/(1-0.35)</f>
        <v>46061.80580939936</v>
      </c>
      <c r="O55" s="29">
        <f>N55/9</f>
        <v>5117.978423266595</v>
      </c>
    </row>
    <row r="56" spans="1:15" ht="12.75">
      <c r="A56" s="248">
        <f>ROW()</f>
        <v>56</v>
      </c>
      <c r="B56" s="383"/>
      <c r="C56" s="255"/>
      <c r="D56" s="210"/>
      <c r="E56" s="210"/>
      <c r="F56" s="210"/>
      <c r="G56" s="394"/>
      <c r="H56" s="211"/>
      <c r="I56" s="210"/>
      <c r="J56" s="431"/>
      <c r="K56" s="384"/>
      <c r="L56" s="432"/>
      <c r="M56" s="35"/>
      <c r="N56" s="35"/>
      <c r="O56" s="35"/>
    </row>
    <row r="57" spans="1:15" ht="12.75">
      <c r="A57" s="243">
        <f>ROW()</f>
        <v>57</v>
      </c>
      <c r="B57" s="251" t="s">
        <v>24</v>
      </c>
      <c r="C57" s="253"/>
      <c r="D57" s="207"/>
      <c r="E57" s="207"/>
      <c r="F57" s="207"/>
      <c r="G57" s="259"/>
      <c r="H57" s="31"/>
      <c r="I57" s="207"/>
      <c r="J57" s="433"/>
      <c r="K57" s="261"/>
      <c r="L57" s="427"/>
      <c r="M57" s="29"/>
      <c r="N57" s="29"/>
      <c r="O57" s="29"/>
    </row>
    <row r="58" spans="1:15" ht="12.75">
      <c r="A58" s="243">
        <f>ROW()</f>
        <v>58</v>
      </c>
      <c r="B58" s="251" t="s">
        <v>21</v>
      </c>
      <c r="C58" s="253"/>
      <c r="D58" s="207"/>
      <c r="E58" s="207"/>
      <c r="F58" s="32"/>
      <c r="G58" s="259"/>
      <c r="H58" s="30" t="s">
        <v>223</v>
      </c>
      <c r="I58" s="207"/>
      <c r="J58" s="433"/>
      <c r="K58" s="261"/>
      <c r="L58" s="427"/>
      <c r="M58" s="29"/>
      <c r="N58" s="29"/>
      <c r="O58" s="29"/>
    </row>
    <row r="59" spans="1:15" ht="12.75">
      <c r="A59" s="243">
        <f>ROW()</f>
        <v>59</v>
      </c>
      <c r="B59" s="264" t="s">
        <v>52</v>
      </c>
      <c r="C59" s="253"/>
      <c r="D59" s="207"/>
      <c r="E59" s="207">
        <v>-105555</v>
      </c>
      <c r="F59" s="207">
        <v>0</v>
      </c>
      <c r="G59" s="259"/>
      <c r="H59" s="397">
        <f>E59</f>
        <v>-105555</v>
      </c>
      <c r="I59" s="207">
        <v>62507.86666666666</v>
      </c>
      <c r="J59" s="433">
        <v>40543</v>
      </c>
      <c r="K59" s="261"/>
      <c r="L59" s="429" t="s">
        <v>16</v>
      </c>
      <c r="M59" s="29">
        <v>3166.8369052054795</v>
      </c>
      <c r="N59" s="29">
        <f>+M59/(1-0.35)</f>
        <v>4872.056777239199</v>
      </c>
      <c r="O59" s="29">
        <f>N59/9</f>
        <v>541.3396419154665</v>
      </c>
    </row>
    <row r="60" spans="1:15" ht="12.75">
      <c r="A60" s="248">
        <f>ROW()</f>
        <v>60</v>
      </c>
      <c r="B60" s="383"/>
      <c r="C60" s="255"/>
      <c r="D60" s="210"/>
      <c r="E60" s="210"/>
      <c r="F60" s="210"/>
      <c r="G60" s="394"/>
      <c r="H60" s="398"/>
      <c r="I60" s="210"/>
      <c r="J60" s="434"/>
      <c r="K60" s="384"/>
      <c r="L60" s="432"/>
      <c r="M60" s="35"/>
      <c r="N60" s="35"/>
      <c r="O60" s="35"/>
    </row>
    <row r="61" spans="1:15" ht="12.75">
      <c r="A61" s="243">
        <f>ROW()</f>
        <v>61</v>
      </c>
      <c r="B61" s="251" t="s">
        <v>224</v>
      </c>
      <c r="C61" s="253"/>
      <c r="D61" s="207"/>
      <c r="E61" s="207"/>
      <c r="F61" s="207"/>
      <c r="G61" s="259"/>
      <c r="H61" s="397"/>
      <c r="I61" s="207"/>
      <c r="J61" s="433"/>
      <c r="K61" s="261"/>
      <c r="L61" s="427"/>
      <c r="M61" s="29"/>
      <c r="N61" s="29"/>
      <c r="O61" s="29"/>
    </row>
    <row r="62" spans="1:15" ht="12.75">
      <c r="A62" s="243">
        <f>ROW()</f>
        <v>62</v>
      </c>
      <c r="B62" s="251" t="s">
        <v>228</v>
      </c>
      <c r="C62" s="253"/>
      <c r="D62" s="207"/>
      <c r="E62" s="207"/>
      <c r="F62" s="32"/>
      <c r="G62" s="259"/>
      <c r="H62" s="30" t="s">
        <v>205</v>
      </c>
      <c r="I62" s="207"/>
      <c r="J62" s="433"/>
      <c r="K62" s="261"/>
      <c r="L62" s="427"/>
      <c r="M62" s="29"/>
      <c r="N62" s="29"/>
      <c r="O62" s="29"/>
    </row>
    <row r="63" spans="1:19" ht="12.75">
      <c r="A63" s="243">
        <f>ROW()</f>
        <v>63</v>
      </c>
      <c r="B63" s="264" t="s">
        <v>52</v>
      </c>
      <c r="C63" s="253"/>
      <c r="D63" s="207"/>
      <c r="E63" s="399">
        <v>-456270</v>
      </c>
      <c r="F63" s="207">
        <v>1042903.1860869566</v>
      </c>
      <c r="G63" s="259"/>
      <c r="H63" s="400">
        <f>E63</f>
        <v>-456270</v>
      </c>
      <c r="I63" s="207">
        <v>678973.4284420289</v>
      </c>
      <c r="J63" s="433">
        <v>40543</v>
      </c>
      <c r="K63" s="261"/>
      <c r="L63" s="429" t="s">
        <v>16</v>
      </c>
      <c r="M63" s="29">
        <v>27467.730532534242</v>
      </c>
      <c r="N63" s="29">
        <f>+M63/(1-0.35)</f>
        <v>42258.0469731296</v>
      </c>
      <c r="O63" s="29">
        <f>N63/7</f>
        <v>6036.863853304229</v>
      </c>
      <c r="S63" s="442"/>
    </row>
    <row r="64" spans="1:29" ht="12.75">
      <c r="A64" s="248">
        <f>ROW()</f>
        <v>64</v>
      </c>
      <c r="B64" s="383"/>
      <c r="C64" s="255"/>
      <c r="D64" s="210"/>
      <c r="E64" s="210"/>
      <c r="F64" s="210"/>
      <c r="G64" s="394"/>
      <c r="H64" s="398"/>
      <c r="I64" s="210"/>
      <c r="J64" s="434"/>
      <c r="K64" s="384"/>
      <c r="L64" s="432"/>
      <c r="M64" s="35"/>
      <c r="N64" s="35"/>
      <c r="O64" s="35"/>
      <c r="V64" s="442"/>
      <c r="W64" s="442"/>
      <c r="X64" s="442"/>
      <c r="Y64" s="442"/>
      <c r="Z64" s="442"/>
      <c r="AA64" s="442"/>
      <c r="AB64" s="442"/>
      <c r="AC64" s="442"/>
    </row>
    <row r="65" spans="1:29" ht="12.75">
      <c r="A65" s="243">
        <f>ROW()</f>
        <v>65</v>
      </c>
      <c r="B65" s="443" t="s">
        <v>229</v>
      </c>
      <c r="C65" s="253"/>
      <c r="D65" s="207"/>
      <c r="E65" s="207"/>
      <c r="F65" s="207"/>
      <c r="G65" s="259"/>
      <c r="H65" s="30" t="s">
        <v>206</v>
      </c>
      <c r="I65" s="207"/>
      <c r="J65" s="433"/>
      <c r="K65" s="261"/>
      <c r="L65" s="427"/>
      <c r="M65" s="29"/>
      <c r="N65" s="29"/>
      <c r="O65" s="29"/>
      <c r="V65" s="442"/>
      <c r="W65" s="442"/>
      <c r="X65" s="442"/>
      <c r="Y65" s="442"/>
      <c r="Z65" s="442"/>
      <c r="AA65" s="442"/>
      <c r="AB65" s="442"/>
      <c r="AC65" s="442"/>
    </row>
    <row r="66" spans="1:29" ht="12.75">
      <c r="A66" s="257">
        <f>ROW()</f>
        <v>66</v>
      </c>
      <c r="B66" s="264" t="s">
        <v>52</v>
      </c>
      <c r="C66" s="253"/>
      <c r="D66" s="207"/>
      <c r="E66" s="207">
        <v>-61034.34347826087</v>
      </c>
      <c r="F66" s="207">
        <v>640860.606521739</v>
      </c>
      <c r="G66" s="259"/>
      <c r="H66" s="397">
        <f>E66</f>
        <v>-61034.34347826087</v>
      </c>
      <c r="I66" s="207">
        <v>82650.67346014491</v>
      </c>
      <c r="J66" s="433">
        <v>40543</v>
      </c>
      <c r="K66" s="261"/>
      <c r="L66" s="429" t="s">
        <v>16</v>
      </c>
      <c r="M66" s="29">
        <v>953.0868071061643</v>
      </c>
      <c r="N66" s="29">
        <f>+M66/(1-0.35)</f>
        <v>1466.2873955479452</v>
      </c>
      <c r="O66" s="29">
        <f>N66/2</f>
        <v>733.1436977739726</v>
      </c>
      <c r="V66" s="442"/>
      <c r="W66" s="442"/>
      <c r="X66" s="442"/>
      <c r="Y66" s="442"/>
      <c r="Z66" s="442"/>
      <c r="AA66" s="442"/>
      <c r="AB66" s="442"/>
      <c r="AC66" s="442"/>
    </row>
    <row r="67" spans="1:15" ht="12.75">
      <c r="A67" s="248">
        <f>ROW()</f>
        <v>67</v>
      </c>
      <c r="B67" s="213"/>
      <c r="C67" s="210"/>
      <c r="D67" s="210"/>
      <c r="E67" s="210"/>
      <c r="F67" s="210"/>
      <c r="G67" s="430"/>
      <c r="H67" s="210"/>
      <c r="I67" s="210"/>
      <c r="J67" s="439"/>
      <c r="K67" s="430"/>
      <c r="L67" s="424"/>
      <c r="M67" s="35"/>
      <c r="N67" s="35"/>
      <c r="O67" s="249"/>
    </row>
    <row r="68" spans="1:29" ht="12.75">
      <c r="A68" s="243">
        <f>ROW()</f>
        <v>68</v>
      </c>
      <c r="B68" s="265"/>
      <c r="C68" s="214"/>
      <c r="D68" s="214"/>
      <c r="E68" s="215"/>
      <c r="F68" s="215"/>
      <c r="G68" s="444"/>
      <c r="H68" s="266"/>
      <c r="I68" s="266"/>
      <c r="J68" s="445"/>
      <c r="K68" s="446"/>
      <c r="L68" s="401" t="s">
        <v>299</v>
      </c>
      <c r="M68" s="402"/>
      <c r="N68" s="402"/>
      <c r="O68" s="267"/>
      <c r="R68" s="442"/>
      <c r="S68" s="442"/>
      <c r="T68" s="442"/>
      <c r="U68" s="442"/>
      <c r="V68" s="442"/>
      <c r="W68" s="442"/>
      <c r="X68" s="442"/>
      <c r="Y68" s="442"/>
      <c r="Z68" s="442"/>
      <c r="AA68" s="442"/>
      <c r="AB68" s="442"/>
      <c r="AC68" s="442"/>
    </row>
    <row r="69" spans="1:15" ht="12.75">
      <c r="A69" s="243">
        <f>ROW()</f>
        <v>69</v>
      </c>
      <c r="B69" s="271" t="s">
        <v>264</v>
      </c>
      <c r="C69" s="240"/>
      <c r="D69" s="240"/>
      <c r="E69" s="33" t="s">
        <v>269</v>
      </c>
      <c r="F69" s="33" t="s">
        <v>270</v>
      </c>
      <c r="G69" s="447"/>
      <c r="H69" s="27" t="s">
        <v>47</v>
      </c>
      <c r="I69" s="25" t="s">
        <v>49</v>
      </c>
      <c r="J69" s="418"/>
      <c r="K69" s="417"/>
      <c r="L69" s="419" t="s">
        <v>50</v>
      </c>
      <c r="M69" s="419" t="s">
        <v>51</v>
      </c>
      <c r="N69" s="269" t="s">
        <v>300</v>
      </c>
      <c r="O69" s="272" t="s">
        <v>262</v>
      </c>
    </row>
    <row r="70" spans="1:15" ht="12.75">
      <c r="A70" s="243">
        <f>ROW()</f>
        <v>70</v>
      </c>
      <c r="B70" s="268"/>
      <c r="C70" s="216"/>
      <c r="D70" s="216"/>
      <c r="E70" s="217"/>
      <c r="F70" s="217"/>
      <c r="G70" s="422"/>
      <c r="H70" s="256"/>
      <c r="I70" s="256"/>
      <c r="J70" s="433"/>
      <c r="K70" s="425"/>
      <c r="L70" s="256"/>
      <c r="M70" s="273" t="s">
        <v>78</v>
      </c>
      <c r="N70" s="273"/>
      <c r="O70" s="270"/>
    </row>
    <row r="71" spans="1:16" ht="12.75">
      <c r="A71" s="243">
        <f>ROW()</f>
        <v>71</v>
      </c>
      <c r="B71" s="448" t="s">
        <v>58</v>
      </c>
      <c r="C71" s="449"/>
      <c r="D71" s="449"/>
      <c r="E71" s="450">
        <v>40179</v>
      </c>
      <c r="F71" s="450">
        <v>40543</v>
      </c>
      <c r="G71" s="451"/>
      <c r="H71" s="452">
        <f>SUMIF($J$10:$J$70,$J71,H$10:H$70)</f>
        <v>-52217752.01412235</v>
      </c>
      <c r="I71" s="452">
        <f>SUMIF($J$10:$J$70,$J71,I$10:I$70)</f>
        <v>128404538.59198247</v>
      </c>
      <c r="J71" s="453">
        <v>40543</v>
      </c>
      <c r="K71" s="454"/>
      <c r="L71" s="455" t="s">
        <v>16</v>
      </c>
      <c r="M71" s="452">
        <f>SUMIF($J$10:$J$70,$J71,M$10:M$70)</f>
        <v>8348513.287561213</v>
      </c>
      <c r="N71" s="456">
        <f>M71/0.65</f>
        <v>12843866.59624802</v>
      </c>
      <c r="O71" s="457">
        <f>N71/12</f>
        <v>1070322.2163540015</v>
      </c>
      <c r="P71" s="386"/>
    </row>
    <row r="72" spans="1:15" ht="12.75">
      <c r="A72" s="243">
        <f>ROW()</f>
        <v>72</v>
      </c>
      <c r="B72" s="403"/>
      <c r="C72" s="404"/>
      <c r="D72" s="404"/>
      <c r="E72" s="405"/>
      <c r="F72" s="405"/>
      <c r="G72" s="447"/>
      <c r="H72" s="406"/>
      <c r="I72" s="406"/>
      <c r="J72" s="458"/>
      <c r="K72" s="459"/>
      <c r="L72" s="407"/>
      <c r="M72" s="408"/>
      <c r="N72" s="408"/>
      <c r="O72" s="274"/>
    </row>
    <row r="73" spans="1:15" ht="12.75">
      <c r="A73" s="243">
        <f>ROW()</f>
        <v>73</v>
      </c>
      <c r="B73" s="796"/>
      <c r="C73" s="449"/>
      <c r="D73" s="449"/>
      <c r="E73" s="450"/>
      <c r="F73" s="450"/>
      <c r="G73" s="451"/>
      <c r="H73" s="452"/>
      <c r="I73" s="452"/>
      <c r="J73" s="453"/>
      <c r="K73" s="454"/>
      <c r="L73" s="455"/>
      <c r="M73" s="452"/>
      <c r="N73" s="456"/>
      <c r="O73" s="795"/>
    </row>
    <row r="74" spans="1:19" ht="12.75">
      <c r="A74" s="243">
        <f>ROW()</f>
        <v>74</v>
      </c>
      <c r="B74" s="277" t="s">
        <v>77</v>
      </c>
      <c r="S74" s="460"/>
    </row>
    <row r="75" spans="1:19" ht="12.75" hidden="1">
      <c r="A75" s="243">
        <f>ROW()</f>
        <v>75</v>
      </c>
      <c r="B75" s="277"/>
      <c r="S75" s="460"/>
    </row>
    <row r="76" spans="1:12" ht="12.75">
      <c r="A76" s="243">
        <f>ROW()</f>
        <v>76</v>
      </c>
      <c r="B76" s="277" t="s">
        <v>225</v>
      </c>
      <c r="F76" s="212"/>
      <c r="G76" s="212"/>
      <c r="H76" s="412"/>
      <c r="I76" s="411"/>
      <c r="J76" s="229"/>
      <c r="K76" s="229"/>
      <c r="L76" s="244"/>
    </row>
    <row r="77" spans="1:12" ht="12.75">
      <c r="A77" s="243">
        <f>ROW()</f>
        <v>77</v>
      </c>
      <c r="B77" s="387" t="s">
        <v>25</v>
      </c>
      <c r="F77" s="212"/>
      <c r="G77" s="212"/>
      <c r="H77" s="412"/>
      <c r="I77" s="411"/>
      <c r="J77" s="229"/>
      <c r="K77" s="229"/>
      <c r="L77" s="244"/>
    </row>
    <row r="78" spans="1:2" ht="12.75">
      <c r="A78" s="243">
        <f>ROW()</f>
        <v>78</v>
      </c>
      <c r="B78" s="277" t="s">
        <v>230</v>
      </c>
    </row>
    <row r="79" spans="1:2" ht="12.75">
      <c r="A79" s="243"/>
      <c r="B79" s="387"/>
    </row>
    <row r="80" ht="12.75">
      <c r="A80" s="243"/>
    </row>
    <row r="81" spans="1:2" ht="12.75">
      <c r="A81" s="243"/>
      <c r="B81" s="409"/>
    </row>
    <row r="82" spans="1:2" ht="12.75">
      <c r="A82" s="243"/>
      <c r="B82" s="409"/>
    </row>
  </sheetData>
  <sheetProtection/>
  <printOptions horizontalCentered="1"/>
  <pageMargins left="0.25" right="0.25" top="0.37" bottom="0.47" header="0.24" footer="0.22"/>
  <pageSetup blackAndWhite="1" cellComments="asDisplayed" fitToHeight="0" fitToWidth="1" horizontalDpi="600" verticalDpi="600" orientation="landscape" r:id="rId3"/>
  <headerFooter alignWithMargins="0">
    <oddFooter>&amp;R&amp;"Arial,Regular"&amp;10Page &amp;P of &amp;N</oddFooter>
  </headerFooter>
  <rowBreaks count="1" manualBreakCount="1">
    <brk id="42" max="14"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U103"/>
  <sheetViews>
    <sheetView zoomScale="88" zoomScaleNormal="88" zoomScalePageLayoutView="0" workbookViewId="0" topLeftCell="A1">
      <pane xSplit="1" topLeftCell="B1" activePane="topRight" state="frozen"/>
      <selection pane="topLeft" activeCell="L28" sqref="L28"/>
      <selection pane="topRight" activeCell="M18" sqref="M18"/>
    </sheetView>
  </sheetViews>
  <sheetFormatPr defaultColWidth="9.140625" defaultRowHeight="12.75"/>
  <cols>
    <col min="1" max="1" width="8.00390625" style="42" bestFit="1" customWidth="1"/>
    <col min="2" max="2" width="33.57421875" style="23" customWidth="1"/>
    <col min="3" max="3" width="25.140625" style="23" customWidth="1"/>
    <col min="4" max="4" width="17.140625" style="23" customWidth="1"/>
    <col min="5" max="5" width="11.00390625" style="23" customWidth="1"/>
    <col min="6" max="7" width="3.140625" style="23" customWidth="1"/>
    <col min="8" max="8" width="13.8515625" style="67" customWidth="1"/>
    <col min="9" max="9" width="9.28125" style="64" customWidth="1"/>
    <col min="10" max="10" width="3.8515625" style="23" customWidth="1"/>
    <col min="11" max="12" width="16.00390625" style="23" customWidth="1"/>
    <col min="13" max="13" width="16.00390625" style="44" customWidth="1"/>
    <col min="14" max="14" width="17.7109375" style="44" bestFit="1" customWidth="1"/>
    <col min="15" max="15" width="13.57421875" style="23" bestFit="1" customWidth="1"/>
    <col min="16" max="16" width="17.7109375" style="23" bestFit="1" customWidth="1"/>
    <col min="17" max="17" width="9.140625" style="23" customWidth="1"/>
    <col min="18" max="18" width="15.7109375" style="23" bestFit="1" customWidth="1"/>
    <col min="19" max="19" width="13.8515625" style="23" customWidth="1"/>
    <col min="20" max="20" width="15.00390625" style="23" bestFit="1" customWidth="1"/>
    <col min="21" max="16384" width="9.140625" style="23" customWidth="1"/>
  </cols>
  <sheetData>
    <row r="1" spans="1:8" ht="12.75">
      <c r="A1" s="62"/>
      <c r="H1" s="63" t="s">
        <v>146</v>
      </c>
    </row>
    <row r="2" spans="1:8" ht="12.75">
      <c r="A2" s="62"/>
      <c r="H2" s="65"/>
    </row>
    <row r="3" ht="13.5" thickBot="1">
      <c r="H3" s="65"/>
    </row>
    <row r="4" spans="2:8" ht="18.75" thickBot="1">
      <c r="B4" s="496" t="s">
        <v>339</v>
      </c>
      <c r="C4" s="497"/>
      <c r="D4" s="498"/>
      <c r="E4" s="1040"/>
      <c r="F4" s="1040"/>
      <c r="G4" s="1040"/>
      <c r="H4" s="67" t="s">
        <v>95</v>
      </c>
    </row>
    <row r="5" spans="1:8" ht="12.75">
      <c r="A5" s="42" t="s">
        <v>236</v>
      </c>
      <c r="B5" s="68"/>
      <c r="C5" s="42"/>
      <c r="D5" s="69" t="s">
        <v>79</v>
      </c>
      <c r="E5" s="66"/>
      <c r="F5" s="66"/>
      <c r="G5" s="66"/>
      <c r="H5" s="70"/>
    </row>
    <row r="6" spans="1:10" ht="12.75">
      <c r="A6" s="42">
        <v>3</v>
      </c>
      <c r="B6" s="71" t="s">
        <v>147</v>
      </c>
      <c r="C6" s="43"/>
      <c r="D6" s="72">
        <v>173406225.87331742</v>
      </c>
      <c r="E6" s="73"/>
      <c r="F6" s="73"/>
      <c r="G6" s="73"/>
      <c r="H6" s="74"/>
      <c r="J6" s="75"/>
    </row>
    <row r="7" spans="1:10" ht="12.75">
      <c r="A7" s="42">
        <v>4</v>
      </c>
      <c r="B7" s="71" t="s">
        <v>271</v>
      </c>
      <c r="C7" s="42"/>
      <c r="D7" s="76">
        <f>'Ex A-2 - 2007GRC'!F57</f>
        <v>107422862.53908436</v>
      </c>
      <c r="E7" s="73"/>
      <c r="F7" s="73"/>
      <c r="G7" s="73"/>
      <c r="H7" s="74"/>
      <c r="J7" s="75"/>
    </row>
    <row r="8" spans="1:10" ht="12.75">
      <c r="A8" s="42">
        <v>5</v>
      </c>
      <c r="B8" s="71" t="s">
        <v>272</v>
      </c>
      <c r="C8" s="42"/>
      <c r="D8" s="77">
        <v>1073506013.9168534</v>
      </c>
      <c r="E8" s="78"/>
      <c r="F8" s="78"/>
      <c r="G8" s="78"/>
      <c r="H8" s="79"/>
      <c r="J8" s="75"/>
    </row>
    <row r="9" spans="1:10" ht="12.75">
      <c r="A9" s="42">
        <v>6</v>
      </c>
      <c r="D9" s="80">
        <f>SUM(D6:D8)</f>
        <v>1354335102.329255</v>
      </c>
      <c r="E9" s="78"/>
      <c r="F9" s="78"/>
      <c r="G9" s="78"/>
      <c r="H9" s="81" t="s">
        <v>43</v>
      </c>
      <c r="J9" s="75"/>
    </row>
    <row r="10" spans="1:10" ht="12.75">
      <c r="A10" s="42">
        <v>7</v>
      </c>
      <c r="B10" s="71" t="s">
        <v>273</v>
      </c>
      <c r="C10" s="42"/>
      <c r="D10" s="82">
        <v>0.07</v>
      </c>
      <c r="E10" s="83"/>
      <c r="F10" s="78"/>
      <c r="G10" s="78"/>
      <c r="H10" s="81" t="s">
        <v>44</v>
      </c>
      <c r="J10" s="75"/>
    </row>
    <row r="11" spans="1:14" ht="12.75">
      <c r="A11" s="42">
        <v>8</v>
      </c>
      <c r="B11" s="71"/>
      <c r="C11" s="42"/>
      <c r="D11" s="79"/>
      <c r="E11" s="84" t="s">
        <v>80</v>
      </c>
      <c r="F11" s="78"/>
      <c r="G11" s="78"/>
      <c r="H11" s="85">
        <v>0.96663</v>
      </c>
      <c r="J11" s="75"/>
      <c r="N11" s="572"/>
    </row>
    <row r="12" spans="1:19" ht="12.75">
      <c r="A12" s="42">
        <v>9</v>
      </c>
      <c r="D12" s="79"/>
      <c r="E12" s="86" t="s">
        <v>274</v>
      </c>
      <c r="F12" s="87"/>
      <c r="G12" s="87"/>
      <c r="H12" s="88" t="s">
        <v>45</v>
      </c>
      <c r="J12" s="75"/>
      <c r="K12" s="69" t="s">
        <v>148</v>
      </c>
      <c r="L12" s="69" t="s">
        <v>260</v>
      </c>
      <c r="M12" s="572"/>
      <c r="N12" s="572"/>
      <c r="O12" s="44"/>
      <c r="S12" s="89"/>
    </row>
    <row r="13" spans="1:21" ht="12.75">
      <c r="A13" s="42">
        <v>10</v>
      </c>
      <c r="B13" s="71" t="s">
        <v>81</v>
      </c>
      <c r="D13" s="72">
        <f>(D6*D10)/0.65</f>
        <v>18674516.63251111</v>
      </c>
      <c r="E13" s="90">
        <f aca="true" t="shared" si="0" ref="E13:E36">ROUND(D13/$D$40,3)</f>
        <v>0.877</v>
      </c>
      <c r="F13" s="87"/>
      <c r="G13" s="87" t="s">
        <v>275</v>
      </c>
      <c r="H13" s="79"/>
      <c r="J13" s="75"/>
      <c r="K13" s="91"/>
      <c r="L13" s="92"/>
      <c r="M13" s="92"/>
      <c r="N13" s="93"/>
      <c r="O13" s="44"/>
      <c r="S13" s="44"/>
      <c r="T13" s="72"/>
      <c r="U13" s="94"/>
    </row>
    <row r="14" spans="1:21" ht="12.75">
      <c r="A14" s="42">
        <v>11</v>
      </c>
      <c r="B14" s="23" t="s">
        <v>82</v>
      </c>
      <c r="D14" s="95">
        <f>(D7*D10)/0.65</f>
        <v>11568615.965747548</v>
      </c>
      <c r="E14" s="90">
        <f t="shared" si="0"/>
        <v>0.544</v>
      </c>
      <c r="F14" s="87" t="s">
        <v>276</v>
      </c>
      <c r="G14" s="87"/>
      <c r="H14" s="79">
        <f>D14</f>
        <v>11568615.965747548</v>
      </c>
      <c r="J14" s="75"/>
      <c r="K14" s="97">
        <f>SUM(H13:H14)</f>
        <v>11568615.965747548</v>
      </c>
      <c r="L14" s="98">
        <f>H14/12</f>
        <v>964051.3304789624</v>
      </c>
      <c r="M14" s="92"/>
      <c r="O14" s="96"/>
      <c r="S14" s="44"/>
      <c r="T14" s="95"/>
      <c r="U14" s="94"/>
    </row>
    <row r="15" spans="1:21" ht="12.75">
      <c r="A15" s="42">
        <v>12</v>
      </c>
      <c r="B15" s="23" t="s">
        <v>83</v>
      </c>
      <c r="D15" s="95">
        <f>(D8*D10)/0.65</f>
        <v>115608339.96027653</v>
      </c>
      <c r="E15" s="90">
        <f t="shared" si="0"/>
        <v>5.432</v>
      </c>
      <c r="F15" s="87" t="s">
        <v>276</v>
      </c>
      <c r="G15" s="87"/>
      <c r="H15" s="79">
        <f>D15/$H$11</f>
        <v>119599370.96952973</v>
      </c>
      <c r="J15" s="75"/>
      <c r="K15" s="97">
        <f>SUM(H15)</f>
        <v>119599370.96952973</v>
      </c>
      <c r="L15" s="98">
        <f>H15/12</f>
        <v>9966614.24746081</v>
      </c>
      <c r="M15" s="98"/>
      <c r="N15" s="536"/>
      <c r="O15" s="534"/>
      <c r="P15" s="535"/>
      <c r="S15" s="44"/>
      <c r="T15" s="95"/>
      <c r="U15" s="94"/>
    </row>
    <row r="16" spans="1:21" ht="12.75">
      <c r="A16" s="42">
        <v>13</v>
      </c>
      <c r="B16" s="99" t="s">
        <v>36</v>
      </c>
      <c r="D16" s="79">
        <v>54253262.051806524</v>
      </c>
      <c r="E16" s="90">
        <f t="shared" si="0"/>
        <v>2.549</v>
      </c>
      <c r="F16" s="87"/>
      <c r="G16" s="87" t="s">
        <v>275</v>
      </c>
      <c r="H16" s="79"/>
      <c r="I16" s="100">
        <v>0</v>
      </c>
      <c r="J16" s="75"/>
      <c r="K16" s="91"/>
      <c r="L16" s="92"/>
      <c r="M16" s="92"/>
      <c r="O16" s="96"/>
      <c r="S16" s="96"/>
      <c r="T16" s="79"/>
      <c r="U16" s="94"/>
    </row>
    <row r="17" spans="1:21" ht="12.75">
      <c r="A17" s="42">
        <v>14</v>
      </c>
      <c r="B17" s="96" t="s">
        <v>59</v>
      </c>
      <c r="C17" s="44"/>
      <c r="D17" s="101">
        <v>744150956.6576872</v>
      </c>
      <c r="E17" s="90">
        <f t="shared" si="0"/>
        <v>34.963</v>
      </c>
      <c r="F17" s="87"/>
      <c r="G17" s="87" t="s">
        <v>275</v>
      </c>
      <c r="H17" s="79"/>
      <c r="I17" s="100">
        <v>0</v>
      </c>
      <c r="J17" s="75"/>
      <c r="K17" s="91"/>
      <c r="L17" s="92"/>
      <c r="M17" s="92"/>
      <c r="O17" s="44"/>
      <c r="S17" s="96"/>
      <c r="T17" s="101"/>
      <c r="U17" s="94"/>
    </row>
    <row r="18" spans="1:21" ht="12.75">
      <c r="A18" s="42" t="s">
        <v>37</v>
      </c>
      <c r="B18" s="96" t="s">
        <v>149</v>
      </c>
      <c r="C18" s="44"/>
      <c r="D18" s="101">
        <v>-8416594.268564237</v>
      </c>
      <c r="E18" s="90">
        <f t="shared" si="0"/>
        <v>-0.395</v>
      </c>
      <c r="F18" s="87"/>
      <c r="G18" s="87" t="s">
        <v>275</v>
      </c>
      <c r="H18" s="79"/>
      <c r="J18" s="75"/>
      <c r="K18" s="91"/>
      <c r="L18" s="92"/>
      <c r="M18" s="92"/>
      <c r="O18" s="44"/>
      <c r="S18" s="96"/>
      <c r="T18" s="101"/>
      <c r="U18" s="94"/>
    </row>
    <row r="19" spans="1:21" ht="12.75">
      <c r="A19" s="42">
        <v>15</v>
      </c>
      <c r="B19" s="96" t="s">
        <v>38</v>
      </c>
      <c r="C19" s="44"/>
      <c r="D19" s="101">
        <v>5850443.855750202</v>
      </c>
      <c r="E19" s="90">
        <f t="shared" si="0"/>
        <v>0.275</v>
      </c>
      <c r="F19" s="87" t="s">
        <v>276</v>
      </c>
      <c r="G19" s="87"/>
      <c r="H19" s="79">
        <f>D19/$H$11</f>
        <v>6052412.873333336</v>
      </c>
      <c r="J19" s="75"/>
      <c r="K19" s="91"/>
      <c r="L19" s="98">
        <f>H19/12</f>
        <v>504367.73944444465</v>
      </c>
      <c r="M19" s="92"/>
      <c r="O19" s="44"/>
      <c r="S19" s="96"/>
      <c r="T19" s="95"/>
      <c r="U19" s="94"/>
    </row>
    <row r="20" spans="1:21" ht="12.75">
      <c r="A20" s="42" t="s">
        <v>75</v>
      </c>
      <c r="B20" s="45" t="s">
        <v>150</v>
      </c>
      <c r="C20" s="44"/>
      <c r="D20" s="95">
        <v>2635276.894596699</v>
      </c>
      <c r="E20" s="90">
        <f t="shared" si="0"/>
        <v>0.124</v>
      </c>
      <c r="F20" s="87" t="s">
        <v>276</v>
      </c>
      <c r="G20" s="87"/>
      <c r="H20" s="79">
        <f>D20/$H$11</f>
        <v>2726251.92120739</v>
      </c>
      <c r="J20" s="75"/>
      <c r="K20" s="102"/>
      <c r="L20" s="98">
        <f aca="true" t="shared" si="1" ref="L20:L35">H20/12</f>
        <v>227187.66010061582</v>
      </c>
      <c r="M20" s="92"/>
      <c r="O20" s="44"/>
      <c r="S20" s="96"/>
      <c r="T20" s="95"/>
      <c r="U20" s="94"/>
    </row>
    <row r="21" spans="1:21" ht="12.75">
      <c r="A21" s="42" t="s">
        <v>84</v>
      </c>
      <c r="B21" s="45" t="s">
        <v>85</v>
      </c>
      <c r="C21" s="44"/>
      <c r="D21" s="95">
        <v>2254735.118127749</v>
      </c>
      <c r="E21" s="90">
        <f t="shared" si="0"/>
        <v>0.106</v>
      </c>
      <c r="F21" s="87" t="s">
        <v>276</v>
      </c>
      <c r="G21" s="87"/>
      <c r="H21" s="79">
        <f>D21/$H$11</f>
        <v>2332573.0818697424</v>
      </c>
      <c r="J21" s="75"/>
      <c r="K21" s="91"/>
      <c r="L21" s="98">
        <f t="shared" si="1"/>
        <v>194381.09015581186</v>
      </c>
      <c r="M21" s="92"/>
      <c r="O21" s="44"/>
      <c r="S21" s="96"/>
      <c r="T21" s="95"/>
      <c r="U21" s="94"/>
    </row>
    <row r="22" spans="1:21" ht="12.75">
      <c r="A22" s="42" t="s">
        <v>86</v>
      </c>
      <c r="B22" s="45" t="s">
        <v>87</v>
      </c>
      <c r="C22" s="44"/>
      <c r="D22" s="95">
        <v>1613205.936592215</v>
      </c>
      <c r="E22" s="90">
        <f t="shared" si="0"/>
        <v>0.076</v>
      </c>
      <c r="F22" s="87" t="s">
        <v>276</v>
      </c>
      <c r="G22" s="87"/>
      <c r="H22" s="79">
        <f>D22/$H$11</f>
        <v>1668897.0304999999</v>
      </c>
      <c r="J22" s="75"/>
      <c r="K22" s="91"/>
      <c r="L22" s="98">
        <f t="shared" si="1"/>
        <v>139074.75254166665</v>
      </c>
      <c r="M22" s="92"/>
      <c r="O22" s="44"/>
      <c r="S22" s="96"/>
      <c r="T22" s="95"/>
      <c r="U22" s="94"/>
    </row>
    <row r="23" spans="1:21" ht="12.75">
      <c r="A23" s="42" t="s">
        <v>88</v>
      </c>
      <c r="B23" s="45" t="s">
        <v>89</v>
      </c>
      <c r="C23" s="44"/>
      <c r="D23" s="95">
        <v>1152861.116463147</v>
      </c>
      <c r="E23" s="90">
        <f t="shared" si="0"/>
        <v>0.054</v>
      </c>
      <c r="F23" s="87" t="s">
        <v>276</v>
      </c>
      <c r="G23" s="87"/>
      <c r="H23" s="79">
        <f>D23/$H$11</f>
        <v>1192660.1869</v>
      </c>
      <c r="J23" s="75"/>
      <c r="K23" s="91"/>
      <c r="L23" s="98">
        <f t="shared" si="1"/>
        <v>99388.34890833334</v>
      </c>
      <c r="M23" s="92"/>
      <c r="O23" s="44"/>
      <c r="S23" s="96"/>
      <c r="T23" s="95"/>
      <c r="U23" s="94"/>
    </row>
    <row r="24" spans="1:21" ht="12.75">
      <c r="A24" s="42">
        <v>16</v>
      </c>
      <c r="B24" s="96" t="s">
        <v>39</v>
      </c>
      <c r="C24" s="44"/>
      <c r="D24" s="101">
        <v>122267324.06979647</v>
      </c>
      <c r="E24" s="90">
        <f t="shared" si="0"/>
        <v>5.745</v>
      </c>
      <c r="F24" s="87"/>
      <c r="G24" s="87" t="s">
        <v>275</v>
      </c>
      <c r="H24" s="79"/>
      <c r="I24" s="100"/>
      <c r="J24" s="75"/>
      <c r="K24" s="91"/>
      <c r="L24" s="98"/>
      <c r="M24" s="92"/>
      <c r="O24" s="96"/>
      <c r="S24" s="44"/>
      <c r="T24" s="101"/>
      <c r="U24" s="94"/>
    </row>
    <row r="25" spans="1:21" ht="12.75">
      <c r="A25" s="42">
        <v>17</v>
      </c>
      <c r="B25" s="96" t="s">
        <v>40</v>
      </c>
      <c r="C25" s="44"/>
      <c r="D25" s="95">
        <v>67657484.05092235</v>
      </c>
      <c r="E25" s="90">
        <f t="shared" si="0"/>
        <v>3.179</v>
      </c>
      <c r="F25" s="87"/>
      <c r="G25" s="87" t="s">
        <v>275</v>
      </c>
      <c r="H25" s="79"/>
      <c r="I25" s="100">
        <v>0</v>
      </c>
      <c r="J25" s="75"/>
      <c r="K25" s="91"/>
      <c r="L25" s="98"/>
      <c r="M25" s="92"/>
      <c r="O25" s="44"/>
      <c r="S25" s="44"/>
      <c r="T25" s="95"/>
      <c r="U25" s="94"/>
    </row>
    <row r="26" spans="1:21" ht="12.75">
      <c r="A26" s="42">
        <v>18</v>
      </c>
      <c r="B26" s="44" t="s">
        <v>277</v>
      </c>
      <c r="C26" s="44"/>
      <c r="D26" s="79">
        <v>-4458228.05505</v>
      </c>
      <c r="E26" s="90">
        <f t="shared" si="0"/>
        <v>-0.209</v>
      </c>
      <c r="F26" s="87"/>
      <c r="G26" s="87" t="s">
        <v>275</v>
      </c>
      <c r="H26" s="79"/>
      <c r="J26" s="75"/>
      <c r="K26" s="103"/>
      <c r="L26" s="98"/>
      <c r="M26" s="92"/>
      <c r="O26" s="44"/>
      <c r="S26" s="44"/>
      <c r="T26" s="79"/>
      <c r="U26" s="94"/>
    </row>
    <row r="27" spans="1:21" ht="12.75">
      <c r="A27" s="42">
        <v>19</v>
      </c>
      <c r="B27" s="96" t="s">
        <v>26</v>
      </c>
      <c r="C27" s="44"/>
      <c r="D27" s="79">
        <v>96183223.35610138</v>
      </c>
      <c r="E27" s="90">
        <f t="shared" si="0"/>
        <v>4.519</v>
      </c>
      <c r="F27" s="87" t="s">
        <v>276</v>
      </c>
      <c r="G27" s="87"/>
      <c r="H27" s="79">
        <f>D27/$H$11</f>
        <v>99503660.50722757</v>
      </c>
      <c r="I27" s="100">
        <v>0</v>
      </c>
      <c r="J27" s="75"/>
      <c r="K27" s="97">
        <f>SUM(H19:H35)</f>
        <v>196754144.88049874</v>
      </c>
      <c r="L27" s="98">
        <f t="shared" si="1"/>
        <v>8291971.7089356305</v>
      </c>
      <c r="M27" s="98"/>
      <c r="N27" s="536"/>
      <c r="O27" s="44"/>
      <c r="S27" s="89"/>
      <c r="T27" s="79"/>
      <c r="U27" s="94"/>
    </row>
    <row r="28" spans="1:21" ht="12.75">
      <c r="A28" s="42">
        <v>20</v>
      </c>
      <c r="B28" s="96" t="s">
        <v>27</v>
      </c>
      <c r="C28" s="44"/>
      <c r="D28" s="79">
        <v>-14704466.470082223</v>
      </c>
      <c r="E28" s="90">
        <f t="shared" si="0"/>
        <v>-0.691</v>
      </c>
      <c r="F28" s="87"/>
      <c r="G28" s="87" t="s">
        <v>275</v>
      </c>
      <c r="H28" s="79"/>
      <c r="I28" s="100">
        <v>0</v>
      </c>
      <c r="J28" s="75"/>
      <c r="K28" s="91"/>
      <c r="L28" s="98"/>
      <c r="M28" s="92"/>
      <c r="O28" s="44"/>
      <c r="S28" s="44"/>
      <c r="T28" s="79"/>
      <c r="U28" s="94"/>
    </row>
    <row r="29" spans="1:21" s="109" customFormat="1" ht="12.75">
      <c r="A29" s="46">
        <v>21</v>
      </c>
      <c r="B29" s="96" t="s">
        <v>28</v>
      </c>
      <c r="C29" s="104"/>
      <c r="D29" s="105">
        <v>-149656.06068647528</v>
      </c>
      <c r="E29" s="106">
        <f t="shared" si="0"/>
        <v>-0.007</v>
      </c>
      <c r="F29" s="107"/>
      <c r="G29" s="107" t="s">
        <v>275</v>
      </c>
      <c r="H29" s="105"/>
      <c r="I29" s="64"/>
      <c r="J29" s="108"/>
      <c r="K29" s="91"/>
      <c r="L29" s="98"/>
      <c r="M29" s="92"/>
      <c r="N29" s="44"/>
      <c r="O29" s="44"/>
      <c r="S29" s="44"/>
      <c r="T29" s="105"/>
      <c r="U29" s="94"/>
    </row>
    <row r="30" spans="1:21" ht="12.75">
      <c r="A30" s="42">
        <v>22</v>
      </c>
      <c r="B30" s="44" t="s">
        <v>278</v>
      </c>
      <c r="C30" s="44"/>
      <c r="D30" s="79">
        <v>1136455.29144</v>
      </c>
      <c r="E30" s="90">
        <f t="shared" si="0"/>
        <v>0.053</v>
      </c>
      <c r="F30" s="87" t="s">
        <v>276</v>
      </c>
      <c r="G30" s="87"/>
      <c r="H30" s="79">
        <f>D30/$H$11</f>
        <v>1175688</v>
      </c>
      <c r="J30" s="75"/>
      <c r="K30" s="110"/>
      <c r="L30" s="98">
        <f t="shared" si="1"/>
        <v>97974</v>
      </c>
      <c r="M30" s="92"/>
      <c r="N30" s="111"/>
      <c r="O30" s="104"/>
      <c r="S30" s="112"/>
      <c r="T30" s="79"/>
      <c r="U30" s="94"/>
    </row>
    <row r="31" spans="1:21" ht="12.75">
      <c r="A31" s="42">
        <v>23</v>
      </c>
      <c r="B31" s="24" t="s">
        <v>151</v>
      </c>
      <c r="C31" s="44"/>
      <c r="D31" s="79">
        <v>57354747.51988007</v>
      </c>
      <c r="E31" s="90">
        <f t="shared" si="0"/>
        <v>2.695</v>
      </c>
      <c r="F31" s="87" t="s">
        <v>276</v>
      </c>
      <c r="G31" s="87"/>
      <c r="H31" s="79">
        <f>D31/$H$11</f>
        <v>59334748.06273349</v>
      </c>
      <c r="J31" s="75"/>
      <c r="K31" s="91"/>
      <c r="L31" s="98">
        <f t="shared" si="1"/>
        <v>4944562.338561124</v>
      </c>
      <c r="M31" s="92"/>
      <c r="O31" s="44"/>
      <c r="S31" s="96"/>
      <c r="T31" s="79"/>
      <c r="U31" s="94"/>
    </row>
    <row r="32" spans="1:21" ht="12.75">
      <c r="A32" s="42">
        <v>24</v>
      </c>
      <c r="B32" s="68" t="s">
        <v>296</v>
      </c>
      <c r="C32" s="113"/>
      <c r="D32" s="79">
        <v>4053896.691831329</v>
      </c>
      <c r="E32" s="90">
        <f t="shared" si="0"/>
        <v>0.19</v>
      </c>
      <c r="F32" s="87" t="s">
        <v>276</v>
      </c>
      <c r="G32" s="87"/>
      <c r="H32" s="79">
        <f>D32</f>
        <v>4053896.691831329</v>
      </c>
      <c r="J32" s="75"/>
      <c r="K32" s="114"/>
      <c r="L32" s="98">
        <f t="shared" si="1"/>
        <v>337824.7243192774</v>
      </c>
      <c r="M32" s="92"/>
      <c r="N32" s="104"/>
      <c r="O32" s="44"/>
      <c r="S32" s="104"/>
      <c r="T32" s="79"/>
      <c r="U32" s="94"/>
    </row>
    <row r="33" spans="1:21" ht="12.75">
      <c r="A33" s="47">
        <v>25</v>
      </c>
      <c r="B33" s="24" t="s">
        <v>152</v>
      </c>
      <c r="C33" s="44"/>
      <c r="D33" s="95">
        <v>40316620.6631326</v>
      </c>
      <c r="E33" s="90">
        <f t="shared" si="0"/>
        <v>1.894</v>
      </c>
      <c r="F33" s="107"/>
      <c r="G33" s="107" t="s">
        <v>275</v>
      </c>
      <c r="H33" s="79"/>
      <c r="J33" s="75"/>
      <c r="K33" s="91"/>
      <c r="L33" s="98"/>
      <c r="M33" s="92"/>
      <c r="O33" s="44"/>
      <c r="S33" s="44"/>
      <c r="T33" s="95"/>
      <c r="U33" s="94"/>
    </row>
    <row r="34" spans="1:21" ht="12.75">
      <c r="A34" s="42">
        <v>26</v>
      </c>
      <c r="B34" s="23" t="s">
        <v>297</v>
      </c>
      <c r="C34" s="113" t="s">
        <v>266</v>
      </c>
      <c r="D34" s="95">
        <v>14671707.332519999</v>
      </c>
      <c r="E34" s="115">
        <f t="shared" si="0"/>
        <v>0.689</v>
      </c>
      <c r="F34" s="116" t="s">
        <v>276</v>
      </c>
      <c r="G34" s="116"/>
      <c r="H34" s="79">
        <f>D34/$H$11</f>
        <v>15178203.999999998</v>
      </c>
      <c r="J34" s="75"/>
      <c r="K34" s="102"/>
      <c r="L34" s="98">
        <f t="shared" si="1"/>
        <v>1264850.3333333333</v>
      </c>
      <c r="M34" s="92"/>
      <c r="S34" s="99"/>
      <c r="T34" s="95"/>
      <c r="U34" s="94"/>
    </row>
    <row r="35" spans="1:21" ht="12.75">
      <c r="A35" s="42">
        <f aca="true" t="shared" si="2" ref="A35:A50">A34+1</f>
        <v>27</v>
      </c>
      <c r="B35" s="23" t="s">
        <v>298</v>
      </c>
      <c r="C35" s="42"/>
      <c r="D35" s="95">
        <v>3535152.5248959097</v>
      </c>
      <c r="E35" s="115">
        <f t="shared" si="0"/>
        <v>0.166</v>
      </c>
      <c r="F35" s="116" t="s">
        <v>276</v>
      </c>
      <c r="G35" s="116"/>
      <c r="H35" s="95">
        <f>D35</f>
        <v>3535152.5248959097</v>
      </c>
      <c r="J35" s="75"/>
      <c r="K35" s="102"/>
      <c r="L35" s="98">
        <f t="shared" si="1"/>
        <v>294596.0437413258</v>
      </c>
      <c r="M35" s="92"/>
      <c r="S35" s="99"/>
      <c r="T35" s="95"/>
      <c r="U35" s="94"/>
    </row>
    <row r="36" spans="1:21" ht="12.75">
      <c r="A36" s="42">
        <f t="shared" si="2"/>
        <v>28</v>
      </c>
      <c r="B36" s="117" t="s">
        <v>96</v>
      </c>
      <c r="C36" s="42"/>
      <c r="D36" s="118">
        <v>285295.4023731</v>
      </c>
      <c r="E36" s="119">
        <f t="shared" si="0"/>
        <v>0.013</v>
      </c>
      <c r="F36" s="120"/>
      <c r="G36" s="107" t="s">
        <v>275</v>
      </c>
      <c r="H36" s="118"/>
      <c r="J36" s="75"/>
      <c r="K36" s="102"/>
      <c r="L36" s="92"/>
      <c r="M36" s="92"/>
      <c r="S36" s="99"/>
      <c r="T36" s="95"/>
      <c r="U36" s="94"/>
    </row>
    <row r="37" spans="1:20" ht="13.5" thickBot="1">
      <c r="A37" s="42">
        <f t="shared" si="2"/>
        <v>29</v>
      </c>
      <c r="B37" s="23" t="s">
        <v>153</v>
      </c>
      <c r="C37" s="121"/>
      <c r="D37" s="72">
        <f>SUM(D13:D36)</f>
        <v>1337495176.238069</v>
      </c>
      <c r="E37" s="122">
        <f>SUM(E13:E36)</f>
        <v>62.84099999999999</v>
      </c>
      <c r="F37" s="1034" t="s">
        <v>279</v>
      </c>
      <c r="G37" s="1034"/>
      <c r="H37" s="79">
        <f>SUM(H13:H36)</f>
        <v>327922131.81577605</v>
      </c>
      <c r="J37" s="75"/>
      <c r="K37" s="123"/>
      <c r="L37" s="92"/>
      <c r="M37" s="92"/>
      <c r="S37" s="96"/>
      <c r="T37" s="44"/>
    </row>
    <row r="38" spans="1:20" ht="12.75">
      <c r="A38" s="42">
        <f t="shared" si="2"/>
        <v>30</v>
      </c>
      <c r="B38" s="23" t="s">
        <v>280</v>
      </c>
      <c r="D38" s="124">
        <v>0.9559032</v>
      </c>
      <c r="E38" s="125"/>
      <c r="F38" s="87"/>
      <c r="G38" s="87"/>
      <c r="H38" s="79"/>
      <c r="I38" s="126"/>
      <c r="J38" s="75"/>
      <c r="K38" s="96"/>
      <c r="L38" s="127"/>
      <c r="M38" s="127"/>
      <c r="S38" s="96"/>
      <c r="T38" s="44"/>
    </row>
    <row r="39" spans="1:19" ht="12.75">
      <c r="A39" s="42">
        <f t="shared" si="2"/>
        <v>31</v>
      </c>
      <c r="D39" s="72">
        <f>D37/D38</f>
        <v>1399195207.4625015</v>
      </c>
      <c r="E39" s="79"/>
      <c r="F39" s="87"/>
      <c r="G39" s="87"/>
      <c r="H39" s="95"/>
      <c r="I39" s="126"/>
      <c r="J39" s="75"/>
      <c r="K39" s="96"/>
      <c r="L39" s="127"/>
      <c r="M39" s="127"/>
      <c r="S39" s="96"/>
    </row>
    <row r="40" spans="1:19" ht="12.75">
      <c r="A40" s="42">
        <f t="shared" si="2"/>
        <v>32</v>
      </c>
      <c r="B40" s="23" t="s">
        <v>90</v>
      </c>
      <c r="D40" s="118">
        <v>21283656</v>
      </c>
      <c r="E40" s="128" t="s">
        <v>291</v>
      </c>
      <c r="F40" s="99"/>
      <c r="G40" s="99"/>
      <c r="H40" s="74"/>
      <c r="I40" s="129"/>
      <c r="K40" s="96"/>
      <c r="L40" s="127"/>
      <c r="M40" s="127"/>
      <c r="S40" s="96"/>
    </row>
    <row r="41" spans="1:19" ht="12.75">
      <c r="A41" s="42">
        <f t="shared" si="2"/>
        <v>33</v>
      </c>
      <c r="B41" s="117"/>
      <c r="C41" s="117"/>
      <c r="D41" s="130"/>
      <c r="E41" s="130"/>
      <c r="F41" s="99"/>
      <c r="G41" s="99"/>
      <c r="H41" s="74"/>
      <c r="I41" s="129"/>
      <c r="K41" s="96"/>
      <c r="L41" s="127"/>
      <c r="M41" s="127"/>
      <c r="S41" s="96"/>
    </row>
    <row r="42" spans="1:19" ht="12.75">
      <c r="A42" s="42">
        <f t="shared" si="2"/>
        <v>34</v>
      </c>
      <c r="B42" s="117"/>
      <c r="C42" s="117"/>
      <c r="D42" s="130"/>
      <c r="E42" s="130"/>
      <c r="F42" s="99"/>
      <c r="G42" s="99"/>
      <c r="H42" s="74"/>
      <c r="I42" s="129"/>
      <c r="K42" s="96"/>
      <c r="L42" s="127"/>
      <c r="M42" s="127"/>
      <c r="S42" s="96"/>
    </row>
    <row r="43" spans="1:19" ht="12.75">
      <c r="A43" s="42">
        <f t="shared" si="2"/>
        <v>35</v>
      </c>
      <c r="B43" s="117"/>
      <c r="C43" s="117"/>
      <c r="D43" s="130"/>
      <c r="E43" s="130"/>
      <c r="F43" s="99"/>
      <c r="G43" s="99"/>
      <c r="H43" s="74"/>
      <c r="I43" s="126"/>
      <c r="K43" s="96"/>
      <c r="L43" s="127"/>
      <c r="M43" s="127"/>
      <c r="S43" s="96"/>
    </row>
    <row r="44" spans="1:13" ht="12.75">
      <c r="A44" s="42">
        <f t="shared" si="2"/>
        <v>36</v>
      </c>
      <c r="B44" s="117"/>
      <c r="C44" s="117"/>
      <c r="D44" s="131" t="s">
        <v>60</v>
      </c>
      <c r="E44" s="99"/>
      <c r="F44" s="132"/>
      <c r="G44" s="133" t="s">
        <v>67</v>
      </c>
      <c r="H44" s="134"/>
      <c r="I44" s="126"/>
      <c r="L44" s="135"/>
      <c r="M44" s="127"/>
    </row>
    <row r="45" spans="1:19" ht="12.75">
      <c r="A45" s="42">
        <f t="shared" si="2"/>
        <v>37</v>
      </c>
      <c r="B45" s="117"/>
      <c r="C45" s="117"/>
      <c r="D45" s="136" t="s">
        <v>68</v>
      </c>
      <c r="E45" s="99"/>
      <c r="F45" s="132"/>
      <c r="G45" s="137" t="s">
        <v>68</v>
      </c>
      <c r="H45" s="138"/>
      <c r="K45" s="99"/>
      <c r="L45" s="139"/>
      <c r="M45" s="575"/>
      <c r="S45" s="99"/>
    </row>
    <row r="46" spans="1:8" ht="12.75" customHeight="1">
      <c r="A46" s="42">
        <f t="shared" si="2"/>
        <v>38</v>
      </c>
      <c r="B46" s="140" t="s">
        <v>41</v>
      </c>
      <c r="C46" s="117"/>
      <c r="D46" s="141"/>
      <c r="E46" s="99"/>
      <c r="F46" s="99"/>
      <c r="G46" s="142"/>
      <c r="H46" s="138"/>
    </row>
    <row r="47" spans="1:8" ht="12.75">
      <c r="A47" s="42">
        <f t="shared" si="2"/>
        <v>39</v>
      </c>
      <c r="B47" s="117" t="s">
        <v>42</v>
      </c>
      <c r="C47" s="117"/>
      <c r="D47" s="143">
        <f>E37</f>
        <v>62.84099999999999</v>
      </c>
      <c r="E47" s="1032">
        <f>+E37/$D$38</f>
        <v>65.73992010906542</v>
      </c>
      <c r="F47" s="1033"/>
      <c r="G47" s="1033"/>
      <c r="H47" s="138"/>
    </row>
    <row r="48" spans="1:8" ht="13.5" customHeight="1">
      <c r="A48" s="42">
        <f t="shared" si="2"/>
        <v>40</v>
      </c>
      <c r="B48" s="144" t="s">
        <v>281</v>
      </c>
      <c r="C48" s="117"/>
      <c r="D48" s="143">
        <f>SUMIF($F$13:$F$35,"(a)",E13:E36)</f>
        <v>14.923000000000002</v>
      </c>
      <c r="E48" s="1032">
        <f>D48/$D$38</f>
        <v>15.611413373236958</v>
      </c>
      <c r="F48" s="1033"/>
      <c r="G48" s="1033"/>
      <c r="H48" s="134"/>
    </row>
    <row r="49" spans="1:20" ht="12.75">
      <c r="A49" s="42">
        <f t="shared" si="2"/>
        <v>41</v>
      </c>
      <c r="B49" s="117" t="s">
        <v>282</v>
      </c>
      <c r="C49" s="117"/>
      <c r="D49" s="143">
        <f>E37</f>
        <v>62.84099999999999</v>
      </c>
      <c r="E49" s="1032">
        <f>D49/$D$38</f>
        <v>65.73992010906542</v>
      </c>
      <c r="F49" s="1033"/>
      <c r="G49" s="1033"/>
      <c r="H49" s="74"/>
      <c r="K49" s="44"/>
      <c r="L49" s="44"/>
      <c r="O49" s="44"/>
      <c r="P49" s="44"/>
      <c r="Q49" s="44"/>
      <c r="R49" s="44"/>
      <c r="S49" s="44"/>
      <c r="T49" s="44"/>
    </row>
    <row r="50" spans="1:20" ht="12.75">
      <c r="A50" s="42">
        <f t="shared" si="2"/>
        <v>42</v>
      </c>
      <c r="B50" s="144" t="s">
        <v>283</v>
      </c>
      <c r="C50" s="146"/>
      <c r="D50" s="143">
        <f>SUMIF($G$13:$G$36,"(c)",E13:E35)</f>
        <v>47.91799999999999</v>
      </c>
      <c r="E50" s="1032">
        <f>D50/$D$38</f>
        <v>50.12850673582847</v>
      </c>
      <c r="F50" s="1033"/>
      <c r="G50" s="1033"/>
      <c r="H50" s="74"/>
      <c r="K50" s="44"/>
      <c r="L50" s="44"/>
      <c r="O50" s="44"/>
      <c r="P50" s="44"/>
      <c r="Q50" s="44"/>
      <c r="R50" s="44"/>
      <c r="S50" s="44"/>
      <c r="T50" s="592"/>
    </row>
    <row r="51" spans="1:20" ht="13.5">
      <c r="A51" s="148"/>
      <c r="K51" s="44"/>
      <c r="L51" s="44"/>
      <c r="O51" s="44"/>
      <c r="P51" s="44"/>
      <c r="Q51" s="44"/>
      <c r="R51" s="44"/>
      <c r="S51" s="44"/>
      <c r="T51" s="44"/>
    </row>
    <row r="52" spans="11:20" ht="12.75">
      <c r="K52" s="576"/>
      <c r="L52" s="576"/>
      <c r="M52" s="576"/>
      <c r="N52" s="576"/>
      <c r="O52" s="576"/>
      <c r="P52" s="576"/>
      <c r="Q52" s="576"/>
      <c r="R52" s="576"/>
      <c r="S52" s="576"/>
      <c r="T52" s="44"/>
    </row>
    <row r="53" spans="4:20" ht="12.75">
      <c r="D53" s="94"/>
      <c r="K53" s="576"/>
      <c r="L53" s="576"/>
      <c r="M53" s="576"/>
      <c r="N53" s="576"/>
      <c r="O53" s="576"/>
      <c r="P53" s="576"/>
      <c r="Q53" s="576"/>
      <c r="R53" s="576"/>
      <c r="S53" s="576"/>
      <c r="T53" s="44"/>
    </row>
    <row r="54" spans="11:20" ht="12.75">
      <c r="K54" s="576"/>
      <c r="L54" s="145"/>
      <c r="M54" s="145"/>
      <c r="N54" s="145"/>
      <c r="O54" s="145"/>
      <c r="P54" s="145"/>
      <c r="Q54" s="145"/>
      <c r="R54" s="593"/>
      <c r="S54" s="576"/>
      <c r="T54" s="44"/>
    </row>
    <row r="55" spans="11:20" ht="12.75">
      <c r="K55" s="576"/>
      <c r="L55" s="145"/>
      <c r="M55" s="145"/>
      <c r="N55" s="145"/>
      <c r="O55" s="145"/>
      <c r="P55" s="145"/>
      <c r="Q55" s="145"/>
      <c r="R55" s="593"/>
      <c r="S55" s="576"/>
      <c r="T55" s="44"/>
    </row>
    <row r="56" spans="11:20" ht="12.75">
      <c r="K56" s="576"/>
      <c r="L56" s="145"/>
      <c r="M56" s="145"/>
      <c r="N56" s="145"/>
      <c r="O56" s="145"/>
      <c r="P56" s="145"/>
      <c r="Q56" s="145"/>
      <c r="R56" s="147"/>
      <c r="S56" s="576"/>
      <c r="T56" s="44"/>
    </row>
    <row r="57" spans="11:20" ht="12.75">
      <c r="K57" s="576"/>
      <c r="L57" s="145"/>
      <c r="M57" s="145"/>
      <c r="N57" s="145"/>
      <c r="O57" s="145"/>
      <c r="P57" s="145"/>
      <c r="Q57" s="145"/>
      <c r="R57" s="149"/>
      <c r="S57" s="576"/>
      <c r="T57" s="44"/>
    </row>
    <row r="58" spans="8:20" ht="12.75">
      <c r="H58" s="23"/>
      <c r="K58" s="576"/>
      <c r="L58" s="145"/>
      <c r="M58" s="145"/>
      <c r="N58" s="145"/>
      <c r="O58" s="145"/>
      <c r="P58" s="145"/>
      <c r="Q58" s="145"/>
      <c r="R58" s="594"/>
      <c r="S58" s="576"/>
      <c r="T58" s="44"/>
    </row>
    <row r="59" spans="8:20" ht="12.75">
      <c r="H59" s="23"/>
      <c r="K59" s="576"/>
      <c r="L59" s="145"/>
      <c r="M59" s="145"/>
      <c r="N59" s="145"/>
      <c r="O59" s="145"/>
      <c r="P59" s="145"/>
      <c r="Q59" s="145"/>
      <c r="R59" s="149"/>
      <c r="S59" s="576"/>
      <c r="T59" s="44"/>
    </row>
    <row r="60" spans="11:20" ht="12.75">
      <c r="K60" s="576"/>
      <c r="L60" s="145"/>
      <c r="M60" s="145"/>
      <c r="N60" s="145"/>
      <c r="O60" s="145"/>
      <c r="P60" s="145"/>
      <c r="Q60" s="145"/>
      <c r="R60" s="149"/>
      <c r="S60" s="576"/>
      <c r="T60" s="44"/>
    </row>
    <row r="61" spans="8:20" ht="12.75">
      <c r="H61" s="66"/>
      <c r="K61" s="576"/>
      <c r="L61" s="145"/>
      <c r="M61" s="145"/>
      <c r="N61" s="145"/>
      <c r="O61" s="145"/>
      <c r="P61" s="145"/>
      <c r="Q61" s="145"/>
      <c r="R61" s="147"/>
      <c r="S61" s="576"/>
      <c r="T61" s="44"/>
    </row>
    <row r="62" spans="11:20" ht="12.75">
      <c r="K62" s="576"/>
      <c r="L62" s="145"/>
      <c r="M62" s="145"/>
      <c r="N62" s="145"/>
      <c r="O62" s="145"/>
      <c r="P62" s="145"/>
      <c r="Q62" s="145"/>
      <c r="R62" s="149"/>
      <c r="S62" s="576"/>
      <c r="T62" s="44"/>
    </row>
    <row r="63" spans="11:20" ht="12.75">
      <c r="K63" s="576"/>
      <c r="L63" s="145"/>
      <c r="M63" s="145"/>
      <c r="N63" s="145"/>
      <c r="O63" s="145"/>
      <c r="P63" s="145"/>
      <c r="Q63" s="145"/>
      <c r="R63" s="147"/>
      <c r="S63" s="576"/>
      <c r="T63" s="44"/>
    </row>
    <row r="64" spans="11:20" ht="12.75">
      <c r="K64" s="576"/>
      <c r="L64" s="145"/>
      <c r="M64" s="145"/>
      <c r="N64" s="145"/>
      <c r="O64" s="145"/>
      <c r="P64" s="145"/>
      <c r="Q64" s="145"/>
      <c r="R64" s="591"/>
      <c r="S64" s="576"/>
      <c r="T64" s="44"/>
    </row>
    <row r="65" spans="11:20" ht="12.75">
      <c r="K65" s="576"/>
      <c r="L65" s="576"/>
      <c r="M65" s="576"/>
      <c r="N65" s="576"/>
      <c r="O65" s="576"/>
      <c r="P65" s="576"/>
      <c r="Q65" s="576"/>
      <c r="R65" s="576"/>
      <c r="S65" s="576"/>
      <c r="T65" s="44"/>
    </row>
    <row r="66" spans="11:20" ht="12.75">
      <c r="K66" s="576"/>
      <c r="L66" s="495"/>
      <c r="M66" s="495"/>
      <c r="N66" s="145"/>
      <c r="O66" s="145"/>
      <c r="P66" s="145"/>
      <c r="Q66" s="145"/>
      <c r="R66" s="147"/>
      <c r="S66" s="576"/>
      <c r="T66" s="44"/>
    </row>
    <row r="67" spans="11:20" ht="12.75">
      <c r="K67" s="576"/>
      <c r="L67" s="495"/>
      <c r="M67" s="495"/>
      <c r="N67" s="145"/>
      <c r="O67" s="145"/>
      <c r="P67" s="145"/>
      <c r="Q67" s="145"/>
      <c r="R67" s="147"/>
      <c r="S67" s="576"/>
      <c r="T67" s="44"/>
    </row>
    <row r="68" spans="11:20" ht="12.75">
      <c r="K68" s="576"/>
      <c r="L68" s="495"/>
      <c r="M68" s="495"/>
      <c r="N68" s="145"/>
      <c r="O68" s="145"/>
      <c r="P68" s="145"/>
      <c r="Q68" s="145"/>
      <c r="R68" s="147"/>
      <c r="S68" s="576"/>
      <c r="T68" s="44"/>
    </row>
    <row r="69" spans="11:20" ht="12.75">
      <c r="K69" s="576"/>
      <c r="L69" s="495"/>
      <c r="M69" s="495"/>
      <c r="N69" s="145"/>
      <c r="O69" s="145"/>
      <c r="P69" s="145"/>
      <c r="Q69" s="145"/>
      <c r="R69" s="147"/>
      <c r="S69" s="576"/>
      <c r="T69" s="44"/>
    </row>
    <row r="70" spans="11:20" ht="12.75">
      <c r="K70" s="576"/>
      <c r="L70" s="495"/>
      <c r="M70" s="495"/>
      <c r="N70" s="145"/>
      <c r="O70" s="145"/>
      <c r="P70" s="145"/>
      <c r="Q70" s="145"/>
      <c r="R70" s="147"/>
      <c r="S70" s="576"/>
      <c r="T70" s="44"/>
    </row>
    <row r="71" spans="11:20" ht="12.75">
      <c r="K71" s="576"/>
      <c r="L71" s="145"/>
      <c r="M71" s="145"/>
      <c r="N71" s="145"/>
      <c r="O71" s="145"/>
      <c r="P71" s="145"/>
      <c r="Q71" s="145"/>
      <c r="R71" s="147"/>
      <c r="S71" s="576"/>
      <c r="T71" s="44"/>
    </row>
    <row r="72" spans="11:20" ht="12.75">
      <c r="K72" s="576"/>
      <c r="L72" s="145"/>
      <c r="M72" s="145"/>
      <c r="N72" s="145"/>
      <c r="O72" s="145"/>
      <c r="P72" s="145"/>
      <c r="Q72" s="145"/>
      <c r="R72" s="147"/>
      <c r="S72" s="576"/>
      <c r="T72" s="44"/>
    </row>
    <row r="73" spans="11:20" ht="12.75">
      <c r="K73" s="576"/>
      <c r="L73" s="145"/>
      <c r="M73" s="145"/>
      <c r="N73" s="145"/>
      <c r="O73" s="145"/>
      <c r="P73" s="145"/>
      <c r="Q73" s="145"/>
      <c r="R73" s="147"/>
      <c r="S73" s="576"/>
      <c r="T73" s="44"/>
    </row>
    <row r="74" spans="11:20" ht="12.75">
      <c r="K74" s="576"/>
      <c r="L74" s="145"/>
      <c r="M74" s="145"/>
      <c r="N74" s="145"/>
      <c r="O74" s="145"/>
      <c r="P74" s="145"/>
      <c r="Q74" s="145"/>
      <c r="R74" s="147"/>
      <c r="S74" s="576"/>
      <c r="T74" s="44"/>
    </row>
    <row r="75" spans="11:20" ht="12.75">
      <c r="K75" s="576"/>
      <c r="L75" s="145"/>
      <c r="M75" s="145"/>
      <c r="N75" s="145"/>
      <c r="O75" s="145"/>
      <c r="P75" s="145"/>
      <c r="Q75" s="145"/>
      <c r="R75" s="147"/>
      <c r="S75" s="576"/>
      <c r="T75" s="44"/>
    </row>
    <row r="76" spans="11:20" ht="12.75">
      <c r="K76" s="576"/>
      <c r="L76" s="145"/>
      <c r="M76" s="145"/>
      <c r="N76" s="145"/>
      <c r="O76" s="145"/>
      <c r="P76" s="145"/>
      <c r="Q76" s="145"/>
      <c r="R76" s="147"/>
      <c r="S76" s="576"/>
      <c r="T76" s="44"/>
    </row>
    <row r="77" spans="11:20" ht="12.75">
      <c r="K77" s="576"/>
      <c r="L77" s="145"/>
      <c r="M77" s="145"/>
      <c r="N77" s="145"/>
      <c r="O77" s="145"/>
      <c r="P77" s="145"/>
      <c r="Q77" s="145"/>
      <c r="R77" s="147"/>
      <c r="S77" s="576"/>
      <c r="T77" s="44"/>
    </row>
    <row r="78" spans="11:20" ht="12.75">
      <c r="K78" s="576"/>
      <c r="L78" s="145"/>
      <c r="M78" s="145"/>
      <c r="N78" s="145"/>
      <c r="O78" s="145"/>
      <c r="P78" s="145"/>
      <c r="Q78" s="145"/>
      <c r="R78" s="147"/>
      <c r="S78" s="576"/>
      <c r="T78" s="44"/>
    </row>
    <row r="79" spans="11:20" ht="12.75">
      <c r="K79" s="576"/>
      <c r="L79" s="145"/>
      <c r="M79" s="145"/>
      <c r="N79" s="145"/>
      <c r="O79" s="145"/>
      <c r="P79" s="145"/>
      <c r="Q79" s="145"/>
      <c r="R79" s="147"/>
      <c r="S79" s="576"/>
      <c r="T79" s="44"/>
    </row>
    <row r="80" spans="11:20" ht="12.75">
      <c r="K80" s="576"/>
      <c r="L80" s="145"/>
      <c r="M80" s="145"/>
      <c r="N80" s="145"/>
      <c r="O80" s="145"/>
      <c r="P80" s="145"/>
      <c r="Q80" s="145"/>
      <c r="R80" s="595"/>
      <c r="S80" s="576"/>
      <c r="T80" s="44"/>
    </row>
    <row r="81" spans="11:20" ht="12.75">
      <c r="K81" s="576"/>
      <c r="L81" s="145"/>
      <c r="M81" s="145"/>
      <c r="N81" s="145"/>
      <c r="O81" s="145"/>
      <c r="P81" s="145"/>
      <c r="Q81" s="145"/>
      <c r="R81" s="147"/>
      <c r="S81" s="576"/>
      <c r="T81" s="44"/>
    </row>
    <row r="82" spans="11:20" ht="12.75">
      <c r="K82" s="576"/>
      <c r="L82" s="145"/>
      <c r="M82" s="145"/>
      <c r="N82" s="145"/>
      <c r="O82" s="145"/>
      <c r="P82" s="145"/>
      <c r="Q82" s="145"/>
      <c r="R82" s="147"/>
      <c r="S82" s="576"/>
      <c r="T82" s="44"/>
    </row>
    <row r="83" spans="11:20" ht="12.75">
      <c r="K83" s="576"/>
      <c r="L83" s="145"/>
      <c r="M83" s="145"/>
      <c r="N83" s="145"/>
      <c r="O83" s="145"/>
      <c r="P83" s="145"/>
      <c r="Q83" s="145"/>
      <c r="R83" s="147"/>
      <c r="S83" s="576"/>
      <c r="T83" s="44"/>
    </row>
    <row r="84" spans="11:20" ht="12.75">
      <c r="K84" s="576"/>
      <c r="L84" s="145"/>
      <c r="M84" s="145"/>
      <c r="N84" s="145"/>
      <c r="O84" s="145"/>
      <c r="P84" s="145"/>
      <c r="Q84" s="145"/>
      <c r="R84" s="147"/>
      <c r="S84" s="576"/>
      <c r="T84" s="44"/>
    </row>
    <row r="85" spans="11:20" ht="12.75">
      <c r="K85" s="576"/>
      <c r="L85" s="145"/>
      <c r="M85" s="145"/>
      <c r="N85" s="145"/>
      <c r="O85" s="145"/>
      <c r="P85" s="145"/>
      <c r="Q85" s="145"/>
      <c r="R85" s="596"/>
      <c r="S85" s="576"/>
      <c r="T85" s="44"/>
    </row>
    <row r="86" spans="11:20" ht="12.75">
      <c r="K86" s="576"/>
      <c r="L86" s="145"/>
      <c r="M86" s="145"/>
      <c r="N86" s="145"/>
      <c r="O86" s="145"/>
      <c r="P86" s="145"/>
      <c r="Q86" s="145"/>
      <c r="R86" s="147"/>
      <c r="S86" s="576"/>
      <c r="T86" s="44"/>
    </row>
    <row r="87" spans="11:20" ht="12.75">
      <c r="K87" s="576"/>
      <c r="L87" s="145"/>
      <c r="M87" s="145"/>
      <c r="N87" s="145"/>
      <c r="O87" s="145"/>
      <c r="P87" s="145"/>
      <c r="Q87" s="145"/>
      <c r="R87" s="147"/>
      <c r="S87" s="576"/>
      <c r="T87" s="44"/>
    </row>
    <row r="88" spans="11:20" ht="12.75">
      <c r="K88" s="576"/>
      <c r="L88" s="145"/>
      <c r="M88" s="145"/>
      <c r="N88" s="145"/>
      <c r="O88" s="145"/>
      <c r="P88" s="145"/>
      <c r="Q88" s="145"/>
      <c r="R88" s="147"/>
      <c r="S88" s="576"/>
      <c r="T88" s="44"/>
    </row>
    <row r="89" spans="11:20" ht="12.75">
      <c r="K89" s="576"/>
      <c r="L89" s="145"/>
      <c r="M89" s="145"/>
      <c r="N89" s="145"/>
      <c r="O89" s="145"/>
      <c r="P89" s="145"/>
      <c r="Q89" s="145"/>
      <c r="R89" s="591"/>
      <c r="S89" s="576"/>
      <c r="T89" s="44"/>
    </row>
    <row r="90" spans="11:20" ht="12.75">
      <c r="K90" s="576"/>
      <c r="L90" s="145"/>
      <c r="M90" s="145"/>
      <c r="N90" s="145"/>
      <c r="O90" s="145"/>
      <c r="P90" s="145"/>
      <c r="Q90" s="145"/>
      <c r="R90" s="591"/>
      <c r="S90" s="576"/>
      <c r="T90" s="44"/>
    </row>
    <row r="91" spans="11:20" ht="12.75">
      <c r="K91" s="576"/>
      <c r="L91" s="145"/>
      <c r="M91" s="145"/>
      <c r="N91" s="145"/>
      <c r="O91" s="145"/>
      <c r="P91" s="145"/>
      <c r="Q91" s="145"/>
      <c r="R91" s="591"/>
      <c r="S91" s="576"/>
      <c r="T91" s="44"/>
    </row>
    <row r="92" spans="11:20" ht="12.75">
      <c r="K92" s="576"/>
      <c r="L92" s="145"/>
      <c r="M92" s="145"/>
      <c r="N92" s="145"/>
      <c r="O92" s="145"/>
      <c r="P92" s="145"/>
      <c r="Q92" s="145"/>
      <c r="R92" s="147"/>
      <c r="S92" s="576"/>
      <c r="T92" s="44"/>
    </row>
    <row r="93" spans="11:20" ht="12.75">
      <c r="K93" s="576"/>
      <c r="L93" s="145"/>
      <c r="M93" s="145"/>
      <c r="N93" s="145"/>
      <c r="O93" s="145"/>
      <c r="P93" s="145"/>
      <c r="Q93" s="145"/>
      <c r="R93" s="147"/>
      <c r="S93" s="576"/>
      <c r="T93" s="44"/>
    </row>
    <row r="94" spans="11:20" ht="12.75">
      <c r="K94" s="576"/>
      <c r="L94" s="495"/>
      <c r="M94" s="495"/>
      <c r="N94" s="145"/>
      <c r="O94" s="145"/>
      <c r="P94" s="145"/>
      <c r="Q94" s="145"/>
      <c r="R94" s="147"/>
      <c r="S94" s="576"/>
      <c r="T94" s="44"/>
    </row>
    <row r="95" spans="11:20" ht="12.75">
      <c r="K95" s="576"/>
      <c r="L95" s="495"/>
      <c r="M95" s="495"/>
      <c r="N95" s="145"/>
      <c r="O95" s="145"/>
      <c r="P95" s="145"/>
      <c r="Q95" s="145"/>
      <c r="R95" s="147"/>
      <c r="S95" s="576"/>
      <c r="T95" s="44"/>
    </row>
    <row r="96" spans="11:20" ht="12.75">
      <c r="K96" s="576"/>
      <c r="L96" s="145"/>
      <c r="M96" s="145"/>
      <c r="N96" s="145"/>
      <c r="O96" s="145"/>
      <c r="P96" s="145"/>
      <c r="Q96" s="145"/>
      <c r="R96" s="147"/>
      <c r="S96" s="576"/>
      <c r="T96" s="44"/>
    </row>
    <row r="97" spans="11:20" ht="12.75">
      <c r="K97" s="576"/>
      <c r="L97" s="495"/>
      <c r="M97" s="495"/>
      <c r="N97" s="145"/>
      <c r="O97" s="145"/>
      <c r="P97" s="145"/>
      <c r="Q97" s="145"/>
      <c r="R97" s="147"/>
      <c r="S97" s="576"/>
      <c r="T97" s="44"/>
    </row>
    <row r="98" spans="11:20" ht="12.75">
      <c r="K98" s="576"/>
      <c r="L98" s="145"/>
      <c r="M98" s="145"/>
      <c r="N98" s="145"/>
      <c r="O98" s="145"/>
      <c r="P98" s="145"/>
      <c r="Q98" s="145"/>
      <c r="R98" s="147"/>
      <c r="S98" s="576"/>
      <c r="T98" s="44"/>
    </row>
    <row r="99" spans="11:20" ht="12.75">
      <c r="K99" s="576"/>
      <c r="L99" s="145"/>
      <c r="M99" s="145"/>
      <c r="N99" s="145"/>
      <c r="O99" s="145"/>
      <c r="P99" s="145"/>
      <c r="Q99" s="145"/>
      <c r="R99" s="147"/>
      <c r="S99" s="576"/>
      <c r="T99" s="44"/>
    </row>
    <row r="100" spans="11:20" ht="12.75">
      <c r="K100" s="576"/>
      <c r="L100" s="145"/>
      <c r="M100" s="145"/>
      <c r="N100" s="145"/>
      <c r="O100" s="145"/>
      <c r="P100" s="145"/>
      <c r="Q100" s="145"/>
      <c r="R100" s="147"/>
      <c r="S100" s="576"/>
      <c r="T100" s="44"/>
    </row>
    <row r="101" spans="11:20" ht="12.75">
      <c r="K101" s="576"/>
      <c r="L101" s="145"/>
      <c r="M101" s="145"/>
      <c r="N101" s="145"/>
      <c r="O101" s="145"/>
      <c r="P101" s="145"/>
      <c r="Q101" s="145"/>
      <c r="R101" s="44"/>
      <c r="S101" s="576"/>
      <c r="T101" s="44"/>
    </row>
    <row r="102" spans="11:20" ht="12.75">
      <c r="K102" s="576"/>
      <c r="L102" s="576"/>
      <c r="M102" s="576"/>
      <c r="N102" s="576"/>
      <c r="O102" s="576"/>
      <c r="P102" s="576"/>
      <c r="Q102" s="576"/>
      <c r="R102" s="576"/>
      <c r="S102" s="576"/>
      <c r="T102" s="44"/>
    </row>
    <row r="103" spans="11:20" ht="12.75">
      <c r="K103" s="44"/>
      <c r="L103" s="44"/>
      <c r="O103" s="44"/>
      <c r="P103" s="44"/>
      <c r="Q103" s="44"/>
      <c r="R103" s="44"/>
      <c r="S103" s="44"/>
      <c r="T103" s="44"/>
    </row>
  </sheetData>
  <sheetProtection/>
  <mergeCells count="6">
    <mergeCell ref="E48:G48"/>
    <mergeCell ref="E49:G49"/>
    <mergeCell ref="E50:G50"/>
    <mergeCell ref="E4:G4"/>
    <mergeCell ref="F37:G37"/>
    <mergeCell ref="E47:G47"/>
  </mergeCells>
  <conditionalFormatting sqref="R64 R89:R91 I16:I17 I25 I27:I28 D67:D69">
    <cfRule type="cellIs" priority="1" dxfId="0" operator="notEqual" stopIfTrue="1">
      <formula>0</formula>
    </cfRule>
  </conditionalFormatting>
  <printOptions horizontalCentered="1"/>
  <pageMargins left="0.5" right="0.5" top="0.72" bottom="0.71" header="0.5" footer="0.28"/>
  <pageSetup fitToHeight="1" fitToWidth="1" horizontalDpi="600" verticalDpi="600" orientation="landscape" scale="81" r:id="rId1"/>
  <headerFooter alignWithMargins="0">
    <oddHeader>&amp;R&amp;"Helv,Bold"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J1" sqref="J1"/>
    </sheetView>
  </sheetViews>
  <sheetFormatPr defaultColWidth="9.8515625" defaultRowHeight="12.75"/>
  <cols>
    <col min="1" max="1" width="5.00390625" style="499" bestFit="1" customWidth="1"/>
    <col min="2" max="2" width="11.140625" style="499" customWidth="1"/>
    <col min="3" max="3" width="9.00390625" style="499" customWidth="1"/>
    <col min="4" max="4" width="28.421875" style="499" customWidth="1"/>
    <col min="5" max="5" width="2.28125" style="500" customWidth="1"/>
    <col min="6" max="6" width="16.421875" style="499" customWidth="1"/>
    <col min="7" max="7" width="18.28125" style="499" customWidth="1"/>
    <col min="8" max="8" width="15.140625" style="499" bestFit="1" customWidth="1"/>
    <col min="9" max="9" width="2.140625" style="499" customWidth="1"/>
    <col min="10" max="10" width="14.00390625" style="499" customWidth="1"/>
    <col min="11" max="11" width="8.8515625" style="499" customWidth="1"/>
    <col min="12" max="12" width="11.57421875" style="499" customWidth="1"/>
    <col min="13" max="13" width="13.28125" style="499" customWidth="1"/>
    <col min="14" max="16384" width="9.8515625" style="499" customWidth="1"/>
  </cols>
  <sheetData>
    <row r="1" ht="12.75">
      <c r="J1" s="63" t="s">
        <v>146</v>
      </c>
    </row>
    <row r="2" ht="12.75">
      <c r="J2" s="501"/>
    </row>
    <row r="3" ht="13.5" thickBot="1">
      <c r="J3" s="502"/>
    </row>
    <row r="4" spans="1:10" ht="18.75" thickBot="1">
      <c r="A4" s="503" t="s">
        <v>340</v>
      </c>
      <c r="B4" s="504"/>
      <c r="C4" s="504"/>
      <c r="D4" s="505"/>
      <c r="E4" s="506"/>
      <c r="F4" s="506"/>
      <c r="G4" s="506"/>
      <c r="H4" s="500"/>
      <c r="J4" s="507"/>
    </row>
    <row r="6" spans="1:10" ht="12.75">
      <c r="A6" s="508" t="s">
        <v>236</v>
      </c>
      <c r="B6" s="499" t="s">
        <v>266</v>
      </c>
      <c r="F6" s="508" t="s">
        <v>100</v>
      </c>
      <c r="G6" s="508" t="s">
        <v>341</v>
      </c>
      <c r="H6" s="508"/>
      <c r="I6" s="509"/>
      <c r="J6" s="508" t="s">
        <v>342</v>
      </c>
    </row>
    <row r="7" spans="1:10" ht="12.75">
      <c r="A7" s="508">
        <f>ROW()</f>
        <v>7</v>
      </c>
      <c r="B7" s="510"/>
      <c r="C7" s="510"/>
      <c r="F7" s="511" t="s">
        <v>343</v>
      </c>
      <c r="G7" s="512" t="s">
        <v>344</v>
      </c>
      <c r="H7" s="512" t="s">
        <v>345</v>
      </c>
      <c r="I7" s="513"/>
      <c r="J7" s="511" t="s">
        <v>232</v>
      </c>
    </row>
    <row r="8" spans="1:3" ht="12.75">
      <c r="A8" s="508">
        <f>ROW()</f>
        <v>8</v>
      </c>
      <c r="B8" s="510"/>
      <c r="C8" s="510"/>
    </row>
    <row r="9" spans="1:9" ht="12.75">
      <c r="A9" s="508">
        <v>6</v>
      </c>
      <c r="B9" s="514"/>
      <c r="C9" s="515"/>
      <c r="D9" s="516" t="s">
        <v>346</v>
      </c>
      <c r="E9" s="516"/>
      <c r="I9" s="500"/>
    </row>
    <row r="10" spans="1:10" ht="12.75">
      <c r="A10" s="508">
        <v>7</v>
      </c>
      <c r="B10" s="514" t="s">
        <v>347</v>
      </c>
      <c r="C10" s="515" t="s">
        <v>348</v>
      </c>
      <c r="D10" s="516" t="s">
        <v>349</v>
      </c>
      <c r="E10" s="516"/>
      <c r="F10" s="517">
        <v>10246.74</v>
      </c>
      <c r="G10" s="517">
        <v>0</v>
      </c>
      <c r="H10" s="517">
        <f>SUM(F10:G10)</f>
        <v>10246.74</v>
      </c>
      <c r="I10" s="518"/>
      <c r="J10" s="517"/>
    </row>
    <row r="11" spans="1:10" ht="12.75">
      <c r="A11" s="508">
        <v>8</v>
      </c>
      <c r="B11" s="514" t="s">
        <v>350</v>
      </c>
      <c r="C11" s="515" t="s">
        <v>351</v>
      </c>
      <c r="D11" s="516" t="s">
        <v>352</v>
      </c>
      <c r="E11" s="516"/>
      <c r="F11" s="519">
        <v>685926.52</v>
      </c>
      <c r="G11" s="519">
        <v>-360207.14282258064</v>
      </c>
      <c r="H11" s="519">
        <f aca="true" t="shared" si="0" ref="H11:H16">SUM(F11:G11)</f>
        <v>325719.3771774194</v>
      </c>
      <c r="I11" s="520"/>
      <c r="J11" s="519">
        <v>13032.60564516129</v>
      </c>
    </row>
    <row r="12" spans="1:10" ht="12.75">
      <c r="A12" s="508">
        <v>9</v>
      </c>
      <c r="B12" s="514" t="s">
        <v>353</v>
      </c>
      <c r="C12" s="515" t="s">
        <v>354</v>
      </c>
      <c r="D12" s="516" t="s">
        <v>355</v>
      </c>
      <c r="E12" s="516"/>
      <c r="F12" s="519">
        <v>1231130.94</v>
      </c>
      <c r="G12" s="519">
        <v>-874485.1331866197</v>
      </c>
      <c r="H12" s="519">
        <f t="shared" si="0"/>
        <v>356645.8068133802</v>
      </c>
      <c r="I12" s="520"/>
      <c r="J12" s="519">
        <v>25976.856373239432</v>
      </c>
    </row>
    <row r="13" spans="1:10" ht="12.75">
      <c r="A13" s="508">
        <v>10</v>
      </c>
      <c r="B13" s="514" t="s">
        <v>356</v>
      </c>
      <c r="C13" s="515" t="s">
        <v>357</v>
      </c>
      <c r="D13" s="516" t="s">
        <v>358</v>
      </c>
      <c r="E13" s="516"/>
      <c r="F13" s="519">
        <v>14474342.56</v>
      </c>
      <c r="G13" s="519">
        <v>-8014006.754633205</v>
      </c>
      <c r="H13" s="519">
        <f t="shared" si="0"/>
        <v>6460335.8053667955</v>
      </c>
      <c r="I13" s="520"/>
      <c r="J13" s="519">
        <v>241721.51926640928</v>
      </c>
    </row>
    <row r="14" spans="1:10" ht="12.75">
      <c r="A14" s="508">
        <v>11</v>
      </c>
      <c r="B14" s="514" t="s">
        <v>359</v>
      </c>
      <c r="C14" s="515" t="s">
        <v>360</v>
      </c>
      <c r="D14" s="516" t="s">
        <v>361</v>
      </c>
      <c r="E14" s="516"/>
      <c r="F14" s="519">
        <v>49006.68</v>
      </c>
      <c r="G14" s="519">
        <v>-45716.92022151899</v>
      </c>
      <c r="H14" s="519">
        <f t="shared" si="0"/>
        <v>3289.759778481013</v>
      </c>
      <c r="I14" s="520"/>
      <c r="J14" s="519">
        <v>1622.1304430379744</v>
      </c>
    </row>
    <row r="15" spans="1:10" ht="12.75">
      <c r="A15" s="508">
        <v>12</v>
      </c>
      <c r="B15" s="514" t="s">
        <v>362</v>
      </c>
      <c r="C15" s="515" t="s">
        <v>363</v>
      </c>
      <c r="D15" s="516" t="s">
        <v>364</v>
      </c>
      <c r="E15" s="516"/>
      <c r="F15" s="519">
        <v>13158152.71</v>
      </c>
      <c r="G15" s="519">
        <v>-7836950.134412811</v>
      </c>
      <c r="H15" s="519">
        <f t="shared" si="0"/>
        <v>5321202.57558719</v>
      </c>
      <c r="I15" s="520"/>
      <c r="J15" s="519">
        <v>277637.02882562275</v>
      </c>
    </row>
    <row r="16" spans="1:10" ht="12.75">
      <c r="A16" s="508">
        <v>13</v>
      </c>
      <c r="B16" s="514" t="s">
        <v>365</v>
      </c>
      <c r="C16" s="515" t="s">
        <v>366</v>
      </c>
      <c r="D16" s="516" t="s">
        <v>367</v>
      </c>
      <c r="E16" s="516"/>
      <c r="F16" s="519">
        <v>113968.39</v>
      </c>
      <c r="G16" s="519">
        <v>-59703.223015873016</v>
      </c>
      <c r="H16" s="519">
        <f t="shared" si="0"/>
        <v>54265.16698412698</v>
      </c>
      <c r="I16" s="520"/>
      <c r="J16" s="519">
        <v>1629.7460317460318</v>
      </c>
    </row>
    <row r="17" spans="1:10" ht="12.75">
      <c r="A17" s="508">
        <v>14</v>
      </c>
      <c r="B17" s="514"/>
      <c r="C17" s="521" t="s">
        <v>368</v>
      </c>
      <c r="D17" s="522"/>
      <c r="E17" s="522"/>
      <c r="F17" s="523">
        <f>SUM(F10:F16)</f>
        <v>29722774.54</v>
      </c>
      <c r="G17" s="523">
        <f>SUM(G10:G16)</f>
        <v>-17191069.30829261</v>
      </c>
      <c r="H17" s="523">
        <f>SUM(H10:H16)</f>
        <v>12531705.231707392</v>
      </c>
      <c r="I17" s="524"/>
      <c r="J17" s="523">
        <f>SUM(J10:J16)</f>
        <v>561619.8865852167</v>
      </c>
    </row>
    <row r="18" spans="1:10" ht="12.75">
      <c r="A18" s="508">
        <v>15</v>
      </c>
      <c r="B18" s="514"/>
      <c r="C18" s="515"/>
      <c r="D18" s="516"/>
      <c r="E18" s="516"/>
      <c r="F18" s="523"/>
      <c r="G18" s="523"/>
      <c r="H18" s="523"/>
      <c r="I18" s="524"/>
      <c r="J18" s="523"/>
    </row>
    <row r="19" spans="1:10" ht="12.75">
      <c r="A19" s="508">
        <v>16</v>
      </c>
      <c r="B19" s="514"/>
      <c r="C19" s="515"/>
      <c r="D19" s="516" t="s">
        <v>369</v>
      </c>
      <c r="E19" s="516"/>
      <c r="F19" s="525"/>
      <c r="G19" s="525"/>
      <c r="H19" s="525"/>
      <c r="I19" s="524"/>
      <c r="J19" s="525"/>
    </row>
    <row r="20" spans="1:10" ht="12.75">
      <c r="A20" s="508">
        <v>17</v>
      </c>
      <c r="B20" s="514" t="s">
        <v>350</v>
      </c>
      <c r="C20" s="515" t="s">
        <v>370</v>
      </c>
      <c r="D20" s="516" t="s">
        <v>352</v>
      </c>
      <c r="E20" s="516"/>
      <c r="F20" s="519">
        <v>1071124.09</v>
      </c>
      <c r="G20" s="519">
        <v>-549246.6485294118</v>
      </c>
      <c r="H20" s="519">
        <f aca="true" t="shared" si="1" ref="H20:H26">SUM(F20:G20)</f>
        <v>521877.4414705883</v>
      </c>
      <c r="I20" s="520"/>
      <c r="J20" s="519">
        <v>20351.347058823532</v>
      </c>
    </row>
    <row r="21" spans="1:10" ht="12.75">
      <c r="A21" s="508">
        <v>18</v>
      </c>
      <c r="B21" s="514" t="s">
        <v>371</v>
      </c>
      <c r="C21" s="515" t="s">
        <v>372</v>
      </c>
      <c r="D21" s="516" t="s">
        <v>123</v>
      </c>
      <c r="E21" s="516"/>
      <c r="F21" s="519">
        <v>496711.33</v>
      </c>
      <c r="G21" s="519">
        <v>-257559.61214285714</v>
      </c>
      <c r="H21" s="519">
        <f t="shared" si="1"/>
        <v>239151.71785714288</v>
      </c>
      <c r="I21" s="520"/>
      <c r="J21" s="519">
        <v>8444.094285714285</v>
      </c>
    </row>
    <row r="22" spans="1:10" ht="12.75">
      <c r="A22" s="508">
        <v>19</v>
      </c>
      <c r="B22" s="514" t="s">
        <v>353</v>
      </c>
      <c r="C22" s="515" t="s">
        <v>373</v>
      </c>
      <c r="D22" s="516" t="s">
        <v>355</v>
      </c>
      <c r="E22" s="516"/>
      <c r="F22" s="519">
        <v>18174239.25</v>
      </c>
      <c r="G22" s="519">
        <v>-9862443.497125382</v>
      </c>
      <c r="H22" s="519">
        <f t="shared" si="1"/>
        <v>8311795.752874618</v>
      </c>
      <c r="I22" s="520"/>
      <c r="J22" s="519">
        <v>383636.3542507645</v>
      </c>
    </row>
    <row r="23" spans="1:10" ht="12.75">
      <c r="A23" s="508">
        <v>20</v>
      </c>
      <c r="B23" s="514" t="s">
        <v>356</v>
      </c>
      <c r="C23" s="515" t="s">
        <v>374</v>
      </c>
      <c r="D23" s="516" t="s">
        <v>358</v>
      </c>
      <c r="E23" s="516"/>
      <c r="F23" s="519">
        <v>20520449</v>
      </c>
      <c r="G23" s="519">
        <v>-11029237.198754717</v>
      </c>
      <c r="H23" s="519">
        <f t="shared" si="1"/>
        <v>9491211.801245283</v>
      </c>
      <c r="I23" s="520"/>
      <c r="J23" s="519">
        <v>342640.2775094339</v>
      </c>
    </row>
    <row r="24" spans="1:10" ht="12.75">
      <c r="A24" s="508">
        <v>21</v>
      </c>
      <c r="B24" s="514" t="s">
        <v>359</v>
      </c>
      <c r="C24" s="515" t="s">
        <v>375</v>
      </c>
      <c r="D24" s="516" t="s">
        <v>361</v>
      </c>
      <c r="E24" s="516"/>
      <c r="F24" s="519">
        <v>88691.66</v>
      </c>
      <c r="G24" s="519">
        <v>-49721.403494423794</v>
      </c>
      <c r="H24" s="519">
        <f t="shared" si="1"/>
        <v>38970.25650557621</v>
      </c>
      <c r="I24" s="520"/>
      <c r="J24" s="519">
        <v>2935.6869888475835</v>
      </c>
    </row>
    <row r="25" spans="1:10" ht="12.75">
      <c r="A25" s="508">
        <v>22</v>
      </c>
      <c r="B25" s="514" t="s">
        <v>362</v>
      </c>
      <c r="C25" s="515" t="s">
        <v>376</v>
      </c>
      <c r="D25" s="516" t="s">
        <v>364</v>
      </c>
      <c r="E25" s="516"/>
      <c r="F25" s="519">
        <v>19991225.77</v>
      </c>
      <c r="G25" s="519">
        <v>-11651181.722972028</v>
      </c>
      <c r="H25" s="519">
        <f t="shared" si="1"/>
        <v>8340044.047027972</v>
      </c>
      <c r="I25" s="520"/>
      <c r="J25" s="519">
        <v>421814.86594405596</v>
      </c>
    </row>
    <row r="26" spans="1:10" ht="12.75">
      <c r="A26" s="508">
        <v>23</v>
      </c>
      <c r="B26" s="514" t="s">
        <v>365</v>
      </c>
      <c r="C26" s="515" t="s">
        <v>377</v>
      </c>
      <c r="D26" s="516" t="s">
        <v>367</v>
      </c>
      <c r="E26" s="516"/>
      <c r="F26" s="519">
        <v>341015.23</v>
      </c>
      <c r="G26" s="519">
        <v>-175733.02392578125</v>
      </c>
      <c r="H26" s="519">
        <f t="shared" si="1"/>
        <v>165282.20607421873</v>
      </c>
      <c r="I26" s="520"/>
      <c r="J26" s="519">
        <v>4876.5178515625</v>
      </c>
    </row>
    <row r="27" spans="1:10" ht="12.75">
      <c r="A27" s="508">
        <v>24</v>
      </c>
      <c r="B27" s="514"/>
      <c r="C27" s="521" t="s">
        <v>378</v>
      </c>
      <c r="D27" s="522"/>
      <c r="E27" s="522"/>
      <c r="F27" s="523">
        <f>SUM(F20:F26)</f>
        <v>60683456.32999999</v>
      </c>
      <c r="G27" s="523">
        <f>SUM(G20:G26)</f>
        <v>-33575123.106944606</v>
      </c>
      <c r="H27" s="523">
        <f>SUM(H20:H26)</f>
        <v>27108333.223055396</v>
      </c>
      <c r="I27" s="524"/>
      <c r="J27" s="523">
        <f>SUM(J20:J26)</f>
        <v>1184699.143889202</v>
      </c>
    </row>
    <row r="28" spans="1:10" ht="12.75">
      <c r="A28" s="508">
        <v>25</v>
      </c>
      <c r="B28" s="514"/>
      <c r="C28" s="515"/>
      <c r="D28" s="526"/>
      <c r="E28" s="526"/>
      <c r="F28" s="523"/>
      <c r="G28" s="523"/>
      <c r="H28" s="523"/>
      <c r="I28" s="524"/>
      <c r="J28" s="523"/>
    </row>
    <row r="29" spans="1:10" ht="12.75">
      <c r="A29" s="508">
        <v>26</v>
      </c>
      <c r="B29" s="514"/>
      <c r="C29" s="515"/>
      <c r="D29" s="516" t="s">
        <v>379</v>
      </c>
      <c r="E29" s="516"/>
      <c r="F29" s="525"/>
      <c r="G29" s="525"/>
      <c r="H29" s="525"/>
      <c r="I29" s="524"/>
      <c r="J29" s="525"/>
    </row>
    <row r="30" spans="1:10" ht="12.75">
      <c r="A30" s="508">
        <v>27</v>
      </c>
      <c r="B30" s="514" t="s">
        <v>347</v>
      </c>
      <c r="C30" s="515" t="s">
        <v>380</v>
      </c>
      <c r="D30" s="516" t="s">
        <v>349</v>
      </c>
      <c r="E30" s="516"/>
      <c r="F30" s="519">
        <v>1769178.02</v>
      </c>
      <c r="G30" s="519">
        <v>0</v>
      </c>
      <c r="H30" s="519">
        <f aca="true" t="shared" si="2" ref="H30:H37">SUM(F30:G30)</f>
        <v>1769178.02</v>
      </c>
      <c r="I30" s="520"/>
      <c r="J30" s="519">
        <v>0</v>
      </c>
    </row>
    <row r="31" spans="1:10" ht="12.75">
      <c r="A31" s="508">
        <v>28</v>
      </c>
      <c r="B31" s="514" t="s">
        <v>371</v>
      </c>
      <c r="C31" s="515" t="s">
        <v>381</v>
      </c>
      <c r="D31" s="516" t="s">
        <v>123</v>
      </c>
      <c r="E31" s="516"/>
      <c r="F31" s="519">
        <v>1276263.66</v>
      </c>
      <c r="G31" s="519">
        <v>-319372.94134078216</v>
      </c>
      <c r="H31" s="519">
        <f t="shared" si="2"/>
        <v>956890.7186592177</v>
      </c>
      <c r="I31" s="520"/>
      <c r="J31" s="519">
        <v>21696.48268156425</v>
      </c>
    </row>
    <row r="32" spans="1:10" ht="12.75">
      <c r="A32" s="508">
        <v>29</v>
      </c>
      <c r="B32" s="514" t="s">
        <v>353</v>
      </c>
      <c r="C32" s="515" t="s">
        <v>382</v>
      </c>
      <c r="D32" s="516" t="s">
        <v>355</v>
      </c>
      <c r="E32" s="516"/>
      <c r="F32" s="519">
        <v>31896982.38</v>
      </c>
      <c r="G32" s="519">
        <v>-9756046.072195653</v>
      </c>
      <c r="H32" s="519">
        <f t="shared" si="2"/>
        <v>22140936.307804346</v>
      </c>
      <c r="I32" s="520"/>
      <c r="J32" s="519">
        <v>679173.4143913042</v>
      </c>
    </row>
    <row r="33" spans="1:10" ht="12.75">
      <c r="A33" s="508">
        <v>30</v>
      </c>
      <c r="B33" s="514" t="s">
        <v>356</v>
      </c>
      <c r="C33" s="515" t="s">
        <v>383</v>
      </c>
      <c r="D33" s="516" t="s">
        <v>358</v>
      </c>
      <c r="E33" s="516"/>
      <c r="F33" s="519">
        <v>22781416.95</v>
      </c>
      <c r="G33" s="519">
        <v>-5794238.461375661</v>
      </c>
      <c r="H33" s="519">
        <f t="shared" si="2"/>
        <v>16987178.488624338</v>
      </c>
      <c r="I33" s="520"/>
      <c r="J33" s="519">
        <v>380449.6627513228</v>
      </c>
    </row>
    <row r="34" spans="1:10" ht="12.75">
      <c r="A34" s="508">
        <v>31</v>
      </c>
      <c r="B34" s="514" t="s">
        <v>359</v>
      </c>
      <c r="C34" s="515" t="s">
        <v>384</v>
      </c>
      <c r="D34" s="516" t="s">
        <v>361</v>
      </c>
      <c r="E34" s="516"/>
      <c r="F34" s="519">
        <v>204200</v>
      </c>
      <c r="G34" s="519">
        <v>-52162.89</v>
      </c>
      <c r="H34" s="519">
        <f t="shared" si="2"/>
        <v>152037.11</v>
      </c>
      <c r="I34" s="520"/>
      <c r="J34" s="519">
        <v>6759.02</v>
      </c>
    </row>
    <row r="35" spans="1:10" ht="12.75">
      <c r="A35" s="508">
        <v>32</v>
      </c>
      <c r="B35" s="514" t="s">
        <v>362</v>
      </c>
      <c r="C35" s="515" t="s">
        <v>385</v>
      </c>
      <c r="D35" s="516" t="s">
        <v>364</v>
      </c>
      <c r="E35" s="516"/>
      <c r="F35" s="519">
        <v>23498183.48</v>
      </c>
      <c r="G35" s="519">
        <v>-8059224.7989854375</v>
      </c>
      <c r="H35" s="519">
        <f t="shared" si="2"/>
        <v>15438958.681014564</v>
      </c>
      <c r="I35" s="520"/>
      <c r="J35" s="519">
        <v>495811.6679708762</v>
      </c>
    </row>
    <row r="36" spans="1:10" ht="12.75">
      <c r="A36" s="508">
        <v>33</v>
      </c>
      <c r="B36" s="514" t="s">
        <v>362</v>
      </c>
      <c r="C36" s="515" t="s">
        <v>386</v>
      </c>
      <c r="D36" s="516" t="s">
        <v>364</v>
      </c>
      <c r="E36" s="516"/>
      <c r="F36" s="519">
        <v>205.53</v>
      </c>
      <c r="G36" s="519">
        <v>-42.4083414848809</v>
      </c>
      <c r="H36" s="519">
        <f t="shared" si="2"/>
        <v>163.1216585151191</v>
      </c>
      <c r="I36" s="520"/>
      <c r="J36" s="519">
        <v>4.336682969761806</v>
      </c>
    </row>
    <row r="37" spans="1:10" ht="12.75">
      <c r="A37" s="508">
        <v>34</v>
      </c>
      <c r="B37" s="514" t="s">
        <v>365</v>
      </c>
      <c r="C37" s="515" t="s">
        <v>387</v>
      </c>
      <c r="D37" s="516" t="s">
        <v>367</v>
      </c>
      <c r="E37" s="516"/>
      <c r="F37" s="519">
        <v>59215.29</v>
      </c>
      <c r="G37" s="519">
        <v>-7859.659669811321</v>
      </c>
      <c r="H37" s="519">
        <f t="shared" si="2"/>
        <v>51355.63033018868</v>
      </c>
      <c r="I37" s="520"/>
      <c r="J37" s="519">
        <v>846.7893396226416</v>
      </c>
    </row>
    <row r="38" spans="1:10" ht="12.75">
      <c r="A38" s="508">
        <v>35</v>
      </c>
      <c r="B38" s="514"/>
      <c r="C38" s="521" t="s">
        <v>388</v>
      </c>
      <c r="D38" s="522"/>
      <c r="E38" s="522"/>
      <c r="F38" s="523">
        <f>SUM(F30:F37)</f>
        <v>81485645.31000002</v>
      </c>
      <c r="G38" s="523">
        <f>SUM(G30:G37)</f>
        <v>-23988947.23190883</v>
      </c>
      <c r="H38" s="523">
        <f>SUM(H30:H37)</f>
        <v>57496698.07809117</v>
      </c>
      <c r="I38" s="524"/>
      <c r="J38" s="523">
        <f>SUM(J30:J37)</f>
        <v>1584741.37381766</v>
      </c>
    </row>
    <row r="39" spans="1:10" ht="12.75">
      <c r="A39" s="508">
        <v>36</v>
      </c>
      <c r="B39" s="514"/>
      <c r="C39" s="515"/>
      <c r="D39" s="526"/>
      <c r="E39" s="526"/>
      <c r="F39" s="523"/>
      <c r="G39" s="523"/>
      <c r="H39" s="523"/>
      <c r="I39" s="524"/>
      <c r="J39" s="523"/>
    </row>
    <row r="40" spans="1:10" ht="12.75">
      <c r="A40" s="508">
        <v>37</v>
      </c>
      <c r="B40" s="514"/>
      <c r="C40" s="515"/>
      <c r="D40" s="516" t="s">
        <v>389</v>
      </c>
      <c r="E40" s="516"/>
      <c r="F40" s="525"/>
      <c r="G40" s="525"/>
      <c r="H40" s="525"/>
      <c r="I40" s="524"/>
      <c r="J40" s="525"/>
    </row>
    <row r="41" spans="1:10" ht="12.75">
      <c r="A41" s="508">
        <v>38</v>
      </c>
      <c r="B41" s="514" t="s">
        <v>347</v>
      </c>
      <c r="C41" s="527" t="s">
        <v>390</v>
      </c>
      <c r="D41" s="516" t="s">
        <v>349</v>
      </c>
      <c r="E41" s="516"/>
      <c r="F41" s="519">
        <v>30604.26</v>
      </c>
      <c r="G41" s="519">
        <v>0</v>
      </c>
      <c r="H41" s="519">
        <f aca="true" t="shared" si="3" ref="H41:H46">SUM(F41:G41)</f>
        <v>30604.26</v>
      </c>
      <c r="I41" s="520"/>
      <c r="J41" s="519"/>
    </row>
    <row r="42" spans="1:10" ht="12.75">
      <c r="A42" s="508">
        <v>39</v>
      </c>
      <c r="B42" s="514" t="s">
        <v>356</v>
      </c>
      <c r="C42" s="527" t="s">
        <v>391</v>
      </c>
      <c r="D42" s="516" t="s">
        <v>392</v>
      </c>
      <c r="E42" s="516"/>
      <c r="F42" s="519">
        <v>5744097.42</v>
      </c>
      <c r="G42" s="519">
        <v>-1164837.2075537634</v>
      </c>
      <c r="H42" s="519">
        <f t="shared" si="3"/>
        <v>4579260.212446237</v>
      </c>
      <c r="I42" s="520"/>
      <c r="J42" s="519">
        <v>95926.42510752687</v>
      </c>
    </row>
    <row r="43" spans="1:10" ht="12.75">
      <c r="A43" s="508">
        <v>40</v>
      </c>
      <c r="B43" s="514" t="s">
        <v>359</v>
      </c>
      <c r="C43" s="527" t="s">
        <v>393</v>
      </c>
      <c r="D43" s="516" t="s">
        <v>394</v>
      </c>
      <c r="E43" s="516"/>
      <c r="F43" s="519">
        <v>11219.23</v>
      </c>
      <c r="G43" s="519">
        <v>-3924.6382643175407</v>
      </c>
      <c r="H43" s="519">
        <f t="shared" si="3"/>
        <v>7294.591735682459</v>
      </c>
      <c r="I43" s="520"/>
      <c r="J43" s="519">
        <v>371.35652863508153</v>
      </c>
    </row>
    <row r="44" spans="1:10" ht="12.75">
      <c r="A44" s="508">
        <v>41</v>
      </c>
      <c r="B44" s="514" t="s">
        <v>362</v>
      </c>
      <c r="C44" s="527" t="s">
        <v>395</v>
      </c>
      <c r="D44" s="516" t="s">
        <v>396</v>
      </c>
      <c r="E44" s="516"/>
      <c r="F44" s="519">
        <v>7460098.76</v>
      </c>
      <c r="G44" s="519">
        <v>-2042568.4179316058</v>
      </c>
      <c r="H44" s="519">
        <f t="shared" si="3"/>
        <v>5417530.342068394</v>
      </c>
      <c r="I44" s="520"/>
      <c r="J44" s="519">
        <v>157408.085863212</v>
      </c>
    </row>
    <row r="45" spans="1:10" ht="12.75">
      <c r="A45" s="508">
        <v>42</v>
      </c>
      <c r="B45" s="514" t="s">
        <v>359</v>
      </c>
      <c r="C45" s="527" t="s">
        <v>397</v>
      </c>
      <c r="D45" s="516" t="s">
        <v>398</v>
      </c>
      <c r="E45" s="516"/>
      <c r="F45" s="519">
        <v>3398684.89</v>
      </c>
      <c r="G45" s="519">
        <v>-955541.292297698</v>
      </c>
      <c r="H45" s="519">
        <f t="shared" si="3"/>
        <v>2443143.597702302</v>
      </c>
      <c r="I45" s="520"/>
      <c r="J45" s="519">
        <v>112496.47459539592</v>
      </c>
    </row>
    <row r="46" spans="1:10" ht="12.75">
      <c r="A46" s="508">
        <v>43</v>
      </c>
      <c r="B46" s="514" t="s">
        <v>362</v>
      </c>
      <c r="C46" s="527" t="s">
        <v>399</v>
      </c>
      <c r="D46" s="516" t="s">
        <v>400</v>
      </c>
      <c r="E46" s="516"/>
      <c r="F46" s="519">
        <v>5142698.77</v>
      </c>
      <c r="G46" s="519">
        <v>-1274957.80772224</v>
      </c>
      <c r="H46" s="519">
        <f t="shared" si="3"/>
        <v>3867740.96227776</v>
      </c>
      <c r="I46" s="520"/>
      <c r="J46" s="519">
        <v>108510.94544448024</v>
      </c>
    </row>
    <row r="47" spans="1:10" ht="12.75">
      <c r="A47" s="508">
        <v>44</v>
      </c>
      <c r="B47" s="514"/>
      <c r="C47" s="521" t="s">
        <v>401</v>
      </c>
      <c r="D47" s="522"/>
      <c r="E47" s="522"/>
      <c r="F47" s="523">
        <f>SUM(F41:F46)</f>
        <v>21787403.33</v>
      </c>
      <c r="G47" s="523">
        <f>SUM(G41:G46)</f>
        <v>-5441829.363769625</v>
      </c>
      <c r="H47" s="523">
        <f>SUM(H41:H46)</f>
        <v>16345573.966230374</v>
      </c>
      <c r="I47" s="524"/>
      <c r="J47" s="523">
        <f>SUM(J41:J46)</f>
        <v>474713.2875392501</v>
      </c>
    </row>
    <row r="48" spans="1:10" ht="12.75">
      <c r="A48" s="508">
        <v>45</v>
      </c>
      <c r="B48" s="514"/>
      <c r="C48" s="515"/>
      <c r="D48" s="528"/>
      <c r="E48" s="528"/>
      <c r="F48" s="523"/>
      <c r="G48" s="523"/>
      <c r="H48" s="523"/>
      <c r="I48" s="524"/>
      <c r="J48" s="523"/>
    </row>
    <row r="49" spans="1:10" ht="12.75">
      <c r="A49" s="508">
        <v>46</v>
      </c>
      <c r="B49" s="514"/>
      <c r="C49" s="515"/>
      <c r="D49" s="526"/>
      <c r="E49" s="526"/>
      <c r="F49" s="525"/>
      <c r="G49" s="525"/>
      <c r="H49" s="525"/>
      <c r="I49" s="524"/>
      <c r="J49" s="525"/>
    </row>
    <row r="50" spans="1:10" ht="13.5" thickBot="1">
      <c r="A50" s="508">
        <v>47</v>
      </c>
      <c r="B50" s="516" t="s">
        <v>402</v>
      </c>
      <c r="C50" s="515"/>
      <c r="D50" s="522"/>
      <c r="E50" s="522"/>
      <c r="F50" s="518">
        <f>F17+F27+F38+F47</f>
        <v>193679279.51</v>
      </c>
      <c r="G50" s="529">
        <f>G17+G27+G38+G47</f>
        <v>-80196969.01091567</v>
      </c>
      <c r="H50" s="529">
        <f>H17+H27+H38+H47</f>
        <v>113482310.49908434</v>
      </c>
      <c r="I50" s="518"/>
      <c r="J50" s="518">
        <f>J17+J27+J38+J47</f>
        <v>3805773.691831329</v>
      </c>
    </row>
    <row r="51" spans="1:10" ht="13.5" thickTop="1">
      <c r="A51" s="508">
        <v>48</v>
      </c>
      <c r="B51" s="499" t="s">
        <v>403</v>
      </c>
      <c r="D51" s="522"/>
      <c r="E51" s="522"/>
      <c r="F51" s="524">
        <f>G50</f>
        <v>-80196969.01091567</v>
      </c>
      <c r="G51" s="524"/>
      <c r="H51" s="524"/>
      <c r="I51" s="524"/>
      <c r="J51" s="524"/>
    </row>
    <row r="52" spans="1:10" ht="12.75">
      <c r="A52" s="508">
        <v>49</v>
      </c>
      <c r="B52" s="499" t="s">
        <v>404</v>
      </c>
      <c r="D52" s="522"/>
      <c r="E52" s="522"/>
      <c r="F52" s="524">
        <v>-10328343.750000002</v>
      </c>
      <c r="G52" s="522"/>
      <c r="H52" s="522"/>
      <c r="I52" s="530"/>
      <c r="J52" s="522"/>
    </row>
    <row r="53" spans="1:10" ht="12.75">
      <c r="A53" s="508">
        <v>50</v>
      </c>
      <c r="B53" s="499" t="s">
        <v>405</v>
      </c>
      <c r="D53" s="522"/>
      <c r="E53" s="522"/>
      <c r="G53" s="500"/>
      <c r="H53" s="500"/>
      <c r="I53" s="500"/>
      <c r="J53" s="500"/>
    </row>
    <row r="54" spans="1:10" ht="12.75">
      <c r="A54" s="508">
        <v>51</v>
      </c>
      <c r="B54" s="531" t="s">
        <v>406</v>
      </c>
      <c r="D54" s="522"/>
      <c r="E54" s="522"/>
      <c r="F54" s="524">
        <v>3674439.060000029</v>
      </c>
      <c r="G54" s="524"/>
      <c r="H54" s="524"/>
      <c r="I54" s="524"/>
      <c r="J54" s="524">
        <v>213630</v>
      </c>
    </row>
    <row r="55" spans="1:10" ht="12.75">
      <c r="A55" s="508">
        <v>52</v>
      </c>
      <c r="B55" s="531" t="s">
        <v>407</v>
      </c>
      <c r="D55" s="522"/>
      <c r="E55" s="522"/>
      <c r="F55" s="532">
        <v>594456.73</v>
      </c>
      <c r="G55" s="524"/>
      <c r="H55" s="532"/>
      <c r="I55" s="524"/>
      <c r="J55" s="524">
        <v>34493</v>
      </c>
    </row>
    <row r="56" spans="1:10" ht="12.75">
      <c r="A56" s="508">
        <v>53</v>
      </c>
      <c r="D56" s="522"/>
      <c r="E56" s="522"/>
      <c r="F56" s="523"/>
      <c r="G56" s="524"/>
      <c r="H56" s="524"/>
      <c r="I56" s="524"/>
      <c r="J56" s="523"/>
    </row>
    <row r="57" spans="1:10" ht="13.5" thickBot="1">
      <c r="A57" s="508">
        <v>54</v>
      </c>
      <c r="B57" s="499" t="s">
        <v>408</v>
      </c>
      <c r="D57" s="522"/>
      <c r="E57" s="522"/>
      <c r="F57" s="529">
        <f>SUM(F50:F56)</f>
        <v>107422862.53908436</v>
      </c>
      <c r="G57" s="518"/>
      <c r="H57" s="518"/>
      <c r="I57" s="518"/>
      <c r="J57" s="529">
        <f>SUM(J50:J56)</f>
        <v>4053896.691831329</v>
      </c>
    </row>
    <row r="58" ht="13.5" thickTop="1"/>
    <row r="60" ht="12.75">
      <c r="A60" s="533"/>
    </row>
  </sheetData>
  <sheetProtection/>
  <printOptions horizontalCentered="1"/>
  <pageMargins left="0.5" right="0.5" top="0.75" bottom="0.25" header="0.32" footer="0.27"/>
  <pageSetup fitToHeight="1" fitToWidth="1" horizontalDpi="600" verticalDpi="600" orientation="portrait" scale="78" r:id="rId1"/>
</worksheet>
</file>

<file path=xl/worksheets/sheet7.xml><?xml version="1.0" encoding="utf-8"?>
<worksheet xmlns="http://schemas.openxmlformats.org/spreadsheetml/2006/main" xmlns:r="http://schemas.openxmlformats.org/officeDocument/2006/relationships">
  <dimension ref="A1:AI129"/>
  <sheetViews>
    <sheetView zoomScalePageLayoutView="0" workbookViewId="0" topLeftCell="A1">
      <selection activeCell="L28" sqref="L28"/>
    </sheetView>
  </sheetViews>
  <sheetFormatPr defaultColWidth="9.140625" defaultRowHeight="12.75"/>
  <cols>
    <col min="1" max="1" width="6.8515625" style="39" customWidth="1"/>
    <col min="2" max="2" width="12.7109375" style="9" customWidth="1"/>
    <col min="3" max="3" width="41.140625" style="9" customWidth="1"/>
    <col min="4" max="4" width="14.8515625" style="9" customWidth="1"/>
    <col min="5" max="15" width="13.8515625" style="9" hidden="1" customWidth="1"/>
    <col min="16" max="16" width="15.421875" style="9" customWidth="1"/>
    <col min="17" max="17" width="16.140625" style="9" customWidth="1"/>
    <col min="18" max="18" width="16.57421875" style="9" customWidth="1"/>
    <col min="19" max="19" width="16.421875" style="9" customWidth="1"/>
    <col min="20" max="20" width="16.140625" style="9" customWidth="1"/>
    <col min="21" max="21" width="17.28125" style="9" customWidth="1"/>
    <col min="22" max="22" width="12.8515625" style="9" bestFit="1" customWidth="1"/>
    <col min="23" max="16384" width="9.140625" style="9" customWidth="1"/>
  </cols>
  <sheetData>
    <row r="1" spans="1:20" s="48" customFormat="1" ht="18">
      <c r="A1" s="152"/>
      <c r="B1" s="1" t="s">
        <v>98</v>
      </c>
      <c r="C1" s="9"/>
      <c r="D1" s="9"/>
      <c r="G1" s="153"/>
      <c r="S1" s="154"/>
      <c r="T1" s="63" t="s">
        <v>146</v>
      </c>
    </row>
    <row r="2" spans="1:20" ht="12.75">
      <c r="A2" s="39" t="s">
        <v>236</v>
      </c>
      <c r="B2" s="155" t="s">
        <v>99</v>
      </c>
      <c r="S2" s="34"/>
      <c r="T2" s="63"/>
    </row>
    <row r="3" spans="1:20" ht="12.75">
      <c r="A3" s="39">
        <f>ROW()</f>
        <v>3</v>
      </c>
      <c r="C3" s="9" t="s">
        <v>100</v>
      </c>
      <c r="D3" s="156">
        <f>Q67</f>
        <v>713910714.3824999</v>
      </c>
      <c r="S3" s="34"/>
      <c r="T3" s="157"/>
    </row>
    <row r="4" spans="1:20" ht="12.75">
      <c r="A4" s="39">
        <f>ROW()</f>
        <v>4</v>
      </c>
      <c r="C4" s="9" t="s">
        <v>101</v>
      </c>
      <c r="D4" s="156">
        <f>T67</f>
        <v>-424341613.662598</v>
      </c>
      <c r="S4" s="34"/>
      <c r="T4" s="158"/>
    </row>
    <row r="5" spans="1:20" ht="12.75">
      <c r="A5" s="39">
        <f>ROW()</f>
        <v>5</v>
      </c>
      <c r="C5" s="159" t="s">
        <v>160</v>
      </c>
      <c r="D5" s="160">
        <v>-60490991.583333306</v>
      </c>
      <c r="S5" s="34"/>
      <c r="T5" s="34"/>
    </row>
    <row r="6" spans="1:20" ht="12.75">
      <c r="A6" s="39">
        <f>ROW()</f>
        <v>6</v>
      </c>
      <c r="C6" s="9" t="s">
        <v>102</v>
      </c>
      <c r="D6" s="161">
        <f>SUM(D3:D5)</f>
        <v>229078109.1365686</v>
      </c>
      <c r="S6" s="162" t="s">
        <v>161</v>
      </c>
      <c r="T6" s="34"/>
    </row>
    <row r="7" spans="1:4" ht="12.75">
      <c r="A7" s="39">
        <f>ROW()</f>
        <v>7</v>
      </c>
      <c r="C7" s="9" t="s">
        <v>103</v>
      </c>
      <c r="D7" s="56">
        <v>0.07</v>
      </c>
    </row>
    <row r="8" spans="1:16" ht="12.75">
      <c r="A8" s="39">
        <f>ROW()</f>
        <v>8</v>
      </c>
      <c r="C8" s="9" t="s">
        <v>104</v>
      </c>
      <c r="D8" s="163">
        <f>D6*D7</f>
        <v>16035467.639559804</v>
      </c>
      <c r="P8" s="9" t="s">
        <v>105</v>
      </c>
    </row>
    <row r="9" spans="1:19" ht="12.75">
      <c r="A9" s="39">
        <f>ROW()</f>
        <v>9</v>
      </c>
      <c r="C9" s="9" t="s">
        <v>106</v>
      </c>
      <c r="D9" s="163">
        <f>D8/(1-0.35)</f>
        <v>24669950.21470739</v>
      </c>
      <c r="P9" s="9" t="s">
        <v>107</v>
      </c>
      <c r="S9" s="164">
        <v>0.35</v>
      </c>
    </row>
    <row r="10" spans="1:4" ht="12.75">
      <c r="A10" s="39">
        <f>ROW()</f>
        <v>10</v>
      </c>
      <c r="C10" s="9" t="s">
        <v>108</v>
      </c>
      <c r="D10" s="165">
        <f>D108</f>
        <v>72012428.70802529</v>
      </c>
    </row>
    <row r="11" spans="1:16" ht="12.75">
      <c r="A11" s="39">
        <f>ROW()</f>
        <v>11</v>
      </c>
      <c r="C11" s="9" t="s">
        <v>109</v>
      </c>
      <c r="D11" s="600">
        <f>D10+D9</f>
        <v>96682378.92273268</v>
      </c>
      <c r="P11" s="9" t="s">
        <v>110</v>
      </c>
    </row>
    <row r="12" ht="12.75">
      <c r="A12" s="39">
        <f>ROW()</f>
        <v>12</v>
      </c>
    </row>
    <row r="13" spans="1:2" ht="12.75">
      <c r="A13" s="39">
        <f>ROW()</f>
        <v>13</v>
      </c>
      <c r="B13" s="9" t="s">
        <v>111</v>
      </c>
    </row>
    <row r="14" spans="1:20" s="170" customFormat="1" ht="25.5">
      <c r="A14" s="166">
        <f>ROW()</f>
        <v>14</v>
      </c>
      <c r="B14" s="167" t="s">
        <v>112</v>
      </c>
      <c r="C14" s="167" t="s">
        <v>113</v>
      </c>
      <c r="D14" s="168" t="s">
        <v>162</v>
      </c>
      <c r="E14" s="168" t="s">
        <v>163</v>
      </c>
      <c r="F14" s="168" t="s">
        <v>164</v>
      </c>
      <c r="G14" s="168" t="s">
        <v>165</v>
      </c>
      <c r="H14" s="168" t="s">
        <v>166</v>
      </c>
      <c r="I14" s="168" t="s">
        <v>167</v>
      </c>
      <c r="J14" s="168" t="s">
        <v>168</v>
      </c>
      <c r="K14" s="168" t="s">
        <v>169</v>
      </c>
      <c r="L14" s="168" t="s">
        <v>170</v>
      </c>
      <c r="M14" s="168" t="s">
        <v>171</v>
      </c>
      <c r="N14" s="168" t="s">
        <v>172</v>
      </c>
      <c r="O14" s="168" t="s">
        <v>173</v>
      </c>
      <c r="P14" s="168" t="s">
        <v>174</v>
      </c>
      <c r="Q14" s="169" t="s">
        <v>118</v>
      </c>
      <c r="R14" s="169" t="s">
        <v>119</v>
      </c>
      <c r="S14" s="169" t="s">
        <v>120</v>
      </c>
      <c r="T14" s="169" t="s">
        <v>175</v>
      </c>
    </row>
    <row r="15" spans="1:21" s="178" customFormat="1" ht="12.75">
      <c r="A15" s="171">
        <f>ROW()</f>
        <v>15</v>
      </c>
      <c r="B15" s="172"/>
      <c r="C15" s="173" t="s">
        <v>121</v>
      </c>
      <c r="D15" s="174"/>
      <c r="E15" s="174"/>
      <c r="F15" s="174"/>
      <c r="G15" s="174"/>
      <c r="H15" s="174"/>
      <c r="I15" s="174"/>
      <c r="J15" s="174"/>
      <c r="K15" s="174"/>
      <c r="L15" s="174"/>
      <c r="M15" s="174"/>
      <c r="N15" s="174"/>
      <c r="O15" s="174"/>
      <c r="P15" s="174"/>
      <c r="Q15" s="175"/>
      <c r="R15" s="57"/>
      <c r="S15" s="175"/>
      <c r="T15" s="176"/>
      <c r="U15" s="177"/>
    </row>
    <row r="16" spans="1:20" s="177" customFormat="1" ht="12.75">
      <c r="A16" s="171">
        <f>ROW()</f>
        <v>16</v>
      </c>
      <c r="B16" s="172" t="s">
        <v>122</v>
      </c>
      <c r="C16" s="173" t="s">
        <v>123</v>
      </c>
      <c r="D16" s="179">
        <v>7435988.71</v>
      </c>
      <c r="E16" s="179">
        <v>7436040.22</v>
      </c>
      <c r="F16" s="179">
        <v>7439094.46</v>
      </c>
      <c r="G16" s="179">
        <v>7439094.46</v>
      </c>
      <c r="H16" s="179">
        <v>7439094.46</v>
      </c>
      <c r="I16" s="179">
        <v>7439094.46</v>
      </c>
      <c r="J16" s="179">
        <v>7439094.46</v>
      </c>
      <c r="K16" s="179">
        <v>7439094.46</v>
      </c>
      <c r="L16" s="179">
        <v>7439094.46</v>
      </c>
      <c r="M16" s="179">
        <v>7439094.46</v>
      </c>
      <c r="N16" s="179">
        <v>7439094.46</v>
      </c>
      <c r="O16" s="179">
        <v>7471249.83</v>
      </c>
      <c r="P16" s="179">
        <v>7473867.75</v>
      </c>
      <c r="Q16" s="175">
        <f>ROUND(((D16+P16+SUM(E16:O16)*2))/24,0)</f>
        <v>7442839</v>
      </c>
      <c r="R16" s="58">
        <v>0.0391</v>
      </c>
      <c r="S16" s="175">
        <v>290983.4775247525</v>
      </c>
      <c r="T16" s="174">
        <v>-4667185.943762376</v>
      </c>
    </row>
    <row r="17" spans="1:20" s="177" customFormat="1" ht="12.75">
      <c r="A17" s="171">
        <f>ROW()</f>
        <v>17</v>
      </c>
      <c r="B17" s="172" t="s">
        <v>124</v>
      </c>
      <c r="C17" s="173" t="s">
        <v>125</v>
      </c>
      <c r="D17" s="179">
        <v>55297743.33</v>
      </c>
      <c r="E17" s="179">
        <v>58700393.94</v>
      </c>
      <c r="F17" s="179">
        <v>56023763.65</v>
      </c>
      <c r="G17" s="179">
        <v>57923526.18</v>
      </c>
      <c r="H17" s="179">
        <v>59730869.67</v>
      </c>
      <c r="I17" s="179">
        <v>59035918.97</v>
      </c>
      <c r="J17" s="179">
        <v>57617574.96</v>
      </c>
      <c r="K17" s="179">
        <v>58773282.61</v>
      </c>
      <c r="L17" s="179">
        <v>58889776.01</v>
      </c>
      <c r="M17" s="179">
        <v>59252399.34</v>
      </c>
      <c r="N17" s="179">
        <v>59976824.87</v>
      </c>
      <c r="O17" s="179">
        <v>58139993.57</v>
      </c>
      <c r="P17" s="179">
        <v>58163160.95</v>
      </c>
      <c r="Q17" s="175">
        <f>ROUND(((D17+P17+SUM(E17:O17)*2))/24,0)</f>
        <v>58399565</v>
      </c>
      <c r="R17" s="58">
        <v>0.0364</v>
      </c>
      <c r="S17" s="175">
        <v>2135755.836666667</v>
      </c>
      <c r="T17" s="174">
        <v>-38786592.98833334</v>
      </c>
    </row>
    <row r="18" spans="1:20" s="177" customFormat="1" ht="12.75">
      <c r="A18" s="171">
        <f>ROW()</f>
        <v>18</v>
      </c>
      <c r="B18" s="172" t="s">
        <v>126</v>
      </c>
      <c r="C18" s="173" t="s">
        <v>127</v>
      </c>
      <c r="D18" s="179">
        <v>19333174.66</v>
      </c>
      <c r="E18" s="179">
        <v>19613015.36</v>
      </c>
      <c r="F18" s="179">
        <v>20663212.35</v>
      </c>
      <c r="G18" s="179">
        <v>21474560.5</v>
      </c>
      <c r="H18" s="179">
        <v>21474560.5</v>
      </c>
      <c r="I18" s="179">
        <v>21797965.53</v>
      </c>
      <c r="J18" s="179">
        <v>22719175.42</v>
      </c>
      <c r="K18" s="179">
        <v>22719175.42</v>
      </c>
      <c r="L18" s="179">
        <v>22719175.42</v>
      </c>
      <c r="M18" s="179">
        <v>22719175.42</v>
      </c>
      <c r="N18" s="179">
        <v>22719175.42</v>
      </c>
      <c r="O18" s="179">
        <v>23297812.99</v>
      </c>
      <c r="P18" s="179">
        <v>23438986.75</v>
      </c>
      <c r="Q18" s="175">
        <f>ROUND(((D18+P18+SUM(E18:O18)*2))/24,0)</f>
        <v>21941924</v>
      </c>
      <c r="R18" s="58">
        <v>0.052000000000000005</v>
      </c>
      <c r="S18" s="175">
        <v>1177923.377507599</v>
      </c>
      <c r="T18" s="174">
        <v>-10315710.1587538</v>
      </c>
    </row>
    <row r="19" spans="1:20" s="177" customFormat="1" ht="12.75">
      <c r="A19" s="171">
        <f>ROW()</f>
        <v>19</v>
      </c>
      <c r="B19" s="172" t="s">
        <v>128</v>
      </c>
      <c r="C19" s="173" t="s">
        <v>129</v>
      </c>
      <c r="D19" s="179">
        <v>7180778.59</v>
      </c>
      <c r="E19" s="179">
        <v>7180778.59</v>
      </c>
      <c r="F19" s="179">
        <v>7180090.78</v>
      </c>
      <c r="G19" s="179">
        <v>7180381.66</v>
      </c>
      <c r="H19" s="179">
        <v>7180381.66</v>
      </c>
      <c r="I19" s="179">
        <v>7180381.66</v>
      </c>
      <c r="J19" s="179">
        <v>7180435.19</v>
      </c>
      <c r="K19" s="179">
        <v>7180435.19</v>
      </c>
      <c r="L19" s="179">
        <v>7180435.19</v>
      </c>
      <c r="M19" s="179">
        <v>7180435.19</v>
      </c>
      <c r="N19" s="179">
        <v>7180435.19</v>
      </c>
      <c r="O19" s="179">
        <v>7180435.19</v>
      </c>
      <c r="P19" s="179">
        <v>7180435.19</v>
      </c>
      <c r="Q19" s="175">
        <f>ROUND(((D19+P19+SUM(E19:O19)*2))/24,0)</f>
        <v>7180436</v>
      </c>
      <c r="R19" s="58">
        <v>0.0197</v>
      </c>
      <c r="S19" s="175">
        <v>141393.44243542434</v>
      </c>
      <c r="T19" s="174">
        <v>-5497748.871217712</v>
      </c>
    </row>
    <row r="20" spans="1:20" s="177" customFormat="1" ht="12.75">
      <c r="A20" s="171">
        <f>ROW()</f>
        <v>20</v>
      </c>
      <c r="B20" s="172" t="s">
        <v>130</v>
      </c>
      <c r="C20" s="173" t="s">
        <v>131</v>
      </c>
      <c r="D20" s="179">
        <v>563919.13</v>
      </c>
      <c r="E20" s="179">
        <v>563919.13</v>
      </c>
      <c r="F20" s="179">
        <v>753703.18</v>
      </c>
      <c r="G20" s="179">
        <v>748119.9</v>
      </c>
      <c r="H20" s="179">
        <v>748119.9</v>
      </c>
      <c r="I20" s="179">
        <v>748167.37</v>
      </c>
      <c r="J20" s="179">
        <v>767012.96</v>
      </c>
      <c r="K20" s="179">
        <v>767012.96</v>
      </c>
      <c r="L20" s="179">
        <v>767012.96</v>
      </c>
      <c r="M20" s="179">
        <v>767012.96</v>
      </c>
      <c r="N20" s="179">
        <v>767012.96</v>
      </c>
      <c r="O20" s="179">
        <v>786459.5</v>
      </c>
      <c r="P20" s="179">
        <v>799295.59</v>
      </c>
      <c r="Q20" s="175">
        <f>ROUND(((D20+P20+SUM(E20:O20)*2))/24,0)</f>
        <v>738763</v>
      </c>
      <c r="R20" s="58">
        <v>0.0479</v>
      </c>
      <c r="S20" s="175">
        <v>38606.71925064599</v>
      </c>
      <c r="T20" s="174">
        <v>-339995.534625323</v>
      </c>
    </row>
    <row r="21" spans="1:20" s="177" customFormat="1" ht="12.75">
      <c r="A21" s="171">
        <f>ROW()</f>
        <v>21</v>
      </c>
      <c r="B21" s="172"/>
      <c r="C21" s="173" t="s">
        <v>132</v>
      </c>
      <c r="D21" s="180">
        <f aca="true" t="shared" si="0" ref="D21:Q21">SUM(D16:D20)</f>
        <v>89811604.42</v>
      </c>
      <c r="E21" s="180">
        <f t="shared" si="0"/>
        <v>93494147.24</v>
      </c>
      <c r="F21" s="180">
        <f t="shared" si="0"/>
        <v>92059864.42000002</v>
      </c>
      <c r="G21" s="180">
        <f t="shared" si="0"/>
        <v>94765682.7</v>
      </c>
      <c r="H21" s="180">
        <f t="shared" si="0"/>
        <v>96573026.19</v>
      </c>
      <c r="I21" s="180">
        <f t="shared" si="0"/>
        <v>96201527.99000001</v>
      </c>
      <c r="J21" s="180">
        <f t="shared" si="0"/>
        <v>95723292.99</v>
      </c>
      <c r="K21" s="180">
        <f t="shared" si="0"/>
        <v>96879000.64</v>
      </c>
      <c r="L21" s="180">
        <f t="shared" si="0"/>
        <v>96995494.03999999</v>
      </c>
      <c r="M21" s="180">
        <f t="shared" si="0"/>
        <v>97358117.36999999</v>
      </c>
      <c r="N21" s="180">
        <f t="shared" si="0"/>
        <v>98082542.89999999</v>
      </c>
      <c r="O21" s="180">
        <f t="shared" si="0"/>
        <v>96875951.08</v>
      </c>
      <c r="P21" s="180">
        <f t="shared" si="0"/>
        <v>97055746.23</v>
      </c>
      <c r="Q21" s="180">
        <f t="shared" si="0"/>
        <v>95703527</v>
      </c>
      <c r="R21" s="59">
        <f>ROUND(+S21/Q21,4)</f>
        <v>0.0395</v>
      </c>
      <c r="S21" s="181">
        <f>SUM(S16:S20)</f>
        <v>3784662.853385089</v>
      </c>
      <c r="T21" s="181">
        <f>SUM(T16:T20)</f>
        <v>-59607233.496692546</v>
      </c>
    </row>
    <row r="22" spans="1:20" s="177" customFormat="1" ht="12.75">
      <c r="A22" s="171">
        <f>ROW()</f>
        <v>22</v>
      </c>
      <c r="B22" s="172"/>
      <c r="C22" s="173" t="s">
        <v>133</v>
      </c>
      <c r="D22" s="174"/>
      <c r="E22" s="174"/>
      <c r="F22" s="174"/>
      <c r="G22" s="174"/>
      <c r="H22" s="174"/>
      <c r="I22" s="174"/>
      <c r="J22" s="174"/>
      <c r="K22" s="174"/>
      <c r="L22" s="174"/>
      <c r="M22" s="174"/>
      <c r="N22" s="174"/>
      <c r="O22" s="174"/>
      <c r="P22" s="174"/>
      <c r="Q22" s="175"/>
      <c r="R22" s="57"/>
      <c r="S22" s="175"/>
      <c r="T22" s="176"/>
    </row>
    <row r="23" spans="1:20" s="177" customFormat="1" ht="12.75">
      <c r="A23" s="171">
        <f>ROW()</f>
        <v>23</v>
      </c>
      <c r="B23" s="172" t="s">
        <v>122</v>
      </c>
      <c r="C23" s="173" t="s">
        <v>123</v>
      </c>
      <c r="D23" s="174">
        <v>5822931.9</v>
      </c>
      <c r="E23" s="174">
        <v>5822981.39</v>
      </c>
      <c r="F23" s="174">
        <v>5826035.63</v>
      </c>
      <c r="G23" s="174">
        <v>5826035.63</v>
      </c>
      <c r="H23" s="174">
        <v>5826035.63</v>
      </c>
      <c r="I23" s="174">
        <v>5826035.63</v>
      </c>
      <c r="J23" s="174">
        <v>5826035.63</v>
      </c>
      <c r="K23" s="174">
        <v>5826035.63</v>
      </c>
      <c r="L23" s="174">
        <v>5826035.63</v>
      </c>
      <c r="M23" s="174">
        <v>5826035.63</v>
      </c>
      <c r="N23" s="174">
        <v>5826035.63</v>
      </c>
      <c r="O23" s="174">
        <v>5858191</v>
      </c>
      <c r="P23" s="174">
        <v>5860808.92</v>
      </c>
      <c r="Q23" s="175">
        <f>ROUND(((D23+P23+SUM(E23:O23)*2))/24,0)</f>
        <v>5829780</v>
      </c>
      <c r="R23" s="58">
        <v>0.0297</v>
      </c>
      <c r="S23" s="175">
        <v>173127.37588235294</v>
      </c>
      <c r="T23" s="174">
        <v>-4308945.857941177</v>
      </c>
    </row>
    <row r="24" spans="1:20" s="177" customFormat="1" ht="12.75">
      <c r="A24" s="171">
        <f>ROW()</f>
        <v>24</v>
      </c>
      <c r="B24" s="172" t="s">
        <v>124</v>
      </c>
      <c r="C24" s="173" t="s">
        <v>125</v>
      </c>
      <c r="D24" s="174">
        <v>49622109.39</v>
      </c>
      <c r="E24" s="174">
        <v>49751843.89</v>
      </c>
      <c r="F24" s="174">
        <v>50202251.37</v>
      </c>
      <c r="G24" s="174">
        <v>50275608.68</v>
      </c>
      <c r="H24" s="174">
        <v>50275608.68</v>
      </c>
      <c r="I24" s="174">
        <v>50400195.21</v>
      </c>
      <c r="J24" s="174">
        <v>50739362.3</v>
      </c>
      <c r="K24" s="174">
        <v>50739362.3</v>
      </c>
      <c r="L24" s="174">
        <v>50739362.3</v>
      </c>
      <c r="M24" s="174">
        <v>50739362.3</v>
      </c>
      <c r="N24" s="174">
        <v>50739362.3</v>
      </c>
      <c r="O24" s="174">
        <v>49726686.97</v>
      </c>
      <c r="P24" s="174">
        <v>49788214.15</v>
      </c>
      <c r="Q24" s="175">
        <f>ROUND(((D24+P24+SUM(E24:O24)*2))/24,0)</f>
        <v>50336181</v>
      </c>
      <c r="R24" s="58">
        <v>0.0383</v>
      </c>
      <c r="S24" s="175">
        <v>1930119.6219344265</v>
      </c>
      <c r="T24" s="174">
        <v>-32467863.595967215</v>
      </c>
    </row>
    <row r="25" spans="1:20" s="177" customFormat="1" ht="12.75">
      <c r="A25" s="171">
        <f>ROW()</f>
        <v>25</v>
      </c>
      <c r="B25" s="172" t="s">
        <v>126</v>
      </c>
      <c r="C25" s="173" t="s">
        <v>127</v>
      </c>
      <c r="D25" s="174">
        <v>16983271.47</v>
      </c>
      <c r="E25" s="174">
        <v>17262907.14</v>
      </c>
      <c r="F25" s="174">
        <v>18053944.19</v>
      </c>
      <c r="G25" s="174">
        <v>18439808.63</v>
      </c>
      <c r="H25" s="174">
        <v>18439808.63</v>
      </c>
      <c r="I25" s="174">
        <v>18999720.31</v>
      </c>
      <c r="J25" s="174">
        <v>19451533.71</v>
      </c>
      <c r="K25" s="174">
        <v>19451533.71</v>
      </c>
      <c r="L25" s="174">
        <v>19451533.71</v>
      </c>
      <c r="M25" s="174">
        <v>19451533.71</v>
      </c>
      <c r="N25" s="174">
        <v>19451533.71</v>
      </c>
      <c r="O25" s="174">
        <v>20142022.06</v>
      </c>
      <c r="P25" s="174">
        <v>20283195.82</v>
      </c>
      <c r="Q25" s="175">
        <f>ROUND(((D25+P25+SUM(E25:O25)*2))/24,0)</f>
        <v>18935759</v>
      </c>
      <c r="R25" s="58">
        <v>0.050300000000000004</v>
      </c>
      <c r="S25" s="175">
        <v>972784.0709815952</v>
      </c>
      <c r="T25" s="174">
        <v>-9192559.845490798</v>
      </c>
    </row>
    <row r="26" spans="1:20" s="177" customFormat="1" ht="12.75">
      <c r="A26" s="171">
        <f>ROW()</f>
        <v>26</v>
      </c>
      <c r="B26" s="172" t="s">
        <v>128</v>
      </c>
      <c r="C26" s="173" t="s">
        <v>129</v>
      </c>
      <c r="D26" s="174">
        <v>5070990.12</v>
      </c>
      <c r="E26" s="174">
        <v>5070990.12</v>
      </c>
      <c r="F26" s="174">
        <v>5070990.12</v>
      </c>
      <c r="G26" s="174">
        <v>5070990.12</v>
      </c>
      <c r="H26" s="174">
        <v>5070990.12</v>
      </c>
      <c r="I26" s="174">
        <v>5070990.12</v>
      </c>
      <c r="J26" s="174">
        <v>5070990.12</v>
      </c>
      <c r="K26" s="174">
        <v>5070990.12</v>
      </c>
      <c r="L26" s="174">
        <v>5070990.12</v>
      </c>
      <c r="M26" s="174">
        <v>5070990.12</v>
      </c>
      <c r="N26" s="174">
        <v>5070990.12</v>
      </c>
      <c r="O26" s="174">
        <v>5070990.12</v>
      </c>
      <c r="P26" s="174">
        <v>5087938.93</v>
      </c>
      <c r="Q26" s="175">
        <f>ROUND(((D26+P26+SUM(E26:O26)*2))/24,0)</f>
        <v>5071696</v>
      </c>
      <c r="R26" s="58">
        <v>0.029300000000000003</v>
      </c>
      <c r="S26" s="175">
        <v>148530.65338289965</v>
      </c>
      <c r="T26" s="174">
        <v>-3300376.16669145</v>
      </c>
    </row>
    <row r="27" spans="1:20" s="177" customFormat="1" ht="12.75">
      <c r="A27" s="171">
        <f>ROW()</f>
        <v>27</v>
      </c>
      <c r="B27" s="172" t="s">
        <v>130</v>
      </c>
      <c r="C27" s="173" t="s">
        <v>131</v>
      </c>
      <c r="D27" s="174">
        <v>588699.54</v>
      </c>
      <c r="E27" s="174">
        <v>588699.54</v>
      </c>
      <c r="F27" s="174">
        <v>778483.59</v>
      </c>
      <c r="G27" s="174">
        <v>772900.31</v>
      </c>
      <c r="H27" s="174">
        <v>772900.31</v>
      </c>
      <c r="I27" s="174">
        <v>772947.78</v>
      </c>
      <c r="J27" s="174">
        <v>772947.78</v>
      </c>
      <c r="K27" s="174">
        <v>791791.35</v>
      </c>
      <c r="L27" s="174">
        <v>791791.35</v>
      </c>
      <c r="M27" s="174">
        <v>791791.35</v>
      </c>
      <c r="N27" s="174">
        <v>791791.35</v>
      </c>
      <c r="O27" s="174">
        <v>811237.89</v>
      </c>
      <c r="P27" s="174">
        <v>824073.98</v>
      </c>
      <c r="Q27" s="175">
        <f>ROUND(((D27+P27+SUM(E27:O27)*2))/24,0)</f>
        <v>761972</v>
      </c>
      <c r="R27" s="58">
        <v>0.0493</v>
      </c>
      <c r="S27" s="175">
        <v>40944.769833795006</v>
      </c>
      <c r="T27" s="174">
        <v>-339989.4499168975</v>
      </c>
    </row>
    <row r="28" spans="1:20" s="177" customFormat="1" ht="12.75">
      <c r="A28" s="171">
        <f>ROW()</f>
        <v>28</v>
      </c>
      <c r="B28" s="172"/>
      <c r="C28" s="173" t="s">
        <v>132</v>
      </c>
      <c r="D28" s="180">
        <f aca="true" t="shared" si="1" ref="D28:Q28">SUM(D23:D27)</f>
        <v>78088002.42</v>
      </c>
      <c r="E28" s="180">
        <f t="shared" si="1"/>
        <v>78497422.08000001</v>
      </c>
      <c r="F28" s="180">
        <f t="shared" si="1"/>
        <v>79931704.9</v>
      </c>
      <c r="G28" s="180">
        <f t="shared" si="1"/>
        <v>80385343.37</v>
      </c>
      <c r="H28" s="180">
        <f t="shared" si="1"/>
        <v>80385343.37</v>
      </c>
      <c r="I28" s="180">
        <f t="shared" si="1"/>
        <v>81069889.05000001</v>
      </c>
      <c r="J28" s="180">
        <f t="shared" si="1"/>
        <v>81860869.54</v>
      </c>
      <c r="K28" s="180">
        <f t="shared" si="1"/>
        <v>81879713.11</v>
      </c>
      <c r="L28" s="180">
        <f t="shared" si="1"/>
        <v>81879713.11</v>
      </c>
      <c r="M28" s="180">
        <f t="shared" si="1"/>
        <v>81879713.11</v>
      </c>
      <c r="N28" s="180">
        <f t="shared" si="1"/>
        <v>81879713.11</v>
      </c>
      <c r="O28" s="180">
        <f t="shared" si="1"/>
        <v>81609128.04</v>
      </c>
      <c r="P28" s="180">
        <f t="shared" si="1"/>
        <v>81844231.8</v>
      </c>
      <c r="Q28" s="180">
        <f t="shared" si="1"/>
        <v>80935388</v>
      </c>
      <c r="R28" s="59">
        <f>ROUND(+S28/Q28,4)</f>
        <v>0.0403</v>
      </c>
      <c r="S28" s="181">
        <f>SUM(S23:S27)</f>
        <v>3265506.4920150694</v>
      </c>
      <c r="T28" s="180">
        <f>SUM(T23:T27)</f>
        <v>-49609734.91600754</v>
      </c>
    </row>
    <row r="29" spans="1:20" s="177" customFormat="1" ht="12.75">
      <c r="A29" s="171">
        <f>ROW()</f>
        <v>29</v>
      </c>
      <c r="B29" s="172"/>
      <c r="C29" s="173" t="s">
        <v>134</v>
      </c>
      <c r="D29" s="174"/>
      <c r="E29" s="174"/>
      <c r="F29" s="174"/>
      <c r="G29" s="174"/>
      <c r="H29" s="174"/>
      <c r="I29" s="174"/>
      <c r="J29" s="174"/>
      <c r="K29" s="174"/>
      <c r="L29" s="174"/>
      <c r="M29" s="174"/>
      <c r="N29" s="174"/>
      <c r="O29" s="174"/>
      <c r="P29" s="174"/>
      <c r="Q29" s="175"/>
      <c r="R29" s="57"/>
      <c r="S29" s="175"/>
      <c r="T29" s="176"/>
    </row>
    <row r="30" spans="1:20" s="177" customFormat="1" ht="12.75">
      <c r="A30" s="171">
        <f>ROW()</f>
        <v>30</v>
      </c>
      <c r="B30" s="172" t="s">
        <v>122</v>
      </c>
      <c r="C30" s="173" t="s">
        <v>123</v>
      </c>
      <c r="D30" s="174">
        <v>31349014.09</v>
      </c>
      <c r="E30" s="174">
        <v>31349014.09</v>
      </c>
      <c r="F30" s="174">
        <v>31349014.09</v>
      </c>
      <c r="G30" s="174">
        <v>31349014.09</v>
      </c>
      <c r="H30" s="174">
        <v>31349014.09</v>
      </c>
      <c r="I30" s="174">
        <v>31349014.09</v>
      </c>
      <c r="J30" s="174">
        <v>31349014.09</v>
      </c>
      <c r="K30" s="174">
        <v>31349014.09</v>
      </c>
      <c r="L30" s="174">
        <v>31349014.09</v>
      </c>
      <c r="M30" s="174">
        <v>31349014.09</v>
      </c>
      <c r="N30" s="174">
        <v>31349014.09</v>
      </c>
      <c r="O30" s="174">
        <v>31349014.09</v>
      </c>
      <c r="P30" s="174">
        <v>31349014.09</v>
      </c>
      <c r="Q30" s="175">
        <f aca="true" t="shared" si="2" ref="Q30:Q35">ROUND(((D30+P30+SUM(E30:O30)*2))/24,0)</f>
        <v>31349014</v>
      </c>
      <c r="R30" s="58">
        <v>0.0277</v>
      </c>
      <c r="S30" s="175">
        <v>805477.6758227848</v>
      </c>
      <c r="T30" s="174">
        <v>-23933768.697911393</v>
      </c>
    </row>
    <row r="31" spans="1:20" s="177" customFormat="1" ht="12.75">
      <c r="A31" s="171">
        <f>ROW()</f>
        <v>31</v>
      </c>
      <c r="B31" s="172" t="s">
        <v>124</v>
      </c>
      <c r="C31" s="173" t="s">
        <v>125</v>
      </c>
      <c r="D31" s="174">
        <v>7804511.14</v>
      </c>
      <c r="E31" s="174">
        <v>7804511.14</v>
      </c>
      <c r="F31" s="174">
        <v>7804511.14</v>
      </c>
      <c r="G31" s="174">
        <v>7804511.14</v>
      </c>
      <c r="H31" s="174">
        <v>7804511.14</v>
      </c>
      <c r="I31" s="174">
        <v>7804511.14</v>
      </c>
      <c r="J31" s="174">
        <v>7804511.14</v>
      </c>
      <c r="K31" s="174">
        <v>7804511.14</v>
      </c>
      <c r="L31" s="174">
        <v>7804511.14</v>
      </c>
      <c r="M31" s="174">
        <v>7804511.14</v>
      </c>
      <c r="N31" s="174">
        <v>7804511.14</v>
      </c>
      <c r="O31" s="174">
        <v>6485834.14</v>
      </c>
      <c r="P31" s="174">
        <v>6485834.14</v>
      </c>
      <c r="Q31" s="175">
        <f t="shared" si="2"/>
        <v>7639677</v>
      </c>
      <c r="R31" s="58">
        <v>0.026600000000000002</v>
      </c>
      <c r="S31" s="175">
        <v>200566.74364779875</v>
      </c>
      <c r="T31" s="174">
        <v>-5955724.7318239</v>
      </c>
    </row>
    <row r="32" spans="1:20" s="177" customFormat="1" ht="12.75">
      <c r="A32" s="171">
        <f>ROW()</f>
        <v>32</v>
      </c>
      <c r="B32" s="172" t="s">
        <v>126</v>
      </c>
      <c r="C32" s="173" t="s">
        <v>127</v>
      </c>
      <c r="D32" s="174">
        <v>3845455.75</v>
      </c>
      <c r="E32" s="174">
        <v>3845455.75</v>
      </c>
      <c r="F32" s="174">
        <v>3845455.75</v>
      </c>
      <c r="G32" s="174">
        <v>3845455.75</v>
      </c>
      <c r="H32" s="174">
        <v>3845455.75</v>
      </c>
      <c r="I32" s="174">
        <v>3845455.75</v>
      </c>
      <c r="J32" s="174">
        <v>3845455.75</v>
      </c>
      <c r="K32" s="174">
        <v>3845455.75</v>
      </c>
      <c r="L32" s="174">
        <v>3845455.75</v>
      </c>
      <c r="M32" s="174">
        <v>3845455.75</v>
      </c>
      <c r="N32" s="174">
        <v>3845455.75</v>
      </c>
      <c r="O32" s="174">
        <v>3844102.75</v>
      </c>
      <c r="P32" s="174">
        <v>3844102.75</v>
      </c>
      <c r="Q32" s="175">
        <f t="shared" si="2"/>
        <v>3845287</v>
      </c>
      <c r="R32" s="58">
        <v>0.0265</v>
      </c>
      <c r="S32" s="175">
        <v>101890.4744712991</v>
      </c>
      <c r="T32" s="174">
        <v>-3018237.7522356496</v>
      </c>
    </row>
    <row r="33" spans="1:20" s="177" customFormat="1" ht="12.75">
      <c r="A33" s="171">
        <f>ROW()</f>
        <v>33</v>
      </c>
      <c r="B33" s="172" t="s">
        <v>128</v>
      </c>
      <c r="C33" s="173" t="s">
        <v>129</v>
      </c>
      <c r="D33" s="174">
        <v>2375376.28</v>
      </c>
      <c r="E33" s="174">
        <v>2375376.28</v>
      </c>
      <c r="F33" s="174">
        <v>2375376.28</v>
      </c>
      <c r="G33" s="174">
        <v>2375376.28</v>
      </c>
      <c r="H33" s="174">
        <v>2375376.28</v>
      </c>
      <c r="I33" s="174">
        <v>2375376.28</v>
      </c>
      <c r="J33" s="174">
        <v>2375376.28</v>
      </c>
      <c r="K33" s="174">
        <v>2375376.28</v>
      </c>
      <c r="L33" s="174">
        <v>2375376.28</v>
      </c>
      <c r="M33" s="174">
        <v>2375376.28</v>
      </c>
      <c r="N33" s="174">
        <v>2375376.28</v>
      </c>
      <c r="O33" s="174">
        <v>2375376.28</v>
      </c>
      <c r="P33" s="174">
        <v>2375376.28</v>
      </c>
      <c r="Q33" s="175">
        <f t="shared" si="2"/>
        <v>2375376</v>
      </c>
      <c r="R33" s="58">
        <v>0.0241</v>
      </c>
      <c r="S33" s="175">
        <v>57242.45345276873</v>
      </c>
      <c r="T33" s="174">
        <v>-1692848.8217263843</v>
      </c>
    </row>
    <row r="34" spans="1:20" s="177" customFormat="1" ht="12.75">
      <c r="A34" s="171">
        <f>ROW()</f>
        <v>34</v>
      </c>
      <c r="B34" s="172" t="s">
        <v>130</v>
      </c>
      <c r="C34" s="173" t="s">
        <v>131</v>
      </c>
      <c r="D34" s="174">
        <v>6363662.86</v>
      </c>
      <c r="E34" s="174">
        <v>6363662.86</v>
      </c>
      <c r="F34" s="174">
        <v>6363662.86</v>
      </c>
      <c r="G34" s="174">
        <v>6363662.86</v>
      </c>
      <c r="H34" s="174">
        <v>6363662.86</v>
      </c>
      <c r="I34" s="174">
        <v>6363662.86</v>
      </c>
      <c r="J34" s="174">
        <v>6363662.86</v>
      </c>
      <c r="K34" s="174">
        <v>6363662.86</v>
      </c>
      <c r="L34" s="174">
        <v>6363662.86</v>
      </c>
      <c r="M34" s="174">
        <v>6363662.86</v>
      </c>
      <c r="N34" s="174">
        <v>6363662.86</v>
      </c>
      <c r="O34" s="174">
        <v>6289463.07</v>
      </c>
      <c r="P34" s="174">
        <v>6289463.07</v>
      </c>
      <c r="Q34" s="175">
        <f t="shared" si="2"/>
        <v>6354388</v>
      </c>
      <c r="R34" s="58">
        <v>0.0282</v>
      </c>
      <c r="S34" s="175">
        <v>179034.58020942408</v>
      </c>
      <c r="T34" s="174">
        <v>-4334267.280104712</v>
      </c>
    </row>
    <row r="35" spans="1:20" s="177" customFormat="1" ht="12.75">
      <c r="A35" s="171">
        <f>ROW()</f>
        <v>35</v>
      </c>
      <c r="B35" s="172" t="s">
        <v>135</v>
      </c>
      <c r="C35" s="173" t="s">
        <v>136</v>
      </c>
      <c r="D35" s="174">
        <v>540097</v>
      </c>
      <c r="E35" s="174">
        <v>540097</v>
      </c>
      <c r="F35" s="174">
        <v>540097</v>
      </c>
      <c r="G35" s="174">
        <v>540097</v>
      </c>
      <c r="H35" s="174">
        <v>540097</v>
      </c>
      <c r="I35" s="174">
        <v>540097</v>
      </c>
      <c r="J35" s="174">
        <v>540097</v>
      </c>
      <c r="K35" s="174">
        <v>540097</v>
      </c>
      <c r="L35" s="174">
        <v>540097</v>
      </c>
      <c r="M35" s="174">
        <v>540097</v>
      </c>
      <c r="N35" s="174">
        <v>540097</v>
      </c>
      <c r="O35" s="174">
        <v>540097</v>
      </c>
      <c r="P35" s="174">
        <v>540097</v>
      </c>
      <c r="Q35" s="175">
        <f t="shared" si="2"/>
        <v>540097</v>
      </c>
      <c r="R35" s="58">
        <v>0</v>
      </c>
      <c r="S35" s="175">
        <v>15431</v>
      </c>
      <c r="T35" s="174">
        <v>-419218</v>
      </c>
    </row>
    <row r="36" spans="1:20" s="177" customFormat="1" ht="12.75">
      <c r="A36" s="171">
        <f>ROW()</f>
        <v>36</v>
      </c>
      <c r="B36" s="172"/>
      <c r="C36" s="173" t="s">
        <v>132</v>
      </c>
      <c r="D36" s="180">
        <f aca="true" t="shared" si="3" ref="D36:Q36">SUM(D30:D35)</f>
        <v>52278117.12</v>
      </c>
      <c r="E36" s="180">
        <f t="shared" si="3"/>
        <v>52278117.12</v>
      </c>
      <c r="F36" s="180">
        <f t="shared" si="3"/>
        <v>52278117.12</v>
      </c>
      <c r="G36" s="180">
        <f t="shared" si="3"/>
        <v>52278117.12</v>
      </c>
      <c r="H36" s="180">
        <f t="shared" si="3"/>
        <v>52278117.12</v>
      </c>
      <c r="I36" s="180">
        <f t="shared" si="3"/>
        <v>52278117.12</v>
      </c>
      <c r="J36" s="180">
        <f t="shared" si="3"/>
        <v>52278117.12</v>
      </c>
      <c r="K36" s="180">
        <f t="shared" si="3"/>
        <v>52278117.12</v>
      </c>
      <c r="L36" s="180">
        <f t="shared" si="3"/>
        <v>52278117.12</v>
      </c>
      <c r="M36" s="180">
        <f t="shared" si="3"/>
        <v>52278117.12</v>
      </c>
      <c r="N36" s="180">
        <f t="shared" si="3"/>
        <v>52278117.12</v>
      </c>
      <c r="O36" s="180">
        <f t="shared" si="3"/>
        <v>50883887.33</v>
      </c>
      <c r="P36" s="180">
        <f t="shared" si="3"/>
        <v>50883887.33</v>
      </c>
      <c r="Q36" s="180">
        <f t="shared" si="3"/>
        <v>52103839</v>
      </c>
      <c r="R36" s="59">
        <f>ROUND(+S36/Q36,4)</f>
        <v>0.0261</v>
      </c>
      <c r="S36" s="181">
        <f>SUM(S30:S35)</f>
        <v>1359642.9276040753</v>
      </c>
      <c r="T36" s="181">
        <f>SUM(T30:T35)</f>
        <v>-39354065.28380204</v>
      </c>
    </row>
    <row r="37" spans="1:20" s="177" customFormat="1" ht="12.75">
      <c r="A37" s="171">
        <f>ROW()</f>
        <v>37</v>
      </c>
      <c r="B37" s="172"/>
      <c r="C37" s="173" t="s">
        <v>137</v>
      </c>
      <c r="D37" s="174"/>
      <c r="E37" s="174"/>
      <c r="F37" s="174"/>
      <c r="G37" s="174"/>
      <c r="H37" s="174"/>
      <c r="I37" s="174"/>
      <c r="J37" s="174"/>
      <c r="K37" s="174"/>
      <c r="L37" s="174"/>
      <c r="M37" s="174"/>
      <c r="N37" s="174"/>
      <c r="O37" s="174"/>
      <c r="P37" s="174"/>
      <c r="Q37" s="175"/>
      <c r="R37" s="57"/>
      <c r="S37" s="175"/>
      <c r="T37" s="176"/>
    </row>
    <row r="38" spans="1:20" s="177" customFormat="1" ht="12.75">
      <c r="A38" s="171">
        <f>ROW()</f>
        <v>38</v>
      </c>
      <c r="B38" s="172" t="s">
        <v>122</v>
      </c>
      <c r="C38" s="173" t="s">
        <v>123</v>
      </c>
      <c r="D38" s="174">
        <v>29046399.44</v>
      </c>
      <c r="E38" s="174">
        <v>29046432.77</v>
      </c>
      <c r="F38" s="174">
        <v>29048464.89</v>
      </c>
      <c r="G38" s="174">
        <v>29048534.58</v>
      </c>
      <c r="H38" s="174">
        <v>29048534.58</v>
      </c>
      <c r="I38" s="174">
        <v>29048534.58</v>
      </c>
      <c r="J38" s="174">
        <v>29048534.58</v>
      </c>
      <c r="K38" s="174">
        <v>29048534.58</v>
      </c>
      <c r="L38" s="174">
        <v>29048534.58</v>
      </c>
      <c r="M38" s="174">
        <v>29048534.58</v>
      </c>
      <c r="N38" s="174">
        <v>29048534.58</v>
      </c>
      <c r="O38" s="174">
        <v>29048534.58</v>
      </c>
      <c r="P38" s="174">
        <v>29058975.96</v>
      </c>
      <c r="Q38" s="175">
        <f>ROUND(((D38+P38+SUM(E38:O38)*2))/24,0)</f>
        <v>29048700</v>
      </c>
      <c r="R38" s="58">
        <v>0.027999999999999997</v>
      </c>
      <c r="S38" s="175">
        <v>813340.2857142857</v>
      </c>
      <c r="T38" s="174">
        <v>-18146442.76785714</v>
      </c>
    </row>
    <row r="39" spans="1:20" s="177" customFormat="1" ht="12.75">
      <c r="A39" s="171">
        <f>ROW()</f>
        <v>39</v>
      </c>
      <c r="B39" s="172" t="s">
        <v>124</v>
      </c>
      <c r="C39" s="173" t="s">
        <v>125</v>
      </c>
      <c r="D39" s="174">
        <v>120515322.04</v>
      </c>
      <c r="E39" s="174">
        <v>120271584.8</v>
      </c>
      <c r="F39" s="174">
        <v>119781677.23</v>
      </c>
      <c r="G39" s="174">
        <v>120026660.81</v>
      </c>
      <c r="H39" s="174">
        <v>120533145.51</v>
      </c>
      <c r="I39" s="174">
        <v>120318600.3</v>
      </c>
      <c r="J39" s="174">
        <v>120850567.3</v>
      </c>
      <c r="K39" s="174">
        <v>120800197.59</v>
      </c>
      <c r="L39" s="174">
        <v>120993785.3</v>
      </c>
      <c r="M39" s="174">
        <v>122672107.35</v>
      </c>
      <c r="N39" s="174">
        <v>125892307.52</v>
      </c>
      <c r="O39" s="174">
        <v>125236416.75</v>
      </c>
      <c r="P39" s="174">
        <v>123772537.9</v>
      </c>
      <c r="Q39" s="175">
        <f>ROUND(((D39+P39+SUM(E39:O39)*2))/24,0)</f>
        <v>121626748</v>
      </c>
      <c r="R39" s="58">
        <v>0.0281</v>
      </c>
      <c r="S39" s="175">
        <v>3392494.0220149253</v>
      </c>
      <c r="T39" s="174">
        <v>-77028363.06100747</v>
      </c>
    </row>
    <row r="40" spans="1:20" s="177" customFormat="1" ht="12.75">
      <c r="A40" s="171">
        <f>ROW()</f>
        <v>40</v>
      </c>
      <c r="B40" s="172" t="s">
        <v>126</v>
      </c>
      <c r="C40" s="173" t="s">
        <v>127</v>
      </c>
      <c r="D40" s="174">
        <v>39218822.57</v>
      </c>
      <c r="E40" s="174">
        <v>39261159.75</v>
      </c>
      <c r="F40" s="174">
        <v>39369863.02</v>
      </c>
      <c r="G40" s="174">
        <v>39374273.69</v>
      </c>
      <c r="H40" s="174">
        <v>39374273.69</v>
      </c>
      <c r="I40" s="174">
        <v>39525465.64</v>
      </c>
      <c r="J40" s="174">
        <v>39525465.64</v>
      </c>
      <c r="K40" s="174">
        <v>39580249.05</v>
      </c>
      <c r="L40" s="174">
        <v>39580249.05</v>
      </c>
      <c r="M40" s="174">
        <v>39580249.05</v>
      </c>
      <c r="N40" s="174">
        <v>39580249.05</v>
      </c>
      <c r="O40" s="174">
        <v>40220275.95</v>
      </c>
      <c r="P40" s="174">
        <v>41474565.66</v>
      </c>
      <c r="Q40" s="175">
        <f>ROUND(((D40+P40+SUM(E40:O40)*2))/24,0)</f>
        <v>39609872</v>
      </c>
      <c r="R40" s="58">
        <v>0.0377</v>
      </c>
      <c r="S40" s="175">
        <v>1503372.75023569</v>
      </c>
      <c r="T40" s="174">
        <v>-18601328.045117844</v>
      </c>
    </row>
    <row r="41" spans="1:20" s="177" customFormat="1" ht="12.75">
      <c r="A41" s="171">
        <f>ROW()</f>
        <v>41</v>
      </c>
      <c r="B41" s="172" t="s">
        <v>128</v>
      </c>
      <c r="C41" s="173" t="s">
        <v>129</v>
      </c>
      <c r="D41" s="174">
        <v>6468230.16</v>
      </c>
      <c r="E41" s="174">
        <v>6468230.16</v>
      </c>
      <c r="F41" s="174">
        <v>6468230.16</v>
      </c>
      <c r="G41" s="174">
        <v>6467681.73</v>
      </c>
      <c r="H41" s="174">
        <v>6467681.73</v>
      </c>
      <c r="I41" s="174">
        <v>6467681.73</v>
      </c>
      <c r="J41" s="174">
        <v>6467681.73</v>
      </c>
      <c r="K41" s="174">
        <v>6469459.33</v>
      </c>
      <c r="L41" s="174">
        <v>6469459.33</v>
      </c>
      <c r="M41" s="174">
        <v>6469459.33</v>
      </c>
      <c r="N41" s="174">
        <v>6469459.33</v>
      </c>
      <c r="O41" s="174">
        <v>6460699.33</v>
      </c>
      <c r="P41" s="174">
        <v>6460699.33</v>
      </c>
      <c r="Q41" s="175">
        <f>ROUND(((D41+P41+SUM(E41:O41)*2))/24,0)</f>
        <v>6467516</v>
      </c>
      <c r="R41" s="58">
        <v>0.025</v>
      </c>
      <c r="S41" s="175">
        <v>161642.995951417</v>
      </c>
      <c r="T41" s="174">
        <v>-3760030.8579757083</v>
      </c>
    </row>
    <row r="42" spans="1:20" s="177" customFormat="1" ht="12.75">
      <c r="A42" s="171">
        <f>ROW()</f>
        <v>42</v>
      </c>
      <c r="B42" s="172" t="s">
        <v>130</v>
      </c>
      <c r="C42" s="173" t="s">
        <v>131</v>
      </c>
      <c r="D42" s="174">
        <v>550708.76</v>
      </c>
      <c r="E42" s="174">
        <v>550708.76</v>
      </c>
      <c r="F42" s="174">
        <v>678642.43</v>
      </c>
      <c r="G42" s="174">
        <v>675351.85</v>
      </c>
      <c r="H42" s="174">
        <v>675351.85</v>
      </c>
      <c r="I42" s="174">
        <v>675384.17</v>
      </c>
      <c r="J42" s="174">
        <v>675384.17</v>
      </c>
      <c r="K42" s="174">
        <v>687832.42</v>
      </c>
      <c r="L42" s="174">
        <v>687832.42</v>
      </c>
      <c r="M42" s="174">
        <v>687832.42</v>
      </c>
      <c r="N42" s="174">
        <v>687832.42</v>
      </c>
      <c r="O42" s="174">
        <v>700646.29</v>
      </c>
      <c r="P42" s="174">
        <v>704856.98</v>
      </c>
      <c r="Q42" s="175">
        <f>ROUND(((D42+P42+SUM(E42:O42)*2))/24,0)</f>
        <v>667549</v>
      </c>
      <c r="R42" s="58">
        <v>0.0369</v>
      </c>
      <c r="S42" s="175">
        <v>26323.402027972024</v>
      </c>
      <c r="T42" s="174">
        <v>-284941.491013986</v>
      </c>
    </row>
    <row r="43" spans="1:20" s="177" customFormat="1" ht="12.75">
      <c r="A43" s="171">
        <f>ROW()</f>
        <v>43</v>
      </c>
      <c r="B43" s="172"/>
      <c r="C43" s="173" t="s">
        <v>132</v>
      </c>
      <c r="D43" s="180">
        <f aca="true" t="shared" si="4" ref="D43:Q43">SUM(D38:D42)</f>
        <v>195799482.97</v>
      </c>
      <c r="E43" s="180">
        <f t="shared" si="4"/>
        <v>195598116.23999998</v>
      </c>
      <c r="F43" s="180">
        <f t="shared" si="4"/>
        <v>195346877.73000002</v>
      </c>
      <c r="G43" s="180">
        <f t="shared" si="4"/>
        <v>195592502.65999997</v>
      </c>
      <c r="H43" s="180">
        <f t="shared" si="4"/>
        <v>196098987.35999998</v>
      </c>
      <c r="I43" s="180">
        <f t="shared" si="4"/>
        <v>196035666.41999996</v>
      </c>
      <c r="J43" s="180">
        <f t="shared" si="4"/>
        <v>196567633.41999996</v>
      </c>
      <c r="K43" s="180">
        <f t="shared" si="4"/>
        <v>196586272.97000003</v>
      </c>
      <c r="L43" s="180">
        <f t="shared" si="4"/>
        <v>196779860.68</v>
      </c>
      <c r="M43" s="180">
        <f t="shared" si="4"/>
        <v>198458182.73000002</v>
      </c>
      <c r="N43" s="180">
        <f t="shared" si="4"/>
        <v>201678382.89999998</v>
      </c>
      <c r="O43" s="180">
        <f t="shared" si="4"/>
        <v>201666572.89999998</v>
      </c>
      <c r="P43" s="180">
        <f t="shared" si="4"/>
        <v>201471635.83</v>
      </c>
      <c r="Q43" s="180">
        <f t="shared" si="4"/>
        <v>197420385</v>
      </c>
      <c r="R43" s="59">
        <f>ROUND(+S43/Q43,4)</f>
        <v>0.0299</v>
      </c>
      <c r="S43" s="181">
        <f>SUM(S38:S42)</f>
        <v>5897173.455944289</v>
      </c>
      <c r="T43" s="181">
        <f>SUM(T38:T42)</f>
        <v>-117821106.22297214</v>
      </c>
    </row>
    <row r="44" spans="1:20" s="177" customFormat="1" ht="12.75">
      <c r="A44" s="171">
        <f>ROW()</f>
        <v>44</v>
      </c>
      <c r="B44" s="172"/>
      <c r="C44" s="173" t="s">
        <v>138</v>
      </c>
      <c r="D44" s="174"/>
      <c r="E44" s="174"/>
      <c r="F44" s="174"/>
      <c r="G44" s="174"/>
      <c r="H44" s="174"/>
      <c r="I44" s="174"/>
      <c r="J44" s="174"/>
      <c r="K44" s="174"/>
      <c r="L44" s="174"/>
      <c r="M44" s="174"/>
      <c r="N44" s="174"/>
      <c r="O44" s="174"/>
      <c r="P44" s="174"/>
      <c r="Q44" s="175"/>
      <c r="R44" s="57"/>
      <c r="S44" s="175"/>
      <c r="T44" s="176"/>
    </row>
    <row r="45" spans="1:20" s="177" customFormat="1" ht="12.75">
      <c r="A45" s="171">
        <f>ROW()</f>
        <v>45</v>
      </c>
      <c r="B45" s="172" t="s">
        <v>122</v>
      </c>
      <c r="C45" s="173" t="s">
        <v>123</v>
      </c>
      <c r="D45" s="174">
        <v>26588410.75</v>
      </c>
      <c r="E45" s="174">
        <v>26588444.08</v>
      </c>
      <c r="F45" s="174">
        <v>26590476.2</v>
      </c>
      <c r="G45" s="174">
        <v>26590545.89</v>
      </c>
      <c r="H45" s="174">
        <v>26590545.89</v>
      </c>
      <c r="I45" s="174">
        <v>26590545.89</v>
      </c>
      <c r="J45" s="174">
        <v>26590545.89</v>
      </c>
      <c r="K45" s="174">
        <v>26590545.89</v>
      </c>
      <c r="L45" s="174">
        <v>26590545.89</v>
      </c>
      <c r="M45" s="174">
        <v>26590545.89</v>
      </c>
      <c r="N45" s="174">
        <v>26590545.89</v>
      </c>
      <c r="O45" s="174">
        <v>26590545.89</v>
      </c>
      <c r="P45" s="174">
        <v>26600987.27</v>
      </c>
      <c r="Q45" s="175">
        <f>ROUND(((D45+P45+SUM(E45:O45)*2))/24,0)</f>
        <v>26590711</v>
      </c>
      <c r="R45" s="58">
        <v>0.0275</v>
      </c>
      <c r="S45" s="175">
        <v>731183.2844488189</v>
      </c>
      <c r="T45" s="174">
        <v>-15408740.90722441</v>
      </c>
    </row>
    <row r="46" spans="1:20" s="177" customFormat="1" ht="12.75">
      <c r="A46" s="171">
        <f>ROW()</f>
        <v>46</v>
      </c>
      <c r="B46" s="172" t="s">
        <v>124</v>
      </c>
      <c r="C46" s="173" t="s">
        <v>125</v>
      </c>
      <c r="D46" s="174">
        <v>107860240.88</v>
      </c>
      <c r="E46" s="174">
        <v>107894821.26</v>
      </c>
      <c r="F46" s="174">
        <v>108084181.11</v>
      </c>
      <c r="G46" s="174">
        <v>108107974.69</v>
      </c>
      <c r="H46" s="174">
        <v>108107974.69</v>
      </c>
      <c r="I46" s="174">
        <v>108169804.87</v>
      </c>
      <c r="J46" s="174">
        <v>108169804.87</v>
      </c>
      <c r="K46" s="174">
        <v>108303348.08</v>
      </c>
      <c r="L46" s="174">
        <v>108303348.08</v>
      </c>
      <c r="M46" s="174">
        <v>108303348.08</v>
      </c>
      <c r="N46" s="174">
        <v>108303348.08</v>
      </c>
      <c r="O46" s="174">
        <v>108481793.05</v>
      </c>
      <c r="P46" s="174">
        <v>108751248.93</v>
      </c>
      <c r="Q46" s="175">
        <f>ROUND(((D46+P46+SUM(E46:O46)*2))/24,0)</f>
        <v>108211291</v>
      </c>
      <c r="R46" s="58">
        <v>0.0298</v>
      </c>
      <c r="S46" s="175">
        <v>3229139.714109091</v>
      </c>
      <c r="T46" s="174">
        <v>-60526081.452054545</v>
      </c>
    </row>
    <row r="47" spans="1:20" s="177" customFormat="1" ht="12.75">
      <c r="A47" s="171">
        <f>ROW()</f>
        <v>47</v>
      </c>
      <c r="B47" s="172" t="s">
        <v>126</v>
      </c>
      <c r="C47" s="173" t="s">
        <v>127</v>
      </c>
      <c r="D47" s="174">
        <v>36166529.61</v>
      </c>
      <c r="E47" s="174">
        <v>37137889.03</v>
      </c>
      <c r="F47" s="174">
        <v>37256237.8</v>
      </c>
      <c r="G47" s="174">
        <v>37400011.3</v>
      </c>
      <c r="H47" s="174">
        <v>37400011.03</v>
      </c>
      <c r="I47" s="174">
        <v>37414133.12</v>
      </c>
      <c r="J47" s="174">
        <v>37414133.12</v>
      </c>
      <c r="K47" s="174">
        <v>37579453.96</v>
      </c>
      <c r="L47" s="174">
        <v>37579453.96</v>
      </c>
      <c r="M47" s="174">
        <v>37579453.96</v>
      </c>
      <c r="N47" s="174">
        <v>37579453.96</v>
      </c>
      <c r="O47" s="174">
        <v>37579453.96</v>
      </c>
      <c r="P47" s="174">
        <v>37714990.91</v>
      </c>
      <c r="Q47" s="175">
        <f>ROUND(((D47+P47+SUM(E47:O47)*2))/24,0)</f>
        <v>37405037</v>
      </c>
      <c r="R47" s="58">
        <v>0.0359</v>
      </c>
      <c r="S47" s="175">
        <v>1359089.6227891156</v>
      </c>
      <c r="T47" s="174">
        <v>-16231636.361394558</v>
      </c>
    </row>
    <row r="48" spans="1:20" s="177" customFormat="1" ht="12.75">
      <c r="A48" s="171">
        <f>ROW()</f>
        <v>48</v>
      </c>
      <c r="B48" s="172" t="s">
        <v>128</v>
      </c>
      <c r="C48" s="173" t="s">
        <v>129</v>
      </c>
      <c r="D48" s="174">
        <v>5669306.84</v>
      </c>
      <c r="E48" s="174">
        <v>5669306.84</v>
      </c>
      <c r="F48" s="174">
        <v>5669306.84</v>
      </c>
      <c r="G48" s="174">
        <v>5668758.41</v>
      </c>
      <c r="H48" s="174">
        <v>5668758.41</v>
      </c>
      <c r="I48" s="174">
        <v>5668758.41</v>
      </c>
      <c r="J48" s="174">
        <v>5668758.41</v>
      </c>
      <c r="K48" s="174">
        <v>5670535</v>
      </c>
      <c r="L48" s="174">
        <v>5670535</v>
      </c>
      <c r="M48" s="174">
        <v>5670535</v>
      </c>
      <c r="N48" s="174">
        <v>5670535</v>
      </c>
      <c r="O48" s="174">
        <v>5670535</v>
      </c>
      <c r="P48" s="174">
        <v>5670535</v>
      </c>
      <c r="Q48" s="175">
        <f>ROUND(((D48+P48+SUM(E48:O48)*2))/24,0)</f>
        <v>5669687</v>
      </c>
      <c r="R48" s="58">
        <v>0.0254</v>
      </c>
      <c r="S48" s="175">
        <v>144025.6703968254</v>
      </c>
      <c r="T48" s="174">
        <v>-2976522.0301984125</v>
      </c>
    </row>
    <row r="49" spans="1:20" s="177" customFormat="1" ht="12.75">
      <c r="A49" s="171">
        <f>ROW()</f>
        <v>49</v>
      </c>
      <c r="B49" s="172" t="s">
        <v>130</v>
      </c>
      <c r="C49" s="173" t="s">
        <v>131</v>
      </c>
      <c r="D49" s="174">
        <v>748198.39</v>
      </c>
      <c r="E49" s="174">
        <v>748198.39</v>
      </c>
      <c r="F49" s="174">
        <v>876132.06</v>
      </c>
      <c r="G49" s="174">
        <v>872841.48</v>
      </c>
      <c r="H49" s="174">
        <v>872841.48</v>
      </c>
      <c r="I49" s="174">
        <v>872873.8</v>
      </c>
      <c r="J49" s="174">
        <v>872873.8</v>
      </c>
      <c r="K49" s="174">
        <v>885322.05</v>
      </c>
      <c r="L49" s="174">
        <v>885322.05</v>
      </c>
      <c r="M49" s="174">
        <v>885322.05</v>
      </c>
      <c r="N49" s="174">
        <v>885322.05</v>
      </c>
      <c r="O49" s="174">
        <v>898134.91</v>
      </c>
      <c r="P49" s="174">
        <v>902345.6</v>
      </c>
      <c r="Q49" s="175">
        <f>ROUND(((D49+P49+SUM(E49:O49)*2))/24,0)</f>
        <v>865038</v>
      </c>
      <c r="R49" s="58">
        <v>0.0326</v>
      </c>
      <c r="S49" s="175">
        <v>29693.821003584228</v>
      </c>
      <c r="T49" s="174">
        <v>-382885.5055017921</v>
      </c>
    </row>
    <row r="50" spans="1:20" s="177" customFormat="1" ht="12.75">
      <c r="A50" s="171">
        <f>ROW()</f>
        <v>50</v>
      </c>
      <c r="B50" s="172"/>
      <c r="C50" s="173" t="s">
        <v>132</v>
      </c>
      <c r="D50" s="180">
        <f aca="true" t="shared" si="5" ref="D50:Q50">SUM(D45:D49)</f>
        <v>177032686.47</v>
      </c>
      <c r="E50" s="180">
        <f t="shared" si="5"/>
        <v>178038659.6</v>
      </c>
      <c r="F50" s="180">
        <f t="shared" si="5"/>
        <v>178476334.01000002</v>
      </c>
      <c r="G50" s="180">
        <f t="shared" si="5"/>
        <v>178640131.76999998</v>
      </c>
      <c r="H50" s="180">
        <f t="shared" si="5"/>
        <v>178640131.49999997</v>
      </c>
      <c r="I50" s="180">
        <f t="shared" si="5"/>
        <v>178716116.09</v>
      </c>
      <c r="J50" s="180">
        <f t="shared" si="5"/>
        <v>178716116.09</v>
      </c>
      <c r="K50" s="180">
        <f t="shared" si="5"/>
        <v>179029204.98000002</v>
      </c>
      <c r="L50" s="180">
        <f t="shared" si="5"/>
        <v>179029204.98000002</v>
      </c>
      <c r="M50" s="180">
        <f t="shared" si="5"/>
        <v>179029204.98000002</v>
      </c>
      <c r="N50" s="180">
        <f t="shared" si="5"/>
        <v>179029204.98000002</v>
      </c>
      <c r="O50" s="180">
        <f t="shared" si="5"/>
        <v>179220462.81</v>
      </c>
      <c r="P50" s="180">
        <f t="shared" si="5"/>
        <v>179640107.71</v>
      </c>
      <c r="Q50" s="180">
        <f t="shared" si="5"/>
        <v>178741764</v>
      </c>
      <c r="R50" s="59">
        <f>ROUND(+S50/Q50,4)</f>
        <v>0.0307</v>
      </c>
      <c r="S50" s="181">
        <f>SUM(S45:S49)</f>
        <v>5493132.1127474345</v>
      </c>
      <c r="T50" s="181">
        <f>SUM(T45:T49)</f>
        <v>-95525866.2563737</v>
      </c>
    </row>
    <row r="51" spans="1:20" s="177" customFormat="1" ht="12.75">
      <c r="A51" s="171">
        <f>ROW()</f>
        <v>51</v>
      </c>
      <c r="B51" s="172"/>
      <c r="C51" s="173" t="s">
        <v>139</v>
      </c>
      <c r="D51" s="174"/>
      <c r="E51" s="174" t="s">
        <v>266</v>
      </c>
      <c r="F51" s="174" t="s">
        <v>266</v>
      </c>
      <c r="G51" s="174" t="s">
        <v>266</v>
      </c>
      <c r="H51" s="174" t="s">
        <v>266</v>
      </c>
      <c r="I51" s="174" t="s">
        <v>266</v>
      </c>
      <c r="J51" s="174" t="s">
        <v>266</v>
      </c>
      <c r="K51" s="174" t="s">
        <v>266</v>
      </c>
      <c r="L51" s="174" t="s">
        <v>266</v>
      </c>
      <c r="M51" s="174"/>
      <c r="N51" s="174"/>
      <c r="O51" s="174"/>
      <c r="P51" s="174"/>
      <c r="Q51" s="175"/>
      <c r="R51" s="57"/>
      <c r="S51" s="175"/>
      <c r="T51" s="176"/>
    </row>
    <row r="52" spans="1:20" s="177" customFormat="1" ht="12.75">
      <c r="A52" s="171">
        <f>ROW()</f>
        <v>52</v>
      </c>
      <c r="B52" s="172" t="s">
        <v>122</v>
      </c>
      <c r="C52" s="173" t="s">
        <v>123</v>
      </c>
      <c r="D52" s="174">
        <v>70602621.38</v>
      </c>
      <c r="E52" s="174">
        <v>70602621.38</v>
      </c>
      <c r="F52" s="174">
        <v>70602621.38</v>
      </c>
      <c r="G52" s="174">
        <v>70602621.38</v>
      </c>
      <c r="H52" s="174">
        <v>70602621.38</v>
      </c>
      <c r="I52" s="174">
        <v>70602621.38</v>
      </c>
      <c r="J52" s="174">
        <v>70602621.38</v>
      </c>
      <c r="K52" s="174">
        <v>70602621.38</v>
      </c>
      <c r="L52" s="174">
        <v>70602621.38</v>
      </c>
      <c r="M52" s="174">
        <v>70602621.38</v>
      </c>
      <c r="N52" s="174">
        <v>70602621.38</v>
      </c>
      <c r="O52" s="174">
        <v>70574232.38</v>
      </c>
      <c r="P52" s="174">
        <v>70574232.38</v>
      </c>
      <c r="Q52" s="175">
        <f aca="true" t="shared" si="6" ref="Q52:Q57">ROUND(((D52+P52+SUM(E52:O52)*2))/24,0)</f>
        <v>70599073</v>
      </c>
      <c r="R52" s="58">
        <v>0.0253</v>
      </c>
      <c r="S52" s="175">
        <v>1740035.112832618</v>
      </c>
      <c r="T52" s="174">
        <v>-43774562.09141631</v>
      </c>
    </row>
    <row r="53" spans="1:20" s="177" customFormat="1" ht="12.75">
      <c r="A53" s="171">
        <f>ROW()</f>
        <v>53</v>
      </c>
      <c r="B53" s="172" t="s">
        <v>124</v>
      </c>
      <c r="C53" s="173" t="s">
        <v>125</v>
      </c>
      <c r="D53" s="174">
        <v>18959641.49</v>
      </c>
      <c r="E53" s="174">
        <v>18959641.49</v>
      </c>
      <c r="F53" s="174">
        <v>18959641.49</v>
      </c>
      <c r="G53" s="174">
        <v>18959641.49</v>
      </c>
      <c r="H53" s="174">
        <v>18959641.49</v>
      </c>
      <c r="I53" s="174">
        <v>18959641.49</v>
      </c>
      <c r="J53" s="174">
        <v>18959641.49</v>
      </c>
      <c r="K53" s="174">
        <v>18959641.49</v>
      </c>
      <c r="L53" s="174">
        <v>18959641.49</v>
      </c>
      <c r="M53" s="174">
        <v>18959641.49</v>
      </c>
      <c r="N53" s="174">
        <v>18959641.49</v>
      </c>
      <c r="O53" s="174">
        <v>18727316.49</v>
      </c>
      <c r="P53" s="174">
        <v>18727316.49</v>
      </c>
      <c r="Q53" s="175">
        <f t="shared" si="6"/>
        <v>18930601</v>
      </c>
      <c r="R53" s="58">
        <v>0.0268</v>
      </c>
      <c r="S53" s="175">
        <v>506507.65903225815</v>
      </c>
      <c r="T53" s="174">
        <v>-11564326.539516129</v>
      </c>
    </row>
    <row r="54" spans="1:20" s="177" customFormat="1" ht="12.75">
      <c r="A54" s="171">
        <f>ROW()</f>
        <v>54</v>
      </c>
      <c r="B54" s="172" t="s">
        <v>126</v>
      </c>
      <c r="C54" s="173" t="s">
        <v>127</v>
      </c>
      <c r="D54" s="174">
        <v>13373.04</v>
      </c>
      <c r="E54" s="174">
        <v>13373.04</v>
      </c>
      <c r="F54" s="174">
        <v>13373.04</v>
      </c>
      <c r="G54" s="174">
        <v>13373.04</v>
      </c>
      <c r="H54" s="174">
        <v>13373.04</v>
      </c>
      <c r="I54" s="174">
        <v>13373.04</v>
      </c>
      <c r="J54" s="174">
        <v>13373.04</v>
      </c>
      <c r="K54" s="174">
        <v>13373.04</v>
      </c>
      <c r="L54" s="174">
        <v>13373.04</v>
      </c>
      <c r="M54" s="174">
        <v>13373.04</v>
      </c>
      <c r="N54" s="174">
        <v>13373.04</v>
      </c>
      <c r="O54" s="174">
        <v>10515.04</v>
      </c>
      <c r="P54" s="174">
        <v>10515.04</v>
      </c>
      <c r="Q54" s="175">
        <f t="shared" si="6"/>
        <v>13016</v>
      </c>
      <c r="R54" s="58">
        <v>0.4928</v>
      </c>
      <c r="S54" s="175">
        <v>5745.634198473283</v>
      </c>
      <c r="T54" s="174">
        <v>106745.91790076336</v>
      </c>
    </row>
    <row r="55" spans="1:20" s="177" customFormat="1" ht="12.75">
      <c r="A55" s="171">
        <f>ROW()</f>
        <v>55</v>
      </c>
      <c r="B55" s="172" t="s">
        <v>128</v>
      </c>
      <c r="C55" s="173" t="s">
        <v>129</v>
      </c>
      <c r="D55" s="174">
        <v>7652069.98</v>
      </c>
      <c r="E55" s="174">
        <v>7652069.98</v>
      </c>
      <c r="F55" s="174">
        <v>7652069.98</v>
      </c>
      <c r="G55" s="174">
        <v>7652069.98</v>
      </c>
      <c r="H55" s="174">
        <v>7652069.98</v>
      </c>
      <c r="I55" s="174">
        <v>7652069.98</v>
      </c>
      <c r="J55" s="174">
        <v>7652069.98</v>
      </c>
      <c r="K55" s="174">
        <v>7652069.98</v>
      </c>
      <c r="L55" s="174">
        <v>7652069.98</v>
      </c>
      <c r="M55" s="174">
        <v>7652069.98</v>
      </c>
      <c r="N55" s="174">
        <v>7652069.98</v>
      </c>
      <c r="O55" s="174">
        <v>7652069.98</v>
      </c>
      <c r="P55" s="174">
        <v>7652069.98</v>
      </c>
      <c r="Q55" s="175">
        <f t="shared" si="6"/>
        <v>7652070</v>
      </c>
      <c r="R55" s="58">
        <v>0.0232</v>
      </c>
      <c r="S55" s="175">
        <v>177507.28761904762</v>
      </c>
      <c r="T55" s="174">
        <v>-4346379.5588095235</v>
      </c>
    </row>
    <row r="56" spans="1:20" s="177" customFormat="1" ht="12.75">
      <c r="A56" s="171">
        <f>ROW()</f>
        <v>56</v>
      </c>
      <c r="B56" s="172" t="s">
        <v>130</v>
      </c>
      <c r="C56" s="173" t="s">
        <v>131</v>
      </c>
      <c r="D56" s="174">
        <v>4639636.96</v>
      </c>
      <c r="E56" s="174">
        <v>4639636.96</v>
      </c>
      <c r="F56" s="174">
        <v>4639636.96</v>
      </c>
      <c r="G56" s="174">
        <v>4639636.96</v>
      </c>
      <c r="H56" s="174">
        <v>4639636.96</v>
      </c>
      <c r="I56" s="174">
        <v>4639636.96</v>
      </c>
      <c r="J56" s="174">
        <v>4639636.96</v>
      </c>
      <c r="K56" s="174">
        <v>4639636.96</v>
      </c>
      <c r="L56" s="174">
        <v>4639636.96</v>
      </c>
      <c r="M56" s="174">
        <v>4639636.96</v>
      </c>
      <c r="N56" s="174">
        <v>4639636.96</v>
      </c>
      <c r="O56" s="174">
        <v>4613132.33</v>
      </c>
      <c r="P56" s="174">
        <v>4613132.33</v>
      </c>
      <c r="Q56" s="175">
        <f t="shared" si="6"/>
        <v>4636324</v>
      </c>
      <c r="R56" s="58">
        <v>0.027000000000000003</v>
      </c>
      <c r="S56" s="175">
        <v>125011.27741935485</v>
      </c>
      <c r="T56" s="174">
        <v>-2480469.4787096772</v>
      </c>
    </row>
    <row r="57" spans="1:20" s="177" customFormat="1" ht="12.75">
      <c r="A57" s="171">
        <f>ROW()</f>
        <v>57</v>
      </c>
      <c r="B57" s="172" t="s">
        <v>135</v>
      </c>
      <c r="C57" s="173" t="s">
        <v>136</v>
      </c>
      <c r="D57" s="174">
        <v>333978</v>
      </c>
      <c r="E57" s="174">
        <v>333978</v>
      </c>
      <c r="F57" s="174">
        <v>333978</v>
      </c>
      <c r="G57" s="174">
        <v>333978</v>
      </c>
      <c r="H57" s="174">
        <v>333978</v>
      </c>
      <c r="I57" s="174">
        <v>333978</v>
      </c>
      <c r="J57" s="174">
        <v>333978</v>
      </c>
      <c r="K57" s="174">
        <v>333978</v>
      </c>
      <c r="L57" s="174">
        <v>333978</v>
      </c>
      <c r="M57" s="174">
        <v>333978</v>
      </c>
      <c r="N57" s="174">
        <v>333978</v>
      </c>
      <c r="O57" s="174">
        <v>333978</v>
      </c>
      <c r="P57" s="174">
        <v>333978</v>
      </c>
      <c r="Q57" s="175">
        <f t="shared" si="6"/>
        <v>333978</v>
      </c>
      <c r="R57" s="58">
        <v>0</v>
      </c>
      <c r="S57" s="175">
        <v>7590</v>
      </c>
      <c r="T57" s="174">
        <v>-206204</v>
      </c>
    </row>
    <row r="58" spans="1:20" s="177" customFormat="1" ht="12.75">
      <c r="A58" s="171">
        <f>ROW()</f>
        <v>58</v>
      </c>
      <c r="B58" s="172"/>
      <c r="C58" s="173" t="s">
        <v>132</v>
      </c>
      <c r="D58" s="180">
        <f aca="true" t="shared" si="7" ref="D58:Q58">SUM(D52:D57)</f>
        <v>102201320.85</v>
      </c>
      <c r="E58" s="180">
        <f t="shared" si="7"/>
        <v>102201320.85</v>
      </c>
      <c r="F58" s="180">
        <f t="shared" si="7"/>
        <v>102201320.85</v>
      </c>
      <c r="G58" s="180">
        <f t="shared" si="7"/>
        <v>102201320.85</v>
      </c>
      <c r="H58" s="180">
        <f t="shared" si="7"/>
        <v>102201320.85</v>
      </c>
      <c r="I58" s="180">
        <f t="shared" si="7"/>
        <v>102201320.85</v>
      </c>
      <c r="J58" s="180">
        <f t="shared" si="7"/>
        <v>102201320.85</v>
      </c>
      <c r="K58" s="180">
        <f t="shared" si="7"/>
        <v>102201320.85</v>
      </c>
      <c r="L58" s="180">
        <f t="shared" si="7"/>
        <v>102201320.85</v>
      </c>
      <c r="M58" s="180">
        <f t="shared" si="7"/>
        <v>102201320.85</v>
      </c>
      <c r="N58" s="180">
        <f t="shared" si="7"/>
        <v>102201320.85</v>
      </c>
      <c r="O58" s="180">
        <f t="shared" si="7"/>
        <v>101911244.22</v>
      </c>
      <c r="P58" s="180">
        <f t="shared" si="7"/>
        <v>101911244.22</v>
      </c>
      <c r="Q58" s="180">
        <f t="shared" si="7"/>
        <v>102165062</v>
      </c>
      <c r="R58" s="59">
        <f>ROUND(+S58/Q58,4)</f>
        <v>0.0251</v>
      </c>
      <c r="S58" s="181">
        <f>SUM(S52:S57)</f>
        <v>2562396.971101752</v>
      </c>
      <c r="T58" s="181">
        <f>SUM(T52:T57)</f>
        <v>-62265195.75055087</v>
      </c>
    </row>
    <row r="59" spans="1:20" s="177" customFormat="1" ht="12.75">
      <c r="A59" s="171">
        <f>ROW()</f>
        <v>59</v>
      </c>
      <c r="B59" s="172"/>
      <c r="C59" s="173" t="s">
        <v>140</v>
      </c>
      <c r="D59" s="174"/>
      <c r="E59" s="174"/>
      <c r="F59" s="174"/>
      <c r="G59" s="174"/>
      <c r="H59" s="174"/>
      <c r="I59" s="174"/>
      <c r="J59" s="174"/>
      <c r="K59" s="174"/>
      <c r="L59" s="174"/>
      <c r="M59" s="174"/>
      <c r="N59" s="174"/>
      <c r="O59" s="174"/>
      <c r="P59" s="174"/>
      <c r="Q59" s="175"/>
      <c r="R59" s="60"/>
      <c r="S59" s="175"/>
      <c r="T59" s="176"/>
    </row>
    <row r="60" spans="1:20" s="177" customFormat="1" ht="12.75">
      <c r="A60" s="171">
        <f>ROW()</f>
        <v>60</v>
      </c>
      <c r="B60" s="172" t="s">
        <v>130</v>
      </c>
      <c r="C60" s="173" t="s">
        <v>141</v>
      </c>
      <c r="D60" s="174">
        <v>251533.56</v>
      </c>
      <c r="E60" s="174">
        <v>251533.56</v>
      </c>
      <c r="F60" s="174">
        <v>251533.56</v>
      </c>
      <c r="G60" s="174">
        <v>251533.56</v>
      </c>
      <c r="H60" s="174">
        <v>251533.56</v>
      </c>
      <c r="I60" s="174">
        <v>251533.56</v>
      </c>
      <c r="J60" s="174">
        <v>251533.56</v>
      </c>
      <c r="K60" s="174">
        <v>251533.56</v>
      </c>
      <c r="L60" s="174">
        <v>251533.56</v>
      </c>
      <c r="M60" s="174">
        <v>251533.56</v>
      </c>
      <c r="N60" s="174">
        <v>251533.56</v>
      </c>
      <c r="O60" s="174">
        <v>251533.56</v>
      </c>
      <c r="P60" s="174">
        <v>251533.56</v>
      </c>
      <c r="Q60" s="175">
        <f>ROUND(((D60+P60+SUM(E60:O60)*2))/24,0)</f>
        <v>251534</v>
      </c>
      <c r="R60" s="57">
        <v>0.0223</v>
      </c>
      <c r="S60" s="175">
        <v>5609.202398373984</v>
      </c>
      <c r="T60" s="174">
        <v>-158411.736199187</v>
      </c>
    </row>
    <row r="61" spans="1:20" s="177" customFormat="1" ht="12.75">
      <c r="A61" s="171">
        <f>ROW()</f>
        <v>61</v>
      </c>
      <c r="B61" s="172"/>
      <c r="C61" s="173" t="s">
        <v>132</v>
      </c>
      <c r="D61" s="180">
        <f aca="true" t="shared" si="8" ref="D61:Q61">SUM(D60)</f>
        <v>251533.56</v>
      </c>
      <c r="E61" s="180">
        <f t="shared" si="8"/>
        <v>251533.56</v>
      </c>
      <c r="F61" s="180">
        <f t="shared" si="8"/>
        <v>251533.56</v>
      </c>
      <c r="G61" s="180">
        <f t="shared" si="8"/>
        <v>251533.56</v>
      </c>
      <c r="H61" s="180">
        <f t="shared" si="8"/>
        <v>251533.56</v>
      </c>
      <c r="I61" s="180">
        <f t="shared" si="8"/>
        <v>251533.56</v>
      </c>
      <c r="J61" s="180">
        <f t="shared" si="8"/>
        <v>251533.56</v>
      </c>
      <c r="K61" s="180">
        <f t="shared" si="8"/>
        <v>251533.56</v>
      </c>
      <c r="L61" s="180">
        <f t="shared" si="8"/>
        <v>251533.56</v>
      </c>
      <c r="M61" s="180">
        <f t="shared" si="8"/>
        <v>251533.56</v>
      </c>
      <c r="N61" s="180">
        <f t="shared" si="8"/>
        <v>251533.56</v>
      </c>
      <c r="O61" s="180">
        <f t="shared" si="8"/>
        <v>251533.56</v>
      </c>
      <c r="P61" s="180">
        <f t="shared" si="8"/>
        <v>251533.56</v>
      </c>
      <c r="Q61" s="180">
        <f t="shared" si="8"/>
        <v>251534</v>
      </c>
      <c r="R61" s="59">
        <f>ROUND(+S61/Q61,4)</f>
        <v>0.0223</v>
      </c>
      <c r="S61" s="181">
        <f>SUM(S60:S60)</f>
        <v>5609.202398373984</v>
      </c>
      <c r="T61" s="180">
        <f>SUM(T60)</f>
        <v>-158411.736199187</v>
      </c>
    </row>
    <row r="62" spans="1:20" s="177" customFormat="1" ht="12.75">
      <c r="A62" s="171">
        <f>ROW()</f>
        <v>62</v>
      </c>
      <c r="B62" s="172"/>
      <c r="C62" s="173"/>
      <c r="D62" s="174"/>
      <c r="E62" s="174"/>
      <c r="F62" s="174"/>
      <c r="G62" s="174"/>
      <c r="H62" s="174"/>
      <c r="I62" s="174"/>
      <c r="J62" s="174"/>
      <c r="K62" s="174"/>
      <c r="L62" s="174"/>
      <c r="M62" s="174"/>
      <c r="N62" s="174"/>
      <c r="O62" s="174"/>
      <c r="P62" s="174"/>
      <c r="Q62" s="174"/>
      <c r="R62" s="57"/>
      <c r="S62" s="175"/>
      <c r="T62" s="174"/>
    </row>
    <row r="63" spans="1:20" s="177" customFormat="1" ht="12.75">
      <c r="A63" s="171">
        <f>ROW()</f>
        <v>63</v>
      </c>
      <c r="B63" s="182" t="s">
        <v>142</v>
      </c>
      <c r="C63" s="173"/>
      <c r="D63" s="174">
        <f aca="true" t="shared" si="9" ref="D63:Q63">D21+D28+D36+D43+D50+D58+D61</f>
        <v>695462747.81</v>
      </c>
      <c r="E63" s="174">
        <f t="shared" si="9"/>
        <v>700359316.6899999</v>
      </c>
      <c r="F63" s="174">
        <f t="shared" si="9"/>
        <v>700545752.59</v>
      </c>
      <c r="G63" s="174">
        <f t="shared" si="9"/>
        <v>704114632.0299999</v>
      </c>
      <c r="H63" s="174">
        <f t="shared" si="9"/>
        <v>706428459.9499999</v>
      </c>
      <c r="I63" s="174">
        <f t="shared" si="9"/>
        <v>706754171.0799999</v>
      </c>
      <c r="J63" s="174">
        <f t="shared" si="9"/>
        <v>707598883.5699999</v>
      </c>
      <c r="K63" s="174">
        <f t="shared" si="9"/>
        <v>709105163.23</v>
      </c>
      <c r="L63" s="174">
        <f t="shared" si="9"/>
        <v>709415244.34</v>
      </c>
      <c r="M63" s="174">
        <f t="shared" si="9"/>
        <v>711456189.72</v>
      </c>
      <c r="N63" s="174">
        <f t="shared" si="9"/>
        <v>715400815.42</v>
      </c>
      <c r="O63" s="174">
        <f t="shared" si="9"/>
        <v>712418779.9399999</v>
      </c>
      <c r="P63" s="174">
        <f t="shared" si="9"/>
        <v>713058386.6800001</v>
      </c>
      <c r="Q63" s="174">
        <f t="shared" si="9"/>
        <v>707321499</v>
      </c>
      <c r="R63" s="57">
        <f>S63/Q63</f>
        <v>0.031623701593716275</v>
      </c>
      <c r="S63" s="174">
        <f>S21+S28+S36+S43+S50+S58+S61</f>
        <v>22368124.015196085</v>
      </c>
      <c r="T63" s="174">
        <f>T21+T28+T36+T43+T50+T58+T61</f>
        <v>-424341613.662598</v>
      </c>
    </row>
    <row r="64" spans="1:20" s="177" customFormat="1" ht="12.75">
      <c r="A64" s="171">
        <f>ROW()</f>
        <v>64</v>
      </c>
      <c r="B64" s="172" t="s">
        <v>143</v>
      </c>
      <c r="C64" s="173"/>
      <c r="D64" s="174"/>
      <c r="E64" s="174"/>
      <c r="F64" s="174"/>
      <c r="G64" s="174"/>
      <c r="H64" s="174"/>
      <c r="I64" s="174"/>
      <c r="J64" s="174"/>
      <c r="K64" s="174"/>
      <c r="L64" s="174"/>
      <c r="M64" s="174"/>
      <c r="N64" s="174"/>
      <c r="O64" s="174"/>
      <c r="P64" s="174"/>
      <c r="Q64" s="174">
        <v>-1903265.9375</v>
      </c>
      <c r="R64" s="57"/>
      <c r="S64" s="175">
        <v>91108.5</v>
      </c>
      <c r="T64" s="174"/>
    </row>
    <row r="65" spans="1:19" s="177" customFormat="1" ht="12.75">
      <c r="A65" s="171">
        <f>ROW()</f>
        <v>65</v>
      </c>
      <c r="B65" s="173" t="s">
        <v>144</v>
      </c>
      <c r="D65" s="174"/>
      <c r="E65" s="174"/>
      <c r="F65" s="174"/>
      <c r="G65" s="174"/>
      <c r="H65" s="174"/>
      <c r="I65" s="174"/>
      <c r="J65" s="174"/>
      <c r="K65" s="174"/>
      <c r="L65" s="174"/>
      <c r="M65" s="174"/>
      <c r="N65" s="174"/>
      <c r="O65" s="174"/>
      <c r="Q65" s="174">
        <v>6100301.3199999435</v>
      </c>
      <c r="R65" s="175"/>
      <c r="S65" s="174">
        <v>354668.76000000536</v>
      </c>
    </row>
    <row r="66" spans="1:21" ht="12.75">
      <c r="A66" s="171">
        <f>ROW()</f>
        <v>66</v>
      </c>
      <c r="B66" s="173" t="s">
        <v>145</v>
      </c>
      <c r="C66" s="177"/>
      <c r="D66" s="174"/>
      <c r="E66" s="174"/>
      <c r="F66" s="174"/>
      <c r="G66" s="174"/>
      <c r="H66" s="174"/>
      <c r="I66" s="174"/>
      <c r="J66" s="174"/>
      <c r="K66" s="174"/>
      <c r="L66" s="174"/>
      <c r="M66" s="174"/>
      <c r="N66" s="174"/>
      <c r="O66" s="174"/>
      <c r="P66" s="177"/>
      <c r="Q66" s="183">
        <v>2392180</v>
      </c>
      <c r="R66" s="184"/>
      <c r="S66" s="183">
        <v>104311.20599999999</v>
      </c>
      <c r="T66" s="185"/>
      <c r="U66" s="177"/>
    </row>
    <row r="67" spans="1:20" ht="12.75">
      <c r="A67" s="171">
        <f>ROW()</f>
        <v>67</v>
      </c>
      <c r="D67" s="161" t="s">
        <v>180</v>
      </c>
      <c r="Q67" s="161">
        <f>SUM(Q63:Q66)</f>
        <v>713910714.3824999</v>
      </c>
      <c r="R67" s="57">
        <f>S67/Q67</f>
        <v>0.03210235120370661</v>
      </c>
      <c r="S67" s="161">
        <f>SUM(S63:S66)</f>
        <v>22918212.48119609</v>
      </c>
      <c r="T67" s="186">
        <f>SUM(T63:T66)</f>
        <v>-424341613.662598</v>
      </c>
    </row>
    <row r="68" spans="1:20" ht="12.75">
      <c r="A68" s="171"/>
      <c r="T68" s="10"/>
    </row>
    <row r="69" spans="1:20" ht="12.75">
      <c r="A69" s="171"/>
      <c r="T69" s="10"/>
    </row>
    <row r="70" spans="1:20" ht="12.75">
      <c r="A70" s="171"/>
      <c r="T70" s="10"/>
    </row>
    <row r="71" spans="1:20" ht="12.75">
      <c r="A71" s="171"/>
      <c r="T71" s="10"/>
    </row>
    <row r="72" spans="1:20" ht="12.75">
      <c r="A72" s="171"/>
      <c r="T72" s="10"/>
    </row>
    <row r="73" spans="1:20" ht="12.75">
      <c r="A73" s="171"/>
      <c r="T73" s="10"/>
    </row>
    <row r="74" spans="1:20" ht="18">
      <c r="A74" s="171" t="s">
        <v>292</v>
      </c>
      <c r="B74" s="1" t="s">
        <v>98</v>
      </c>
      <c r="D74" s="161"/>
      <c r="Q74" s="161"/>
      <c r="T74" s="63" t="s">
        <v>146</v>
      </c>
    </row>
    <row r="75" spans="1:20" ht="12.75">
      <c r="A75" s="171">
        <f>ROW()</f>
        <v>75</v>
      </c>
      <c r="D75" s="161"/>
      <c r="T75" s="63"/>
    </row>
    <row r="76" spans="1:20" ht="12.75">
      <c r="A76" s="171">
        <f>ROW()</f>
        <v>76</v>
      </c>
      <c r="D76" s="161"/>
      <c r="Q76" s="187" t="s">
        <v>176</v>
      </c>
      <c r="T76" s="157"/>
    </row>
    <row r="77" spans="1:20" ht="12.75">
      <c r="A77" s="171">
        <f>ROW()</f>
        <v>77</v>
      </c>
      <c r="D77" s="161"/>
      <c r="Q77" s="10"/>
      <c r="T77" s="158"/>
    </row>
    <row r="78" spans="1:17" ht="12.75">
      <c r="A78" s="171">
        <f>ROW()</f>
        <v>78</v>
      </c>
      <c r="D78" s="161"/>
      <c r="Q78" s="10"/>
    </row>
    <row r="79" spans="1:17" ht="12.75">
      <c r="A79" s="171">
        <f>ROW()</f>
        <v>79</v>
      </c>
      <c r="B79" s="9" t="s">
        <v>181</v>
      </c>
      <c r="Q79" s="10"/>
    </row>
    <row r="80" spans="1:17" ht="12.75">
      <c r="A80" s="171">
        <f>ROW()</f>
        <v>80</v>
      </c>
      <c r="D80" s="2" t="s">
        <v>182</v>
      </c>
      <c r="E80" s="2"/>
      <c r="F80" s="2"/>
      <c r="G80" s="2"/>
      <c r="H80" s="2"/>
      <c r="I80" s="2"/>
      <c r="J80" s="2"/>
      <c r="K80" s="2"/>
      <c r="L80" s="2"/>
      <c r="M80" s="2"/>
      <c r="N80" s="2"/>
      <c r="O80" s="2"/>
      <c r="P80" s="2"/>
      <c r="Q80" s="10"/>
    </row>
    <row r="81" spans="1:15" ht="13.5" thickBot="1">
      <c r="A81" s="171">
        <f>ROW()</f>
        <v>81</v>
      </c>
      <c r="B81" s="9" t="s">
        <v>183</v>
      </c>
      <c r="C81" s="9" t="s">
        <v>35</v>
      </c>
      <c r="D81" s="188" t="s">
        <v>184</v>
      </c>
      <c r="E81" s="188"/>
      <c r="F81" s="188"/>
      <c r="G81" s="188"/>
      <c r="H81" s="188"/>
      <c r="I81" s="188"/>
      <c r="J81" s="188"/>
      <c r="K81" s="188"/>
      <c r="L81" s="188"/>
      <c r="M81" s="188"/>
      <c r="N81" s="188"/>
      <c r="O81" s="188"/>
    </row>
    <row r="82" spans="1:35" s="34" customFormat="1" ht="12.75">
      <c r="A82" s="171">
        <f>ROW()</f>
        <v>82</v>
      </c>
      <c r="B82" s="189">
        <v>50004011</v>
      </c>
      <c r="C82" s="154" t="s">
        <v>185</v>
      </c>
      <c r="D82" s="190">
        <v>50364</v>
      </c>
      <c r="E82" s="191"/>
      <c r="F82" s="191"/>
      <c r="G82" s="191"/>
      <c r="H82" s="191"/>
      <c r="I82" s="191"/>
      <c r="J82" s="191"/>
      <c r="K82" s="191"/>
      <c r="L82" s="191"/>
      <c r="M82" s="191"/>
      <c r="N82" s="191"/>
      <c r="O82" s="191"/>
      <c r="P82" s="192"/>
      <c r="Q82" s="193"/>
      <c r="R82" s="9"/>
      <c r="S82" s="194"/>
      <c r="T82" s="191"/>
      <c r="U82" s="194"/>
      <c r="V82" s="194"/>
      <c r="W82" s="194"/>
      <c r="X82" s="194"/>
      <c r="Y82" s="194"/>
      <c r="Z82" s="194"/>
      <c r="AA82" s="194"/>
      <c r="AB82" s="194"/>
      <c r="AC82" s="194"/>
      <c r="AD82" s="194"/>
      <c r="AE82" s="194"/>
      <c r="AF82" s="194"/>
      <c r="AG82" s="194"/>
      <c r="AH82" s="194"/>
      <c r="AI82" s="194"/>
    </row>
    <row r="83" spans="1:35" s="34" customFormat="1" ht="12.75">
      <c r="A83" s="171">
        <f>ROW()</f>
        <v>83</v>
      </c>
      <c r="B83" s="189">
        <v>50005011</v>
      </c>
      <c r="C83" s="154" t="s">
        <v>186</v>
      </c>
      <c r="D83" s="195">
        <v>42184.07</v>
      </c>
      <c r="E83" s="191"/>
      <c r="F83" s="191"/>
      <c r="G83" s="191"/>
      <c r="H83" s="191"/>
      <c r="I83" s="191"/>
      <c r="J83" s="191"/>
      <c r="K83" s="191"/>
      <c r="L83" s="191"/>
      <c r="M83" s="191"/>
      <c r="N83" s="191"/>
      <c r="O83" s="191"/>
      <c r="P83" s="192"/>
      <c r="Q83" s="193"/>
      <c r="R83" s="196"/>
      <c r="S83" s="194"/>
      <c r="T83" s="191"/>
      <c r="U83" s="194"/>
      <c r="V83" s="194"/>
      <c r="W83" s="194"/>
      <c r="X83" s="194"/>
      <c r="Y83" s="194"/>
      <c r="Z83" s="194"/>
      <c r="AA83" s="194"/>
      <c r="AB83" s="194"/>
      <c r="AC83" s="194"/>
      <c r="AD83" s="194"/>
      <c r="AE83" s="194"/>
      <c r="AF83" s="194"/>
      <c r="AG83" s="194"/>
      <c r="AH83" s="194"/>
      <c r="AI83" s="194"/>
    </row>
    <row r="84" spans="1:35" s="34" customFormat="1" ht="12.75">
      <c r="A84" s="171">
        <f>ROW()</f>
        <v>84</v>
      </c>
      <c r="B84" s="189">
        <v>50204001</v>
      </c>
      <c r="C84" s="154" t="s">
        <v>187</v>
      </c>
      <c r="D84" s="195">
        <v>3297477.41</v>
      </c>
      <c r="E84" s="191"/>
      <c r="F84" s="191"/>
      <c r="G84" s="191"/>
      <c r="H84" s="191"/>
      <c r="I84" s="191"/>
      <c r="J84" s="191"/>
      <c r="K84" s="191"/>
      <c r="L84" s="191"/>
      <c r="M84" s="191"/>
      <c r="N84" s="191"/>
      <c r="O84" s="191"/>
      <c r="P84" s="192"/>
      <c r="Q84" s="193"/>
      <c r="R84" s="196"/>
      <c r="S84" s="194"/>
      <c r="T84" s="191"/>
      <c r="U84" s="194"/>
      <c r="V84" s="194"/>
      <c r="W84" s="194"/>
      <c r="X84" s="194"/>
      <c r="Y84" s="194"/>
      <c r="Z84" s="194"/>
      <c r="AA84" s="194"/>
      <c r="AB84" s="194"/>
      <c r="AC84" s="194"/>
      <c r="AD84" s="194"/>
      <c r="AE84" s="194"/>
      <c r="AF84" s="194"/>
      <c r="AG84" s="194"/>
      <c r="AH84" s="194"/>
      <c r="AI84" s="194"/>
    </row>
    <row r="85" spans="1:35" s="34" customFormat="1" ht="12.75">
      <c r="A85" s="171">
        <f>ROW()</f>
        <v>85</v>
      </c>
      <c r="B85" s="189">
        <v>50205001</v>
      </c>
      <c r="C85" s="154" t="s">
        <v>188</v>
      </c>
      <c r="D85" s="195">
        <v>2175561.37</v>
      </c>
      <c r="E85" s="191"/>
      <c r="F85" s="191"/>
      <c r="G85" s="191"/>
      <c r="H85" s="191"/>
      <c r="I85" s="191"/>
      <c r="J85" s="191"/>
      <c r="K85" s="191"/>
      <c r="L85" s="191"/>
      <c r="M85" s="191"/>
      <c r="N85" s="191"/>
      <c r="O85" s="191"/>
      <c r="P85" s="192"/>
      <c r="Q85" s="193"/>
      <c r="R85" s="196"/>
      <c r="S85" s="194"/>
      <c r="T85" s="191"/>
      <c r="U85" s="194"/>
      <c r="V85" s="194"/>
      <c r="W85" s="194"/>
      <c r="X85" s="194"/>
      <c r="Y85" s="194"/>
      <c r="Z85" s="194"/>
      <c r="AA85" s="194"/>
      <c r="AB85" s="194"/>
      <c r="AC85" s="194"/>
      <c r="AD85" s="194"/>
      <c r="AE85" s="194"/>
      <c r="AF85" s="194"/>
      <c r="AG85" s="194"/>
      <c r="AH85" s="194"/>
      <c r="AI85" s="194"/>
    </row>
    <row r="86" spans="1:35" s="34" customFormat="1" ht="12.75">
      <c r="A86" s="171">
        <f>ROW()</f>
        <v>86</v>
      </c>
      <c r="B86" s="189">
        <v>50504001</v>
      </c>
      <c r="C86" s="154" t="s">
        <v>189</v>
      </c>
      <c r="D86" s="195">
        <v>71508</v>
      </c>
      <c r="E86" s="191"/>
      <c r="F86" s="191"/>
      <c r="G86" s="191"/>
      <c r="H86" s="191"/>
      <c r="I86" s="191"/>
      <c r="J86" s="191"/>
      <c r="K86" s="191"/>
      <c r="L86" s="191"/>
      <c r="M86" s="191"/>
      <c r="N86" s="191"/>
      <c r="O86" s="191"/>
      <c r="P86" s="192"/>
      <c r="Q86" s="193"/>
      <c r="R86" s="196"/>
      <c r="S86" s="194"/>
      <c r="T86" s="191"/>
      <c r="U86" s="194"/>
      <c r="V86" s="194"/>
      <c r="W86" s="194"/>
      <c r="X86" s="194"/>
      <c r="Y86" s="194"/>
      <c r="Z86" s="194"/>
      <c r="AA86" s="194"/>
      <c r="AB86" s="194"/>
      <c r="AC86" s="194"/>
      <c r="AD86" s="194"/>
      <c r="AE86" s="194"/>
      <c r="AF86" s="194"/>
      <c r="AG86" s="194"/>
      <c r="AH86" s="194"/>
      <c r="AI86" s="194"/>
    </row>
    <row r="87" spans="1:35" s="34" customFormat="1" ht="12.75">
      <c r="A87" s="171">
        <f>ROW()</f>
        <v>87</v>
      </c>
      <c r="B87" s="189">
        <v>50505001</v>
      </c>
      <c r="C87" s="154" t="s">
        <v>190</v>
      </c>
      <c r="D87" s="195">
        <v>56119.83</v>
      </c>
      <c r="E87" s="191"/>
      <c r="F87" s="191"/>
      <c r="G87" s="191"/>
      <c r="H87" s="191"/>
      <c r="I87" s="191"/>
      <c r="J87" s="191"/>
      <c r="K87" s="191"/>
      <c r="L87" s="191"/>
      <c r="M87" s="191"/>
      <c r="N87" s="191"/>
      <c r="O87" s="191"/>
      <c r="P87" s="192"/>
      <c r="Q87" s="193"/>
      <c r="R87" s="196"/>
      <c r="S87" s="194"/>
      <c r="T87" s="192"/>
      <c r="U87" s="194"/>
      <c r="V87" s="194"/>
      <c r="W87" s="194"/>
      <c r="X87" s="194"/>
      <c r="Y87" s="194"/>
      <c r="Z87" s="194"/>
      <c r="AA87" s="194"/>
      <c r="AB87" s="194"/>
      <c r="AC87" s="194"/>
      <c r="AD87" s="194"/>
      <c r="AE87" s="194"/>
      <c r="AF87" s="194"/>
      <c r="AG87" s="194"/>
      <c r="AH87" s="194"/>
      <c r="AI87" s="194"/>
    </row>
    <row r="88" spans="1:35" s="34" customFormat="1" ht="12.75">
      <c r="A88" s="171">
        <f>ROW()</f>
        <v>88</v>
      </c>
      <c r="B88" s="189">
        <v>50604001</v>
      </c>
      <c r="C88" s="154" t="s">
        <v>191</v>
      </c>
      <c r="D88" s="195">
        <v>4170512.13</v>
      </c>
      <c r="E88" s="191"/>
      <c r="F88" s="191"/>
      <c r="G88" s="191"/>
      <c r="H88" s="191"/>
      <c r="I88" s="191"/>
      <c r="J88" s="191"/>
      <c r="K88" s="191"/>
      <c r="L88" s="191"/>
      <c r="M88" s="191"/>
      <c r="N88" s="191"/>
      <c r="O88" s="191"/>
      <c r="P88" s="192"/>
      <c r="Q88" s="193"/>
      <c r="R88" s="196"/>
      <c r="S88" s="194"/>
      <c r="T88" s="191"/>
      <c r="U88" s="194"/>
      <c r="V88" s="194"/>
      <c r="W88" s="194"/>
      <c r="X88" s="194"/>
      <c r="Y88" s="194"/>
      <c r="Z88" s="194"/>
      <c r="AA88" s="194"/>
      <c r="AB88" s="194"/>
      <c r="AC88" s="194"/>
      <c r="AD88" s="194"/>
      <c r="AE88" s="194"/>
      <c r="AF88" s="194"/>
      <c r="AG88" s="194"/>
      <c r="AH88" s="194"/>
      <c r="AI88" s="194"/>
    </row>
    <row r="89" spans="1:35" s="34" customFormat="1" ht="12.75">
      <c r="A89" s="171">
        <f>ROW()</f>
        <v>89</v>
      </c>
      <c r="B89" s="189">
        <v>50605001</v>
      </c>
      <c r="C89" s="154" t="s">
        <v>192</v>
      </c>
      <c r="D89" s="195">
        <v>2444791.33</v>
      </c>
      <c r="E89" s="191"/>
      <c r="F89" s="191"/>
      <c r="G89" s="191"/>
      <c r="H89" s="191"/>
      <c r="I89" s="191"/>
      <c r="J89" s="191"/>
      <c r="K89" s="191"/>
      <c r="L89" s="191"/>
      <c r="M89" s="191"/>
      <c r="N89" s="191"/>
      <c r="O89" s="191"/>
      <c r="P89" s="192"/>
      <c r="Q89" s="193"/>
      <c r="R89" s="196"/>
      <c r="S89" s="194"/>
      <c r="T89" s="191"/>
      <c r="U89" s="194"/>
      <c r="V89" s="194"/>
      <c r="W89" s="194"/>
      <c r="X89" s="194"/>
      <c r="Y89" s="194"/>
      <c r="Z89" s="194"/>
      <c r="AA89" s="194"/>
      <c r="AB89" s="194"/>
      <c r="AC89" s="194"/>
      <c r="AD89" s="194"/>
      <c r="AE89" s="194"/>
      <c r="AF89" s="194"/>
      <c r="AG89" s="194"/>
      <c r="AH89" s="194"/>
      <c r="AI89" s="194"/>
    </row>
    <row r="90" spans="1:35" s="34" customFormat="1" ht="12.75">
      <c r="A90" s="171">
        <f>ROW()</f>
        <v>90</v>
      </c>
      <c r="B90" s="189">
        <v>50704001</v>
      </c>
      <c r="C90" s="154" t="s">
        <v>193</v>
      </c>
      <c r="D90" s="195">
        <v>48</v>
      </c>
      <c r="E90" s="191"/>
      <c r="F90" s="191"/>
      <c r="G90" s="191"/>
      <c r="H90" s="191"/>
      <c r="I90" s="191"/>
      <c r="J90" s="191"/>
      <c r="K90" s="191"/>
      <c r="L90" s="191"/>
      <c r="M90" s="191"/>
      <c r="N90" s="191"/>
      <c r="O90" s="191"/>
      <c r="P90" s="192"/>
      <c r="Q90" s="193"/>
      <c r="R90" s="196"/>
      <c r="S90" s="194"/>
      <c r="T90" s="191"/>
      <c r="U90" s="194"/>
      <c r="V90" s="194"/>
      <c r="W90" s="194"/>
      <c r="X90" s="194"/>
      <c r="Y90" s="194"/>
      <c r="Z90" s="194"/>
      <c r="AA90" s="194"/>
      <c r="AB90" s="194"/>
      <c r="AC90" s="194"/>
      <c r="AD90" s="194"/>
      <c r="AE90" s="194"/>
      <c r="AF90" s="194"/>
      <c r="AG90" s="194"/>
      <c r="AH90" s="194"/>
      <c r="AI90" s="194"/>
    </row>
    <row r="91" spans="1:35" s="34" customFormat="1" ht="12.75">
      <c r="A91" s="171">
        <f>ROW()</f>
        <v>91</v>
      </c>
      <c r="B91" s="189">
        <v>50705001</v>
      </c>
      <c r="C91" s="154" t="s">
        <v>194</v>
      </c>
      <c r="D91" s="195">
        <v>33275.02</v>
      </c>
      <c r="E91" s="191"/>
      <c r="F91" s="191"/>
      <c r="G91" s="191"/>
      <c r="H91" s="191"/>
      <c r="I91" s="191"/>
      <c r="J91" s="191"/>
      <c r="K91" s="191"/>
      <c r="L91" s="191"/>
      <c r="M91" s="191"/>
      <c r="N91" s="191"/>
      <c r="O91" s="191"/>
      <c r="P91" s="192"/>
      <c r="Q91" s="193"/>
      <c r="R91" s="196"/>
      <c r="S91" s="194"/>
      <c r="T91" s="191"/>
      <c r="U91" s="194"/>
      <c r="V91" s="194"/>
      <c r="W91" s="194"/>
      <c r="X91" s="194"/>
      <c r="Y91" s="194"/>
      <c r="Z91" s="194"/>
      <c r="AA91" s="194"/>
      <c r="AB91" s="194"/>
      <c r="AC91" s="194"/>
      <c r="AD91" s="194"/>
      <c r="AE91" s="194"/>
      <c r="AF91" s="194"/>
      <c r="AG91" s="194"/>
      <c r="AH91" s="194"/>
      <c r="AI91" s="194"/>
    </row>
    <row r="92" spans="1:35" s="34" customFormat="1" ht="12.75">
      <c r="A92" s="171">
        <f>ROW()</f>
        <v>92</v>
      </c>
      <c r="B92" s="189">
        <v>51004001</v>
      </c>
      <c r="C92" s="154" t="s">
        <v>195</v>
      </c>
      <c r="D92" s="195">
        <v>880470.17</v>
      </c>
      <c r="E92" s="191"/>
      <c r="F92" s="191"/>
      <c r="G92" s="191"/>
      <c r="H92" s="191"/>
      <c r="I92" s="191"/>
      <c r="J92" s="191"/>
      <c r="K92" s="191"/>
      <c r="L92" s="191"/>
      <c r="M92" s="191"/>
      <c r="N92" s="191"/>
      <c r="O92" s="191"/>
      <c r="P92" s="192"/>
      <c r="Q92" s="193"/>
      <c r="R92" s="196"/>
      <c r="S92" s="194"/>
      <c r="T92" s="191"/>
      <c r="U92" s="194"/>
      <c r="V92" s="194"/>
      <c r="W92" s="194"/>
      <c r="X92" s="194"/>
      <c r="Y92" s="194"/>
      <c r="Z92" s="194"/>
      <c r="AA92" s="194"/>
      <c r="AB92" s="194"/>
      <c r="AC92" s="194"/>
      <c r="AD92" s="194"/>
      <c r="AE92" s="194"/>
      <c r="AF92" s="194"/>
      <c r="AG92" s="194"/>
      <c r="AH92" s="194"/>
      <c r="AI92" s="194"/>
    </row>
    <row r="93" spans="1:35" s="34" customFormat="1" ht="12.75">
      <c r="A93" s="171">
        <f>ROW()</f>
        <v>93</v>
      </c>
      <c r="B93" s="189">
        <v>51005001</v>
      </c>
      <c r="C93" s="154" t="s">
        <v>196</v>
      </c>
      <c r="D93" s="195">
        <v>692701.74</v>
      </c>
      <c r="E93" s="191"/>
      <c r="F93" s="191"/>
      <c r="G93" s="191"/>
      <c r="H93" s="191"/>
      <c r="I93" s="191"/>
      <c r="J93" s="191"/>
      <c r="K93" s="191"/>
      <c r="L93" s="191"/>
      <c r="M93" s="191"/>
      <c r="N93" s="191"/>
      <c r="O93" s="191"/>
      <c r="P93" s="192"/>
      <c r="Q93" s="193"/>
      <c r="R93" s="196"/>
      <c r="S93" s="194"/>
      <c r="T93" s="191"/>
      <c r="U93" s="194"/>
      <c r="V93" s="194"/>
      <c r="W93" s="194"/>
      <c r="X93" s="194"/>
      <c r="Y93" s="194"/>
      <c r="Z93" s="194"/>
      <c r="AA93" s="194"/>
      <c r="AB93" s="194"/>
      <c r="AC93" s="194"/>
      <c r="AD93" s="194"/>
      <c r="AE93" s="194"/>
      <c r="AF93" s="194"/>
      <c r="AG93" s="194"/>
      <c r="AH93" s="194"/>
      <c r="AI93" s="194"/>
    </row>
    <row r="94" spans="1:35" s="34" customFormat="1" ht="12.75">
      <c r="A94" s="171">
        <f>ROW()</f>
        <v>94</v>
      </c>
      <c r="B94" s="189">
        <v>51104001</v>
      </c>
      <c r="C94" s="154" t="s">
        <v>197</v>
      </c>
      <c r="D94" s="195">
        <v>829877.41</v>
      </c>
      <c r="E94" s="191"/>
      <c r="F94" s="191"/>
      <c r="G94" s="191"/>
      <c r="H94" s="191"/>
      <c r="I94" s="191"/>
      <c r="J94" s="191"/>
      <c r="K94" s="191"/>
      <c r="L94" s="191"/>
      <c r="M94" s="191"/>
      <c r="N94" s="191"/>
      <c r="O94" s="191"/>
      <c r="P94" s="192"/>
      <c r="Q94" s="193"/>
      <c r="R94" s="196"/>
      <c r="S94" s="194"/>
      <c r="T94" s="191"/>
      <c r="U94" s="194"/>
      <c r="V94" s="194"/>
      <c r="W94" s="194"/>
      <c r="X94" s="194"/>
      <c r="Y94" s="194"/>
      <c r="Z94" s="194"/>
      <c r="AA94" s="194"/>
      <c r="AB94" s="194"/>
      <c r="AC94" s="194"/>
      <c r="AD94" s="194"/>
      <c r="AE94" s="194"/>
      <c r="AF94" s="194"/>
      <c r="AG94" s="194"/>
      <c r="AH94" s="194"/>
      <c r="AI94" s="194"/>
    </row>
    <row r="95" spans="1:35" s="34" customFormat="1" ht="12.75">
      <c r="A95" s="171">
        <f>ROW()</f>
        <v>95</v>
      </c>
      <c r="B95" s="189">
        <v>51105001</v>
      </c>
      <c r="C95" s="154" t="s">
        <v>198</v>
      </c>
      <c r="D95" s="195">
        <v>763915.38</v>
      </c>
      <c r="E95" s="191"/>
      <c r="F95" s="191"/>
      <c r="G95" s="191"/>
      <c r="H95" s="191"/>
      <c r="I95" s="191"/>
      <c r="J95" s="191"/>
      <c r="K95" s="191"/>
      <c r="L95" s="191"/>
      <c r="M95" s="191"/>
      <c r="N95" s="191"/>
      <c r="O95" s="191"/>
      <c r="P95" s="192"/>
      <c r="Q95" s="193"/>
      <c r="R95" s="196"/>
      <c r="S95" s="194"/>
      <c r="T95" s="191"/>
      <c r="U95" s="194"/>
      <c r="V95" s="194"/>
      <c r="W95" s="194"/>
      <c r="X95" s="194"/>
      <c r="Y95" s="194"/>
      <c r="Z95" s="194"/>
      <c r="AA95" s="194"/>
      <c r="AB95" s="194"/>
      <c r="AC95" s="194"/>
      <c r="AD95" s="194"/>
      <c r="AE95" s="194"/>
      <c r="AF95" s="194"/>
      <c r="AG95" s="194"/>
      <c r="AH95" s="194"/>
      <c r="AI95" s="194"/>
    </row>
    <row r="96" spans="1:35" s="34" customFormat="1" ht="12.75">
      <c r="A96" s="171">
        <f>ROW()</f>
        <v>96</v>
      </c>
      <c r="B96" s="189">
        <v>51204001</v>
      </c>
      <c r="C96" s="154" t="s">
        <v>199</v>
      </c>
      <c r="D96" s="195">
        <v>5545623.17</v>
      </c>
      <c r="E96" s="191"/>
      <c r="F96" s="191"/>
      <c r="G96" s="191"/>
      <c r="H96" s="191"/>
      <c r="I96" s="191"/>
      <c r="J96" s="191"/>
      <c r="K96" s="191"/>
      <c r="L96" s="191"/>
      <c r="M96" s="191"/>
      <c r="N96" s="191"/>
      <c r="O96" s="191"/>
      <c r="P96" s="192"/>
      <c r="Q96" s="193"/>
      <c r="R96" s="196"/>
      <c r="S96" s="194"/>
      <c r="T96" s="191"/>
      <c r="U96" s="194"/>
      <c r="V96" s="194"/>
      <c r="W96" s="194"/>
      <c r="X96" s="194"/>
      <c r="Y96" s="194"/>
      <c r="Z96" s="194"/>
      <c r="AA96" s="194"/>
      <c r="AB96" s="194"/>
      <c r="AC96" s="194"/>
      <c r="AD96" s="194"/>
      <c r="AE96" s="194"/>
      <c r="AF96" s="194"/>
      <c r="AG96" s="194"/>
      <c r="AH96" s="194"/>
      <c r="AI96" s="194"/>
    </row>
    <row r="97" spans="1:35" s="34" customFormat="1" ht="12.75">
      <c r="A97" s="171">
        <f>ROW()</f>
        <v>97</v>
      </c>
      <c r="B97" s="189">
        <v>51205001</v>
      </c>
      <c r="C97" s="154" t="s">
        <v>200</v>
      </c>
      <c r="D97" s="195">
        <v>6051077.25</v>
      </c>
      <c r="E97" s="191"/>
      <c r="F97" s="191"/>
      <c r="G97" s="191"/>
      <c r="H97" s="191"/>
      <c r="I97" s="191"/>
      <c r="J97" s="191"/>
      <c r="K97" s="191"/>
      <c r="L97" s="191"/>
      <c r="M97" s="191"/>
      <c r="N97" s="191"/>
      <c r="O97" s="191"/>
      <c r="P97" s="192"/>
      <c r="Q97" s="193"/>
      <c r="R97" s="196"/>
      <c r="S97" s="194"/>
      <c r="T97" s="191"/>
      <c r="U97" s="194"/>
      <c r="V97" s="194"/>
      <c r="W97" s="194"/>
      <c r="X97" s="194"/>
      <c r="Y97" s="194"/>
      <c r="Z97" s="194"/>
      <c r="AA97" s="194"/>
      <c r="AB97" s="194"/>
      <c r="AC97" s="194"/>
      <c r="AD97" s="194"/>
      <c r="AE97" s="194"/>
      <c r="AF97" s="194"/>
      <c r="AG97" s="194"/>
      <c r="AH97" s="194"/>
      <c r="AI97" s="194"/>
    </row>
    <row r="98" spans="1:35" s="34" customFormat="1" ht="12.75">
      <c r="A98" s="171">
        <f>ROW()</f>
        <v>98</v>
      </c>
      <c r="B98" s="189">
        <v>51304001</v>
      </c>
      <c r="C98" s="154" t="s">
        <v>201</v>
      </c>
      <c r="D98" s="195">
        <v>1123320.91</v>
      </c>
      <c r="E98" s="191"/>
      <c r="F98" s="191"/>
      <c r="G98" s="191"/>
      <c r="H98" s="191"/>
      <c r="I98" s="191"/>
      <c r="J98" s="191"/>
      <c r="K98" s="191"/>
      <c r="L98" s="191"/>
      <c r="M98" s="191"/>
      <c r="N98" s="191"/>
      <c r="O98" s="191"/>
      <c r="P98" s="192"/>
      <c r="Q98" s="193"/>
      <c r="R98" s="196"/>
      <c r="S98" s="194"/>
      <c r="T98" s="191"/>
      <c r="U98" s="194"/>
      <c r="V98" s="194"/>
      <c r="W98" s="194"/>
      <c r="X98" s="194"/>
      <c r="Y98" s="194"/>
      <c r="Z98" s="194"/>
      <c r="AA98" s="194"/>
      <c r="AB98" s="194"/>
      <c r="AC98" s="194"/>
      <c r="AD98" s="194"/>
      <c r="AE98" s="194"/>
      <c r="AF98" s="194"/>
      <c r="AG98" s="194"/>
      <c r="AH98" s="194"/>
      <c r="AI98" s="194"/>
    </row>
    <row r="99" spans="1:35" s="34" customFormat="1" ht="12.75">
      <c r="A99" s="171">
        <f>ROW()</f>
        <v>99</v>
      </c>
      <c r="B99" s="189">
        <v>51305001</v>
      </c>
      <c r="C99" s="154" t="s">
        <v>202</v>
      </c>
      <c r="D99" s="195">
        <v>1062378.89</v>
      </c>
      <c r="E99" s="191"/>
      <c r="F99" s="191"/>
      <c r="G99" s="191"/>
      <c r="H99" s="191"/>
      <c r="I99" s="191"/>
      <c r="J99" s="191"/>
      <c r="K99" s="191"/>
      <c r="L99" s="191"/>
      <c r="M99" s="191"/>
      <c r="N99" s="191"/>
      <c r="O99" s="191"/>
      <c r="P99" s="192"/>
      <c r="Q99" s="193"/>
      <c r="R99" s="196"/>
      <c r="S99" s="194"/>
      <c r="T99" s="191"/>
      <c r="U99" s="194"/>
      <c r="V99" s="194"/>
      <c r="W99" s="194"/>
      <c r="X99" s="194"/>
      <c r="Y99" s="194"/>
      <c r="Z99" s="194"/>
      <c r="AA99" s="194"/>
      <c r="AB99" s="194"/>
      <c r="AC99" s="194"/>
      <c r="AD99" s="194"/>
      <c r="AE99" s="194"/>
      <c r="AF99" s="194"/>
      <c r="AG99" s="194"/>
      <c r="AH99" s="194"/>
      <c r="AI99" s="194"/>
    </row>
    <row r="100" spans="1:35" s="34" customFormat="1" ht="12.75">
      <c r="A100" s="171">
        <f>ROW()</f>
        <v>100</v>
      </c>
      <c r="B100" s="189">
        <v>51404001</v>
      </c>
      <c r="C100" s="154" t="s">
        <v>207</v>
      </c>
      <c r="D100" s="195">
        <v>1052523.06</v>
      </c>
      <c r="E100" s="191"/>
      <c r="F100" s="191"/>
      <c r="G100" s="191"/>
      <c r="H100" s="191"/>
      <c r="I100" s="191"/>
      <c r="J100" s="191"/>
      <c r="K100" s="191"/>
      <c r="L100" s="191"/>
      <c r="M100" s="191"/>
      <c r="N100" s="191"/>
      <c r="O100" s="191"/>
      <c r="P100" s="192"/>
      <c r="Q100" s="193"/>
      <c r="R100" s="196"/>
      <c r="S100" s="194"/>
      <c r="T100" s="191"/>
      <c r="U100" s="194"/>
      <c r="V100" s="194"/>
      <c r="W100" s="194"/>
      <c r="X100" s="194"/>
      <c r="Y100" s="194"/>
      <c r="Z100" s="194"/>
      <c r="AA100" s="194"/>
      <c r="AB100" s="194"/>
      <c r="AC100" s="194"/>
      <c r="AD100" s="194"/>
      <c r="AE100" s="194"/>
      <c r="AF100" s="194"/>
      <c r="AG100" s="194"/>
      <c r="AH100" s="194"/>
      <c r="AI100" s="194"/>
    </row>
    <row r="101" spans="1:35" s="34" customFormat="1" ht="12.75">
      <c r="A101" s="171">
        <f>ROW()</f>
        <v>101</v>
      </c>
      <c r="B101" s="189">
        <v>51405001</v>
      </c>
      <c r="C101" s="154" t="s">
        <v>208</v>
      </c>
      <c r="D101" s="197">
        <v>922490.9</v>
      </c>
      <c r="E101" s="191"/>
      <c r="F101" s="191"/>
      <c r="G101" s="191"/>
      <c r="H101" s="191"/>
      <c r="I101" s="191"/>
      <c r="J101" s="191"/>
      <c r="K101" s="191"/>
      <c r="L101" s="191"/>
      <c r="M101" s="191"/>
      <c r="N101" s="191"/>
      <c r="O101" s="191"/>
      <c r="P101" s="192"/>
      <c r="Q101" s="193"/>
      <c r="R101" s="196"/>
      <c r="S101" s="194"/>
      <c r="T101" s="191"/>
      <c r="U101" s="194"/>
      <c r="V101" s="194"/>
      <c r="W101" s="194"/>
      <c r="X101" s="194"/>
      <c r="Y101" s="194"/>
      <c r="Z101" s="194"/>
      <c r="AA101" s="194"/>
      <c r="AB101" s="194"/>
      <c r="AC101" s="194"/>
      <c r="AD101" s="194"/>
      <c r="AE101" s="194"/>
      <c r="AF101" s="194"/>
      <c r="AG101" s="194"/>
      <c r="AH101" s="194"/>
      <c r="AI101" s="194"/>
    </row>
    <row r="102" spans="1:35" s="34" customFormat="1" ht="12.75">
      <c r="A102" s="171">
        <f>ROW()</f>
        <v>102</v>
      </c>
      <c r="B102" s="198"/>
      <c r="C102" s="194" t="s">
        <v>177</v>
      </c>
      <c r="D102" s="199">
        <f aca="true" t="shared" si="10" ref="D102:O102">SUM(D82:D101)</f>
        <v>31266220.04</v>
      </c>
      <c r="E102" s="196">
        <f t="shared" si="10"/>
        <v>0</v>
      </c>
      <c r="F102" s="196">
        <f t="shared" si="10"/>
        <v>0</v>
      </c>
      <c r="G102" s="196">
        <f t="shared" si="10"/>
        <v>0</v>
      </c>
      <c r="H102" s="196">
        <f t="shared" si="10"/>
        <v>0</v>
      </c>
      <c r="I102" s="196">
        <f t="shared" si="10"/>
        <v>0</v>
      </c>
      <c r="J102" s="196">
        <f t="shared" si="10"/>
        <v>0</v>
      </c>
      <c r="K102" s="196">
        <f t="shared" si="10"/>
        <v>0</v>
      </c>
      <c r="L102" s="196">
        <f t="shared" si="10"/>
        <v>0</v>
      </c>
      <c r="M102" s="196">
        <f t="shared" si="10"/>
        <v>0</v>
      </c>
      <c r="N102" s="196">
        <f t="shared" si="10"/>
        <v>0</v>
      </c>
      <c r="O102" s="196">
        <f t="shared" si="10"/>
        <v>0</v>
      </c>
      <c r="P102" s="196"/>
      <c r="Q102" s="193"/>
      <c r="R102" s="193"/>
      <c r="S102" s="194"/>
      <c r="T102" s="191"/>
      <c r="U102" s="194"/>
      <c r="V102" s="194"/>
      <c r="W102" s="194"/>
      <c r="X102" s="194"/>
      <c r="Y102" s="194"/>
      <c r="Z102" s="194"/>
      <c r="AA102" s="194"/>
      <c r="AB102" s="194"/>
      <c r="AC102" s="194"/>
      <c r="AD102" s="194"/>
      <c r="AE102" s="194"/>
      <c r="AF102" s="194"/>
      <c r="AG102" s="194"/>
      <c r="AH102" s="194"/>
      <c r="AI102" s="194"/>
    </row>
    <row r="103" spans="1:35" s="34" customFormat="1" ht="13.5" thickBot="1">
      <c r="A103" s="171">
        <f>ROW()</f>
        <v>103</v>
      </c>
      <c r="B103" s="198"/>
      <c r="C103" s="200" t="s">
        <v>178</v>
      </c>
      <c r="D103" s="201">
        <v>4701285.1563292</v>
      </c>
      <c r="E103" s="196"/>
      <c r="F103" s="196"/>
      <c r="G103" s="196"/>
      <c r="H103" s="196"/>
      <c r="I103" s="196"/>
      <c r="J103" s="196"/>
      <c r="K103" s="196"/>
      <c r="L103" s="196"/>
      <c r="M103" s="196"/>
      <c r="N103" s="196"/>
      <c r="O103" s="196"/>
      <c r="P103" s="196"/>
      <c r="Q103" s="193"/>
      <c r="R103" s="193"/>
      <c r="S103" s="194"/>
      <c r="T103" s="191"/>
      <c r="U103" s="194"/>
      <c r="V103" s="194"/>
      <c r="W103" s="194"/>
      <c r="X103" s="194"/>
      <c r="Y103" s="194"/>
      <c r="Z103" s="194"/>
      <c r="AA103" s="194"/>
      <c r="AB103" s="194"/>
      <c r="AC103" s="194"/>
      <c r="AD103" s="194"/>
      <c r="AE103" s="194"/>
      <c r="AF103" s="194"/>
      <c r="AG103" s="194"/>
      <c r="AH103" s="194"/>
      <c r="AI103" s="194"/>
    </row>
    <row r="104" spans="1:15" ht="12.75">
      <c r="A104" s="171">
        <f>ROW()</f>
        <v>104</v>
      </c>
      <c r="B104" s="202"/>
      <c r="C104" s="9" t="s">
        <v>209</v>
      </c>
      <c r="D104" s="203">
        <f>SUM(D102:D103)</f>
        <v>35967505.1963292</v>
      </c>
      <c r="E104" s="203" t="e">
        <f>SUM(#REF!)</f>
        <v>#REF!</v>
      </c>
      <c r="F104" s="203" t="e">
        <f>SUM(#REF!)</f>
        <v>#REF!</v>
      </c>
      <c r="G104" s="203" t="e">
        <f>SUM(#REF!)</f>
        <v>#REF!</v>
      </c>
      <c r="H104" s="203" t="e">
        <f>SUM(#REF!)</f>
        <v>#REF!</v>
      </c>
      <c r="I104" s="203" t="e">
        <f>SUM(#REF!)</f>
        <v>#REF!</v>
      </c>
      <c r="J104" s="203" t="e">
        <f>SUM(#REF!)</f>
        <v>#REF!</v>
      </c>
      <c r="K104" s="203" t="e">
        <f>SUM(#REF!)</f>
        <v>#REF!</v>
      </c>
      <c r="L104" s="203" t="e">
        <f>SUM(#REF!)</f>
        <v>#REF!</v>
      </c>
      <c r="M104" s="203" t="e">
        <f>SUM(#REF!)</f>
        <v>#REF!</v>
      </c>
      <c r="N104" s="203" t="e">
        <f>SUM(#REF!)</f>
        <v>#REF!</v>
      </c>
      <c r="O104" s="203" t="e">
        <f>SUM(#REF!)</f>
        <v>#REF!</v>
      </c>
    </row>
    <row r="105" spans="1:4" ht="12.75">
      <c r="A105" s="171">
        <f>ROW()</f>
        <v>105</v>
      </c>
      <c r="B105" s="202"/>
      <c r="C105" s="40" t="s">
        <v>210</v>
      </c>
      <c r="D105" s="204">
        <v>11457814</v>
      </c>
    </row>
    <row r="106" spans="1:4" ht="12.75">
      <c r="A106" s="171">
        <f>ROW()</f>
        <v>106</v>
      </c>
      <c r="B106" s="202"/>
      <c r="C106" s="40" t="s">
        <v>211</v>
      </c>
      <c r="D106" s="186">
        <v>1668897.0304999999</v>
      </c>
    </row>
    <row r="107" spans="1:4" ht="12.75">
      <c r="A107" s="171">
        <f>ROW()</f>
        <v>107</v>
      </c>
      <c r="B107" s="202" t="s">
        <v>231</v>
      </c>
      <c r="C107" s="9" t="s">
        <v>232</v>
      </c>
      <c r="D107" s="203">
        <f>S67</f>
        <v>22918212.48119609</v>
      </c>
    </row>
    <row r="108" spans="1:4" ht="13.5" thickBot="1">
      <c r="A108" s="171">
        <f>ROW()</f>
        <v>108</v>
      </c>
      <c r="B108" s="202"/>
      <c r="D108" s="205">
        <f>D104+D105+D106+D107</f>
        <v>72012428.70802529</v>
      </c>
    </row>
    <row r="109" ht="13.5" thickTop="1"/>
    <row r="110" ht="12.75">
      <c r="Q110" s="10"/>
    </row>
    <row r="111" spans="2:17" ht="18">
      <c r="B111" s="206" t="s">
        <v>179</v>
      </c>
      <c r="Q111" s="10"/>
    </row>
    <row r="112" ht="12.75">
      <c r="Q112" s="10"/>
    </row>
    <row r="113" ht="12.75">
      <c r="Q113" s="10"/>
    </row>
    <row r="114" ht="12.75">
      <c r="T114" s="10"/>
    </row>
    <row r="115" ht="12.75">
      <c r="T115" s="10"/>
    </row>
    <row r="116" ht="12.75">
      <c r="T116" s="10"/>
    </row>
    <row r="117" ht="12.75">
      <c r="T117" s="10"/>
    </row>
    <row r="118" ht="12.75">
      <c r="T118" s="10"/>
    </row>
    <row r="119" ht="12.75">
      <c r="T119" s="10"/>
    </row>
    <row r="120" ht="12.75">
      <c r="T120" s="10"/>
    </row>
    <row r="121" ht="12.75">
      <c r="T121" s="10"/>
    </row>
    <row r="122" ht="12.75">
      <c r="T122" s="10"/>
    </row>
    <row r="123" ht="12.75">
      <c r="T123" s="10"/>
    </row>
    <row r="124" ht="12.75">
      <c r="T124" s="10"/>
    </row>
    <row r="125" ht="12.75">
      <c r="T125" s="10"/>
    </row>
    <row r="126" ht="12.75">
      <c r="T126" s="10"/>
    </row>
    <row r="127" ht="12.75">
      <c r="T127" s="10"/>
    </row>
    <row r="128" ht="12.75">
      <c r="T128" s="10"/>
    </row>
    <row r="129" ht="12.75">
      <c r="T129" s="10"/>
    </row>
  </sheetData>
  <sheetProtection/>
  <printOptions horizontalCentered="1"/>
  <pageMargins left="0.25" right="0.25" top="0.66" bottom="1" header="0.4" footer="0.5"/>
  <pageSetup fitToHeight="2" horizontalDpi="600" verticalDpi="600" orientation="portrait" scale="66" r:id="rId2"/>
  <headerFooter alignWithMargins="0">
    <oddHeader>&amp;R&amp;"Arial,Bold"
</oddHeader>
  </headerFooter>
  <rowBreaks count="1" manualBreakCount="1">
    <brk id="71"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E83"/>
  <sheetViews>
    <sheetView zoomScalePageLayoutView="0" workbookViewId="0" topLeftCell="A44">
      <selection activeCell="L28" sqref="L28"/>
    </sheetView>
  </sheetViews>
  <sheetFormatPr defaultColWidth="9.140625" defaultRowHeight="12.75"/>
  <cols>
    <col min="1" max="1" width="5.8515625" style="630" customWidth="1"/>
    <col min="2" max="2" width="53.421875" style="630" customWidth="1"/>
    <col min="3" max="3" width="19.421875" style="630" customWidth="1"/>
    <col min="4" max="4" width="14.57421875" style="630" customWidth="1"/>
    <col min="5" max="5" width="18.140625" style="630" customWidth="1"/>
    <col min="6" max="16384" width="9.140625" style="632" customWidth="1"/>
  </cols>
  <sheetData>
    <row r="1" spans="1:5" ht="13.5" thickBot="1">
      <c r="A1" s="629"/>
      <c r="D1" s="631"/>
      <c r="E1" s="631"/>
    </row>
    <row r="2" spans="1:5" ht="16.5" thickBot="1">
      <c r="A2" s="633"/>
      <c r="B2" s="634" t="s">
        <v>438</v>
      </c>
      <c r="C2" s="635"/>
      <c r="E2" s="63" t="s">
        <v>146</v>
      </c>
    </row>
    <row r="3" spans="1:5" ht="12.75">
      <c r="A3" s="633"/>
      <c r="B3" s="629"/>
      <c r="D3" s="631"/>
      <c r="E3" s="636"/>
    </row>
    <row r="4" spans="1:4" ht="12.75">
      <c r="A4" s="629"/>
      <c r="B4" s="629"/>
      <c r="D4" s="637"/>
    </row>
    <row r="5" spans="1:5" ht="12.75">
      <c r="A5" s="629"/>
      <c r="B5" s="629"/>
      <c r="C5" s="629"/>
      <c r="D5" s="629"/>
      <c r="E5" s="629"/>
    </row>
    <row r="6" spans="1:5" ht="12.75">
      <c r="A6" s="638" t="s">
        <v>437</v>
      </c>
      <c r="B6" s="639"/>
      <c r="C6" s="639"/>
      <c r="D6" s="639"/>
      <c r="E6" s="639"/>
    </row>
    <row r="7" spans="1:5" ht="12.75">
      <c r="A7" s="639" t="s">
        <v>439</v>
      </c>
      <c r="B7" s="639"/>
      <c r="C7" s="639"/>
      <c r="D7" s="639"/>
      <c r="E7" s="640"/>
    </row>
    <row r="8" spans="1:5" ht="12.75">
      <c r="A8" s="639" t="s">
        <v>541</v>
      </c>
      <c r="B8" s="639"/>
      <c r="C8" s="639"/>
      <c r="D8" s="639"/>
      <c r="E8" s="641"/>
    </row>
    <row r="9" spans="1:5" ht="12.75">
      <c r="A9" s="639" t="s">
        <v>440</v>
      </c>
      <c r="B9" s="639"/>
      <c r="C9" s="639"/>
      <c r="D9" s="639"/>
      <c r="E9" s="641"/>
    </row>
    <row r="10" spans="1:5" ht="12.75">
      <c r="A10" s="629"/>
      <c r="C10" s="642"/>
      <c r="D10" s="629"/>
      <c r="E10" s="629"/>
    </row>
    <row r="11" spans="1:5" ht="12.75">
      <c r="A11" s="643" t="s">
        <v>441</v>
      </c>
      <c r="B11" s="629"/>
      <c r="C11" s="644" t="s">
        <v>442</v>
      </c>
      <c r="D11" s="644" t="s">
        <v>443</v>
      </c>
      <c r="E11" s="644" t="s">
        <v>444</v>
      </c>
    </row>
    <row r="12" spans="1:5" ht="13.5">
      <c r="A12" s="645" t="s">
        <v>445</v>
      </c>
      <c r="B12" s="646" t="s">
        <v>113</v>
      </c>
      <c r="C12" s="645" t="s">
        <v>446</v>
      </c>
      <c r="D12" s="647">
        <v>0.03337000000000001</v>
      </c>
      <c r="E12" s="648">
        <v>0.35</v>
      </c>
    </row>
    <row r="13" ht="12.75">
      <c r="D13" s="649"/>
    </row>
    <row r="14" spans="1:4" ht="12.75">
      <c r="A14" s="642">
        <v>1</v>
      </c>
      <c r="B14" s="650" t="s">
        <v>447</v>
      </c>
      <c r="D14" s="649"/>
    </row>
    <row r="15" spans="1:5" ht="12.75">
      <c r="A15" s="642">
        <f aca="true" t="shared" si="0" ref="A15:A78">A14+1</f>
        <v>2</v>
      </c>
      <c r="B15" s="651" t="s">
        <v>448</v>
      </c>
      <c r="C15" s="652"/>
      <c r="D15" s="652"/>
      <c r="E15" s="652"/>
    </row>
    <row r="16" spans="1:5" ht="12.75">
      <c r="A16" s="642">
        <f t="shared" si="0"/>
        <v>3</v>
      </c>
      <c r="B16" s="653" t="s">
        <v>449</v>
      </c>
      <c r="C16" s="654">
        <v>172558</v>
      </c>
      <c r="D16" s="654">
        <f>+C16*-$D$12</f>
        <v>-5758.260460000002</v>
      </c>
      <c r="E16" s="654">
        <v>2015</v>
      </c>
    </row>
    <row r="17" spans="1:5" ht="12.75">
      <c r="A17" s="642">
        <f t="shared" si="0"/>
        <v>4</v>
      </c>
      <c r="B17" s="653" t="s">
        <v>450</v>
      </c>
      <c r="C17" s="655">
        <v>813586</v>
      </c>
      <c r="D17" s="655">
        <f>+C17*-$D$12</f>
        <v>-27149.36482000001</v>
      </c>
      <c r="E17" s="655">
        <v>9502</v>
      </c>
    </row>
    <row r="18" spans="1:5" ht="12.75">
      <c r="A18" s="642">
        <f t="shared" si="0"/>
        <v>5</v>
      </c>
      <c r="B18" s="630" t="s">
        <v>451</v>
      </c>
      <c r="C18" s="656">
        <f>SUM(C15:C17)</f>
        <v>986144</v>
      </c>
      <c r="D18" s="656">
        <f>SUM(D15:D17)</f>
        <v>-32907.625280000015</v>
      </c>
      <c r="E18" s="656">
        <f>SUM(E15:E17)</f>
        <v>11517</v>
      </c>
    </row>
    <row r="19" spans="1:5" ht="12.75">
      <c r="A19" s="642">
        <f t="shared" si="0"/>
        <v>6</v>
      </c>
      <c r="C19" s="656"/>
      <c r="D19" s="656"/>
      <c r="E19" s="656"/>
    </row>
    <row r="20" spans="1:5" ht="12.75">
      <c r="A20" s="642">
        <f t="shared" si="0"/>
        <v>7</v>
      </c>
      <c r="B20" s="630" t="s">
        <v>452</v>
      </c>
      <c r="C20" s="657"/>
      <c r="D20" s="657"/>
      <c r="E20" s="657"/>
    </row>
    <row r="21" spans="1:5" ht="12.75">
      <c r="A21" s="642">
        <f t="shared" si="0"/>
        <v>8</v>
      </c>
      <c r="B21" s="653" t="s">
        <v>453</v>
      </c>
      <c r="C21" s="657">
        <v>2726251.92120739</v>
      </c>
      <c r="D21" s="657">
        <f>+C21*-$D$12</f>
        <v>-90975.02661069062</v>
      </c>
      <c r="E21" s="657">
        <v>31841</v>
      </c>
    </row>
    <row r="22" spans="1:5" ht="12.75">
      <c r="A22" s="642">
        <f t="shared" si="0"/>
        <v>9</v>
      </c>
      <c r="B22" s="653" t="s">
        <v>454</v>
      </c>
      <c r="C22" s="658">
        <v>2332573.0818697424</v>
      </c>
      <c r="D22" s="658">
        <f>+C22*-$D$12</f>
        <v>-77837.96374199333</v>
      </c>
      <c r="E22" s="658">
        <v>27243</v>
      </c>
    </row>
    <row r="23" spans="1:5" ht="12.75">
      <c r="A23" s="642">
        <f t="shared" si="0"/>
        <v>10</v>
      </c>
      <c r="B23" s="651" t="s">
        <v>455</v>
      </c>
      <c r="C23" s="656">
        <f>SUM(C21:C22)</f>
        <v>5058825.003077133</v>
      </c>
      <c r="D23" s="656">
        <f>SUM(D21:D22)</f>
        <v>-168812.99035268393</v>
      </c>
      <c r="E23" s="656">
        <f>SUM(E21:E22)</f>
        <v>59084</v>
      </c>
    </row>
    <row r="24" spans="1:5" ht="12.75">
      <c r="A24" s="642">
        <f t="shared" si="0"/>
        <v>11</v>
      </c>
      <c r="B24" s="651"/>
      <c r="C24" s="656"/>
      <c r="D24" s="656"/>
      <c r="E24" s="656"/>
    </row>
    <row r="25" spans="1:2" ht="12.75">
      <c r="A25" s="642">
        <f t="shared" si="0"/>
        <v>12</v>
      </c>
      <c r="B25" s="651" t="s">
        <v>456</v>
      </c>
    </row>
    <row r="26" spans="1:5" ht="12.75">
      <c r="A26" s="642">
        <f t="shared" si="0"/>
        <v>13</v>
      </c>
      <c r="B26" s="653" t="s">
        <v>457</v>
      </c>
      <c r="C26" s="657">
        <v>53528073.24227749</v>
      </c>
      <c r="D26" s="657">
        <f>+C26*-$D$12</f>
        <v>-1786231.8040948003</v>
      </c>
      <c r="E26" s="657">
        <v>462126.4720277403</v>
      </c>
    </row>
    <row r="27" spans="1:5" ht="12.75">
      <c r="A27" s="642">
        <f t="shared" si="0"/>
        <v>14</v>
      </c>
      <c r="B27" s="653" t="s">
        <v>412</v>
      </c>
      <c r="C27" s="655">
        <v>5806674.820456</v>
      </c>
      <c r="D27" s="655">
        <f>+C27*-$D$12</f>
        <v>-193768.7387586168</v>
      </c>
      <c r="E27" s="655">
        <v>65191.812256050456</v>
      </c>
    </row>
    <row r="28" spans="1:5" ht="12.75">
      <c r="A28" s="642">
        <f t="shared" si="0"/>
        <v>15</v>
      </c>
      <c r="B28" s="630" t="s">
        <v>458</v>
      </c>
      <c r="C28" s="656">
        <f>SUM(C26:C27)</f>
        <v>59334748.06273349</v>
      </c>
      <c r="D28" s="656">
        <f>SUM(D26:D27)</f>
        <v>-1980000.542853417</v>
      </c>
      <c r="E28" s="656">
        <f>SUM(E26:E27)</f>
        <v>527318.2842837907</v>
      </c>
    </row>
    <row r="29" spans="1:5" ht="12.75">
      <c r="A29" s="642">
        <f t="shared" si="0"/>
        <v>16</v>
      </c>
      <c r="B29" s="651" t="s">
        <v>459</v>
      </c>
      <c r="C29" s="656"/>
      <c r="D29" s="656"/>
      <c r="E29" s="656"/>
    </row>
    <row r="30" spans="1:5" ht="12.75">
      <c r="A30" s="642">
        <f t="shared" si="0"/>
        <v>17</v>
      </c>
      <c r="B30" s="653" t="s">
        <v>460</v>
      </c>
      <c r="C30" s="655">
        <v>6476490</v>
      </c>
      <c r="D30" s="655">
        <f>+C30*-$D$12</f>
        <v>-216120.47130000006</v>
      </c>
      <c r="E30" s="655">
        <v>75642</v>
      </c>
    </row>
    <row r="31" spans="1:5" ht="12.75">
      <c r="A31" s="642">
        <f t="shared" si="0"/>
        <v>18</v>
      </c>
      <c r="B31" s="653" t="s">
        <v>461</v>
      </c>
      <c r="C31" s="655">
        <v>8701714</v>
      </c>
      <c r="D31" s="655">
        <f>+C31*-$D$12</f>
        <v>-290376.1961800001</v>
      </c>
      <c r="E31" s="655">
        <v>101632</v>
      </c>
    </row>
    <row r="32" spans="1:5" ht="12.75">
      <c r="A32" s="642">
        <f t="shared" si="0"/>
        <v>19</v>
      </c>
      <c r="B32" s="653" t="s">
        <v>462</v>
      </c>
      <c r="C32" s="655">
        <v>1668897.0304999999</v>
      </c>
      <c r="D32" s="655">
        <f>+C32*-$D$12</f>
        <v>-55691.09390778501</v>
      </c>
      <c r="E32" s="655">
        <v>19492</v>
      </c>
    </row>
    <row r="33" spans="1:5" ht="12.75">
      <c r="A33" s="642">
        <f t="shared" si="0"/>
        <v>20</v>
      </c>
      <c r="B33" s="653" t="s">
        <v>463</v>
      </c>
      <c r="C33" s="655">
        <v>1192660.1869</v>
      </c>
      <c r="D33" s="655">
        <f>+C33*-$D$12</f>
        <v>-39799.07043685301</v>
      </c>
      <c r="E33" s="655">
        <v>13930</v>
      </c>
    </row>
    <row r="34" spans="1:5" ht="12.75">
      <c r="A34" s="642">
        <f t="shared" si="0"/>
        <v>21</v>
      </c>
      <c r="B34" s="651" t="s">
        <v>464</v>
      </c>
      <c r="C34" s="656">
        <f>SUM(C29:C33)</f>
        <v>18039761.2174</v>
      </c>
      <c r="D34" s="656">
        <f>SUM(D29:D33)</f>
        <v>-601986.8318246382</v>
      </c>
      <c r="E34" s="656">
        <f>SUM(E29:E33)</f>
        <v>210696</v>
      </c>
    </row>
    <row r="35" spans="1:5" ht="12.75">
      <c r="A35" s="642">
        <f t="shared" si="0"/>
        <v>22</v>
      </c>
      <c r="B35" s="651"/>
      <c r="C35" s="656"/>
      <c r="D35" s="656"/>
      <c r="E35" s="656"/>
    </row>
    <row r="36" spans="1:5" ht="12.75">
      <c r="A36" s="642">
        <f t="shared" si="0"/>
        <v>23</v>
      </c>
      <c r="B36" s="650" t="s">
        <v>465</v>
      </c>
      <c r="C36" s="657"/>
      <c r="D36" s="657"/>
      <c r="E36" s="657"/>
    </row>
    <row r="37" spans="1:5" ht="12.75">
      <c r="A37" s="642">
        <f t="shared" si="0"/>
        <v>24</v>
      </c>
      <c r="B37" s="653" t="s">
        <v>154</v>
      </c>
      <c r="C37" s="659">
        <v>0</v>
      </c>
      <c r="D37" s="655">
        <f aca="true" t="shared" si="1" ref="D37:D45">+C37*-$D$12</f>
        <v>0</v>
      </c>
      <c r="E37" s="657">
        <v>0</v>
      </c>
    </row>
    <row r="38" spans="1:5" ht="12.75">
      <c r="A38" s="642">
        <f t="shared" si="0"/>
        <v>25</v>
      </c>
      <c r="B38" s="653" t="s">
        <v>155</v>
      </c>
      <c r="C38" s="655">
        <v>31942000</v>
      </c>
      <c r="D38" s="655">
        <f t="shared" si="1"/>
        <v>-1065904.5400000003</v>
      </c>
      <c r="E38" s="657">
        <v>373067</v>
      </c>
    </row>
    <row r="39" spans="1:5" ht="12.75">
      <c r="A39" s="642">
        <f t="shared" si="0"/>
        <v>26</v>
      </c>
      <c r="B39" s="653" t="s">
        <v>268</v>
      </c>
      <c r="C39" s="660">
        <v>3526620</v>
      </c>
      <c r="D39" s="655">
        <f t="shared" si="1"/>
        <v>-117683.30940000004</v>
      </c>
      <c r="E39" s="657">
        <v>41189</v>
      </c>
    </row>
    <row r="40" spans="1:5" ht="12.75">
      <c r="A40" s="642">
        <f t="shared" si="0"/>
        <v>27</v>
      </c>
      <c r="B40" s="653" t="s">
        <v>156</v>
      </c>
      <c r="C40" s="660">
        <v>1494701.7220710143</v>
      </c>
      <c r="D40" s="655">
        <f t="shared" si="1"/>
        <v>-49878.19646550976</v>
      </c>
      <c r="E40" s="657">
        <v>17457</v>
      </c>
    </row>
    <row r="41" spans="1:5" ht="12.75">
      <c r="A41" s="642">
        <f t="shared" si="0"/>
        <v>28</v>
      </c>
      <c r="B41" s="653" t="s">
        <v>157</v>
      </c>
      <c r="C41" s="660">
        <v>0</v>
      </c>
      <c r="D41" s="655">
        <f t="shared" si="1"/>
        <v>0</v>
      </c>
      <c r="E41" s="657">
        <v>0</v>
      </c>
    </row>
    <row r="42" spans="1:5" ht="12.75">
      <c r="A42" s="642">
        <f t="shared" si="0"/>
        <v>29</v>
      </c>
      <c r="B42" s="653" t="s">
        <v>158</v>
      </c>
      <c r="C42" s="660">
        <v>0</v>
      </c>
      <c r="D42" s="655">
        <f t="shared" si="1"/>
        <v>0</v>
      </c>
      <c r="E42" s="657">
        <v>0</v>
      </c>
    </row>
    <row r="43" spans="1:5" ht="12.75">
      <c r="A43" s="642">
        <f t="shared" si="0"/>
        <v>30</v>
      </c>
      <c r="B43" s="653" t="s">
        <v>159</v>
      </c>
      <c r="C43" s="660">
        <v>2034455.46</v>
      </c>
      <c r="D43" s="655">
        <f t="shared" si="1"/>
        <v>-67889.77870020003</v>
      </c>
      <c r="E43" s="657">
        <v>23761</v>
      </c>
    </row>
    <row r="44" spans="1:5" ht="12.75">
      <c r="A44" s="642">
        <f t="shared" si="0"/>
        <v>31</v>
      </c>
      <c r="B44" s="653" t="s">
        <v>466</v>
      </c>
      <c r="C44" s="660">
        <v>-1451500</v>
      </c>
      <c r="D44" s="655">
        <f t="shared" si="1"/>
        <v>48436.555000000015</v>
      </c>
      <c r="E44" s="657">
        <v>-16953</v>
      </c>
    </row>
    <row r="45" spans="1:5" ht="12.75">
      <c r="A45" s="642">
        <f t="shared" si="0"/>
        <v>32</v>
      </c>
      <c r="B45" s="661" t="s">
        <v>467</v>
      </c>
      <c r="C45" s="660">
        <v>4162153.8237249996</v>
      </c>
      <c r="D45" s="655">
        <f t="shared" si="1"/>
        <v>-138891.07309770328</v>
      </c>
      <c r="E45" s="657">
        <v>48612</v>
      </c>
    </row>
    <row r="46" spans="1:5" ht="12.75">
      <c r="A46" s="642">
        <f t="shared" si="0"/>
        <v>33</v>
      </c>
      <c r="B46" s="630" t="s">
        <v>468</v>
      </c>
      <c r="C46" s="662">
        <f>SUM(C37:C45)</f>
        <v>41708431.005796015</v>
      </c>
      <c r="D46" s="662">
        <f>SUM(D37:D45)</f>
        <v>-1391810.3426634134</v>
      </c>
      <c r="E46" s="662">
        <f>SUM(E37:E45)</f>
        <v>487133</v>
      </c>
    </row>
    <row r="47" spans="1:5" ht="12.75">
      <c r="A47" s="642">
        <f t="shared" si="0"/>
        <v>34</v>
      </c>
      <c r="B47" s="651" t="s">
        <v>469</v>
      </c>
      <c r="C47" s="656"/>
      <c r="D47" s="656">
        <f>D34+D28+D23+D18+D46</f>
        <v>-4175518.3329741526</v>
      </c>
      <c r="E47" s="656"/>
    </row>
    <row r="48" spans="1:5" ht="12.75">
      <c r="A48" s="642">
        <f t="shared" si="0"/>
        <v>35</v>
      </c>
      <c r="B48" s="651" t="s">
        <v>470</v>
      </c>
      <c r="C48" s="655"/>
      <c r="D48" s="655"/>
      <c r="E48" s="655">
        <f>+E18+E23+E28+E34+E46</f>
        <v>1295748.2842837907</v>
      </c>
    </row>
    <row r="49" spans="1:5" ht="13.5" thickBot="1">
      <c r="A49" s="642">
        <f t="shared" si="0"/>
        <v>36</v>
      </c>
      <c r="B49" s="651" t="s">
        <v>471</v>
      </c>
      <c r="C49" s="655"/>
      <c r="D49" s="655"/>
      <c r="E49" s="663">
        <f>-D47-E48</f>
        <v>2879770.048690362</v>
      </c>
    </row>
    <row r="50" spans="1:5" ht="13.5" thickTop="1">
      <c r="A50" s="642">
        <f t="shared" si="0"/>
        <v>37</v>
      </c>
      <c r="C50" s="655"/>
      <c r="D50" s="655"/>
      <c r="E50" s="655"/>
    </row>
    <row r="51" spans="1:5" ht="12.75">
      <c r="A51" s="642">
        <f t="shared" si="0"/>
        <v>38</v>
      </c>
      <c r="B51" s="650" t="s">
        <v>472</v>
      </c>
      <c r="C51" s="655"/>
      <c r="D51" s="655"/>
      <c r="E51" s="655"/>
    </row>
    <row r="52" spans="1:5" ht="12.75">
      <c r="A52" s="642">
        <f t="shared" si="0"/>
        <v>39</v>
      </c>
      <c r="B52" s="653" t="s">
        <v>473</v>
      </c>
      <c r="C52" s="659">
        <v>2121905425.9233336</v>
      </c>
      <c r="D52" s="654">
        <f aca="true" t="shared" si="2" ref="D52:D58">+C52*-$D$12</f>
        <v>-70807984.06306167</v>
      </c>
      <c r="E52" s="655"/>
    </row>
    <row r="53" spans="1:4" ht="12.75">
      <c r="A53" s="642">
        <f t="shared" si="0"/>
        <v>40</v>
      </c>
      <c r="B53" s="653" t="s">
        <v>474</v>
      </c>
      <c r="C53" s="664">
        <v>-989158908.5247107</v>
      </c>
      <c r="D53" s="657">
        <f t="shared" si="2"/>
        <v>33008232.777469605</v>
      </c>
    </row>
    <row r="54" spans="1:4" ht="12.75">
      <c r="A54" s="642">
        <f t="shared" si="0"/>
        <v>41</v>
      </c>
      <c r="B54" s="653" t="s">
        <v>475</v>
      </c>
      <c r="C54" s="664">
        <v>80465857.10051998</v>
      </c>
      <c r="D54" s="657">
        <f t="shared" si="2"/>
        <v>-2685145.6514443527</v>
      </c>
    </row>
    <row r="55" spans="1:4" ht="12.75">
      <c r="A55" s="642">
        <f t="shared" si="0"/>
        <v>42</v>
      </c>
      <c r="B55" s="653" t="s">
        <v>476</v>
      </c>
      <c r="C55" s="664">
        <v>-4422650.30538</v>
      </c>
      <c r="D55" s="657">
        <f t="shared" si="2"/>
        <v>147583.84069053063</v>
      </c>
    </row>
    <row r="56" spans="1:5" ht="12.75">
      <c r="A56" s="642">
        <f t="shared" si="0"/>
        <v>43</v>
      </c>
      <c r="B56" s="653" t="s">
        <v>477</v>
      </c>
      <c r="C56" s="660">
        <v>6100301.3199999435</v>
      </c>
      <c r="D56" s="655">
        <f t="shared" si="2"/>
        <v>-203567.05504839818</v>
      </c>
      <c r="E56" s="655"/>
    </row>
    <row r="57" spans="1:5" ht="12.75">
      <c r="A57" s="642">
        <f t="shared" si="0"/>
        <v>44</v>
      </c>
      <c r="B57" s="653" t="s">
        <v>478</v>
      </c>
      <c r="C57" s="660">
        <v>1797723.27</v>
      </c>
      <c r="D57" s="655">
        <f t="shared" si="2"/>
        <v>-59990.02551990002</v>
      </c>
      <c r="E57" s="655"/>
    </row>
    <row r="58" spans="1:5" ht="12.75">
      <c r="A58" s="642">
        <f t="shared" si="0"/>
        <v>45</v>
      </c>
      <c r="B58" s="653" t="s">
        <v>479</v>
      </c>
      <c r="C58" s="660">
        <v>41341033.18000001</v>
      </c>
      <c r="D58" s="657">
        <f t="shared" si="2"/>
        <v>-1379550.2772166007</v>
      </c>
      <c r="E58" s="657"/>
    </row>
    <row r="59" spans="1:5" ht="12.75">
      <c r="A59" s="642">
        <f t="shared" si="0"/>
        <v>46</v>
      </c>
      <c r="B59" s="630" t="s">
        <v>480</v>
      </c>
      <c r="C59" s="665">
        <f>SUM(C52:C58)</f>
        <v>1258028781.9637628</v>
      </c>
      <c r="D59" s="665">
        <f>SUM(D52:D58)</f>
        <v>-41980420.45413078</v>
      </c>
      <c r="E59" s="657"/>
    </row>
    <row r="60" spans="1:5" ht="12.75">
      <c r="A60" s="642">
        <f t="shared" si="0"/>
        <v>47</v>
      </c>
      <c r="B60" s="630" t="s">
        <v>481</v>
      </c>
      <c r="C60" s="664"/>
      <c r="D60" s="666"/>
      <c r="E60" s="657"/>
    </row>
    <row r="61" spans="1:5" ht="12.75">
      <c r="A61" s="642">
        <f t="shared" si="0"/>
        <v>48</v>
      </c>
      <c r="B61" s="653" t="s">
        <v>482</v>
      </c>
      <c r="C61" s="660">
        <v>-372848.3333333333</v>
      </c>
      <c r="D61" s="655">
        <f>+C61*-$D$12</f>
        <v>12441.948883333336</v>
      </c>
      <c r="E61" s="657"/>
    </row>
    <row r="62" spans="1:5" ht="12.75">
      <c r="A62" s="642">
        <f t="shared" si="0"/>
        <v>49</v>
      </c>
      <c r="B62" s="653" t="s">
        <v>483</v>
      </c>
      <c r="C62" s="660">
        <v>-143794887.38024256</v>
      </c>
      <c r="D62" s="655">
        <f>+C62*-$D$12</f>
        <v>4798435.391878695</v>
      </c>
      <c r="E62" s="657"/>
    </row>
    <row r="63" spans="1:5" ht="12.75">
      <c r="A63" s="642">
        <f t="shared" si="0"/>
        <v>50</v>
      </c>
      <c r="B63" s="653" t="s">
        <v>484</v>
      </c>
      <c r="C63" s="660">
        <v>-3295458.333333333</v>
      </c>
      <c r="D63" s="655">
        <f>+C63*-$D$12</f>
        <v>109969.44458333336</v>
      </c>
      <c r="E63" s="657"/>
    </row>
    <row r="64" spans="1:5" ht="12.75">
      <c r="A64" s="642">
        <f t="shared" si="0"/>
        <v>51</v>
      </c>
      <c r="B64" s="651" t="s">
        <v>485</v>
      </c>
      <c r="C64" s="656">
        <f>SUM(C61:C63)</f>
        <v>-147463194.04690924</v>
      </c>
      <c r="D64" s="656">
        <f>SUM(D61:D63)</f>
        <v>4920846.785345362</v>
      </c>
      <c r="E64" s="657"/>
    </row>
    <row r="65" spans="1:5" ht="12.75">
      <c r="A65" s="642">
        <f t="shared" si="0"/>
        <v>52</v>
      </c>
      <c r="B65" s="653"/>
      <c r="C65" s="665"/>
      <c r="D65" s="656"/>
      <c r="E65" s="657"/>
    </row>
    <row r="66" spans="1:5" ht="13.5" thickBot="1">
      <c r="A66" s="642">
        <f t="shared" si="0"/>
        <v>53</v>
      </c>
      <c r="B66" s="651" t="s">
        <v>486</v>
      </c>
      <c r="C66" s="667">
        <f>C59+C64+C65</f>
        <v>1110565587.9168534</v>
      </c>
      <c r="D66" s="667">
        <f>D59+D64+D65</f>
        <v>-37059573.66878542</v>
      </c>
      <c r="E66" s="667">
        <f>SUM(C66:D66)</f>
        <v>1073506014.248068</v>
      </c>
    </row>
    <row r="67" spans="1:5" ht="13.5" thickTop="1">
      <c r="A67" s="642">
        <f t="shared" si="0"/>
        <v>54</v>
      </c>
      <c r="C67" s="656"/>
      <c r="D67" s="668"/>
      <c r="E67" s="657"/>
    </row>
    <row r="68" spans="1:5" ht="12.75">
      <c r="A68" s="642">
        <f t="shared" si="0"/>
        <v>55</v>
      </c>
      <c r="B68" s="650" t="s">
        <v>487</v>
      </c>
      <c r="C68" s="657"/>
      <c r="D68" s="657"/>
      <c r="E68" s="657"/>
    </row>
    <row r="69" spans="1:5" ht="12.75">
      <c r="A69" s="642">
        <f t="shared" si="0"/>
        <v>56</v>
      </c>
      <c r="B69" s="653" t="s">
        <v>154</v>
      </c>
      <c r="C69" s="655">
        <v>21125</v>
      </c>
      <c r="D69" s="655">
        <f aca="true" t="shared" si="3" ref="D69:D77">-ROUND(C69*$D$12,0)</f>
        <v>-705</v>
      </c>
      <c r="E69" s="655"/>
    </row>
    <row r="70" spans="1:5" ht="12.75">
      <c r="A70" s="642">
        <f t="shared" si="0"/>
        <v>57</v>
      </c>
      <c r="B70" s="653" t="s">
        <v>155</v>
      </c>
      <c r="C70" s="655">
        <v>94583875</v>
      </c>
      <c r="D70" s="655">
        <f t="shared" si="3"/>
        <v>-3156264</v>
      </c>
      <c r="E70" s="655"/>
    </row>
    <row r="71" spans="1:5" ht="12.75">
      <c r="A71" s="642">
        <f t="shared" si="0"/>
        <v>58</v>
      </c>
      <c r="B71" s="653" t="s">
        <v>268</v>
      </c>
      <c r="C71" s="655">
        <v>19609943.00999999</v>
      </c>
      <c r="D71" s="655">
        <f t="shared" si="3"/>
        <v>-654384</v>
      </c>
      <c r="E71" s="655"/>
    </row>
    <row r="72" spans="1:5" ht="12.75">
      <c r="A72" s="642">
        <f t="shared" si="0"/>
        <v>59</v>
      </c>
      <c r="B72" s="653" t="s">
        <v>156</v>
      </c>
      <c r="C72" s="655">
        <v>33499702.430070594</v>
      </c>
      <c r="D72" s="655">
        <f t="shared" si="3"/>
        <v>-1117885</v>
      </c>
      <c r="E72" s="655"/>
    </row>
    <row r="73" spans="1:5" ht="12.75">
      <c r="A73" s="642">
        <f t="shared" si="0"/>
        <v>60</v>
      </c>
      <c r="B73" s="653" t="s">
        <v>157</v>
      </c>
      <c r="C73" s="655">
        <v>21740383.889999993</v>
      </c>
      <c r="D73" s="655">
        <f t="shared" si="3"/>
        <v>-725477</v>
      </c>
      <c r="E73" s="655"/>
    </row>
    <row r="74" spans="1:5" ht="12.75">
      <c r="A74" s="642">
        <f t="shared" si="0"/>
        <v>61</v>
      </c>
      <c r="B74" s="653" t="s">
        <v>158</v>
      </c>
      <c r="C74" s="655">
        <v>-2.8230715543031693E-09</v>
      </c>
      <c r="D74" s="655">
        <f t="shared" si="3"/>
        <v>0</v>
      </c>
      <c r="E74" s="655"/>
    </row>
    <row r="75" spans="1:5" ht="12.75">
      <c r="A75" s="642">
        <f t="shared" si="0"/>
        <v>62</v>
      </c>
      <c r="B75" s="653" t="s">
        <v>159</v>
      </c>
      <c r="C75" s="655">
        <v>4614746.762500001</v>
      </c>
      <c r="D75" s="655">
        <f t="shared" si="3"/>
        <v>-153994</v>
      </c>
      <c r="E75" s="655"/>
    </row>
    <row r="76" spans="1:5" ht="12.75">
      <c r="A76" s="642">
        <f t="shared" si="0"/>
        <v>63</v>
      </c>
      <c r="B76" s="653" t="s">
        <v>466</v>
      </c>
      <c r="C76" s="655">
        <v>-1440473.6</v>
      </c>
      <c r="D76" s="655">
        <f t="shared" si="3"/>
        <v>48069</v>
      </c>
      <c r="E76" s="655"/>
    </row>
    <row r="77" spans="1:5" ht="13.5">
      <c r="A77" s="642">
        <f t="shared" si="0"/>
        <v>64</v>
      </c>
      <c r="B77" s="669" t="s">
        <v>467</v>
      </c>
      <c r="C77" s="655">
        <v>6763253.380746877</v>
      </c>
      <c r="D77" s="655">
        <f t="shared" si="3"/>
        <v>-225690</v>
      </c>
      <c r="E77" s="655"/>
    </row>
    <row r="78" spans="1:5" ht="12.75">
      <c r="A78" s="642">
        <f t="shared" si="0"/>
        <v>65</v>
      </c>
      <c r="B78" s="653"/>
      <c r="C78" s="656"/>
      <c r="D78" s="656"/>
      <c r="E78" s="657"/>
    </row>
    <row r="79" spans="1:5" ht="13.5" thickBot="1">
      <c r="A79" s="642">
        <f>A78+1</f>
        <v>66</v>
      </c>
      <c r="B79" s="630" t="s">
        <v>488</v>
      </c>
      <c r="C79" s="667">
        <f>SUM(C69:C78)</f>
        <v>179392555.87331742</v>
      </c>
      <c r="D79" s="667">
        <f>SUM(D69:D78)</f>
        <v>-5986330</v>
      </c>
      <c r="E79" s="667">
        <f>SUM(C79:D79)</f>
        <v>173406225.87331742</v>
      </c>
    </row>
    <row r="80" ht="13.5" thickTop="1">
      <c r="A80" s="642">
        <f>A79+1</f>
        <v>67</v>
      </c>
    </row>
    <row r="81" spans="1:4" s="632" customFormat="1" ht="13.5" thickBot="1">
      <c r="A81" s="642">
        <f>A80+1</f>
        <v>68</v>
      </c>
      <c r="B81" s="630" t="s">
        <v>489</v>
      </c>
      <c r="C81" s="630"/>
      <c r="D81" s="670">
        <v>-43045904</v>
      </c>
    </row>
    <row r="82" spans="1:4" s="632" customFormat="1" ht="13.5" thickTop="1">
      <c r="A82" s="630"/>
      <c r="B82" s="630"/>
      <c r="C82" s="630"/>
      <c r="D82" s="630"/>
    </row>
    <row r="83" spans="1:4" s="632" customFormat="1" ht="13.5">
      <c r="A83" s="630"/>
      <c r="B83" s="669"/>
      <c r="C83" s="630"/>
      <c r="D83" s="630"/>
    </row>
  </sheetData>
  <sheetProtection/>
  <printOptions horizontalCentered="1"/>
  <pageMargins left="0.5" right="0.5" top="0.85" bottom="0.37" header="0.25" footer="0.18"/>
  <pageSetup fitToHeight="1" fitToWidth="1" horizontalDpi="600" verticalDpi="600" orientation="portrait" scale="66" r:id="rId1"/>
  <headerFooter alignWithMargins="0">
    <oddHeader>&amp;R&amp;"Arial,Bold"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E61"/>
  <sheetViews>
    <sheetView zoomScalePageLayoutView="0" workbookViewId="0" topLeftCell="A1">
      <selection activeCell="L28" sqref="L28"/>
    </sheetView>
  </sheetViews>
  <sheetFormatPr defaultColWidth="9.140625" defaultRowHeight="12.75"/>
  <cols>
    <col min="1" max="1" width="5.00390625" style="672" customWidth="1"/>
    <col min="2" max="2" width="38.7109375" style="672" customWidth="1"/>
    <col min="3" max="5" width="17.00390625" style="672" customWidth="1"/>
    <col min="6" max="16384" width="9.140625" style="674" customWidth="1"/>
  </cols>
  <sheetData>
    <row r="1" spans="1:5" ht="13.5" thickBot="1">
      <c r="A1" s="671"/>
      <c r="D1" s="673"/>
      <c r="E1" s="673"/>
    </row>
    <row r="2" spans="1:5" ht="16.5" thickBot="1">
      <c r="A2" s="675"/>
      <c r="B2" s="634" t="s">
        <v>490</v>
      </c>
      <c r="C2" s="635"/>
      <c r="D2" s="673"/>
      <c r="E2" s="63" t="s">
        <v>146</v>
      </c>
    </row>
    <row r="3" spans="1:5" ht="12.75">
      <c r="A3" s="675"/>
      <c r="B3" s="671"/>
      <c r="C3" s="671"/>
      <c r="D3" s="671"/>
      <c r="E3" s="676"/>
    </row>
    <row r="4" spans="1:5" ht="12.75">
      <c r="A4" s="671"/>
      <c r="B4" s="677"/>
      <c r="C4" s="678"/>
      <c r="D4" s="678"/>
      <c r="E4" s="671"/>
    </row>
    <row r="5" spans="1:5" ht="12.75">
      <c r="A5" s="671"/>
      <c r="B5" s="671"/>
      <c r="C5" s="671"/>
      <c r="D5" s="671"/>
      <c r="E5" s="671"/>
    </row>
    <row r="6" spans="1:5" ht="12.75">
      <c r="A6" s="679" t="s">
        <v>437</v>
      </c>
      <c r="B6" s="680"/>
      <c r="C6" s="680"/>
      <c r="D6" s="679"/>
      <c r="E6" s="680"/>
    </row>
    <row r="7" spans="1:5" ht="12.75">
      <c r="A7" s="679" t="s">
        <v>491</v>
      </c>
      <c r="B7" s="680"/>
      <c r="C7" s="679"/>
      <c r="D7" s="680"/>
      <c r="E7" s="680"/>
    </row>
    <row r="8" spans="1:5" ht="12.75">
      <c r="A8" s="639" t="s">
        <v>541</v>
      </c>
      <c r="B8" s="680"/>
      <c r="C8" s="679"/>
      <c r="D8" s="680"/>
      <c r="E8" s="680"/>
    </row>
    <row r="9" spans="1:5" ht="12.75">
      <c r="A9" s="679" t="s">
        <v>440</v>
      </c>
      <c r="B9" s="680"/>
      <c r="C9" s="679"/>
      <c r="D9" s="679"/>
      <c r="E9" s="679"/>
    </row>
    <row r="10" spans="1:5" ht="12.75">
      <c r="A10" s="671"/>
      <c r="B10" s="671"/>
      <c r="C10" s="671"/>
      <c r="D10" s="681"/>
      <c r="E10" s="671"/>
    </row>
    <row r="11" spans="1:5" ht="12.75">
      <c r="A11" s="682" t="s">
        <v>441</v>
      </c>
      <c r="B11" s="683"/>
      <c r="C11" s="684"/>
      <c r="D11" s="685"/>
      <c r="E11" s="685" t="s">
        <v>492</v>
      </c>
    </row>
    <row r="12" spans="1:5" ht="12.75">
      <c r="A12" s="686" t="s">
        <v>445</v>
      </c>
      <c r="B12" s="687" t="s">
        <v>113</v>
      </c>
      <c r="C12" s="688" t="s">
        <v>493</v>
      </c>
      <c r="D12" s="688" t="s">
        <v>442</v>
      </c>
      <c r="E12" s="688" t="s">
        <v>494</v>
      </c>
    </row>
    <row r="13" spans="1:5" ht="12.75">
      <c r="A13" s="689"/>
      <c r="B13" s="690"/>
      <c r="C13" s="690"/>
      <c r="D13" s="690"/>
      <c r="E13" s="690"/>
    </row>
    <row r="14" spans="1:5" ht="12.75">
      <c r="A14" s="691">
        <v>1</v>
      </c>
      <c r="B14" s="672" t="s">
        <v>495</v>
      </c>
      <c r="C14" s="692">
        <v>268574887.48</v>
      </c>
      <c r="D14" s="692">
        <v>14704466.470082223</v>
      </c>
      <c r="E14" s="692">
        <f>D14-C14</f>
        <v>-253870421.0099178</v>
      </c>
    </row>
    <row r="15" spans="1:5" ht="12.75">
      <c r="A15" s="691">
        <f aca="true" t="shared" si="0" ref="A15:A41">A14+1</f>
        <v>2</v>
      </c>
      <c r="C15" s="693"/>
      <c r="D15" s="693"/>
      <c r="E15" s="693"/>
    </row>
    <row r="16" spans="1:5" ht="12.75">
      <c r="A16" s="691">
        <f t="shared" si="0"/>
        <v>3</v>
      </c>
      <c r="B16" s="672" t="s">
        <v>496</v>
      </c>
      <c r="C16" s="694">
        <v>4267784</v>
      </c>
      <c r="D16" s="694">
        <v>149656.06068647528</v>
      </c>
      <c r="E16" s="694">
        <f>D16-C16</f>
        <v>-4118127.939313525</v>
      </c>
    </row>
    <row r="17" spans="1:5" ht="12.75">
      <c r="A17" s="691">
        <f t="shared" si="0"/>
        <v>4</v>
      </c>
      <c r="B17" s="672" t="s">
        <v>497</v>
      </c>
      <c r="C17" s="695">
        <v>10583713.020000001</v>
      </c>
      <c r="D17" s="695">
        <v>9986183.0187126</v>
      </c>
      <c r="E17" s="695">
        <f>D17-C17</f>
        <v>-597530.0012874007</v>
      </c>
    </row>
    <row r="18" spans="1:5" ht="12.75">
      <c r="A18" s="691">
        <f t="shared" si="0"/>
        <v>5</v>
      </c>
      <c r="C18" s="694">
        <f>SUM(C16:C17)</f>
        <v>14851497.020000001</v>
      </c>
      <c r="D18" s="694">
        <f>SUM(D16:D17)</f>
        <v>10135839.079399075</v>
      </c>
      <c r="E18" s="694">
        <f>SUM(E16:E17)</f>
        <v>-4715657.940600926</v>
      </c>
    </row>
    <row r="19" spans="1:5" ht="12.75">
      <c r="A19" s="691">
        <f t="shared" si="0"/>
        <v>6</v>
      </c>
      <c r="C19" s="693"/>
      <c r="D19" s="693"/>
      <c r="E19" s="693"/>
    </row>
    <row r="20" spans="1:5" ht="12.75">
      <c r="A20" s="691">
        <f t="shared" si="0"/>
        <v>7</v>
      </c>
      <c r="B20" s="696" t="s">
        <v>498</v>
      </c>
      <c r="C20" s="697">
        <f>SUM(C14:C17)</f>
        <v>283426384.5</v>
      </c>
      <c r="D20" s="697">
        <f>SUM(D14:D17)</f>
        <v>24840305.5494813</v>
      </c>
      <c r="E20" s="697">
        <f>SUM(E14:E17)</f>
        <v>-258586078.95051873</v>
      </c>
    </row>
    <row r="21" spans="1:5" ht="12.75">
      <c r="A21" s="691">
        <f t="shared" si="0"/>
        <v>8</v>
      </c>
      <c r="C21" s="698"/>
      <c r="D21" s="698"/>
      <c r="E21" s="698"/>
    </row>
    <row r="22" spans="1:5" ht="12.75">
      <c r="A22" s="691">
        <f t="shared" si="0"/>
        <v>9</v>
      </c>
      <c r="B22" s="699" t="s">
        <v>499</v>
      </c>
      <c r="C22" s="700">
        <v>119309168.75000001</v>
      </c>
      <c r="D22" s="700">
        <v>176520586.121603</v>
      </c>
      <c r="E22" s="700">
        <f>D22-C22</f>
        <v>57211417.371603</v>
      </c>
    </row>
    <row r="23" spans="1:5" ht="12.75">
      <c r="A23" s="691">
        <f t="shared" si="0"/>
        <v>10</v>
      </c>
      <c r="B23" s="699"/>
      <c r="C23" s="701"/>
      <c r="D23" s="701"/>
      <c r="E23" s="701"/>
    </row>
    <row r="24" spans="1:5" ht="12.75">
      <c r="A24" s="691">
        <f t="shared" si="0"/>
        <v>11</v>
      </c>
      <c r="B24" s="699" t="s">
        <v>500</v>
      </c>
      <c r="C24" s="694">
        <v>990181182.19</v>
      </c>
      <c r="D24" s="702">
        <v>749834600.7738974</v>
      </c>
      <c r="E24" s="703">
        <f>D24-C24</f>
        <v>-240346581.41610265</v>
      </c>
    </row>
    <row r="25" spans="1:5" ht="12.75">
      <c r="A25" s="691">
        <f t="shared" si="0"/>
        <v>12</v>
      </c>
      <c r="B25" s="699" t="s">
        <v>501</v>
      </c>
      <c r="C25" s="694">
        <v>0</v>
      </c>
      <c r="D25" s="702">
        <v>285295.4023731</v>
      </c>
      <c r="E25" s="703">
        <f>D25-C25</f>
        <v>285295.4023731</v>
      </c>
    </row>
    <row r="26" spans="1:5" ht="12.75">
      <c r="A26" s="691">
        <f t="shared" si="0"/>
        <v>13</v>
      </c>
      <c r="B26" s="699" t="s">
        <v>502</v>
      </c>
      <c r="C26" s="695">
        <v>0</v>
      </c>
      <c r="D26" s="704">
        <v>-8416594.268564237</v>
      </c>
      <c r="E26" s="695">
        <f>D26-C26</f>
        <v>-8416594.268564237</v>
      </c>
    </row>
    <row r="27" spans="1:5" ht="12.75">
      <c r="A27" s="691">
        <f t="shared" si="0"/>
        <v>14</v>
      </c>
      <c r="B27" s="699" t="s">
        <v>503</v>
      </c>
      <c r="C27" s="705">
        <f>SUM(C24:C26)</f>
        <v>990181182.19</v>
      </c>
      <c r="D27" s="705">
        <f>SUM(D24:D26)</f>
        <v>741703301.9077063</v>
      </c>
      <c r="E27" s="705">
        <f>SUM(E24:E26)</f>
        <v>-248477880.28229377</v>
      </c>
    </row>
    <row r="28" spans="1:5" ht="12.75">
      <c r="A28" s="691">
        <f t="shared" si="0"/>
        <v>15</v>
      </c>
      <c r="B28" s="699" t="s">
        <v>504</v>
      </c>
      <c r="C28" s="694">
        <v>63827743.25</v>
      </c>
      <c r="D28" s="694">
        <v>67657484.05092235</v>
      </c>
      <c r="E28" s="694">
        <f>D28-C28</f>
        <v>3829740.800922349</v>
      </c>
    </row>
    <row r="29" spans="1:5" ht="12.75">
      <c r="A29" s="691">
        <f t="shared" si="0"/>
        <v>16</v>
      </c>
      <c r="B29" s="672" t="s">
        <v>505</v>
      </c>
      <c r="C29" s="694">
        <v>0</v>
      </c>
      <c r="D29" s="694">
        <v>0</v>
      </c>
      <c r="E29" s="706">
        <f>D29-C29</f>
        <v>0</v>
      </c>
    </row>
    <row r="30" spans="1:5" ht="12.75">
      <c r="A30" s="691">
        <f t="shared" si="0"/>
        <v>17</v>
      </c>
      <c r="B30" s="672" t="s">
        <v>506</v>
      </c>
      <c r="C30" s="707">
        <f>C22+C27+C28+C29</f>
        <v>1173318094.19</v>
      </c>
      <c r="D30" s="707">
        <f>D22+D27+D28+D29</f>
        <v>985881372.0802317</v>
      </c>
      <c r="E30" s="707">
        <f>E22+E27+E28+E29</f>
        <v>-187436722.10976845</v>
      </c>
    </row>
    <row r="31" spans="1:5" ht="12.75">
      <c r="A31" s="691">
        <f t="shared" si="0"/>
        <v>18</v>
      </c>
      <c r="B31" s="708" t="s">
        <v>507</v>
      </c>
      <c r="C31" s="706">
        <v>79069006.45</v>
      </c>
      <c r="D31" s="706">
        <v>95396786.72092138</v>
      </c>
      <c r="E31" s="706">
        <f>D31-C31</f>
        <v>16327780.27092138</v>
      </c>
    </row>
    <row r="32" spans="1:5" ht="12.75">
      <c r="A32" s="691">
        <f t="shared" si="0"/>
        <v>19</v>
      </c>
      <c r="B32" s="699" t="s">
        <v>508</v>
      </c>
      <c r="C32" s="695">
        <v>1175688.03</v>
      </c>
      <c r="D32" s="695">
        <v>1136455.29144</v>
      </c>
      <c r="E32" s="695">
        <f>D32-C32</f>
        <v>-39232.73855999997</v>
      </c>
    </row>
    <row r="33" spans="1:5" ht="12.75">
      <c r="A33" s="691">
        <f t="shared" si="0"/>
        <v>20</v>
      </c>
      <c r="E33" s="709"/>
    </row>
    <row r="34" spans="1:5" ht="12.75">
      <c r="A34" s="691">
        <f t="shared" si="0"/>
        <v>21</v>
      </c>
      <c r="B34" s="696" t="s">
        <v>413</v>
      </c>
      <c r="C34" s="705">
        <f>SUM(C30:C32)</f>
        <v>1253562788.67</v>
      </c>
      <c r="D34" s="705">
        <f>SUM(D30:D32)</f>
        <v>1082414614.092593</v>
      </c>
      <c r="E34" s="705">
        <f>SUM(E30:E32)</f>
        <v>-171148174.57740706</v>
      </c>
    </row>
    <row r="35" spans="1:5" ht="12.75">
      <c r="A35" s="691">
        <f t="shared" si="0"/>
        <v>22</v>
      </c>
      <c r="C35" s="698"/>
      <c r="D35" s="698"/>
      <c r="E35" s="698"/>
    </row>
    <row r="36" spans="1:5" ht="12.75">
      <c r="A36" s="691">
        <f t="shared" si="0"/>
        <v>23</v>
      </c>
      <c r="B36" s="699" t="str">
        <f>"INCREASE (DECREASE) OPERATING INCOME (LINE "&amp;A20&amp;" - LINE "&amp;A34&amp;")"</f>
        <v>INCREASE (DECREASE) OPERATING INCOME (LINE 7 - LINE 21)</v>
      </c>
      <c r="C36" s="692">
        <f>C20-C34</f>
        <v>-970136404.1700001</v>
      </c>
      <c r="D36" s="692">
        <f>D20-D34</f>
        <v>-1057574308.5431117</v>
      </c>
      <c r="E36" s="692">
        <f>E20-E34</f>
        <v>-87437904.37311167</v>
      </c>
    </row>
    <row r="37" ht="12.75">
      <c r="A37" s="691">
        <f t="shared" si="0"/>
        <v>24</v>
      </c>
    </row>
    <row r="38" spans="1:5" ht="12.75">
      <c r="A38" s="691">
        <f t="shared" si="0"/>
        <v>25</v>
      </c>
      <c r="B38" s="672" t="str">
        <f>"REDUCTION TO STATE UTILITY TAX SAVINGS FOR LINE "&amp;A17</f>
        <v>REDUCTION TO STATE UTILITY TAX SAVINGS FOR LINE 4</v>
      </c>
      <c r="C38" s="710">
        <v>0.0385</v>
      </c>
      <c r="E38" s="711">
        <f>E17*C38</f>
        <v>-23004.905049564928</v>
      </c>
    </row>
    <row r="39" spans="1:5" ht="12.75">
      <c r="A39" s="691">
        <f t="shared" si="0"/>
        <v>26</v>
      </c>
      <c r="B39" s="712" t="s">
        <v>509</v>
      </c>
      <c r="C39" s="713"/>
      <c r="D39" s="713"/>
      <c r="E39" s="714">
        <f>E36-E38</f>
        <v>-87414899.4680621</v>
      </c>
    </row>
    <row r="40" spans="1:5" ht="12.75">
      <c r="A40" s="691">
        <f t="shared" si="0"/>
        <v>27</v>
      </c>
      <c r="B40" s="712" t="s">
        <v>510</v>
      </c>
      <c r="C40" s="715">
        <v>0.35</v>
      </c>
      <c r="D40" s="716"/>
      <c r="E40" s="694">
        <f>E39*C40</f>
        <v>-30595214.813821733</v>
      </c>
    </row>
    <row r="41" spans="1:5" ht="13.5" thickBot="1">
      <c r="A41" s="691">
        <f t="shared" si="0"/>
        <v>28</v>
      </c>
      <c r="B41" s="712" t="s">
        <v>511</v>
      </c>
      <c r="C41" s="713" t="s">
        <v>266</v>
      </c>
      <c r="D41" s="717"/>
      <c r="E41" s="718">
        <f>+E39-E40</f>
        <v>-56819684.65424037</v>
      </c>
    </row>
    <row r="42" ht="13.5" thickTop="1">
      <c r="A42" s="691"/>
    </row>
    <row r="43" ht="12.75">
      <c r="A43" s="691"/>
    </row>
    <row r="45" ht="13.5">
      <c r="A45" s="719"/>
    </row>
    <row r="47" ht="12.75">
      <c r="A47" s="720"/>
    </row>
    <row r="48" ht="12.75">
      <c r="A48" s="720"/>
    </row>
    <row r="49" spans="1:2" ht="12.75">
      <c r="A49" s="720"/>
      <c r="B49" s="716"/>
    </row>
    <row r="50" ht="12.75">
      <c r="A50" s="720"/>
    </row>
    <row r="54" ht="12.75">
      <c r="A54" s="721" t="s">
        <v>266</v>
      </c>
    </row>
    <row r="55" ht="12.75">
      <c r="A55" s="721" t="s">
        <v>266</v>
      </c>
    </row>
    <row r="56" ht="12.75">
      <c r="A56" s="721" t="s">
        <v>266</v>
      </c>
    </row>
    <row r="61" ht="12.75">
      <c r="E61" s="722"/>
    </row>
  </sheetData>
  <sheetProtection/>
  <printOptions horizontalCentered="1"/>
  <pageMargins left="0.5" right="0.5" top="1.16" bottom="0.37" header="0.25" footer="0.18"/>
  <pageSetup fitToHeight="1" fitToWidth="1" horizontalDpi="600" verticalDpi="600" orientation="portrait" scale="95" r:id="rId1"/>
  <headerFooter alignWithMargins="0">
    <oddHeader>&amp;R&amp;"Arial,Bold"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Puget Sound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pse</dc:creator>
  <cp:keywords/>
  <dc:description/>
  <cp:lastModifiedBy>No Name</cp:lastModifiedBy>
  <cp:lastPrinted>2011-03-31T00:11:01Z</cp:lastPrinted>
  <dcterms:created xsi:type="dcterms:W3CDTF">2002-08-12T21:56:52Z</dcterms:created>
  <dcterms:modified xsi:type="dcterms:W3CDTF">2011-03-31T00:11:09Z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110599</vt:lpwstr>
  </property>
  <property fmtid="{D5CDD505-2E9C-101B-9397-08002B2CF9AE}" pid="6" name="IsConfidenti">
    <vt:lpwstr>0</vt:lpwstr>
  </property>
  <property fmtid="{D5CDD505-2E9C-101B-9397-08002B2CF9AE}" pid="7" name="Dat">
    <vt:lpwstr>2011-03-31T00:00:00Z</vt:lpwstr>
  </property>
  <property fmtid="{D5CDD505-2E9C-101B-9397-08002B2CF9AE}" pid="8" name="CaseTy">
    <vt:lpwstr>Petition</vt:lpwstr>
  </property>
  <property fmtid="{D5CDD505-2E9C-101B-9397-08002B2CF9AE}" pid="9" name="OpenedDa">
    <vt:lpwstr>2011-03-31T00:00:00Z</vt:lpwstr>
  </property>
  <property fmtid="{D5CDD505-2E9C-101B-9397-08002B2CF9AE}" pid="10" name="Pref">
    <vt:lpwstr>UE</vt:lpwstr>
  </property>
  <property fmtid="{D5CDD505-2E9C-101B-9397-08002B2CF9AE}" pid="11" name="CaseCompanyNam">
    <vt:lpwstr>Puget Sound Energy</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