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616" activeTab="1"/>
  </bookViews>
  <sheets>
    <sheet name="Waste Stream Report" sheetId="1" r:id="rId1"/>
    <sheet name="Res'l Revenue" sheetId="2" r:id="rId2"/>
    <sheet name="MF Revenue" sheetId="3" r:id="rId3"/>
  </sheets>
  <externalReferences>
    <externalReference r:id="rId6"/>
  </externalReferences>
  <definedNames>
    <definedName name="_xlnm.Print_Area" localSheetId="2">'MF Revenue'!$A$1:$S$57</definedName>
    <definedName name="_xlnm.Print_Area" localSheetId="1">'Res''l Revenue'!$A$1:$S$39</definedName>
    <definedName name="_xlnm.Print_Area" localSheetId="0">'Waste Stream Report'!$A$1:$R$90</definedName>
    <definedName name="_xlnm.Print_Titles" localSheetId="0">'Waste Stream Report'!$1:$6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mweinst</author>
  </authors>
  <commentList>
    <comment ref="F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$2,146.89</t>
        </r>
      </text>
    </comment>
    <comment ref="F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171.75</t>
        </r>
      </text>
    </comment>
    <comment ref="F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193.34</t>
        </r>
      </text>
    </comment>
    <comment ref="G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1,761.10</t>
        </r>
      </text>
    </comment>
    <comment ref="H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2,020.74</t>
        </r>
      </text>
    </comment>
    <comment ref="G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140.89</t>
        </r>
      </text>
    </comment>
    <comment ref="H19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161.66</t>
        </r>
      </text>
    </comment>
    <comment ref="G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231.39</t>
        </r>
      </text>
    </comment>
    <comment ref="H20" authorId="0">
      <text>
        <r>
          <rPr>
            <b/>
            <sz val="8"/>
            <rFont val="Tahoma"/>
            <family val="0"/>
          </rPr>
          <t>mweinst:</t>
        </r>
        <r>
          <rPr>
            <sz val="8"/>
            <rFont val="Tahoma"/>
            <family val="0"/>
          </rPr>
          <t xml:space="preserve">
Corrected: Previously reported 1,383.85</t>
        </r>
      </text>
    </comment>
  </commentList>
</comments>
</file>

<file path=xl/sharedStrings.xml><?xml version="1.0" encoding="utf-8"?>
<sst xmlns="http://schemas.openxmlformats.org/spreadsheetml/2006/main" count="390" uniqueCount="118">
  <si>
    <t>Average</t>
  </si>
  <si>
    <t>Newspaper</t>
  </si>
  <si>
    <t>Mix Paper</t>
  </si>
  <si>
    <t>Aluminum</t>
  </si>
  <si>
    <t>Glass</t>
  </si>
  <si>
    <t>PET</t>
  </si>
  <si>
    <t>Tin Cans</t>
  </si>
  <si>
    <t>Residue</t>
  </si>
  <si>
    <t>Oct</t>
  </si>
  <si>
    <t>Nov</t>
  </si>
  <si>
    <t>Dec</t>
  </si>
  <si>
    <t>Jan</t>
  </si>
  <si>
    <t>Feb</t>
  </si>
  <si>
    <t>Mar</t>
  </si>
  <si>
    <t>May</t>
  </si>
  <si>
    <t>June</t>
  </si>
  <si>
    <t>July</t>
  </si>
  <si>
    <t>Baseline</t>
  </si>
  <si>
    <t xml:space="preserve"> TONS COLLECTED</t>
  </si>
  <si>
    <t>Data</t>
  </si>
  <si>
    <t xml:space="preserve">TOTAL </t>
  </si>
  <si>
    <t xml:space="preserve"> RESIDENTIAL WASTE STREAM</t>
  </si>
  <si>
    <t xml:space="preserve">Residential Recycling: </t>
  </si>
  <si>
    <t>N/A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</si>
  <si>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</si>
  <si>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</si>
  <si>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</si>
  <si>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</si>
  <si>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</si>
  <si>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</si>
  <si>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</si>
  <si>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</si>
  <si>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</si>
  <si>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</si>
  <si>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</si>
  <si>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>Total Customers</t>
  </si>
  <si>
    <t>1-32gal Can Monthly</t>
  </si>
  <si>
    <t>1-20gal Mini Can</t>
  </si>
  <si>
    <t>1-32gal Can</t>
  </si>
  <si>
    <t>2-32gal Cans</t>
  </si>
  <si>
    <t>3-32gal Cans</t>
  </si>
  <si>
    <t>4-32gal Cans</t>
  </si>
  <si>
    <t>5-32gal Cans</t>
  </si>
  <si>
    <t>1 64 Gal Cart</t>
  </si>
  <si>
    <t>Average Set-Out %</t>
  </si>
  <si>
    <t xml:space="preserve">Average Lbs. Per Set-out </t>
  </si>
  <si>
    <t xml:space="preserve"> Residential Yard Waste </t>
  </si>
  <si>
    <t xml:space="preserve">Average Set-Out % </t>
  </si>
  <si>
    <t xml:space="preserve"> Multi-Family Recycling </t>
  </si>
  <si>
    <t>Cans</t>
  </si>
  <si>
    <t>64 Gal Carts</t>
  </si>
  <si>
    <t>1 yard</t>
  </si>
  <si>
    <t>1.5 yard</t>
  </si>
  <si>
    <t>2 yard</t>
  </si>
  <si>
    <t>3 yard</t>
  </si>
  <si>
    <t>4 yard</t>
  </si>
  <si>
    <t>6 yard</t>
  </si>
  <si>
    <t>8 yard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</si>
  <si>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</si>
  <si>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</si>
  <si>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</si>
  <si>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</si>
  <si>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</si>
  <si>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</si>
  <si>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</si>
  <si>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</si>
  <si>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</si>
  <si>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 xml:space="preserve"> TOTAL Residential/MF DIVERSION %</t>
  </si>
  <si>
    <t xml:space="preserve"> TOTAL Residential/MF DIVERSION(w/o Yard Waste) %</t>
  </si>
  <si>
    <t>Waste Management - Northwest</t>
  </si>
  <si>
    <t>Multi-Family Commodity Sales Revenue</t>
  </si>
  <si>
    <t>% of</t>
  </si>
  <si>
    <t>Tonnage</t>
  </si>
  <si>
    <t>Commodity</t>
  </si>
  <si>
    <t>Materials</t>
  </si>
  <si>
    <t>Total</t>
  </si>
  <si>
    <t>per ton</t>
  </si>
  <si>
    <t>Revenue</t>
  </si>
  <si>
    <t>Residential Commodity Sales Revenue</t>
  </si>
  <si>
    <t>6-32gal Cans</t>
  </si>
  <si>
    <t>2 64 Gal Carts</t>
  </si>
  <si>
    <t>3 64 Gal Carts</t>
  </si>
  <si>
    <t>2-20gal Mini Cans</t>
  </si>
  <si>
    <t>October</t>
  </si>
  <si>
    <t>November</t>
  </si>
  <si>
    <t>December</t>
  </si>
  <si>
    <t>1.25 yard</t>
  </si>
  <si>
    <t xml:space="preserve">Roll Off </t>
  </si>
  <si>
    <t>January</t>
  </si>
  <si>
    <t>February</t>
  </si>
  <si>
    <t>March</t>
  </si>
  <si>
    <t>April</t>
  </si>
  <si>
    <t>August</t>
  </si>
  <si>
    <t>September</t>
  </si>
  <si>
    <t>Colored HDPE</t>
  </si>
  <si>
    <t>Natural HDPE</t>
  </si>
  <si>
    <t>Mixed Plastics</t>
  </si>
  <si>
    <t>Total 1st Quarter</t>
  </si>
  <si>
    <t>Number of Business Days per month</t>
  </si>
  <si>
    <t>Total Tons per day</t>
  </si>
  <si>
    <t>Apr</t>
  </si>
  <si>
    <t>Total Customers who receive YW</t>
  </si>
  <si>
    <t>Total Garbage Customers</t>
  </si>
  <si>
    <t>Jun</t>
  </si>
  <si>
    <t>Total 2nd Quarter</t>
  </si>
  <si>
    <r>
      <t xml:space="preserve">Waste Management - Northwest - 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</si>
  <si>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 xml:space="preserve">Waste Management - Northwest - 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</si>
  <si>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t>YW Tons -Total</t>
  </si>
  <si>
    <t>Garbage Tons - Total</t>
  </si>
  <si>
    <t>% of Customers who receive YW</t>
  </si>
  <si>
    <r>
      <t>Waste Management - Northwest - 3rd</t>
    </r>
    <r>
      <rPr>
        <b/>
        <i/>
        <u val="single"/>
        <sz val="11"/>
        <color indexed="10"/>
        <rFont val="Arial"/>
        <family val="2"/>
      </rPr>
      <t xml:space="preserve"> Quarter </t>
    </r>
    <r>
      <rPr>
        <b/>
        <i/>
        <u val="single"/>
        <sz val="11"/>
        <rFont val="Arial"/>
        <family val="2"/>
      </rPr>
      <t>2004</t>
    </r>
  </si>
  <si>
    <t>Sept</t>
  </si>
  <si>
    <r>
      <t>Waste Management - Northwest - 4th</t>
    </r>
    <r>
      <rPr>
        <b/>
        <i/>
        <u val="single"/>
        <sz val="11"/>
        <color indexed="10"/>
        <rFont val="Arial"/>
        <family val="2"/>
      </rPr>
      <t xml:space="preserve"> Quarter </t>
    </r>
    <r>
      <rPr>
        <b/>
        <i/>
        <u val="single"/>
        <sz val="11"/>
        <rFont val="Arial"/>
        <family val="2"/>
      </rPr>
      <t>2004</t>
    </r>
  </si>
  <si>
    <t>Total 3rd Quarter</t>
  </si>
  <si>
    <t>Total 4th Quarter</t>
  </si>
  <si>
    <t>Waste Stream Summary Report - 12 months ended December, 2004</t>
  </si>
  <si>
    <t>Shoreline YW tons</t>
  </si>
  <si>
    <t>Total Tons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</si>
</sst>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.00000_);_(* \(#,##0.00000\);_(* &quot;-&quot;???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0.0"/>
    <numFmt numFmtId="176" formatCode="_(* #,##0.000_);_(* \(#,##0.000\);_(* &quot;-&quot;???_);_(@_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sz val="10"/>
      <color indexed="10"/>
      <name val="Arial"/>
      <family val="0"/>
    </font>
    <font>
      <b/>
      <i/>
      <sz val="2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u val="double"/>
      <sz val="10"/>
      <name val="Arial"/>
      <family val="0"/>
    </font>
    <font>
      <u val="double"/>
      <sz val="10"/>
      <color indexed="12"/>
      <name val="Arial"/>
      <family val="0"/>
    </font>
    <font>
      <u val="double"/>
      <sz val="10"/>
      <color indexed="10"/>
      <name val="Arial"/>
      <family val="0"/>
    </font>
    <font>
      <u val="doubleAccounting"/>
      <sz val="10"/>
      <color indexed="12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doubleAccounting"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43" fontId="1" fillId="3" borderId="0" xfId="0" applyNumberFormat="1" applyFont="1" applyFill="1" applyBorder="1" applyAlignment="1">
      <alignment/>
    </xf>
    <xf numFmtId="43" fontId="0" fillId="3" borderId="10" xfId="15" applyFont="1" applyFill="1" applyBorder="1" applyAlignment="1" applyProtection="1">
      <alignment horizontal="center"/>
      <protection locked="0"/>
    </xf>
    <xf numFmtId="43" fontId="0" fillId="3" borderId="11" xfId="15" applyFont="1" applyFill="1" applyBorder="1" applyAlignment="1" applyProtection="1">
      <alignment horizontal="center"/>
      <protection locked="0"/>
    </xf>
    <xf numFmtId="43" fontId="1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10" xfId="15" applyFont="1" applyBorder="1" applyAlignment="1" applyProtection="1">
      <alignment horizontal="center"/>
      <protection locked="0"/>
    </xf>
    <xf numFmtId="43" fontId="1" fillId="0" borderId="12" xfId="15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3" fontId="5" fillId="0" borderId="13" xfId="15" applyFont="1" applyBorder="1" applyAlignment="1" applyProtection="1">
      <alignment horizontal="center"/>
      <protection/>
    </xf>
    <xf numFmtId="43" fontId="0" fillId="0" borderId="10" xfId="15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43" fontId="1" fillId="0" borderId="13" xfId="15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3" fontId="6" fillId="0" borderId="15" xfId="15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" xfId="0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65" fontId="1" fillId="0" borderId="20" xfId="15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3" borderId="10" xfId="15" applyNumberForma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43" fontId="1" fillId="0" borderId="0" xfId="15" applyFont="1" applyBorder="1" applyAlignment="1">
      <alignment/>
    </xf>
    <xf numFmtId="165" fontId="1" fillId="0" borderId="20" xfId="15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5" xfId="0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0" fillId="0" borderId="19" xfId="0" applyBorder="1" applyAlignment="1">
      <alignment/>
    </xf>
    <xf numFmtId="10" fontId="1" fillId="0" borderId="0" xfId="21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0" borderId="3" xfId="0" applyFont="1" applyBorder="1" applyAlignment="1">
      <alignment/>
    </xf>
    <xf numFmtId="10" fontId="0" fillId="0" borderId="22" xfId="0" applyNumberForma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6" xfId="0" applyBorder="1" applyAlignment="1">
      <alignment/>
    </xf>
    <xf numFmtId="0" fontId="5" fillId="0" borderId="24" xfId="0" applyFont="1" applyBorder="1" applyAlignment="1">
      <alignment horizontal="center"/>
    </xf>
    <xf numFmtId="10" fontId="6" fillId="0" borderId="25" xfId="0" applyNumberFormat="1" applyFont="1" applyBorder="1" applyAlignment="1">
      <alignment horizontal="center"/>
    </xf>
    <xf numFmtId="10" fontId="5" fillId="0" borderId="17" xfId="21" applyNumberFormat="1" applyFont="1" applyBorder="1" applyAlignment="1">
      <alignment horizontal="center"/>
    </xf>
    <xf numFmtId="10" fontId="6" fillId="0" borderId="26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4" fontId="0" fillId="0" borderId="0" xfId="17" applyAlignment="1">
      <alignment/>
    </xf>
    <xf numFmtId="165" fontId="0" fillId="0" borderId="0" xfId="15" applyNumberFormat="1" applyAlignment="1">
      <alignment/>
    </xf>
    <xf numFmtId="164" fontId="0" fillId="0" borderId="0" xfId="21" applyNumberForma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0" fontId="2" fillId="0" borderId="0" xfId="0" applyFont="1" applyAlignment="1">
      <alignment/>
    </xf>
    <xf numFmtId="43" fontId="1" fillId="0" borderId="20" xfId="15" applyNumberFormat="1" applyFont="1" applyBorder="1" applyAlignment="1">
      <alignment/>
    </xf>
    <xf numFmtId="43" fontId="1" fillId="0" borderId="21" xfId="15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8" fontId="0" fillId="0" borderId="0" xfId="17" applyNumberFormat="1" applyAlignment="1">
      <alignment/>
    </xf>
    <xf numFmtId="164" fontId="11" fillId="0" borderId="0" xfId="21" applyNumberFormat="1" applyFont="1" applyAlignment="1">
      <alignment/>
    </xf>
    <xf numFmtId="43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15" applyNumberFormat="1" applyFont="1" applyAlignment="1">
      <alignment/>
    </xf>
    <xf numFmtId="44" fontId="12" fillId="0" borderId="0" xfId="17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168" fontId="9" fillId="0" borderId="0" xfId="17" applyNumberFormat="1" applyFont="1" applyAlignment="1">
      <alignment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44" fontId="13" fillId="0" borderId="0" xfId="17" applyFont="1" applyAlignment="1">
      <alignment/>
    </xf>
    <xf numFmtId="165" fontId="0" fillId="3" borderId="28" xfId="15" applyNumberFormat="1" applyFill="1" applyBorder="1" applyAlignment="1">
      <alignment horizontal="center"/>
    </xf>
    <xf numFmtId="165" fontId="0" fillId="3" borderId="11" xfId="15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3" borderId="28" xfId="15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14" fillId="0" borderId="0" xfId="0" applyFont="1" applyAlignment="1">
      <alignment/>
    </xf>
    <xf numFmtId="0" fontId="1" fillId="0" borderId="9" xfId="0" applyFont="1" applyBorder="1" applyAlignment="1">
      <alignment/>
    </xf>
    <xf numFmtId="10" fontId="1" fillId="0" borderId="30" xfId="0" applyNumberFormat="1" applyFont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1" fillId="2" borderId="31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right"/>
    </xf>
    <xf numFmtId="43" fontId="1" fillId="2" borderId="33" xfId="15" applyFont="1" applyFill="1" applyBorder="1" applyAlignment="1">
      <alignment horizontal="right"/>
    </xf>
    <xf numFmtId="43" fontId="1" fillId="2" borderId="34" xfId="15" applyFont="1" applyFill="1" applyBorder="1" applyAlignment="1">
      <alignment horizontal="right"/>
    </xf>
    <xf numFmtId="43" fontId="5" fillId="2" borderId="35" xfId="15" applyFont="1" applyFill="1" applyBorder="1" applyAlignment="1">
      <alignment horizontal="right"/>
    </xf>
    <xf numFmtId="43" fontId="1" fillId="2" borderId="31" xfId="15" applyFont="1" applyFill="1" applyBorder="1" applyAlignment="1">
      <alignment horizontal="right"/>
    </xf>
    <xf numFmtId="43" fontId="6" fillId="2" borderId="36" xfId="15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5" fontId="1" fillId="2" borderId="33" xfId="15" applyNumberFormat="1" applyFont="1" applyFill="1" applyBorder="1" applyAlignment="1">
      <alignment horizontal="right"/>
    </xf>
    <xf numFmtId="165" fontId="1" fillId="2" borderId="34" xfId="15" applyNumberFormat="1" applyFont="1" applyFill="1" applyBorder="1" applyAlignment="1">
      <alignment horizontal="right"/>
    </xf>
    <xf numFmtId="10" fontId="1" fillId="2" borderId="9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right"/>
    </xf>
    <xf numFmtId="10" fontId="1" fillId="2" borderId="34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10" fontId="1" fillId="2" borderId="37" xfId="0" applyNumberFormat="1" applyFont="1" applyFill="1" applyBorder="1" applyAlignment="1">
      <alignment horizontal="right"/>
    </xf>
    <xf numFmtId="10" fontId="1" fillId="2" borderId="38" xfId="0" applyNumberFormat="1" applyFont="1" applyFill="1" applyBorder="1" applyAlignment="1">
      <alignment horizontal="right"/>
    </xf>
    <xf numFmtId="10" fontId="1" fillId="2" borderId="31" xfId="0" applyNumberFormat="1" applyFont="1" applyFill="1" applyBorder="1" applyAlignment="1">
      <alignment horizontal="right"/>
    </xf>
    <xf numFmtId="10" fontId="1" fillId="2" borderId="33" xfId="0" applyNumberFormat="1" applyFont="1" applyFill="1" applyBorder="1" applyAlignment="1">
      <alignment horizontal="right"/>
    </xf>
    <xf numFmtId="10" fontId="1" fillId="2" borderId="35" xfId="0" applyNumberFormat="1" applyFont="1" applyFill="1" applyBorder="1" applyAlignment="1">
      <alignment horizontal="right"/>
    </xf>
    <xf numFmtId="10" fontId="6" fillId="2" borderId="36" xfId="0" applyNumberFormat="1" applyFont="1" applyFill="1" applyBorder="1" applyAlignment="1">
      <alignment horizontal="right"/>
    </xf>
    <xf numFmtId="10" fontId="0" fillId="0" borderId="3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0" fillId="4" borderId="39" xfId="15" applyFill="1" applyBorder="1" applyAlignment="1">
      <alignment/>
    </xf>
    <xf numFmtId="43" fontId="0" fillId="4" borderId="21" xfId="15" applyFont="1" applyFill="1" applyBorder="1" applyAlignment="1" applyProtection="1">
      <alignment horizontal="center"/>
      <protection locked="0"/>
    </xf>
    <xf numFmtId="43" fontId="0" fillId="4" borderId="10" xfId="15" applyFont="1" applyFill="1" applyBorder="1" applyAlignment="1" applyProtection="1">
      <alignment horizontal="center"/>
      <protection locked="0"/>
    </xf>
    <xf numFmtId="165" fontId="0" fillId="4" borderId="10" xfId="15" applyNumberFormat="1" applyFill="1" applyBorder="1" applyAlignment="1">
      <alignment horizontal="center"/>
    </xf>
    <xf numFmtId="43" fontId="0" fillId="0" borderId="10" xfId="15" applyFill="1" applyBorder="1" applyAlignment="1">
      <alignment horizontal="center"/>
    </xf>
    <xf numFmtId="9" fontId="0" fillId="0" borderId="0" xfId="21" applyAlignment="1">
      <alignment/>
    </xf>
    <xf numFmtId="0" fontId="10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3" fontId="13" fillId="0" borderId="0" xfId="0" applyNumberFormat="1" applyFont="1" applyAlignment="1">
      <alignment/>
    </xf>
    <xf numFmtId="0" fontId="0" fillId="4" borderId="0" xfId="0" applyFill="1" applyAlignment="1">
      <alignment/>
    </xf>
    <xf numFmtId="9" fontId="0" fillId="4" borderId="0" xfId="21" applyFill="1" applyAlignment="1">
      <alignment/>
    </xf>
    <xf numFmtId="43" fontId="1" fillId="0" borderId="0" xfId="15" applyFont="1" applyAlignment="1">
      <alignment horizontal="right"/>
    </xf>
    <xf numFmtId="0" fontId="5" fillId="2" borderId="1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9" fontId="0" fillId="4" borderId="0" xfId="21" applyFont="1" applyFill="1" applyAlignment="1">
      <alignment/>
    </xf>
    <xf numFmtId="0" fontId="18" fillId="4" borderId="0" xfId="0" applyFont="1" applyFill="1" applyAlignment="1">
      <alignment/>
    </xf>
    <xf numFmtId="41" fontId="19" fillId="4" borderId="0" xfId="16" applyFont="1" applyFill="1" applyBorder="1" applyAlignment="1">
      <alignment/>
    </xf>
    <xf numFmtId="43" fontId="18" fillId="4" borderId="0" xfId="0" applyNumberFormat="1" applyFont="1" applyFill="1" applyAlignment="1">
      <alignment/>
    </xf>
    <xf numFmtId="41" fontId="20" fillId="4" borderId="0" xfId="16" applyFont="1" applyFill="1" applyAlignment="1">
      <alignment/>
    </xf>
    <xf numFmtId="9" fontId="18" fillId="4" borderId="0" xfId="21" applyFont="1" applyFill="1" applyAlignment="1">
      <alignment/>
    </xf>
    <xf numFmtId="43" fontId="18" fillId="4" borderId="0" xfId="15" applyFont="1" applyFill="1" applyAlignment="1">
      <alignment/>
    </xf>
    <xf numFmtId="43" fontId="20" fillId="4" borderId="0" xfId="15" applyFont="1" applyFill="1" applyAlignment="1">
      <alignment/>
    </xf>
    <xf numFmtId="165" fontId="20" fillId="4" borderId="0" xfId="15" applyNumberFormat="1" applyFont="1" applyFill="1" applyAlignment="1">
      <alignment/>
    </xf>
    <xf numFmtId="41" fontId="21" fillId="4" borderId="0" xfId="16" applyFont="1" applyFill="1" applyBorder="1" applyAlignment="1">
      <alignment/>
    </xf>
    <xf numFmtId="41" fontId="22" fillId="4" borderId="0" xfId="0" applyNumberFormat="1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 horizontal="center"/>
    </xf>
    <xf numFmtId="43" fontId="22" fillId="4" borderId="0" xfId="0" applyNumberFormat="1" applyFont="1" applyFill="1" applyAlignment="1">
      <alignment/>
    </xf>
    <xf numFmtId="0" fontId="23" fillId="4" borderId="0" xfId="0" applyFont="1" applyFill="1" applyAlignment="1">
      <alignment horizontal="right"/>
    </xf>
    <xf numFmtId="9" fontId="22" fillId="4" borderId="0" xfId="21" applyFont="1" applyFill="1" applyAlignment="1">
      <alignment/>
    </xf>
    <xf numFmtId="43" fontId="22" fillId="4" borderId="0" xfId="15" applyFont="1" applyFill="1" applyAlignment="1">
      <alignment/>
    </xf>
    <xf numFmtId="43" fontId="23" fillId="4" borderId="0" xfId="15" applyFont="1" applyFill="1" applyAlignment="1">
      <alignment horizontal="right"/>
    </xf>
    <xf numFmtId="164" fontId="0" fillId="0" borderId="39" xfId="21" applyNumberFormat="1" applyFont="1" applyFill="1" applyBorder="1" applyAlignment="1">
      <alignment horizontal="right"/>
    </xf>
    <xf numFmtId="1" fontId="18" fillId="4" borderId="0" xfId="0" applyNumberFormat="1" applyFont="1" applyFill="1" applyAlignment="1">
      <alignment horizontal="right"/>
    </xf>
    <xf numFmtId="43" fontId="1" fillId="0" borderId="0" xfId="0" applyNumberFormat="1" applyFont="1" applyAlignment="1">
      <alignment horizontal="right"/>
    </xf>
    <xf numFmtId="43" fontId="26" fillId="4" borderId="0" xfId="15" applyFont="1" applyFill="1" applyAlignment="1">
      <alignment/>
    </xf>
    <xf numFmtId="44" fontId="13" fillId="0" borderId="0" xfId="17" applyFont="1" applyAlignment="1">
      <alignment/>
    </xf>
    <xf numFmtId="43" fontId="0" fillId="0" borderId="10" xfId="0" applyNumberFormat="1" applyFont="1" applyBorder="1" applyAlignment="1">
      <alignment horizontal="center"/>
    </xf>
    <xf numFmtId="165" fontId="26" fillId="4" borderId="0" xfId="15" applyNumberFormat="1" applyFont="1" applyFill="1" applyAlignment="1">
      <alignment/>
    </xf>
    <xf numFmtId="165" fontId="0" fillId="3" borderId="39" xfId="15" applyNumberFormat="1" applyFill="1" applyBorder="1" applyAlignment="1">
      <alignment horizontal="center"/>
    </xf>
    <xf numFmtId="165" fontId="1" fillId="2" borderId="9" xfId="15" applyNumberFormat="1" applyFont="1" applyFill="1" applyBorder="1" applyAlignment="1">
      <alignment horizontal="right"/>
    </xf>
    <xf numFmtId="43" fontId="26" fillId="4" borderId="0" xfId="15" applyFont="1" applyFill="1" applyBorder="1" applyAlignment="1">
      <alignment/>
    </xf>
    <xf numFmtId="0" fontId="22" fillId="4" borderId="0" xfId="0" applyFont="1" applyFill="1" applyBorder="1" applyAlignment="1">
      <alignment/>
    </xf>
    <xf numFmtId="9" fontId="22" fillId="4" borderId="0" xfId="21" applyFont="1" applyFill="1" applyBorder="1" applyAlignment="1">
      <alignment/>
    </xf>
    <xf numFmtId="0" fontId="23" fillId="4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10" xfId="21" applyNumberFormat="1" applyFill="1" applyBorder="1" applyAlignment="1">
      <alignment/>
    </xf>
    <xf numFmtId="164" fontId="0" fillId="0" borderId="11" xfId="21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64" fontId="0" fillId="0" borderId="11" xfId="21" applyNumberFormat="1" applyFon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164" fontId="0" fillId="0" borderId="10" xfId="21" applyNumberFormat="1" applyFont="1" applyFill="1" applyBorder="1" applyAlignment="1">
      <alignment/>
    </xf>
    <xf numFmtId="164" fontId="0" fillId="0" borderId="10" xfId="15" applyNumberFormat="1" applyFill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unt%20Resi%20YW-R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Page 4"/>
      <sheetName val="Blank"/>
      <sheetName val="INSTR"/>
      <sheetName val="02-05 Page 4"/>
      <sheetName val="02-05"/>
      <sheetName val="01-05 Page 4"/>
      <sheetName val="01-05"/>
      <sheetName val="12-04 Page 4"/>
      <sheetName val="12-04"/>
      <sheetName val="11-04 Page 4"/>
      <sheetName val="11-04"/>
      <sheetName val="10-04 Page 4"/>
      <sheetName val="10-04"/>
      <sheetName val="09-04 Page 4"/>
      <sheetName val="09-04"/>
      <sheetName val="08-04 Page 4"/>
      <sheetName val="08-04"/>
      <sheetName val="07-04 Page 4 "/>
      <sheetName val="07-04"/>
      <sheetName val="06-04 Page 4"/>
      <sheetName val="06-04"/>
      <sheetName val="05-04 Page 4"/>
      <sheetName val="05-04"/>
      <sheetName val="04-04 Page 4 "/>
      <sheetName val="04-04"/>
      <sheetName val="03-04 Page 4 "/>
      <sheetName val="03-04"/>
      <sheetName val="02-04 Page 4"/>
      <sheetName val="02-04"/>
      <sheetName val="01-04 Page 4"/>
      <sheetName val="01-04"/>
      <sheetName val="12-03 Page 4"/>
      <sheetName val="12-03"/>
      <sheetName val="11-03 Page 4"/>
      <sheetName val="11-03"/>
      <sheetName val="10-03 Page 4"/>
      <sheetName val="10-03"/>
      <sheetName val="9-03 Page 4 "/>
      <sheetName val="9-03"/>
      <sheetName val="8-03 Page 4"/>
      <sheetName val="8-03"/>
      <sheetName val="7-03 Page 4"/>
      <sheetName val="7-03"/>
      <sheetName val="6-03 Page 4"/>
      <sheetName val="6-03"/>
      <sheetName val="5-03 Page 4"/>
      <sheetName val="5-03"/>
      <sheetName val="4-03 Page 4"/>
      <sheetName val="4-03"/>
      <sheetName val="3-03 Page 4"/>
      <sheetName val="3-03"/>
      <sheetName val="2-03 Page 4"/>
      <sheetName val="2-03"/>
      <sheetName val="1-03 Page 4"/>
      <sheetName val="1-03"/>
      <sheetName val="12-02"/>
      <sheetName val="11-02"/>
      <sheetName val="10-02"/>
      <sheetName val="9-02"/>
      <sheetName val="8-02"/>
      <sheetName val="7-02"/>
      <sheetName val="6-02"/>
      <sheetName val="5-02"/>
      <sheetName val="4-02 "/>
      <sheetName val="3-02"/>
    </sheetNames>
    <sheetDataSet>
      <sheetData sheetId="14">
        <row r="17">
          <cell r="C17">
            <v>51576</v>
          </cell>
        </row>
      </sheetData>
      <sheetData sheetId="16">
        <row r="17">
          <cell r="C17">
            <v>51494</v>
          </cell>
        </row>
      </sheetData>
      <sheetData sheetId="18">
        <row r="17">
          <cell r="C17">
            <v>51226</v>
          </cell>
        </row>
      </sheetData>
      <sheetData sheetId="20">
        <row r="17">
          <cell r="C17">
            <v>54583</v>
          </cell>
        </row>
      </sheetData>
      <sheetData sheetId="22">
        <row r="15">
          <cell r="C15">
            <v>50553</v>
          </cell>
        </row>
      </sheetData>
      <sheetData sheetId="24">
        <row r="15">
          <cell r="C15">
            <v>49877</v>
          </cell>
        </row>
      </sheetData>
      <sheetData sheetId="26">
        <row r="15">
          <cell r="C15">
            <v>48750</v>
          </cell>
        </row>
      </sheetData>
      <sheetData sheetId="28">
        <row r="15">
          <cell r="C15">
            <v>48030</v>
          </cell>
        </row>
      </sheetData>
      <sheetData sheetId="30">
        <row r="15">
          <cell r="C15">
            <v>47841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2"/>
  <sheetViews>
    <sheetView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17" width="11.28125" style="0" bestFit="1" customWidth="1"/>
    <col min="18" max="18" width="10.8515625" style="5" bestFit="1" customWidth="1"/>
  </cols>
  <sheetData>
    <row r="1" ht="18.75">
      <c r="A1" s="93" t="s">
        <v>69</v>
      </c>
    </row>
    <row r="2" spans="1:5" ht="15">
      <c r="A2" s="6" t="s">
        <v>115</v>
      </c>
      <c r="B2" s="1"/>
      <c r="C2" s="1"/>
      <c r="D2" s="1"/>
      <c r="E2" s="1"/>
    </row>
    <row r="3" spans="1:5" ht="15">
      <c r="A3" s="6"/>
      <c r="B3" s="1"/>
      <c r="C3" s="1"/>
      <c r="D3" s="1"/>
      <c r="E3" s="1"/>
    </row>
    <row r="4" spans="1:3" ht="13.5" thickBot="1">
      <c r="A4" s="7"/>
      <c r="C4" s="8"/>
    </row>
    <row r="5" spans="1:18" ht="13.5" thickTop="1">
      <c r="A5" s="3"/>
      <c r="B5" s="3"/>
      <c r="C5" s="3"/>
      <c r="D5" s="23"/>
      <c r="E5" s="10" t="s">
        <v>17</v>
      </c>
      <c r="F5" s="10">
        <v>2004</v>
      </c>
      <c r="G5" s="10">
        <v>2004</v>
      </c>
      <c r="H5" s="10">
        <v>2004</v>
      </c>
      <c r="I5" s="10">
        <v>2004</v>
      </c>
      <c r="J5" s="10">
        <v>2004</v>
      </c>
      <c r="K5" s="10">
        <v>2004</v>
      </c>
      <c r="L5" s="10">
        <v>2004</v>
      </c>
      <c r="M5" s="10">
        <v>2004</v>
      </c>
      <c r="N5" s="10">
        <v>2004</v>
      </c>
      <c r="O5" s="10">
        <v>2004</v>
      </c>
      <c r="P5" s="10">
        <v>2004</v>
      </c>
      <c r="Q5" s="11">
        <v>2004</v>
      </c>
      <c r="R5" s="120" t="s">
        <v>0</v>
      </c>
    </row>
    <row r="6" spans="1:18" ht="13.5" thickBot="1">
      <c r="A6" s="16"/>
      <c r="B6" s="16"/>
      <c r="C6" s="16"/>
      <c r="D6" s="158"/>
      <c r="E6" s="157" t="s">
        <v>19</v>
      </c>
      <c r="F6" s="15" t="s">
        <v>88</v>
      </c>
      <c r="G6" s="15" t="s">
        <v>89</v>
      </c>
      <c r="H6" s="15" t="s">
        <v>90</v>
      </c>
      <c r="I6" s="15" t="s">
        <v>91</v>
      </c>
      <c r="J6" s="15" t="s">
        <v>14</v>
      </c>
      <c r="K6" s="15" t="s">
        <v>15</v>
      </c>
      <c r="L6" s="15" t="s">
        <v>16</v>
      </c>
      <c r="M6" s="15" t="s">
        <v>92</v>
      </c>
      <c r="N6" s="15" t="s">
        <v>93</v>
      </c>
      <c r="O6" s="15" t="s">
        <v>83</v>
      </c>
      <c r="P6" s="15" t="s">
        <v>84</v>
      </c>
      <c r="Q6" s="16" t="s">
        <v>85</v>
      </c>
      <c r="R6" s="121" t="s">
        <v>20</v>
      </c>
    </row>
    <row r="7" spans="1:18" ht="14.25" thickBot="1" thickTop="1">
      <c r="A7" s="12" t="s">
        <v>18</v>
      </c>
      <c r="B7" s="13"/>
      <c r="C7" s="13"/>
      <c r="D7" s="156"/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R7" s="120"/>
    </row>
    <row r="8" spans="1:18" ht="13.5" thickTop="1">
      <c r="A8" s="17" t="s">
        <v>21</v>
      </c>
      <c r="B8" s="18"/>
      <c r="C8" s="18"/>
      <c r="D8" s="19"/>
      <c r="E8" s="18"/>
      <c r="F8" s="20"/>
      <c r="G8" s="20"/>
      <c r="H8" s="20"/>
      <c r="I8" s="20"/>
      <c r="J8" s="20"/>
      <c r="K8" s="186"/>
      <c r="L8" s="20"/>
      <c r="M8" s="20"/>
      <c r="N8" s="20"/>
      <c r="O8" s="20"/>
      <c r="P8" s="20"/>
      <c r="Q8" s="21"/>
      <c r="R8" s="132"/>
    </row>
    <row r="9" spans="1:18" ht="12.75">
      <c r="A9" s="22"/>
      <c r="B9" s="3" t="s">
        <v>22</v>
      </c>
      <c r="C9" s="3"/>
      <c r="D9" s="23"/>
      <c r="E9" s="94">
        <v>1860.53</v>
      </c>
      <c r="F9" s="95">
        <f aca="true" t="shared" si="0" ref="F9:Q9">SUM(F10:F19)</f>
        <v>2333.5787472136917</v>
      </c>
      <c r="G9" s="95">
        <f t="shared" si="0"/>
        <v>1914.239370494344</v>
      </c>
      <c r="H9" s="95">
        <f t="shared" si="0"/>
        <v>2196.4578393777097</v>
      </c>
      <c r="I9" s="95">
        <f t="shared" si="0"/>
        <v>2237.5326086956525</v>
      </c>
      <c r="J9" s="95">
        <f t="shared" si="0"/>
        <v>2309.4130434782605</v>
      </c>
      <c r="K9" s="95">
        <f t="shared" si="0"/>
        <v>2155</v>
      </c>
      <c r="L9" s="95">
        <f t="shared" si="0"/>
        <v>2358</v>
      </c>
      <c r="M9" s="95">
        <f t="shared" si="0"/>
        <v>2575.6956521739135</v>
      </c>
      <c r="N9" s="95">
        <f t="shared" si="0"/>
        <v>2409.347826086956</v>
      </c>
      <c r="O9" s="95">
        <f t="shared" si="0"/>
        <v>2440.7934110142137</v>
      </c>
      <c r="P9" s="95">
        <f t="shared" si="0"/>
        <v>2515.152011705139</v>
      </c>
      <c r="Q9" s="95">
        <f t="shared" si="0"/>
        <v>2867.551223655321</v>
      </c>
      <c r="R9" s="122">
        <f>AVERAGE(F9:Q9)</f>
        <v>2359.3968111579334</v>
      </c>
    </row>
    <row r="10" spans="1:18" ht="12.75">
      <c r="A10" s="22"/>
      <c r="B10" s="3"/>
      <c r="C10" s="25" t="s">
        <v>2</v>
      </c>
      <c r="D10" s="23"/>
      <c r="E10" s="26">
        <v>1106.85</v>
      </c>
      <c r="F10" s="27">
        <v>1132.5293876972644</v>
      </c>
      <c r="G10" s="27">
        <v>876.4259277888717</v>
      </c>
      <c r="H10" s="27">
        <v>882.8232591881357</v>
      </c>
      <c r="I10" s="27">
        <v>903.69</v>
      </c>
      <c r="J10" s="27">
        <f>767.85+221.93</f>
        <v>989.78</v>
      </c>
      <c r="K10" s="27">
        <f>776.11+188.64</f>
        <v>964.75</v>
      </c>
      <c r="L10" s="27">
        <f>704.75+300.73-2.6</f>
        <v>1002.88</v>
      </c>
      <c r="M10" s="27">
        <f>635.95+336.22+4.5</f>
        <v>976.6700000000001</v>
      </c>
      <c r="N10" s="27">
        <f>682.05+291.04</f>
        <v>973.0899999999999</v>
      </c>
      <c r="O10" s="27">
        <f>734.29+240.27+4.49</f>
        <v>979.05</v>
      </c>
      <c r="P10" s="27">
        <f>818.9+155.5+4.86</f>
        <v>979.26</v>
      </c>
      <c r="Q10" s="114">
        <f>860.83+280.96+5.8</f>
        <v>1147.59</v>
      </c>
      <c r="R10" s="123">
        <f>AVERAGE(F10:Q10)</f>
        <v>984.0448812228559</v>
      </c>
    </row>
    <row r="11" spans="1:18" ht="12.75">
      <c r="A11" s="22"/>
      <c r="B11" s="3"/>
      <c r="C11" s="25" t="s">
        <v>1</v>
      </c>
      <c r="D11" s="23"/>
      <c r="E11" s="26">
        <v>221.23</v>
      </c>
      <c r="F11" s="27">
        <v>505.99507965732363</v>
      </c>
      <c r="G11" s="27">
        <v>452.46431972152516</v>
      </c>
      <c r="H11" s="27">
        <v>607.5129972570834</v>
      </c>
      <c r="I11" s="27">
        <v>617.23</v>
      </c>
      <c r="J11" s="27">
        <v>638.03</v>
      </c>
      <c r="K11" s="27">
        <v>466.87</v>
      </c>
      <c r="L11" s="27">
        <v>558.07</v>
      </c>
      <c r="M11" s="27">
        <v>730.25</v>
      </c>
      <c r="N11" s="27">
        <v>735.47</v>
      </c>
      <c r="O11" s="27">
        <v>781.4450682097709</v>
      </c>
      <c r="P11" s="27">
        <v>831.8566674780822</v>
      </c>
      <c r="Q11" s="28">
        <v>917.8138478812584</v>
      </c>
      <c r="R11" s="123">
        <f aca="true" t="shared" si="1" ref="R11:R21">AVERAGE(F11:Q11)</f>
        <v>653.5839983504203</v>
      </c>
    </row>
    <row r="12" spans="1:18" ht="12.75">
      <c r="A12" s="22"/>
      <c r="B12" s="3"/>
      <c r="C12" s="25" t="s">
        <v>3</v>
      </c>
      <c r="D12" s="23"/>
      <c r="E12" s="26">
        <v>27.74</v>
      </c>
      <c r="F12" s="27">
        <v>20.167962499648173</v>
      </c>
      <c r="G12" s="27">
        <v>17.048378785793957</v>
      </c>
      <c r="H12" s="27">
        <v>14.805242036907337</v>
      </c>
      <c r="I12" s="27">
        <v>20.77</v>
      </c>
      <c r="J12" s="27">
        <v>17.29</v>
      </c>
      <c r="K12" s="27">
        <v>23.37</v>
      </c>
      <c r="L12" s="27">
        <v>23.87</v>
      </c>
      <c r="M12" s="27">
        <v>24.88</v>
      </c>
      <c r="N12" s="27">
        <v>18.84</v>
      </c>
      <c r="O12" s="27">
        <v>22.455318052004912</v>
      </c>
      <c r="P12" s="27">
        <v>28.692691729424816</v>
      </c>
      <c r="Q12" s="28">
        <v>26.381542048900783</v>
      </c>
      <c r="R12" s="123">
        <f t="shared" si="1"/>
        <v>21.547594596056665</v>
      </c>
    </row>
    <row r="13" spans="1:18" ht="12.75">
      <c r="A13" s="22"/>
      <c r="B13" s="3"/>
      <c r="C13" s="25" t="s">
        <v>6</v>
      </c>
      <c r="D13" s="23"/>
      <c r="E13" s="26">
        <v>57.4</v>
      </c>
      <c r="F13" s="27">
        <v>42.10200688027516</v>
      </c>
      <c r="G13" s="27">
        <v>34.917274731358425</v>
      </c>
      <c r="H13" s="27">
        <v>29.579354464822018</v>
      </c>
      <c r="I13" s="27">
        <v>31.95</v>
      </c>
      <c r="J13" s="27">
        <v>40.99</v>
      </c>
      <c r="K13" s="27">
        <v>33.09</v>
      </c>
      <c r="L13" s="27">
        <v>31.46</v>
      </c>
      <c r="M13" s="27">
        <v>32.46</v>
      </c>
      <c r="N13" s="27">
        <v>34.58</v>
      </c>
      <c r="O13" s="27">
        <v>35.928508883207854</v>
      </c>
      <c r="P13" s="27">
        <v>38.873969439865874</v>
      </c>
      <c r="Q13" s="28">
        <v>43.26572896019729</v>
      </c>
      <c r="R13" s="123">
        <f t="shared" si="1"/>
        <v>35.76640361331055</v>
      </c>
    </row>
    <row r="14" spans="1:18" ht="12.75">
      <c r="A14" s="22"/>
      <c r="B14" s="3"/>
      <c r="C14" s="25" t="s">
        <v>4</v>
      </c>
      <c r="D14" s="23"/>
      <c r="E14" s="26">
        <v>393.54</v>
      </c>
      <c r="F14" s="27">
        <v>388.5518654379333</v>
      </c>
      <c r="G14" s="27">
        <v>321.90098110696294</v>
      </c>
      <c r="H14" s="27">
        <v>430.10535560793517</v>
      </c>
      <c r="I14" s="27">
        <v>407.49</v>
      </c>
      <c r="J14" s="27">
        <v>379.01</v>
      </c>
      <c r="K14" s="27">
        <v>430.85</v>
      </c>
      <c r="L14" s="27">
        <v>506.86</v>
      </c>
      <c r="M14" s="27">
        <v>542.36</v>
      </c>
      <c r="N14" s="27">
        <v>405.86</v>
      </c>
      <c r="O14" s="27">
        <v>374.3301519269218</v>
      </c>
      <c r="P14" s="27">
        <v>379.9467727396416</v>
      </c>
      <c r="Q14" s="28">
        <v>440.04412137566516</v>
      </c>
      <c r="R14" s="123">
        <f t="shared" si="1"/>
        <v>417.27577068292163</v>
      </c>
    </row>
    <row r="15" spans="1:18" ht="12.75">
      <c r="A15" s="22"/>
      <c r="B15" s="3"/>
      <c r="C15" s="25" t="s">
        <v>5</v>
      </c>
      <c r="D15" s="23"/>
      <c r="E15" s="26">
        <v>25.57</v>
      </c>
      <c r="F15" s="27">
        <v>22.09102943671399</v>
      </c>
      <c r="G15" s="27">
        <v>17.443414338579093</v>
      </c>
      <c r="H15" s="27">
        <v>20.850612103281193</v>
      </c>
      <c r="I15" s="27">
        <v>22.28</v>
      </c>
      <c r="J15" s="27">
        <v>17.68</v>
      </c>
      <c r="K15" s="27">
        <v>18.42</v>
      </c>
      <c r="L15" s="27">
        <v>18.44</v>
      </c>
      <c r="M15" s="27">
        <v>19.19</v>
      </c>
      <c r="N15" s="27">
        <v>8.64</v>
      </c>
      <c r="O15" s="27">
        <v>17.290594900043782</v>
      </c>
      <c r="P15" s="27">
        <v>19.205592044695642</v>
      </c>
      <c r="Q15" s="28">
        <v>20.57760279814261</v>
      </c>
      <c r="R15" s="123">
        <f t="shared" si="1"/>
        <v>18.50907046845469</v>
      </c>
    </row>
    <row r="16" spans="1:18" ht="12.75">
      <c r="A16" s="22"/>
      <c r="B16" s="3"/>
      <c r="C16" s="25" t="s">
        <v>94</v>
      </c>
      <c r="D16" s="23"/>
      <c r="E16" s="26">
        <v>28.2</v>
      </c>
      <c r="F16" s="27">
        <v>16.6450331527545</v>
      </c>
      <c r="G16" s="27">
        <v>17.278135758634946</v>
      </c>
      <c r="H16" s="27">
        <v>14.718079131727901</v>
      </c>
      <c r="I16" s="27">
        <v>19.41</v>
      </c>
      <c r="J16" s="27">
        <v>23.82</v>
      </c>
      <c r="K16" s="27">
        <v>15.23</v>
      </c>
      <c r="L16" s="27">
        <v>18.88</v>
      </c>
      <c r="M16" s="27">
        <v>18.24</v>
      </c>
      <c r="N16" s="27">
        <v>16.4</v>
      </c>
      <c r="O16" s="27">
        <v>14.595956733803192</v>
      </c>
      <c r="P16" s="27">
        <v>9.487099684729172</v>
      </c>
      <c r="Q16" s="28">
        <v>17.14800233178551</v>
      </c>
      <c r="R16" s="123">
        <f t="shared" si="1"/>
        <v>16.8210255661196</v>
      </c>
    </row>
    <row r="17" spans="1:18" ht="12.75">
      <c r="A17" s="22"/>
      <c r="B17" s="3"/>
      <c r="C17" s="25" t="s">
        <v>95</v>
      </c>
      <c r="D17" s="23"/>
      <c r="E17" s="29" t="s">
        <v>23</v>
      </c>
      <c r="F17" s="27">
        <v>12.98820478743368</v>
      </c>
      <c r="G17" s="27">
        <v>12.750372555428154</v>
      </c>
      <c r="H17" s="27">
        <v>14.27603868403218</v>
      </c>
      <c r="I17" s="27">
        <v>11.85</v>
      </c>
      <c r="J17" s="27">
        <v>7.32</v>
      </c>
      <c r="K17" s="27">
        <v>11.06</v>
      </c>
      <c r="L17" s="27">
        <f>11.07-2.17</f>
        <v>8.9</v>
      </c>
      <c r="M17" s="27">
        <v>10.19</v>
      </c>
      <c r="N17" s="27">
        <v>10.2</v>
      </c>
      <c r="O17" s="27">
        <v>12.57497810912275</v>
      </c>
      <c r="P17" s="27">
        <v>7.867350958068093</v>
      </c>
      <c r="Q17" s="28">
        <v>15.037478967873449</v>
      </c>
      <c r="R17" s="123">
        <f t="shared" si="1"/>
        <v>11.251202005163194</v>
      </c>
    </row>
    <row r="18" spans="1:18" ht="12.75">
      <c r="A18" s="22"/>
      <c r="B18" s="3"/>
      <c r="C18" s="25" t="s">
        <v>96</v>
      </c>
      <c r="D18" s="23"/>
      <c r="E18" s="29" t="s">
        <v>23</v>
      </c>
      <c r="F18" s="27">
        <v>5.821877887249764</v>
      </c>
      <c r="G18" s="27">
        <v>10.871416067642048</v>
      </c>
      <c r="H18" s="27">
        <v>6.070273753567979</v>
      </c>
      <c r="I18" s="27">
        <v>23.86</v>
      </c>
      <c r="J18" s="27">
        <v>10.74</v>
      </c>
      <c r="K18" s="27">
        <v>18.96</v>
      </c>
      <c r="L18" s="27">
        <v>0</v>
      </c>
      <c r="M18" s="27">
        <v>15.4</v>
      </c>
      <c r="N18" s="27">
        <v>13.52</v>
      </c>
      <c r="O18" s="27">
        <v>7.859361318201718</v>
      </c>
      <c r="P18" s="27">
        <v>18.74970669422105</v>
      </c>
      <c r="Q18" s="28">
        <v>10.288801399071305</v>
      </c>
      <c r="R18" s="123">
        <f t="shared" si="1"/>
        <v>11.845119759996157</v>
      </c>
    </row>
    <row r="19" spans="1:18" ht="12.75">
      <c r="A19" s="22"/>
      <c r="B19" s="3"/>
      <c r="C19" s="25" t="s">
        <v>7</v>
      </c>
      <c r="D19" s="23"/>
      <c r="E19" s="29" t="s">
        <v>23</v>
      </c>
      <c r="F19" s="27">
        <f aca="true" t="shared" si="2" ref="F19:Q19">+F9*0.08</f>
        <v>186.68629977709534</v>
      </c>
      <c r="G19" s="27">
        <f t="shared" si="2"/>
        <v>153.13914963954753</v>
      </c>
      <c r="H19" s="27">
        <f t="shared" si="2"/>
        <v>175.71662715021677</v>
      </c>
      <c r="I19" s="27">
        <f t="shared" si="2"/>
        <v>179.0026086956522</v>
      </c>
      <c r="J19" s="27">
        <f t="shared" si="2"/>
        <v>184.75304347826085</v>
      </c>
      <c r="K19" s="27">
        <f t="shared" si="2"/>
        <v>172.4</v>
      </c>
      <c r="L19" s="27">
        <f t="shared" si="2"/>
        <v>188.64000000000001</v>
      </c>
      <c r="M19" s="27">
        <f t="shared" si="2"/>
        <v>206.05565217391307</v>
      </c>
      <c r="N19" s="27">
        <f t="shared" si="2"/>
        <v>192.74782608695648</v>
      </c>
      <c r="O19" s="27">
        <f t="shared" si="2"/>
        <v>195.2634728811371</v>
      </c>
      <c r="P19" s="27">
        <f t="shared" si="2"/>
        <v>201.21216093641112</v>
      </c>
      <c r="Q19" s="27">
        <f t="shared" si="2"/>
        <v>229.40409789242568</v>
      </c>
      <c r="R19" s="123">
        <f t="shared" si="1"/>
        <v>188.75174489263475</v>
      </c>
    </row>
    <row r="20" spans="1:18" ht="12.75">
      <c r="A20" s="22"/>
      <c r="B20" s="3" t="s">
        <v>24</v>
      </c>
      <c r="C20" s="3"/>
      <c r="D20" s="23"/>
      <c r="E20" s="30" t="s">
        <v>23</v>
      </c>
      <c r="F20" s="143">
        <f aca="true" t="shared" si="3" ref="F20:K20">+F86*F84</f>
        <v>296.0742112414038</v>
      </c>
      <c r="G20" s="143">
        <f t="shared" si="3"/>
        <v>379.69787570268585</v>
      </c>
      <c r="H20" s="143">
        <f t="shared" si="3"/>
        <v>1851.2419384615387</v>
      </c>
      <c r="I20" s="143">
        <f t="shared" si="3"/>
        <v>2542.0325701225015</v>
      </c>
      <c r="J20" s="143">
        <f t="shared" si="3"/>
        <v>2287.5592113227704</v>
      </c>
      <c r="K20" s="143">
        <f t="shared" si="3"/>
        <v>2054.3223978161695</v>
      </c>
      <c r="L20" s="143">
        <f aca="true" t="shared" si="4" ref="L20:Q20">+L86*L84</f>
        <v>1600.550675438254</v>
      </c>
      <c r="M20" s="143">
        <f t="shared" si="4"/>
        <v>1360.8194372159865</v>
      </c>
      <c r="N20" s="143">
        <f t="shared" si="4"/>
        <v>2003.353964634714</v>
      </c>
      <c r="O20" s="143">
        <f t="shared" si="4"/>
        <v>1681.7399071592279</v>
      </c>
      <c r="P20" s="143">
        <f t="shared" si="4"/>
        <v>1499.9903160561184</v>
      </c>
      <c r="Q20" s="143">
        <f t="shared" si="4"/>
        <v>416.5893850037178</v>
      </c>
      <c r="R20" s="123">
        <f t="shared" si="1"/>
        <v>1497.830990847924</v>
      </c>
    </row>
    <row r="21" spans="1:18" ht="12.75">
      <c r="A21" s="22"/>
      <c r="B21" s="3" t="s">
        <v>25</v>
      </c>
      <c r="C21" s="3"/>
      <c r="D21" s="23"/>
      <c r="E21" s="32">
        <v>5192.718199756373</v>
      </c>
      <c r="F21" s="144">
        <f aca="true" t="shared" si="5" ref="F21:K21">+F32/F88*F90</f>
        <v>5027.080400779182</v>
      </c>
      <c r="G21" s="144">
        <f t="shared" si="5"/>
        <v>4129.274045123538</v>
      </c>
      <c r="H21" s="144">
        <f t="shared" si="5"/>
        <v>4343.7810259961225</v>
      </c>
      <c r="I21" s="144">
        <f t="shared" si="5"/>
        <v>5020.57361639566</v>
      </c>
      <c r="J21" s="144">
        <f t="shared" si="5"/>
        <v>4894.4669777959725</v>
      </c>
      <c r="K21" s="144">
        <f t="shared" si="5"/>
        <v>5068.164895351441</v>
      </c>
      <c r="L21" s="144">
        <f aca="true" t="shared" si="6" ref="L21:Q21">+L32/L88*L90</f>
        <v>5144.5268419158065</v>
      </c>
      <c r="M21" s="144">
        <f t="shared" si="6"/>
        <v>5138.18117414746</v>
      </c>
      <c r="N21" s="144">
        <f t="shared" si="6"/>
        <v>5218.517372375265</v>
      </c>
      <c r="O21" s="144">
        <f t="shared" si="6"/>
        <v>4650.161540570175</v>
      </c>
      <c r="P21" s="144">
        <f t="shared" si="6"/>
        <v>5142.670011053866</v>
      </c>
      <c r="Q21" s="144">
        <f t="shared" si="6"/>
        <v>5144.126955878681</v>
      </c>
      <c r="R21" s="123">
        <f t="shared" si="1"/>
        <v>4910.127071448597</v>
      </c>
    </row>
    <row r="22" spans="1:18" s="1" customFormat="1" ht="13.5" thickBot="1">
      <c r="A22" s="33"/>
      <c r="B22" s="34" t="s">
        <v>26</v>
      </c>
      <c r="C22" s="34"/>
      <c r="D22" s="35"/>
      <c r="E22" s="36">
        <f>+E21+E9</f>
        <v>7053.248199756373</v>
      </c>
      <c r="F22" s="36">
        <f aca="true" t="shared" si="7" ref="F22:K22">+F21+F20+F9</f>
        <v>7656.7333592342775</v>
      </c>
      <c r="G22" s="36">
        <f t="shared" si="7"/>
        <v>6423.211291320567</v>
      </c>
      <c r="H22" s="36">
        <f t="shared" si="7"/>
        <v>8391.480803835371</v>
      </c>
      <c r="I22" s="36">
        <f t="shared" si="7"/>
        <v>9800.138795213814</v>
      </c>
      <c r="J22" s="36">
        <f>+J21+J20+J9</f>
        <v>9491.439232597004</v>
      </c>
      <c r="K22" s="36">
        <f t="shared" si="7"/>
        <v>9277.487293167611</v>
      </c>
      <c r="L22" s="36">
        <f aca="true" t="shared" si="8" ref="L22:R22">+L21+L20+L9</f>
        <v>9103.07751735406</v>
      </c>
      <c r="M22" s="36">
        <f t="shared" si="8"/>
        <v>9074.69626353736</v>
      </c>
      <c r="N22" s="36">
        <f t="shared" si="8"/>
        <v>9631.219163096936</v>
      </c>
      <c r="O22" s="36">
        <f t="shared" si="8"/>
        <v>8772.694858743616</v>
      </c>
      <c r="P22" s="36">
        <f t="shared" si="8"/>
        <v>9157.812338815123</v>
      </c>
      <c r="Q22" s="36">
        <f t="shared" si="8"/>
        <v>8428.267564537718</v>
      </c>
      <c r="R22" s="124">
        <f t="shared" si="8"/>
        <v>8767.354873454455</v>
      </c>
    </row>
    <row r="23" spans="1:18" ht="13.5" thickTop="1">
      <c r="A23" s="17" t="s">
        <v>27</v>
      </c>
      <c r="B23" s="18"/>
      <c r="C23" s="18"/>
      <c r="D23" s="19"/>
      <c r="E23" s="18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25"/>
    </row>
    <row r="24" spans="1:18" ht="12.75">
      <c r="A24" s="22"/>
      <c r="B24" s="3" t="s">
        <v>28</v>
      </c>
      <c r="C24" s="3"/>
      <c r="D24" s="23"/>
      <c r="E24" s="30" t="s">
        <v>23</v>
      </c>
      <c r="F24" s="31">
        <f>+'MF Revenue'!D21</f>
        <v>220.03406949547193</v>
      </c>
      <c r="G24" s="31">
        <f>+'MF Revenue'!E21</f>
        <v>217.55434761574003</v>
      </c>
      <c r="H24" s="31">
        <f>+'MF Revenue'!F21</f>
        <v>264.6922892916582</v>
      </c>
      <c r="I24" s="31">
        <f>+'MF Revenue'!D39</f>
        <v>266.82954545454544</v>
      </c>
      <c r="J24" s="31">
        <f>+'MF Revenue'!E39</f>
        <v>303.60227272727275</v>
      </c>
      <c r="K24" s="31">
        <f>+'MF Revenue'!F39</f>
        <v>283.64772727272725</v>
      </c>
      <c r="L24" s="31">
        <f>+'MF Revenue'!D57</f>
        <v>305.45454545454544</v>
      </c>
      <c r="M24" s="31">
        <f>+'MF Revenue'!E57</f>
        <v>333.6363636363636</v>
      </c>
      <c r="N24" s="31">
        <f>+'MF Revenue'!F57</f>
        <v>312.07954545454544</v>
      </c>
      <c r="O24" s="31">
        <f>+'MF Revenue'!D75</f>
        <v>316.1560785171488</v>
      </c>
      <c r="P24" s="31">
        <f>+'MF Revenue'!E75</f>
        <v>321.06803826481035</v>
      </c>
      <c r="Q24" s="31">
        <f>+'MF Revenue'!F75</f>
        <v>366.06144090785295</v>
      </c>
      <c r="R24" s="123">
        <f>AVERAGE(F24:Q24)</f>
        <v>292.5680220077235</v>
      </c>
    </row>
    <row r="25" spans="1:18" ht="12.75">
      <c r="A25" s="22"/>
      <c r="B25" s="3" t="s">
        <v>29</v>
      </c>
      <c r="C25" s="3"/>
      <c r="D25" s="23"/>
      <c r="E25" s="30" t="s">
        <v>23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23">
        <f>AVERAGE(F25:Q25)</f>
        <v>0</v>
      </c>
    </row>
    <row r="26" spans="1:18" ht="12.75">
      <c r="A26" s="22"/>
      <c r="B26" s="3" t="s">
        <v>30</v>
      </c>
      <c r="C26" s="3"/>
      <c r="D26" s="23"/>
      <c r="E26" s="38" t="s">
        <v>23</v>
      </c>
      <c r="F26" s="144">
        <v>1738.7233809523805</v>
      </c>
      <c r="G26" s="144">
        <v>1580.6576190476187</v>
      </c>
      <c r="H26" s="144">
        <v>1817.7562619047615</v>
      </c>
      <c r="I26" s="144">
        <v>1738.7233809523805</v>
      </c>
      <c r="J26" s="144">
        <v>1659.6904999999997</v>
      </c>
      <c r="K26" s="144">
        <v>1738.7233809523805</v>
      </c>
      <c r="L26" s="144">
        <v>1738.7233809523805</v>
      </c>
      <c r="M26" s="144">
        <v>1738.7233809523805</v>
      </c>
      <c r="N26" s="144">
        <v>1738.7233809523805</v>
      </c>
      <c r="O26" s="144">
        <v>1659.6904999999997</v>
      </c>
      <c r="P26" s="144">
        <v>1738.7233809523805</v>
      </c>
      <c r="Q26" s="144">
        <v>1817.7562619047615</v>
      </c>
      <c r="R26" s="123">
        <f>AVERAGE(F26:Q26)</f>
        <v>1725.5512341269834</v>
      </c>
    </row>
    <row r="27" spans="1:18" s="1" customFormat="1" ht="13.5" thickBot="1">
      <c r="A27" s="33"/>
      <c r="B27" s="18" t="s">
        <v>31</v>
      </c>
      <c r="C27" s="18"/>
      <c r="D27" s="19"/>
      <c r="E27" s="39" t="s">
        <v>23</v>
      </c>
      <c r="F27" s="36">
        <f aca="true" t="shared" si="9" ref="F27:K27">SUM(F24:F26)</f>
        <v>1958.7574504478523</v>
      </c>
      <c r="G27" s="36">
        <f t="shared" si="9"/>
        <v>1798.2119666633587</v>
      </c>
      <c r="H27" s="36">
        <f t="shared" si="9"/>
        <v>2082.4485511964194</v>
      </c>
      <c r="I27" s="36">
        <f t="shared" si="9"/>
        <v>2005.552926406926</v>
      </c>
      <c r="J27" s="36">
        <f t="shared" si="9"/>
        <v>1963.2927727272724</v>
      </c>
      <c r="K27" s="36">
        <f t="shared" si="9"/>
        <v>2022.3711082251077</v>
      </c>
      <c r="L27" s="36">
        <f aca="true" t="shared" si="10" ref="L27:R27">SUM(L24:L26)</f>
        <v>2044.177926406926</v>
      </c>
      <c r="M27" s="36">
        <f t="shared" si="10"/>
        <v>2072.359744588744</v>
      </c>
      <c r="N27" s="36">
        <f t="shared" si="10"/>
        <v>2050.802926406926</v>
      </c>
      <c r="O27" s="36">
        <f t="shared" si="10"/>
        <v>1975.8465785171484</v>
      </c>
      <c r="P27" s="36">
        <f t="shared" si="10"/>
        <v>2059.7914192171907</v>
      </c>
      <c r="Q27" s="36">
        <f t="shared" si="10"/>
        <v>2183.8177028126142</v>
      </c>
      <c r="R27" s="124">
        <f t="shared" si="10"/>
        <v>2018.119256134707</v>
      </c>
    </row>
    <row r="28" spans="1:18" ht="14.25" thickBot="1" thickTop="1">
      <c r="A28" s="40" t="s">
        <v>32</v>
      </c>
      <c r="B28" s="41"/>
      <c r="C28" s="41"/>
      <c r="D28" s="9"/>
      <c r="E28" s="42" t="s">
        <v>23</v>
      </c>
      <c r="F28" s="43">
        <f aca="true" t="shared" si="11" ref="F28:K28">+F27+F22</f>
        <v>9615.49080968213</v>
      </c>
      <c r="G28" s="43">
        <f t="shared" si="11"/>
        <v>8221.423257983926</v>
      </c>
      <c r="H28" s="43">
        <f t="shared" si="11"/>
        <v>10473.92935503179</v>
      </c>
      <c r="I28" s="43">
        <f t="shared" si="11"/>
        <v>11805.69172162074</v>
      </c>
      <c r="J28" s="43">
        <f t="shared" si="11"/>
        <v>11454.732005324277</v>
      </c>
      <c r="K28" s="43">
        <f t="shared" si="11"/>
        <v>11299.85840139272</v>
      </c>
      <c r="L28" s="43">
        <f aca="true" t="shared" si="12" ref="L28:R28">+L27+L22</f>
        <v>11147.255443760987</v>
      </c>
      <c r="M28" s="43">
        <f t="shared" si="12"/>
        <v>11147.056008126105</v>
      </c>
      <c r="N28" s="43">
        <f t="shared" si="12"/>
        <v>11682.022089503862</v>
      </c>
      <c r="O28" s="43">
        <f t="shared" si="12"/>
        <v>10748.541437260765</v>
      </c>
      <c r="P28" s="43">
        <f t="shared" si="12"/>
        <v>11217.603758032314</v>
      </c>
      <c r="Q28" s="43">
        <f t="shared" si="12"/>
        <v>10612.085267350332</v>
      </c>
      <c r="R28" s="126">
        <f t="shared" si="12"/>
        <v>10785.474129589162</v>
      </c>
    </row>
    <row r="29" spans="1:18" ht="14.25" thickBot="1" thickTop="1">
      <c r="A29" s="44"/>
      <c r="B29" s="3"/>
      <c r="C29" s="3"/>
      <c r="D29" s="3"/>
      <c r="E29" s="3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127"/>
    </row>
    <row r="30" spans="1:18" ht="14.25" thickBot="1" thickTop="1">
      <c r="A30" s="46" t="s">
        <v>33</v>
      </c>
      <c r="B30" s="47"/>
      <c r="C30" s="47"/>
      <c r="D30" s="14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128"/>
    </row>
    <row r="31" spans="1:18" ht="13.5" thickTop="1">
      <c r="A31" s="50" t="s">
        <v>34</v>
      </c>
      <c r="B31" s="18"/>
      <c r="C31" s="18"/>
      <c r="D31" s="51"/>
      <c r="E31" s="1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115"/>
      <c r="R31" s="120"/>
    </row>
    <row r="32" spans="1:18" ht="12.75">
      <c r="A32" s="17"/>
      <c r="B32" s="54" t="s">
        <v>35</v>
      </c>
      <c r="C32" s="55"/>
      <c r="D32" s="56"/>
      <c r="E32" s="57">
        <v>68494.89930555556</v>
      </c>
      <c r="F32" s="58">
        <f>SUM(F33:F44)</f>
        <v>72064</v>
      </c>
      <c r="G32" s="58">
        <f aca="true" t="shared" si="13" ref="G32:Q32">SUM(G33:G44)</f>
        <v>72466</v>
      </c>
      <c r="H32" s="58">
        <f t="shared" si="13"/>
        <v>72921</v>
      </c>
      <c r="I32" s="58">
        <f t="shared" si="13"/>
        <v>73009</v>
      </c>
      <c r="J32" s="58">
        <f t="shared" si="13"/>
        <v>73904</v>
      </c>
      <c r="K32" s="58">
        <f t="shared" si="13"/>
        <v>73788</v>
      </c>
      <c r="L32" s="58">
        <f t="shared" si="13"/>
        <v>74211</v>
      </c>
      <c r="M32" s="58">
        <f t="shared" si="13"/>
        <v>74612</v>
      </c>
      <c r="N32" s="58">
        <f t="shared" si="13"/>
        <v>75120</v>
      </c>
      <c r="O32" s="58">
        <f t="shared" si="13"/>
        <v>74955</v>
      </c>
      <c r="P32" s="58">
        <f t="shared" si="13"/>
        <v>75039</v>
      </c>
      <c r="Q32" s="58">
        <f t="shared" si="13"/>
        <v>75281</v>
      </c>
      <c r="R32" s="129">
        <f>AVERAGE(F32:Q32)</f>
        <v>73947.5</v>
      </c>
    </row>
    <row r="33" spans="1:18" ht="12.75">
      <c r="A33" s="17"/>
      <c r="B33" s="59"/>
      <c r="C33" s="60" t="s">
        <v>36</v>
      </c>
      <c r="D33" s="56"/>
      <c r="E33" s="30" t="s">
        <v>23</v>
      </c>
      <c r="F33" s="146">
        <v>1012</v>
      </c>
      <c r="G33" s="146">
        <v>1026</v>
      </c>
      <c r="H33" s="146">
        <v>1032</v>
      </c>
      <c r="I33" s="62">
        <v>1032</v>
      </c>
      <c r="J33" s="62">
        <v>1044</v>
      </c>
      <c r="K33" s="62">
        <v>1036</v>
      </c>
      <c r="L33" s="62">
        <v>1030</v>
      </c>
      <c r="M33" s="62">
        <v>1017</v>
      </c>
      <c r="N33" s="62">
        <v>1009</v>
      </c>
      <c r="O33" s="62">
        <v>1004</v>
      </c>
      <c r="P33" s="188">
        <v>1011</v>
      </c>
      <c r="Q33" s="111">
        <v>1114</v>
      </c>
      <c r="R33" s="189">
        <f>AVERAGE(F33:Q33)</f>
        <v>1030.5833333333333</v>
      </c>
    </row>
    <row r="34" spans="1:18" ht="12.75">
      <c r="A34" s="17"/>
      <c r="B34" s="59"/>
      <c r="C34" s="60" t="s">
        <v>37</v>
      </c>
      <c r="D34" s="56"/>
      <c r="E34" s="30" t="s">
        <v>23</v>
      </c>
      <c r="F34" s="146">
        <v>6593</v>
      </c>
      <c r="G34" s="146">
        <v>6667</v>
      </c>
      <c r="H34" s="146">
        <v>6753</v>
      </c>
      <c r="I34" s="62">
        <v>6753</v>
      </c>
      <c r="J34" s="62">
        <v>6774</v>
      </c>
      <c r="K34" s="62">
        <v>6755</v>
      </c>
      <c r="L34" s="62">
        <v>6755</v>
      </c>
      <c r="M34" s="62">
        <v>6767</v>
      </c>
      <c r="N34" s="62">
        <v>6772</v>
      </c>
      <c r="O34" s="62">
        <v>6774</v>
      </c>
      <c r="P34" s="188">
        <v>6759</v>
      </c>
      <c r="Q34" s="112">
        <v>6757</v>
      </c>
      <c r="R34" s="189">
        <f aca="true" t="shared" si="14" ref="R34:R46">AVERAGE(F34:Q34)</f>
        <v>6739.916666666667</v>
      </c>
    </row>
    <row r="35" spans="1:18" ht="12.75">
      <c r="A35" s="17"/>
      <c r="B35" s="59"/>
      <c r="C35" s="60" t="s">
        <v>82</v>
      </c>
      <c r="D35" s="56"/>
      <c r="E35" s="30" t="s">
        <v>23</v>
      </c>
      <c r="F35" s="146">
        <v>22</v>
      </c>
      <c r="G35" s="146">
        <v>22</v>
      </c>
      <c r="H35" s="146">
        <v>22</v>
      </c>
      <c r="I35" s="62">
        <v>22</v>
      </c>
      <c r="J35" s="62">
        <v>22</v>
      </c>
      <c r="K35" s="62">
        <v>22</v>
      </c>
      <c r="L35" s="62">
        <v>23</v>
      </c>
      <c r="M35" s="62">
        <v>23</v>
      </c>
      <c r="N35" s="62">
        <v>22</v>
      </c>
      <c r="O35" s="62">
        <v>22</v>
      </c>
      <c r="P35" s="62">
        <v>22</v>
      </c>
      <c r="Q35" s="112">
        <v>21</v>
      </c>
      <c r="R35" s="130">
        <f t="shared" si="14"/>
        <v>22.083333333333332</v>
      </c>
    </row>
    <row r="36" spans="1:18" ht="12.75">
      <c r="A36" s="17"/>
      <c r="B36" s="59"/>
      <c r="C36" s="60" t="s">
        <v>38</v>
      </c>
      <c r="D36" s="56"/>
      <c r="E36" s="30" t="s">
        <v>23</v>
      </c>
      <c r="F36" s="146">
        <v>41786</v>
      </c>
      <c r="G36" s="146">
        <v>41965</v>
      </c>
      <c r="H36" s="146">
        <v>42062</v>
      </c>
      <c r="I36" s="62">
        <v>42150</v>
      </c>
      <c r="J36" s="62">
        <v>42731</v>
      </c>
      <c r="K36" s="62">
        <v>42687</v>
      </c>
      <c r="L36" s="62">
        <v>42839</v>
      </c>
      <c r="M36" s="62">
        <v>43006</v>
      </c>
      <c r="N36" s="62">
        <v>43208</v>
      </c>
      <c r="O36" s="62">
        <v>42945</v>
      </c>
      <c r="P36" s="62">
        <v>42908</v>
      </c>
      <c r="Q36" s="112">
        <v>42907</v>
      </c>
      <c r="R36" s="130">
        <f t="shared" si="14"/>
        <v>42599.5</v>
      </c>
    </row>
    <row r="37" spans="1:18" ht="12.75">
      <c r="A37" s="17"/>
      <c r="B37" s="59"/>
      <c r="C37" s="60" t="s">
        <v>39</v>
      </c>
      <c r="D37" s="56"/>
      <c r="E37" s="30" t="s">
        <v>23</v>
      </c>
      <c r="F37" s="146">
        <v>5138</v>
      </c>
      <c r="G37" s="146">
        <v>5071</v>
      </c>
      <c r="H37" s="146">
        <v>4996</v>
      </c>
      <c r="I37" s="62">
        <v>4996</v>
      </c>
      <c r="J37" s="62">
        <v>4979</v>
      </c>
      <c r="K37" s="62">
        <v>4884</v>
      </c>
      <c r="L37" s="62">
        <v>4837</v>
      </c>
      <c r="M37" s="62">
        <v>4785</v>
      </c>
      <c r="N37" s="62">
        <v>4745</v>
      </c>
      <c r="O37" s="62">
        <v>4702</v>
      </c>
      <c r="P37" s="62">
        <v>4660</v>
      </c>
      <c r="Q37" s="112">
        <v>4620</v>
      </c>
      <c r="R37" s="130">
        <f t="shared" si="14"/>
        <v>4867.75</v>
      </c>
    </row>
    <row r="38" spans="1:18" ht="12.75">
      <c r="A38" s="17"/>
      <c r="B38" s="59"/>
      <c r="C38" s="60" t="s">
        <v>40</v>
      </c>
      <c r="D38" s="56"/>
      <c r="E38" s="30" t="s">
        <v>23</v>
      </c>
      <c r="F38" s="146">
        <v>219</v>
      </c>
      <c r="G38" s="146">
        <v>217</v>
      </c>
      <c r="H38" s="146">
        <v>214</v>
      </c>
      <c r="I38" s="62">
        <v>214</v>
      </c>
      <c r="J38" s="62">
        <v>217</v>
      </c>
      <c r="K38" s="62">
        <v>213</v>
      </c>
      <c r="L38" s="62">
        <v>216</v>
      </c>
      <c r="M38" s="62">
        <v>211</v>
      </c>
      <c r="N38" s="62">
        <v>209</v>
      </c>
      <c r="O38" s="62">
        <v>207</v>
      </c>
      <c r="P38" s="62">
        <v>204</v>
      </c>
      <c r="Q38" s="112">
        <v>199</v>
      </c>
      <c r="R38" s="130">
        <f t="shared" si="14"/>
        <v>211.66666666666666</v>
      </c>
    </row>
    <row r="39" spans="1:18" ht="12.75">
      <c r="A39" s="17"/>
      <c r="B39" s="59"/>
      <c r="C39" s="60" t="s">
        <v>41</v>
      </c>
      <c r="D39" s="56"/>
      <c r="E39" s="30" t="s">
        <v>23</v>
      </c>
      <c r="F39" s="146">
        <v>28</v>
      </c>
      <c r="G39" s="146">
        <v>28</v>
      </c>
      <c r="H39" s="146">
        <v>26</v>
      </c>
      <c r="I39" s="62">
        <v>26</v>
      </c>
      <c r="J39" s="62">
        <v>29</v>
      </c>
      <c r="K39" s="62">
        <v>27</v>
      </c>
      <c r="L39" s="62">
        <v>28</v>
      </c>
      <c r="M39" s="62">
        <v>29</v>
      </c>
      <c r="N39" s="62">
        <v>28</v>
      </c>
      <c r="O39" s="62">
        <v>28</v>
      </c>
      <c r="P39" s="62">
        <v>29</v>
      </c>
      <c r="Q39" s="112">
        <v>29</v>
      </c>
      <c r="R39" s="130">
        <f t="shared" si="14"/>
        <v>27.916666666666668</v>
      </c>
    </row>
    <row r="40" spans="1:18" ht="12.75">
      <c r="A40" s="17"/>
      <c r="B40" s="59"/>
      <c r="C40" s="60" t="s">
        <v>42</v>
      </c>
      <c r="D40" s="56"/>
      <c r="E40" s="30" t="s">
        <v>23</v>
      </c>
      <c r="F40" s="146">
        <v>3</v>
      </c>
      <c r="G40" s="146">
        <v>2</v>
      </c>
      <c r="H40" s="146">
        <v>2</v>
      </c>
      <c r="I40" s="62">
        <v>2</v>
      </c>
      <c r="J40" s="62">
        <v>2</v>
      </c>
      <c r="K40" s="62">
        <v>2</v>
      </c>
      <c r="L40" s="62">
        <v>2</v>
      </c>
      <c r="M40" s="62">
        <v>2</v>
      </c>
      <c r="N40" s="62">
        <v>2</v>
      </c>
      <c r="O40" s="62">
        <v>2</v>
      </c>
      <c r="P40" s="62">
        <v>3</v>
      </c>
      <c r="Q40" s="112">
        <v>3</v>
      </c>
      <c r="R40" s="130">
        <f t="shared" si="14"/>
        <v>2.25</v>
      </c>
    </row>
    <row r="41" spans="1:18" ht="12.75">
      <c r="A41" s="17"/>
      <c r="B41" s="59"/>
      <c r="C41" s="60" t="s">
        <v>79</v>
      </c>
      <c r="D41" s="56"/>
      <c r="E41" s="30" t="s">
        <v>23</v>
      </c>
      <c r="F41" s="146">
        <v>3</v>
      </c>
      <c r="G41" s="146">
        <v>3</v>
      </c>
      <c r="H41" s="146">
        <v>3</v>
      </c>
      <c r="I41" s="62">
        <v>3</v>
      </c>
      <c r="J41" s="62">
        <v>3</v>
      </c>
      <c r="K41" s="62">
        <v>3</v>
      </c>
      <c r="L41" s="62">
        <v>5</v>
      </c>
      <c r="M41" s="62">
        <v>4</v>
      </c>
      <c r="N41" s="62">
        <v>4</v>
      </c>
      <c r="O41" s="62">
        <v>4</v>
      </c>
      <c r="P41" s="62">
        <v>4</v>
      </c>
      <c r="Q41" s="112">
        <v>4</v>
      </c>
      <c r="R41" s="130">
        <f t="shared" si="14"/>
        <v>3.5833333333333335</v>
      </c>
    </row>
    <row r="42" spans="1:18" ht="12.75">
      <c r="A42" s="17"/>
      <c r="B42" s="59"/>
      <c r="C42" s="60" t="s">
        <v>43</v>
      </c>
      <c r="D42" s="56"/>
      <c r="E42" s="30" t="s">
        <v>23</v>
      </c>
      <c r="F42" s="146">
        <v>17001</v>
      </c>
      <c r="G42" s="146">
        <v>17205</v>
      </c>
      <c r="H42" s="146">
        <v>17540</v>
      </c>
      <c r="I42" s="62">
        <v>17540</v>
      </c>
      <c r="J42" s="62">
        <v>17826</v>
      </c>
      <c r="K42" s="62">
        <v>17893</v>
      </c>
      <c r="L42" s="62">
        <v>18203</v>
      </c>
      <c r="M42" s="62">
        <v>18495</v>
      </c>
      <c r="N42" s="62">
        <v>18836</v>
      </c>
      <c r="O42" s="62">
        <v>18985</v>
      </c>
      <c r="P42" s="62">
        <v>19157</v>
      </c>
      <c r="Q42" s="112">
        <v>19350</v>
      </c>
      <c r="R42" s="130">
        <f t="shared" si="14"/>
        <v>18169.25</v>
      </c>
    </row>
    <row r="43" spans="1:18" ht="12.75">
      <c r="A43" s="17"/>
      <c r="B43" s="59"/>
      <c r="C43" s="60" t="s">
        <v>80</v>
      </c>
      <c r="D43" s="56"/>
      <c r="E43" s="30" t="s">
        <v>23</v>
      </c>
      <c r="F43" s="146">
        <v>249</v>
      </c>
      <c r="G43" s="146">
        <v>248</v>
      </c>
      <c r="H43" s="146">
        <v>256</v>
      </c>
      <c r="I43" s="62">
        <v>256</v>
      </c>
      <c r="J43" s="62">
        <v>262</v>
      </c>
      <c r="K43" s="62">
        <v>251</v>
      </c>
      <c r="L43" s="62">
        <v>256</v>
      </c>
      <c r="M43" s="62">
        <v>256</v>
      </c>
      <c r="N43" s="62">
        <v>267</v>
      </c>
      <c r="O43" s="62">
        <v>264</v>
      </c>
      <c r="P43" s="62">
        <v>264</v>
      </c>
      <c r="Q43" s="112">
        <v>259</v>
      </c>
      <c r="R43" s="130">
        <f t="shared" si="14"/>
        <v>257.3333333333333</v>
      </c>
    </row>
    <row r="44" spans="1:18" ht="12.75">
      <c r="A44" s="17"/>
      <c r="B44" s="59"/>
      <c r="C44" s="60" t="s">
        <v>81</v>
      </c>
      <c r="D44" s="56"/>
      <c r="E44" s="30" t="s">
        <v>23</v>
      </c>
      <c r="F44" s="146">
        <v>10</v>
      </c>
      <c r="G44" s="146">
        <v>12</v>
      </c>
      <c r="H44" s="146">
        <v>15</v>
      </c>
      <c r="I44" s="62">
        <v>15</v>
      </c>
      <c r="J44" s="62">
        <v>15</v>
      </c>
      <c r="K44" s="62">
        <v>15</v>
      </c>
      <c r="L44" s="62">
        <v>17</v>
      </c>
      <c r="M44" s="62">
        <v>17</v>
      </c>
      <c r="N44" s="62">
        <v>18</v>
      </c>
      <c r="O44" s="62">
        <v>18</v>
      </c>
      <c r="P44" s="62">
        <v>18</v>
      </c>
      <c r="Q44" s="112">
        <v>18</v>
      </c>
      <c r="R44" s="130">
        <f t="shared" si="14"/>
        <v>15.666666666666666</v>
      </c>
    </row>
    <row r="45" spans="1:18" ht="12.75">
      <c r="A45" s="22"/>
      <c r="B45" s="3" t="s">
        <v>44</v>
      </c>
      <c r="C45" s="3"/>
      <c r="D45" s="23"/>
      <c r="E45" s="30" t="s">
        <v>23</v>
      </c>
      <c r="F45" s="195">
        <v>0.708</v>
      </c>
      <c r="G45" s="195">
        <v>0.692</v>
      </c>
      <c r="H45" s="195">
        <v>0.716</v>
      </c>
      <c r="I45" s="201">
        <v>0.6624813327340476</v>
      </c>
      <c r="J45" s="201">
        <v>0.6627210100880842</v>
      </c>
      <c r="K45" s="201">
        <v>0.6613970694488599</v>
      </c>
      <c r="L45" s="202">
        <v>0.6632606203086236</v>
      </c>
      <c r="M45" s="202">
        <v>0.6578641284719359</v>
      </c>
      <c r="N45" s="202">
        <v>0.6640445260042386</v>
      </c>
      <c r="O45" s="195">
        <v>0.6655</v>
      </c>
      <c r="P45" s="195">
        <v>0.6646</v>
      </c>
      <c r="Q45" s="196">
        <v>0.6618</v>
      </c>
      <c r="R45" s="131">
        <f>AVERAGE(F45:Q45)</f>
        <v>0.6733057239213158</v>
      </c>
    </row>
    <row r="46" spans="1:18" ht="12.75">
      <c r="A46" s="22"/>
      <c r="B46" s="3" t="s">
        <v>45</v>
      </c>
      <c r="C46" s="3"/>
      <c r="D46" s="23"/>
      <c r="E46" s="65">
        <v>12.536805772571261</v>
      </c>
      <c r="F46" s="147">
        <f aca="true" t="shared" si="15" ref="F46:K46">+F9*2000/(F32*2.16667*F45)</f>
        <v>42.219011847104795</v>
      </c>
      <c r="G46" s="147">
        <f t="shared" si="15"/>
        <v>35.236526105093986</v>
      </c>
      <c r="H46" s="147">
        <f t="shared" si="15"/>
        <v>38.83242025397834</v>
      </c>
      <c r="I46" s="147">
        <f t="shared" si="15"/>
        <v>42.70281977464948</v>
      </c>
      <c r="J46" s="147">
        <f t="shared" si="15"/>
        <v>43.52513791530774</v>
      </c>
      <c r="K46" s="147">
        <f t="shared" si="15"/>
        <v>40.76021768199558</v>
      </c>
      <c r="L46" s="147">
        <f aca="true" t="shared" si="16" ref="L46:Q46">+L9*2000/(L32*2.16667*L45)</f>
        <v>44.22099699250015</v>
      </c>
      <c r="M46" s="147">
        <f t="shared" si="16"/>
        <v>48.43807582985878</v>
      </c>
      <c r="N46" s="147">
        <f t="shared" si="16"/>
        <v>44.58450476052903</v>
      </c>
      <c r="O46" s="147">
        <f t="shared" si="16"/>
        <v>45.16682672754699</v>
      </c>
      <c r="P46" s="147">
        <f t="shared" si="16"/>
        <v>46.55368772342104</v>
      </c>
      <c r="Q46" s="147">
        <f t="shared" si="16"/>
        <v>53.129565947543135</v>
      </c>
      <c r="R46" s="123">
        <f t="shared" si="14"/>
        <v>43.78081596329409</v>
      </c>
    </row>
    <row r="47" spans="1:18" ht="12.75">
      <c r="A47" s="17" t="s">
        <v>46</v>
      </c>
      <c r="B47" s="18"/>
      <c r="C47" s="18"/>
      <c r="D47" s="19"/>
      <c r="E47" s="18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113"/>
      <c r="R47" s="132"/>
    </row>
    <row r="48" spans="1:19" ht="12.75">
      <c r="A48" s="17"/>
      <c r="B48" s="96" t="s">
        <v>35</v>
      </c>
      <c r="C48" s="18"/>
      <c r="D48" s="19"/>
      <c r="E48" s="30" t="s">
        <v>23</v>
      </c>
      <c r="F48" s="197">
        <f>22634+2120</f>
        <v>24754</v>
      </c>
      <c r="G48" s="197">
        <f>22765+2126</f>
        <v>24891</v>
      </c>
      <c r="H48" s="197">
        <f>23348+2135</f>
        <v>25483</v>
      </c>
      <c r="I48" s="197">
        <v>26225</v>
      </c>
      <c r="J48" s="197">
        <v>26723</v>
      </c>
      <c r="K48" s="197">
        <v>27204</v>
      </c>
      <c r="L48" s="197">
        <v>27310</v>
      </c>
      <c r="M48" s="197">
        <v>27530</v>
      </c>
      <c r="N48" s="197">
        <v>27591</v>
      </c>
      <c r="O48" s="197">
        <v>27526</v>
      </c>
      <c r="P48" s="197">
        <v>27447</v>
      </c>
      <c r="Q48" s="198">
        <v>27299</v>
      </c>
      <c r="R48" s="130">
        <f>AVERAGE(F48:Q48)</f>
        <v>26665.25</v>
      </c>
      <c r="S48" s="64"/>
    </row>
    <row r="49" spans="1:18" ht="12.75">
      <c r="A49" s="22"/>
      <c r="B49" s="3" t="s">
        <v>47</v>
      </c>
      <c r="C49" s="3"/>
      <c r="D49" s="23"/>
      <c r="E49" s="30" t="s">
        <v>23</v>
      </c>
      <c r="F49" s="181">
        <v>0.51</v>
      </c>
      <c r="G49" s="181">
        <v>0.5</v>
      </c>
      <c r="H49" s="181">
        <v>0.497</v>
      </c>
      <c r="I49" s="181">
        <v>0.6861339630965666</v>
      </c>
      <c r="J49" s="181">
        <v>0.6141703648265466</v>
      </c>
      <c r="K49" s="181">
        <v>0.6207557178392464</v>
      </c>
      <c r="L49" s="181">
        <v>0.48521980738891896</v>
      </c>
      <c r="M49" s="181">
        <v>0.43513392405429235</v>
      </c>
      <c r="N49" s="181">
        <v>0.4826789077212806</v>
      </c>
      <c r="O49" s="181">
        <v>0.4642</v>
      </c>
      <c r="P49" s="181">
        <v>0.3935</v>
      </c>
      <c r="Q49" s="199">
        <v>0.2313</v>
      </c>
      <c r="R49" s="133">
        <f>AVERAGE(F49:Q49)</f>
        <v>0.49334105707723763</v>
      </c>
    </row>
    <row r="50" spans="1:18" ht="12.75">
      <c r="A50" s="22"/>
      <c r="B50" s="3" t="s">
        <v>45</v>
      </c>
      <c r="C50" s="3"/>
      <c r="D50" s="23"/>
      <c r="E50" s="97" t="s">
        <v>23</v>
      </c>
      <c r="F50" s="200">
        <f>+F20*2000/(F48*1*F49)</f>
        <v>46.90455434279646</v>
      </c>
      <c r="G50" s="200">
        <f>+G20*2000/(G48*1*G49)</f>
        <v>61.017697272538</v>
      </c>
      <c r="H50" s="200">
        <f aca="true" t="shared" si="17" ref="H50:N50">+H20*2000/(H48*4.33333*H49)</f>
        <v>67.46281664868005</v>
      </c>
      <c r="I50" s="200">
        <f t="shared" si="17"/>
        <v>65.20260225456116</v>
      </c>
      <c r="J50" s="200">
        <f t="shared" si="17"/>
        <v>64.3289566712719</v>
      </c>
      <c r="K50" s="200">
        <f t="shared" si="17"/>
        <v>56.14658399915903</v>
      </c>
      <c r="L50" s="200">
        <f t="shared" si="17"/>
        <v>55.7464787147257</v>
      </c>
      <c r="M50" s="200">
        <f t="shared" si="17"/>
        <v>52.42996664371084</v>
      </c>
      <c r="N50" s="200">
        <f t="shared" si="17"/>
        <v>69.4288800103454</v>
      </c>
      <c r="O50" s="200">
        <f>+O20*2000/(O48*4.33333*O49)</f>
        <v>60.74615870802618</v>
      </c>
      <c r="P50" s="200">
        <f>+P20*2000/(P48*4.33333*P49)</f>
        <v>64.09985814281892</v>
      </c>
      <c r="Q50" s="200">
        <f>+Q20*2000/(Q48*2.16667*Q49)</f>
        <v>60.90080789537851</v>
      </c>
      <c r="R50" s="123">
        <f>AVERAGE(F50:Q50)</f>
        <v>60.36794677533434</v>
      </c>
    </row>
    <row r="51" spans="1:18" ht="12.75">
      <c r="A51" s="17" t="s">
        <v>48</v>
      </c>
      <c r="B51" s="18"/>
      <c r="C51" s="18"/>
      <c r="D51" s="19"/>
      <c r="E51" s="18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  <c r="R51" s="132"/>
    </row>
    <row r="52" spans="1:18" ht="12.75">
      <c r="A52" s="17"/>
      <c r="B52" s="54" t="s">
        <v>35</v>
      </c>
      <c r="C52" s="55"/>
      <c r="D52" s="56"/>
      <c r="E52" s="66" t="s">
        <v>23</v>
      </c>
      <c r="F52" s="58">
        <f>SUM(F53:F63)</f>
        <v>764</v>
      </c>
      <c r="G52" s="58">
        <f aca="true" t="shared" si="18" ref="G52:Q52">SUM(G53:G63)</f>
        <v>764</v>
      </c>
      <c r="H52" s="58">
        <f t="shared" si="18"/>
        <v>764</v>
      </c>
      <c r="I52" s="58">
        <f t="shared" si="18"/>
        <v>764</v>
      </c>
      <c r="J52" s="58">
        <f t="shared" si="18"/>
        <v>764</v>
      </c>
      <c r="K52" s="58">
        <f t="shared" si="18"/>
        <v>764</v>
      </c>
      <c r="L52" s="58">
        <f t="shared" si="18"/>
        <v>764</v>
      </c>
      <c r="M52" s="58">
        <f t="shared" si="18"/>
        <v>764</v>
      </c>
      <c r="N52" s="58">
        <f t="shared" si="18"/>
        <v>764</v>
      </c>
      <c r="O52" s="58">
        <f t="shared" si="18"/>
        <v>764</v>
      </c>
      <c r="P52" s="58">
        <f t="shared" si="18"/>
        <v>764</v>
      </c>
      <c r="Q52" s="58">
        <f t="shared" si="18"/>
        <v>764</v>
      </c>
      <c r="R52" s="129">
        <f>AVERAGE(F52:Q52)</f>
        <v>764</v>
      </c>
    </row>
    <row r="53" spans="1:18" ht="12.75">
      <c r="A53" s="17"/>
      <c r="B53" s="59"/>
      <c r="C53" s="60" t="s">
        <v>49</v>
      </c>
      <c r="D53" s="67"/>
      <c r="E53" s="30" t="s">
        <v>23</v>
      </c>
      <c r="F53" s="62">
        <v>115</v>
      </c>
      <c r="G53" s="62">
        <v>115</v>
      </c>
      <c r="H53" s="62">
        <v>115</v>
      </c>
      <c r="I53" s="62">
        <v>115</v>
      </c>
      <c r="J53" s="62">
        <v>115</v>
      </c>
      <c r="K53" s="62">
        <v>115</v>
      </c>
      <c r="L53" s="62">
        <v>115</v>
      </c>
      <c r="M53" s="62">
        <v>115</v>
      </c>
      <c r="N53" s="62">
        <v>115</v>
      </c>
      <c r="O53" s="62">
        <v>115</v>
      </c>
      <c r="P53" s="62">
        <v>115</v>
      </c>
      <c r="Q53" s="62">
        <v>115</v>
      </c>
      <c r="R53" s="130">
        <f>AVERAGE(F53:Q53)</f>
        <v>115</v>
      </c>
    </row>
    <row r="54" spans="1:18" ht="12.75">
      <c r="A54" s="17"/>
      <c r="B54" s="59"/>
      <c r="C54" s="60" t="s">
        <v>50</v>
      </c>
      <c r="D54" s="67"/>
      <c r="E54" s="30" t="s">
        <v>23</v>
      </c>
      <c r="F54" s="62">
        <v>24</v>
      </c>
      <c r="G54" s="62">
        <v>24</v>
      </c>
      <c r="H54" s="62">
        <v>24</v>
      </c>
      <c r="I54" s="62">
        <v>24</v>
      </c>
      <c r="J54" s="62">
        <v>24</v>
      </c>
      <c r="K54" s="62">
        <v>24</v>
      </c>
      <c r="L54" s="62">
        <v>24</v>
      </c>
      <c r="M54" s="62">
        <v>24</v>
      </c>
      <c r="N54" s="62">
        <v>24</v>
      </c>
      <c r="O54" s="62">
        <v>24</v>
      </c>
      <c r="P54" s="62">
        <v>24</v>
      </c>
      <c r="Q54" s="62">
        <v>24</v>
      </c>
      <c r="R54" s="130">
        <f aca="true" t="shared" si="19" ref="R54:R62">AVERAGE(F54:Q54)</f>
        <v>24</v>
      </c>
    </row>
    <row r="55" spans="1:18" ht="12.75">
      <c r="A55" s="17"/>
      <c r="B55" s="59"/>
      <c r="C55" s="60" t="s">
        <v>51</v>
      </c>
      <c r="D55" s="67"/>
      <c r="E55" s="30" t="s">
        <v>23</v>
      </c>
      <c r="F55" s="62">
        <v>71</v>
      </c>
      <c r="G55" s="62">
        <v>71</v>
      </c>
      <c r="H55" s="62">
        <v>71</v>
      </c>
      <c r="I55" s="62">
        <v>71</v>
      </c>
      <c r="J55" s="62">
        <v>71</v>
      </c>
      <c r="K55" s="62">
        <v>71</v>
      </c>
      <c r="L55" s="62">
        <v>71</v>
      </c>
      <c r="M55" s="62">
        <v>71</v>
      </c>
      <c r="N55" s="62">
        <v>71</v>
      </c>
      <c r="O55" s="62">
        <v>71</v>
      </c>
      <c r="P55" s="62">
        <v>71</v>
      </c>
      <c r="Q55" s="62">
        <v>71</v>
      </c>
      <c r="R55" s="130">
        <f t="shared" si="19"/>
        <v>71</v>
      </c>
    </row>
    <row r="56" spans="1:18" ht="12.75">
      <c r="A56" s="17"/>
      <c r="B56" s="59"/>
      <c r="C56" s="60" t="s">
        <v>86</v>
      </c>
      <c r="D56" s="67"/>
      <c r="E56" s="30" t="s">
        <v>23</v>
      </c>
      <c r="F56" s="62">
        <v>5</v>
      </c>
      <c r="G56" s="62">
        <v>5</v>
      </c>
      <c r="H56" s="62">
        <v>5</v>
      </c>
      <c r="I56" s="62">
        <v>5</v>
      </c>
      <c r="J56" s="62">
        <v>5</v>
      </c>
      <c r="K56" s="62">
        <v>5</v>
      </c>
      <c r="L56" s="62">
        <v>5</v>
      </c>
      <c r="M56" s="62">
        <v>5</v>
      </c>
      <c r="N56" s="62">
        <v>5</v>
      </c>
      <c r="O56" s="62">
        <v>5</v>
      </c>
      <c r="P56" s="62">
        <v>5</v>
      </c>
      <c r="Q56" s="62">
        <v>5</v>
      </c>
      <c r="R56" s="130">
        <f t="shared" si="19"/>
        <v>5</v>
      </c>
    </row>
    <row r="57" spans="1:18" ht="12.75">
      <c r="A57" s="17"/>
      <c r="B57" s="59"/>
      <c r="C57" s="60" t="s">
        <v>52</v>
      </c>
      <c r="D57" s="67"/>
      <c r="E57" s="30" t="s">
        <v>23</v>
      </c>
      <c r="F57" s="62">
        <v>53</v>
      </c>
      <c r="G57" s="62">
        <v>53</v>
      </c>
      <c r="H57" s="62">
        <v>53</v>
      </c>
      <c r="I57" s="62">
        <v>53</v>
      </c>
      <c r="J57" s="62">
        <v>53</v>
      </c>
      <c r="K57" s="62">
        <v>53</v>
      </c>
      <c r="L57" s="62">
        <v>53</v>
      </c>
      <c r="M57" s="62">
        <v>53</v>
      </c>
      <c r="N57" s="62">
        <v>53</v>
      </c>
      <c r="O57" s="62">
        <v>53</v>
      </c>
      <c r="P57" s="62">
        <v>53</v>
      </c>
      <c r="Q57" s="62">
        <v>53</v>
      </c>
      <c r="R57" s="130">
        <f t="shared" si="19"/>
        <v>53</v>
      </c>
    </row>
    <row r="58" spans="1:18" ht="12.75">
      <c r="A58" s="17"/>
      <c r="B58" s="59"/>
      <c r="C58" s="60" t="s">
        <v>53</v>
      </c>
      <c r="D58" s="67"/>
      <c r="E58" s="30" t="s">
        <v>23</v>
      </c>
      <c r="F58" s="62">
        <v>62</v>
      </c>
      <c r="G58" s="62">
        <v>62</v>
      </c>
      <c r="H58" s="62">
        <v>62</v>
      </c>
      <c r="I58" s="62">
        <v>62</v>
      </c>
      <c r="J58" s="62">
        <v>62</v>
      </c>
      <c r="K58" s="62">
        <v>62</v>
      </c>
      <c r="L58" s="62">
        <v>62</v>
      </c>
      <c r="M58" s="62">
        <v>62</v>
      </c>
      <c r="N58" s="62">
        <v>62</v>
      </c>
      <c r="O58" s="62">
        <v>62</v>
      </c>
      <c r="P58" s="62">
        <v>62</v>
      </c>
      <c r="Q58" s="62">
        <v>62</v>
      </c>
      <c r="R58" s="130">
        <f t="shared" si="19"/>
        <v>62</v>
      </c>
    </row>
    <row r="59" spans="1:18" ht="12.75">
      <c r="A59" s="17"/>
      <c r="B59" s="59"/>
      <c r="C59" s="60" t="s">
        <v>54</v>
      </c>
      <c r="D59" s="67"/>
      <c r="E59" s="30" t="s">
        <v>23</v>
      </c>
      <c r="F59" s="62">
        <v>66</v>
      </c>
      <c r="G59" s="62">
        <v>66</v>
      </c>
      <c r="H59" s="62">
        <v>66</v>
      </c>
      <c r="I59" s="62">
        <v>66</v>
      </c>
      <c r="J59" s="62">
        <v>66</v>
      </c>
      <c r="K59" s="62">
        <v>66</v>
      </c>
      <c r="L59" s="62">
        <v>66</v>
      </c>
      <c r="M59" s="62">
        <v>66</v>
      </c>
      <c r="N59" s="62">
        <v>66</v>
      </c>
      <c r="O59" s="62">
        <v>66</v>
      </c>
      <c r="P59" s="62">
        <v>66</v>
      </c>
      <c r="Q59" s="62">
        <v>66</v>
      </c>
      <c r="R59" s="130">
        <f t="shared" si="19"/>
        <v>66</v>
      </c>
    </row>
    <row r="60" spans="1:18" ht="12.75">
      <c r="A60" s="17"/>
      <c r="B60" s="59"/>
      <c r="C60" s="60" t="s">
        <v>55</v>
      </c>
      <c r="D60" s="67"/>
      <c r="E60" s="30" t="s">
        <v>23</v>
      </c>
      <c r="F60" s="62">
        <v>121</v>
      </c>
      <c r="G60" s="62">
        <v>121</v>
      </c>
      <c r="H60" s="62">
        <v>121</v>
      </c>
      <c r="I60" s="62">
        <v>121</v>
      </c>
      <c r="J60" s="62">
        <v>121</v>
      </c>
      <c r="K60" s="62">
        <v>121</v>
      </c>
      <c r="L60" s="62">
        <v>121</v>
      </c>
      <c r="M60" s="62">
        <v>121</v>
      </c>
      <c r="N60" s="62">
        <v>121</v>
      </c>
      <c r="O60" s="62">
        <v>121</v>
      </c>
      <c r="P60" s="62">
        <v>121</v>
      </c>
      <c r="Q60" s="62">
        <v>121</v>
      </c>
      <c r="R60" s="130">
        <f t="shared" si="19"/>
        <v>121</v>
      </c>
    </row>
    <row r="61" spans="1:18" ht="12.75">
      <c r="A61" s="17"/>
      <c r="B61" s="59"/>
      <c r="C61" s="60" t="s">
        <v>56</v>
      </c>
      <c r="D61" s="67"/>
      <c r="E61" s="30" t="s">
        <v>23</v>
      </c>
      <c r="F61" s="62">
        <v>107</v>
      </c>
      <c r="G61" s="62">
        <v>107</v>
      </c>
      <c r="H61" s="62">
        <v>107</v>
      </c>
      <c r="I61" s="62">
        <v>107</v>
      </c>
      <c r="J61" s="62">
        <v>107</v>
      </c>
      <c r="K61" s="62">
        <v>107</v>
      </c>
      <c r="L61" s="62">
        <v>107</v>
      </c>
      <c r="M61" s="62">
        <v>107</v>
      </c>
      <c r="N61" s="62">
        <v>107</v>
      </c>
      <c r="O61" s="62">
        <v>107</v>
      </c>
      <c r="P61" s="62">
        <v>107</v>
      </c>
      <c r="Q61" s="62">
        <v>107</v>
      </c>
      <c r="R61" s="130">
        <f t="shared" si="19"/>
        <v>107</v>
      </c>
    </row>
    <row r="62" spans="1:18" ht="12.75">
      <c r="A62" s="17"/>
      <c r="B62" s="59"/>
      <c r="C62" s="60" t="s">
        <v>57</v>
      </c>
      <c r="D62" s="67"/>
      <c r="E62" s="30" t="s">
        <v>23</v>
      </c>
      <c r="F62" s="62">
        <v>119</v>
      </c>
      <c r="G62" s="62">
        <v>119</v>
      </c>
      <c r="H62" s="62">
        <v>119</v>
      </c>
      <c r="I62" s="62">
        <v>119</v>
      </c>
      <c r="J62" s="62">
        <v>119</v>
      </c>
      <c r="K62" s="62">
        <v>119</v>
      </c>
      <c r="L62" s="62">
        <v>119</v>
      </c>
      <c r="M62" s="62">
        <v>119</v>
      </c>
      <c r="N62" s="62">
        <v>119</v>
      </c>
      <c r="O62" s="62">
        <v>119</v>
      </c>
      <c r="P62" s="62">
        <v>119</v>
      </c>
      <c r="Q62" s="62">
        <v>119</v>
      </c>
      <c r="R62" s="130">
        <f t="shared" si="19"/>
        <v>119</v>
      </c>
    </row>
    <row r="63" spans="1:18" ht="13.5" thickBot="1">
      <c r="A63" s="17"/>
      <c r="B63" s="68"/>
      <c r="C63" s="69" t="s">
        <v>87</v>
      </c>
      <c r="D63" s="70"/>
      <c r="E63" s="98" t="s">
        <v>23</v>
      </c>
      <c r="F63" s="62">
        <v>21</v>
      </c>
      <c r="G63" s="62">
        <v>21</v>
      </c>
      <c r="H63" s="62">
        <v>21</v>
      </c>
      <c r="I63" s="62">
        <v>21</v>
      </c>
      <c r="J63" s="62">
        <v>21</v>
      </c>
      <c r="K63" s="62">
        <v>21</v>
      </c>
      <c r="L63" s="62">
        <v>21</v>
      </c>
      <c r="M63" s="62">
        <v>21</v>
      </c>
      <c r="N63" s="62">
        <v>21</v>
      </c>
      <c r="O63" s="62">
        <v>21</v>
      </c>
      <c r="P63" s="62">
        <v>21</v>
      </c>
      <c r="Q63" s="62">
        <v>21</v>
      </c>
      <c r="R63" s="130">
        <f>AVERAGE(F63:Q63)</f>
        <v>21</v>
      </c>
    </row>
    <row r="64" spans="1:18" ht="14.25" thickBot="1" thickTop="1">
      <c r="A64" s="162"/>
      <c r="B64" s="3"/>
      <c r="C64" s="3"/>
      <c r="D64" s="3"/>
      <c r="E64" s="3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127"/>
    </row>
    <row r="65" spans="1:18" ht="14.25" thickBot="1" thickTop="1">
      <c r="A65" s="46" t="s">
        <v>58</v>
      </c>
      <c r="B65" s="47"/>
      <c r="C65" s="47"/>
      <c r="D65" s="14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128"/>
    </row>
    <row r="66" spans="1:18" ht="13.5" thickTop="1">
      <c r="A66" s="17" t="s">
        <v>59</v>
      </c>
      <c r="B66" s="18"/>
      <c r="C66" s="18"/>
      <c r="D66" s="71"/>
      <c r="E66" s="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120"/>
    </row>
    <row r="67" spans="1:18" ht="12.75">
      <c r="A67" s="22"/>
      <c r="B67" s="3" t="s">
        <v>60</v>
      </c>
      <c r="C67" s="3"/>
      <c r="D67" s="23"/>
      <c r="E67" s="72" t="s">
        <v>23</v>
      </c>
      <c r="F67" s="63">
        <f aca="true" t="shared" si="20" ref="F67:K67">(+F9-F19)/F22</f>
        <v>0.28039274018173455</v>
      </c>
      <c r="G67" s="63">
        <f t="shared" si="20"/>
        <v>0.27417753223134694</v>
      </c>
      <c r="H67" s="63">
        <f t="shared" si="20"/>
        <v>0.2408086557623897</v>
      </c>
      <c r="I67" s="63">
        <f t="shared" si="20"/>
        <v>0.21005110672568678</v>
      </c>
      <c r="J67" s="63">
        <f t="shared" si="20"/>
        <v>0.22385013989271046</v>
      </c>
      <c r="K67" s="63">
        <f t="shared" si="20"/>
        <v>0.21370010406374604</v>
      </c>
      <c r="L67" s="63">
        <f aca="true" t="shared" si="21" ref="L67:Q67">(+L9-L19)/L22</f>
        <v>0.23831061482936328</v>
      </c>
      <c r="M67" s="63">
        <f t="shared" si="21"/>
        <v>0.2611260951533273</v>
      </c>
      <c r="N67" s="63">
        <f t="shared" si="21"/>
        <v>0.230147394889854</v>
      </c>
      <c r="O67" s="63">
        <f t="shared" si="21"/>
        <v>0.2559680889726821</v>
      </c>
      <c r="P67" s="63">
        <f t="shared" si="21"/>
        <v>0.2526738663295338</v>
      </c>
      <c r="Q67" s="63">
        <f t="shared" si="21"/>
        <v>0.31301179104268206</v>
      </c>
      <c r="R67" s="134">
        <f>+(R9-R19)/R22</f>
        <v>0.24758266291210768</v>
      </c>
    </row>
    <row r="68" spans="1:18" ht="12.75">
      <c r="A68" s="22"/>
      <c r="B68" s="3" t="s">
        <v>61</v>
      </c>
      <c r="C68" s="3"/>
      <c r="D68" s="23"/>
      <c r="E68" s="73" t="s">
        <v>23</v>
      </c>
      <c r="F68" s="74">
        <f aca="true" t="shared" si="22" ref="F68:K68">+F20/F22</f>
        <v>0.03866847614385427</v>
      </c>
      <c r="G68" s="74">
        <f t="shared" si="22"/>
        <v>0.059113402701816246</v>
      </c>
      <c r="H68" s="74">
        <f t="shared" si="22"/>
        <v>0.22060968519589755</v>
      </c>
      <c r="I68" s="74">
        <f t="shared" si="22"/>
        <v>0.2593874049379768</v>
      </c>
      <c r="J68" s="74">
        <f t="shared" si="22"/>
        <v>0.24101289122375374</v>
      </c>
      <c r="K68" s="74">
        <f t="shared" si="22"/>
        <v>0.22143090396136372</v>
      </c>
      <c r="L68" s="74">
        <f aca="true" t="shared" si="23" ref="L68:R68">+L20/L22</f>
        <v>0.17582522749992763</v>
      </c>
      <c r="M68" s="74">
        <f t="shared" si="23"/>
        <v>0.14995757408254373</v>
      </c>
      <c r="N68" s="74">
        <f t="shared" si="23"/>
        <v>0.20800626906205008</v>
      </c>
      <c r="O68" s="74">
        <f t="shared" si="23"/>
        <v>0.1917016303699498</v>
      </c>
      <c r="P68" s="74">
        <f t="shared" si="23"/>
        <v>0.16379351973598025</v>
      </c>
      <c r="Q68" s="74">
        <f t="shared" si="23"/>
        <v>0.04942764118649184</v>
      </c>
      <c r="R68" s="135">
        <f t="shared" si="23"/>
        <v>0.17084183456324026</v>
      </c>
    </row>
    <row r="69" spans="1:18" s="1" customFormat="1" ht="13.5" thickBot="1">
      <c r="A69" s="33"/>
      <c r="B69" s="96" t="s">
        <v>62</v>
      </c>
      <c r="C69" s="96"/>
      <c r="D69" s="117"/>
      <c r="E69" s="30" t="s">
        <v>23</v>
      </c>
      <c r="F69" s="118">
        <f aca="true" t="shared" si="24" ref="F69:K69">+F68+F67</f>
        <v>0.3190612163255888</v>
      </c>
      <c r="G69" s="118">
        <f t="shared" si="24"/>
        <v>0.3332909349331632</v>
      </c>
      <c r="H69" s="118">
        <f t="shared" si="24"/>
        <v>0.46141834095828727</v>
      </c>
      <c r="I69" s="118">
        <f t="shared" si="24"/>
        <v>0.46943851166366357</v>
      </c>
      <c r="J69" s="118">
        <f t="shared" si="24"/>
        <v>0.4648630311164642</v>
      </c>
      <c r="K69" s="118">
        <f t="shared" si="24"/>
        <v>0.43513100802510973</v>
      </c>
      <c r="L69" s="118">
        <f aca="true" t="shared" si="25" ref="L69:R69">+L68+L67</f>
        <v>0.4141358423292909</v>
      </c>
      <c r="M69" s="118">
        <f t="shared" si="25"/>
        <v>0.41108366923587103</v>
      </c>
      <c r="N69" s="118">
        <f t="shared" si="25"/>
        <v>0.4381536639519041</v>
      </c>
      <c r="O69" s="118">
        <f t="shared" si="25"/>
        <v>0.4476697193426319</v>
      </c>
      <c r="P69" s="118">
        <f t="shared" si="25"/>
        <v>0.41646738606551403</v>
      </c>
      <c r="Q69" s="118">
        <f t="shared" si="25"/>
        <v>0.3624394322291739</v>
      </c>
      <c r="R69" s="136">
        <f t="shared" si="25"/>
        <v>0.41842449747534793</v>
      </c>
    </row>
    <row r="70" spans="1:18" ht="13.5" thickTop="1">
      <c r="A70" s="50" t="s">
        <v>63</v>
      </c>
      <c r="B70" s="75"/>
      <c r="C70" s="75"/>
      <c r="D70" s="71"/>
      <c r="E70" s="11"/>
      <c r="F70" s="76"/>
      <c r="G70" s="76"/>
      <c r="H70" s="76"/>
      <c r="I70" s="141"/>
      <c r="J70" s="141"/>
      <c r="K70" s="141"/>
      <c r="L70" s="141"/>
      <c r="M70" s="141"/>
      <c r="N70" s="141"/>
      <c r="O70" s="141"/>
      <c r="P70" s="141"/>
      <c r="Q70" s="141"/>
      <c r="R70" s="137"/>
    </row>
    <row r="71" spans="1:18" ht="12.75">
      <c r="A71" s="22"/>
      <c r="B71" s="3" t="s">
        <v>64</v>
      </c>
      <c r="C71" s="3"/>
      <c r="D71" s="23"/>
      <c r="E71" s="61" t="s">
        <v>23</v>
      </c>
      <c r="F71" s="119">
        <f aca="true" t="shared" si="26" ref="F71:K71">+F24/F27</f>
        <v>0.11233349460657475</v>
      </c>
      <c r="G71" s="119">
        <f t="shared" si="26"/>
        <v>0.12098370584165295</v>
      </c>
      <c r="H71" s="119">
        <f t="shared" si="26"/>
        <v>0.1271062803158262</v>
      </c>
      <c r="I71" s="119">
        <f t="shared" si="26"/>
        <v>0.13304537713327133</v>
      </c>
      <c r="J71" s="119">
        <f t="shared" si="26"/>
        <v>0.15463932682109818</v>
      </c>
      <c r="K71" s="119">
        <f t="shared" si="26"/>
        <v>0.14025503337103387</v>
      </c>
      <c r="L71" s="119">
        <f aca="true" t="shared" si="27" ref="L71:R71">+L24/L27</f>
        <v>0.14942659418666468</v>
      </c>
      <c r="M71" s="119">
        <f t="shared" si="27"/>
        <v>0.16099345903023857</v>
      </c>
      <c r="N71" s="119">
        <f t="shared" si="27"/>
        <v>0.1521743222793811</v>
      </c>
      <c r="O71" s="119">
        <f t="shared" si="27"/>
        <v>0.1600104390465481</v>
      </c>
      <c r="P71" s="119">
        <f t="shared" si="27"/>
        <v>0.15587405368783894</v>
      </c>
      <c r="Q71" s="119">
        <f t="shared" si="27"/>
        <v>0.167624541387493</v>
      </c>
      <c r="R71" s="133">
        <f t="shared" si="27"/>
        <v>0.14497063100625554</v>
      </c>
    </row>
    <row r="72" spans="1:18" ht="12.75">
      <c r="A72" s="22"/>
      <c r="B72" s="3" t="s">
        <v>65</v>
      </c>
      <c r="C72" s="3"/>
      <c r="D72" s="23"/>
      <c r="E72" s="38" t="s">
        <v>23</v>
      </c>
      <c r="F72" s="63">
        <f aca="true" t="shared" si="28" ref="F72:K72">+F25/F27</f>
        <v>0</v>
      </c>
      <c r="G72" s="63">
        <f t="shared" si="28"/>
        <v>0</v>
      </c>
      <c r="H72" s="63">
        <f t="shared" si="28"/>
        <v>0</v>
      </c>
      <c r="I72" s="63">
        <f t="shared" si="28"/>
        <v>0</v>
      </c>
      <c r="J72" s="63">
        <f t="shared" si="28"/>
        <v>0</v>
      </c>
      <c r="K72" s="63">
        <f t="shared" si="28"/>
        <v>0</v>
      </c>
      <c r="L72" s="63">
        <f aca="true" t="shared" si="29" ref="L72:R72">+L25/L27</f>
        <v>0</v>
      </c>
      <c r="M72" s="63">
        <f t="shared" si="29"/>
        <v>0</v>
      </c>
      <c r="N72" s="63">
        <f t="shared" si="29"/>
        <v>0</v>
      </c>
      <c r="O72" s="63">
        <f t="shared" si="29"/>
        <v>0</v>
      </c>
      <c r="P72" s="63">
        <f t="shared" si="29"/>
        <v>0</v>
      </c>
      <c r="Q72" s="63">
        <f t="shared" si="29"/>
        <v>0</v>
      </c>
      <c r="R72" s="138">
        <f t="shared" si="29"/>
        <v>0</v>
      </c>
    </row>
    <row r="73" spans="1:18" s="1" customFormat="1" ht="13.5" thickBot="1">
      <c r="A73" s="33"/>
      <c r="B73" s="96" t="s">
        <v>66</v>
      </c>
      <c r="C73" s="96"/>
      <c r="D73" s="117"/>
      <c r="E73" s="77" t="s">
        <v>23</v>
      </c>
      <c r="F73" s="118">
        <f aca="true" t="shared" si="30" ref="F73:K73">+F72+F71</f>
        <v>0.11233349460657475</v>
      </c>
      <c r="G73" s="118">
        <f t="shared" si="30"/>
        <v>0.12098370584165295</v>
      </c>
      <c r="H73" s="118">
        <f t="shared" si="30"/>
        <v>0.1271062803158262</v>
      </c>
      <c r="I73" s="118">
        <f t="shared" si="30"/>
        <v>0.13304537713327133</v>
      </c>
      <c r="J73" s="118">
        <f t="shared" si="30"/>
        <v>0.15463932682109818</v>
      </c>
      <c r="K73" s="118">
        <f t="shared" si="30"/>
        <v>0.14025503337103387</v>
      </c>
      <c r="L73" s="118">
        <f aca="true" t="shared" si="31" ref="L73:R73">+L72+L71</f>
        <v>0.14942659418666468</v>
      </c>
      <c r="M73" s="118">
        <f t="shared" si="31"/>
        <v>0.16099345903023857</v>
      </c>
      <c r="N73" s="118">
        <f t="shared" si="31"/>
        <v>0.1521743222793811</v>
      </c>
      <c r="O73" s="118">
        <f t="shared" si="31"/>
        <v>0.1600104390465481</v>
      </c>
      <c r="P73" s="118">
        <f t="shared" si="31"/>
        <v>0.15587405368783894</v>
      </c>
      <c r="Q73" s="118">
        <f t="shared" si="31"/>
        <v>0.167624541387493</v>
      </c>
      <c r="R73" s="139">
        <f t="shared" si="31"/>
        <v>0.14497063100625554</v>
      </c>
    </row>
    <row r="74" spans="1:18" ht="14.25" thickBot="1" thickTop="1">
      <c r="A74" s="78" t="s">
        <v>67</v>
      </c>
      <c r="B74" s="79"/>
      <c r="C74" s="79"/>
      <c r="D74" s="80"/>
      <c r="E74" s="81" t="s">
        <v>23</v>
      </c>
      <c r="F74" s="82">
        <f aca="true" t="shared" si="32" ref="F74:K74">+(F9+F20+F24+F25)/(F22+F27)</f>
        <v>0.2963641777995494</v>
      </c>
      <c r="G74" s="82">
        <f t="shared" si="32"/>
        <v>0.30548136435790835</v>
      </c>
      <c r="H74" s="82">
        <f t="shared" si="32"/>
        <v>0.41172628924207755</v>
      </c>
      <c r="I74" s="82">
        <f t="shared" si="32"/>
        <v>0.4274543875333301</v>
      </c>
      <c r="J74" s="82">
        <f t="shared" si="32"/>
        <v>0.42782096737404823</v>
      </c>
      <c r="K74" s="82">
        <f t="shared" si="32"/>
        <v>0.3976129581</v>
      </c>
      <c r="L74" s="82">
        <f aca="true" t="shared" si="33" ref="L74:R74">+(L9+L20+L24+L25)/(L22+L27)</f>
        <v>0.38251614869733</v>
      </c>
      <c r="M74" s="82">
        <f t="shared" si="33"/>
        <v>0.38307436958362473</v>
      </c>
      <c r="N74" s="82">
        <f t="shared" si="33"/>
        <v>0.4044489301575082</v>
      </c>
      <c r="O74" s="82">
        <f t="shared" si="33"/>
        <v>0.41295736938813693</v>
      </c>
      <c r="P74" s="82">
        <f t="shared" si="33"/>
        <v>0.3865540680130678</v>
      </c>
      <c r="Q74" s="82">
        <f t="shared" si="33"/>
        <v>0.34396652096240543</v>
      </c>
      <c r="R74" s="140">
        <f t="shared" si="33"/>
        <v>0.38475784876521274</v>
      </c>
    </row>
    <row r="75" spans="1:18" ht="14.25" thickBot="1" thickTop="1">
      <c r="A75" s="78" t="s">
        <v>68</v>
      </c>
      <c r="B75" s="79"/>
      <c r="C75" s="79"/>
      <c r="D75" s="80"/>
      <c r="E75" s="83">
        <f>+E9/E22</f>
        <v>0.26378342960683915</v>
      </c>
      <c r="F75" s="84">
        <f aca="true" t="shared" si="34" ref="F75:K75">+(F9+F20)/(F22-F20+F27-F25)</f>
        <v>0.2821692678590068</v>
      </c>
      <c r="G75" s="84">
        <f t="shared" si="34"/>
        <v>0.292529658253564</v>
      </c>
      <c r="H75" s="84">
        <f t="shared" si="34"/>
        <v>0.46942438967006594</v>
      </c>
      <c r="I75" s="84">
        <f t="shared" si="34"/>
        <v>0.5159478668907136</v>
      </c>
      <c r="J75" s="84">
        <f t="shared" si="34"/>
        <v>0.5014601947733587</v>
      </c>
      <c r="K75" s="84">
        <f t="shared" si="34"/>
        <v>0.45528159710673693</v>
      </c>
      <c r="L75" s="84">
        <f aca="true" t="shared" si="35" ref="L75:R75">+(L9+L20)/(L22-L20+L27-L25)</f>
        <v>0.414650999638458</v>
      </c>
      <c r="M75" s="84">
        <f t="shared" si="35"/>
        <v>0.402250145994969</v>
      </c>
      <c r="N75" s="84">
        <f t="shared" si="35"/>
        <v>0.4559203532749842</v>
      </c>
      <c r="O75" s="84">
        <f t="shared" si="35"/>
        <v>0.45468441152999123</v>
      </c>
      <c r="P75" s="84">
        <f t="shared" si="35"/>
        <v>0.4131819352288137</v>
      </c>
      <c r="Q75" s="84">
        <f t="shared" si="35"/>
        <v>0.32211680986949254</v>
      </c>
      <c r="R75" s="140">
        <f t="shared" si="35"/>
        <v>0.4153074945263919</v>
      </c>
    </row>
    <row r="76" ht="13.5" thickTop="1"/>
    <row r="77" ht="12.75">
      <c r="A77" s="85"/>
    </row>
    <row r="78" spans="1:18" ht="15">
      <c r="A78" s="153"/>
      <c r="B78" s="153" t="s">
        <v>98</v>
      </c>
      <c r="C78" s="153"/>
      <c r="D78" s="153"/>
      <c r="E78" s="182">
        <v>21.75</v>
      </c>
      <c r="F78" s="165">
        <v>22</v>
      </c>
      <c r="G78" s="165">
        <v>20</v>
      </c>
      <c r="H78" s="165">
        <v>23</v>
      </c>
      <c r="I78" s="165">
        <v>22</v>
      </c>
      <c r="J78" s="165">
        <v>21</v>
      </c>
      <c r="K78" s="165">
        <v>22</v>
      </c>
      <c r="L78" s="172">
        <v>22</v>
      </c>
      <c r="M78" s="172">
        <v>22</v>
      </c>
      <c r="N78" s="172">
        <v>22</v>
      </c>
      <c r="O78" s="172">
        <v>21</v>
      </c>
      <c r="P78" s="172">
        <v>22</v>
      </c>
      <c r="Q78" s="172">
        <v>23</v>
      </c>
      <c r="R78" s="173">
        <f>SUM(F78:Q78)</f>
        <v>262</v>
      </c>
    </row>
    <row r="79" spans="1:18" ht="15">
      <c r="A79" s="153"/>
      <c r="B79" s="153"/>
      <c r="C79" s="153"/>
      <c r="D79" s="153"/>
      <c r="E79" s="164"/>
      <c r="F79" s="164"/>
      <c r="G79" s="164"/>
      <c r="H79" s="164"/>
      <c r="I79" s="164"/>
      <c r="J79" s="164"/>
      <c r="K79" s="164"/>
      <c r="L79" s="174"/>
      <c r="M79" s="174"/>
      <c r="N79" s="174"/>
      <c r="O79" s="174"/>
      <c r="P79" s="174"/>
      <c r="Q79" s="174"/>
      <c r="R79" s="175"/>
    </row>
    <row r="80" spans="1:18" ht="15">
      <c r="A80" s="153"/>
      <c r="B80" s="153" t="s">
        <v>99</v>
      </c>
      <c r="C80" s="153"/>
      <c r="D80" s="153"/>
      <c r="E80" s="166">
        <f aca="true" t="shared" si="36" ref="E80:Q80">+E9/E78</f>
        <v>85.5416091954023</v>
      </c>
      <c r="F80" s="166">
        <f t="shared" si="36"/>
        <v>106.07176123698599</v>
      </c>
      <c r="G80" s="166">
        <f t="shared" si="36"/>
        <v>95.71196852471721</v>
      </c>
      <c r="H80" s="166">
        <f t="shared" si="36"/>
        <v>95.49816692946564</v>
      </c>
      <c r="I80" s="166">
        <f t="shared" si="36"/>
        <v>101.7060276679842</v>
      </c>
      <c r="J80" s="166">
        <f t="shared" si="36"/>
        <v>109.97204968944098</v>
      </c>
      <c r="K80" s="166">
        <f t="shared" si="36"/>
        <v>97.95454545454545</v>
      </c>
      <c r="L80" s="176">
        <f t="shared" si="36"/>
        <v>107.18181818181819</v>
      </c>
      <c r="M80" s="176">
        <f t="shared" si="36"/>
        <v>117.07707509881425</v>
      </c>
      <c r="N80" s="176">
        <f t="shared" si="36"/>
        <v>109.51581027667982</v>
      </c>
      <c r="O80" s="176">
        <f t="shared" si="36"/>
        <v>116.22825766734351</v>
      </c>
      <c r="P80" s="176">
        <f t="shared" si="36"/>
        <v>114.32509144114269</v>
      </c>
      <c r="Q80" s="176">
        <f t="shared" si="36"/>
        <v>124.676140158927</v>
      </c>
      <c r="R80" s="173">
        <f>SUM(F80:Q80)</f>
        <v>1295.9187123278648</v>
      </c>
    </row>
    <row r="81" spans="1:18" ht="15">
      <c r="A81" s="153"/>
      <c r="B81" s="153"/>
      <c r="C81" s="153"/>
      <c r="D81" s="153"/>
      <c r="E81" s="164"/>
      <c r="F81" s="164"/>
      <c r="G81" s="164"/>
      <c r="H81" s="164"/>
      <c r="I81" s="164"/>
      <c r="J81" s="164"/>
      <c r="K81" s="164"/>
      <c r="L81" s="174"/>
      <c r="M81" s="174"/>
      <c r="N81" s="174"/>
      <c r="O81" s="174"/>
      <c r="P81" s="174"/>
      <c r="Q81" s="174"/>
      <c r="R81" s="177"/>
    </row>
    <row r="82" spans="1:18" ht="15">
      <c r="A82" s="153"/>
      <c r="B82" s="153" t="s">
        <v>101</v>
      </c>
      <c r="C82" s="153"/>
      <c r="D82" s="153"/>
      <c r="E82" s="164"/>
      <c r="F82" s="167">
        <f>+'[1]01-04'!$C$15</f>
        <v>47841</v>
      </c>
      <c r="G82" s="167">
        <f>+'[1]02-04'!$C$15</f>
        <v>48030</v>
      </c>
      <c r="H82" s="167">
        <f>+'[1]03-04'!$C$15</f>
        <v>48750</v>
      </c>
      <c r="I82" s="167">
        <f>+'[1]04-04'!$C$15</f>
        <v>49877</v>
      </c>
      <c r="J82" s="171">
        <f>+'[1]05-04'!$C$15</f>
        <v>50553</v>
      </c>
      <c r="K82" s="171">
        <f>+'[1]06-04'!$C$17</f>
        <v>54583</v>
      </c>
      <c r="L82" s="187">
        <f>+'[1]07-04'!$C$17</f>
        <v>51226</v>
      </c>
      <c r="M82" s="187">
        <f>+'[1]08-04'!$C$17</f>
        <v>51494</v>
      </c>
      <c r="N82" s="187">
        <f>+'[1]09-04'!$C$17</f>
        <v>51576</v>
      </c>
      <c r="O82" s="187">
        <v>51486</v>
      </c>
      <c r="P82" s="187">
        <v>51320</v>
      </c>
      <c r="Q82" s="187">
        <v>51106</v>
      </c>
      <c r="R82" s="177"/>
    </row>
    <row r="83" spans="1:18" ht="15">
      <c r="A83" s="153"/>
      <c r="B83" s="153"/>
      <c r="C83" s="153"/>
      <c r="D83" s="153"/>
      <c r="E83" s="164"/>
      <c r="F83" s="164"/>
      <c r="G83" s="164"/>
      <c r="H83" s="164"/>
      <c r="I83" s="164"/>
      <c r="J83" s="164"/>
      <c r="K83" s="164"/>
      <c r="L83" s="174"/>
      <c r="M83" s="174"/>
      <c r="N83" s="174"/>
      <c r="O83" s="174"/>
      <c r="P83" s="174"/>
      <c r="Q83" s="174"/>
      <c r="R83" s="193"/>
    </row>
    <row r="84" spans="1:18" s="148" customFormat="1" ht="15">
      <c r="A84" s="154"/>
      <c r="B84" s="154"/>
      <c r="C84" s="163" t="s">
        <v>109</v>
      </c>
      <c r="D84" s="154"/>
      <c r="E84" s="168"/>
      <c r="F84" s="168">
        <f aca="true" t="shared" si="37" ref="F84:Q84">+F48/F82</f>
        <v>0.5174222946844756</v>
      </c>
      <c r="G84" s="168">
        <f t="shared" si="37"/>
        <v>0.5182386008744535</v>
      </c>
      <c r="H84" s="168">
        <f t="shared" si="37"/>
        <v>0.5227282051282052</v>
      </c>
      <c r="I84" s="168">
        <f t="shared" si="37"/>
        <v>0.5257934518916535</v>
      </c>
      <c r="J84" s="168">
        <f t="shared" si="37"/>
        <v>0.5286135343105256</v>
      </c>
      <c r="K84" s="168">
        <f t="shared" si="37"/>
        <v>0.4983969367751864</v>
      </c>
      <c r="L84" s="178">
        <f t="shared" si="37"/>
        <v>0.533127708585484</v>
      </c>
      <c r="M84" s="178">
        <f t="shared" si="37"/>
        <v>0.534625393249699</v>
      </c>
      <c r="N84" s="178">
        <f t="shared" si="37"/>
        <v>0.53495812005584</v>
      </c>
      <c r="O84" s="178">
        <f t="shared" si="37"/>
        <v>0.534630773414132</v>
      </c>
      <c r="P84" s="178">
        <f t="shared" si="37"/>
        <v>0.5348207326578333</v>
      </c>
      <c r="Q84" s="178">
        <f t="shared" si="37"/>
        <v>0.5341642859938168</v>
      </c>
      <c r="R84" s="192"/>
    </row>
    <row r="85" spans="1:47" ht="15">
      <c r="A85" s="153"/>
      <c r="B85" s="153"/>
      <c r="C85" s="153"/>
      <c r="D85" s="153"/>
      <c r="E85" s="164"/>
      <c r="F85" s="164"/>
      <c r="G85" s="164"/>
      <c r="H85" s="164"/>
      <c r="I85" s="169"/>
      <c r="J85" s="169"/>
      <c r="K85" s="169"/>
      <c r="L85" s="179"/>
      <c r="M85" s="179"/>
      <c r="N85" s="179"/>
      <c r="O85" s="179"/>
      <c r="P85" s="179"/>
      <c r="Q85" s="179"/>
      <c r="R85" s="180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">
      <c r="A86" s="153"/>
      <c r="B86" s="153" t="s">
        <v>107</v>
      </c>
      <c r="C86" s="153"/>
      <c r="D86" s="153"/>
      <c r="E86" s="164"/>
      <c r="F86" s="170">
        <f>+F102-F100</f>
        <v>572.21</v>
      </c>
      <c r="G86" s="170">
        <f aca="true" t="shared" si="38" ref="G86:Q86">+G102-G100</f>
        <v>732.67</v>
      </c>
      <c r="H86" s="170">
        <f t="shared" si="38"/>
        <v>3541.5</v>
      </c>
      <c r="I86" s="170">
        <f t="shared" si="38"/>
        <v>4834.66</v>
      </c>
      <c r="J86" s="170">
        <f t="shared" si="38"/>
        <v>4327.47</v>
      </c>
      <c r="K86" s="170">
        <f t="shared" si="38"/>
        <v>4121.86</v>
      </c>
      <c r="L86" s="170">
        <f t="shared" si="38"/>
        <v>3002.19</v>
      </c>
      <c r="M86" s="170">
        <f t="shared" si="38"/>
        <v>2545.37</v>
      </c>
      <c r="N86" s="170">
        <f t="shared" si="38"/>
        <v>3744.88</v>
      </c>
      <c r="O86" s="170">
        <f t="shared" si="38"/>
        <v>3145.61</v>
      </c>
      <c r="P86" s="170">
        <f t="shared" si="38"/>
        <v>2804.66</v>
      </c>
      <c r="Q86" s="170">
        <f t="shared" si="38"/>
        <v>779.89</v>
      </c>
      <c r="R86" s="180">
        <f>SUM(F86:Q86)</f>
        <v>34152.97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18" ht="15">
      <c r="A87" s="153"/>
      <c r="B87" s="153"/>
      <c r="C87" s="153"/>
      <c r="D87" s="153"/>
      <c r="E87" s="164"/>
      <c r="F87" s="169"/>
      <c r="G87" s="169"/>
      <c r="H87" s="169"/>
      <c r="I87" s="164"/>
      <c r="J87" s="164"/>
      <c r="K87" s="164"/>
      <c r="L87" s="174"/>
      <c r="M87" s="174"/>
      <c r="N87" s="174"/>
      <c r="O87" s="174"/>
      <c r="P87" s="174"/>
      <c r="Q87" s="191"/>
      <c r="R87" s="177"/>
    </row>
    <row r="88" spans="1:18" ht="15">
      <c r="A88" s="153"/>
      <c r="B88" s="153" t="s">
        <v>102</v>
      </c>
      <c r="C88" s="153"/>
      <c r="D88" s="153"/>
      <c r="E88" s="164"/>
      <c r="F88" s="171">
        <v>100105</v>
      </c>
      <c r="G88" s="171">
        <v>100657</v>
      </c>
      <c r="H88" s="171">
        <v>101092</v>
      </c>
      <c r="I88" s="171">
        <v>102027</v>
      </c>
      <c r="J88" s="171">
        <v>102594</v>
      </c>
      <c r="K88" s="171">
        <v>102677</v>
      </c>
      <c r="L88" s="171">
        <v>102787</v>
      </c>
      <c r="M88" s="171">
        <v>103309</v>
      </c>
      <c r="N88" s="171">
        <v>103820</v>
      </c>
      <c r="O88" s="171">
        <v>103968</v>
      </c>
      <c r="P88" s="171">
        <v>104036</v>
      </c>
      <c r="Q88" s="171">
        <v>104122</v>
      </c>
      <c r="R88" s="177"/>
    </row>
    <row r="89" spans="1:18" ht="15">
      <c r="A89" s="153"/>
      <c r="B89" s="153"/>
      <c r="C89" s="153"/>
      <c r="D89" s="153"/>
      <c r="E89" s="164"/>
      <c r="F89" s="169"/>
      <c r="G89" s="169"/>
      <c r="H89" s="169"/>
      <c r="I89" s="164"/>
      <c r="J89" s="164"/>
      <c r="K89" s="164"/>
      <c r="L89" s="174"/>
      <c r="M89" s="174"/>
      <c r="N89" s="174"/>
      <c r="O89" s="174"/>
      <c r="P89" s="174"/>
      <c r="Q89" s="191"/>
      <c r="R89" s="177"/>
    </row>
    <row r="90" spans="1:64" ht="15">
      <c r="A90" s="153"/>
      <c r="B90" s="153" t="s">
        <v>108</v>
      </c>
      <c r="C90" s="153"/>
      <c r="D90" s="153"/>
      <c r="E90" s="164"/>
      <c r="F90" s="170">
        <v>6983.18</v>
      </c>
      <c r="G90" s="170">
        <v>5735.66</v>
      </c>
      <c r="H90" s="170">
        <v>6021.88</v>
      </c>
      <c r="I90" s="170">
        <v>7016.04</v>
      </c>
      <c r="J90" s="170">
        <v>6794.53</v>
      </c>
      <c r="K90" s="170">
        <v>7052.42</v>
      </c>
      <c r="L90" s="184">
        <v>7125.5</v>
      </c>
      <c r="M90" s="184">
        <v>7114.41</v>
      </c>
      <c r="N90" s="184">
        <v>7212.28</v>
      </c>
      <c r="O90" s="184">
        <v>6450.11</v>
      </c>
      <c r="P90" s="184">
        <v>7129.93</v>
      </c>
      <c r="Q90" s="190">
        <v>7114.9</v>
      </c>
      <c r="R90" s="180">
        <f>SUM(F90:Q90)</f>
        <v>81750.84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6:64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5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6:17" ht="12.75">
      <c r="F92" s="89">
        <f>+F90*2000</f>
        <v>13966360</v>
      </c>
      <c r="G92" s="89">
        <f aca="true" t="shared" si="39" ref="G92:Q92">+G90*2000</f>
        <v>11471320</v>
      </c>
      <c r="H92" s="89">
        <f t="shared" si="39"/>
        <v>12043760</v>
      </c>
      <c r="I92" s="89">
        <f t="shared" si="39"/>
        <v>14032080</v>
      </c>
      <c r="J92" s="89">
        <f t="shared" si="39"/>
        <v>13589060</v>
      </c>
      <c r="K92" s="89">
        <f t="shared" si="39"/>
        <v>14104840</v>
      </c>
      <c r="L92" s="89">
        <f t="shared" si="39"/>
        <v>14251000</v>
      </c>
      <c r="M92" s="89">
        <f t="shared" si="39"/>
        <v>14228820</v>
      </c>
      <c r="N92" s="89">
        <f t="shared" si="39"/>
        <v>14424560</v>
      </c>
      <c r="O92" s="89">
        <f t="shared" si="39"/>
        <v>12900220</v>
      </c>
      <c r="P92" s="89">
        <f t="shared" si="39"/>
        <v>14259860</v>
      </c>
      <c r="Q92" s="89">
        <f t="shared" si="39"/>
        <v>14229800</v>
      </c>
    </row>
    <row r="94" spans="6:17" ht="12.75">
      <c r="F94" s="24">
        <f>+F92/F88/4.333</f>
        <v>32.198732295779024</v>
      </c>
      <c r="G94" s="24">
        <f aca="true" t="shared" si="40" ref="G94:Q94">+G92/G88/4.333</f>
        <v>26.30151247178412</v>
      </c>
      <c r="H94" s="24">
        <f t="shared" si="40"/>
        <v>27.495183019155267</v>
      </c>
      <c r="I94" s="24">
        <f t="shared" si="40"/>
        <v>31.740827594970735</v>
      </c>
      <c r="J94" s="24">
        <f t="shared" si="40"/>
        <v>30.56882632075316</v>
      </c>
      <c r="K94" s="24">
        <f t="shared" si="40"/>
        <v>31.703433855292257</v>
      </c>
      <c r="L94" s="24">
        <f t="shared" si="40"/>
        <v>31.997677755794832</v>
      </c>
      <c r="M94" s="24">
        <f t="shared" si="40"/>
        <v>31.78645082411331</v>
      </c>
      <c r="N94" s="24">
        <f t="shared" si="40"/>
        <v>32.06511936390822</v>
      </c>
      <c r="O94" s="24">
        <f t="shared" si="40"/>
        <v>28.635761597401093</v>
      </c>
      <c r="P94" s="24">
        <f t="shared" si="40"/>
        <v>31.633185398897538</v>
      </c>
      <c r="Q94" s="24">
        <f t="shared" si="40"/>
        <v>31.54042968279772</v>
      </c>
    </row>
    <row r="97" spans="6:17" ht="12.75">
      <c r="F97">
        <v>87255</v>
      </c>
      <c r="G97">
        <v>87746</v>
      </c>
      <c r="H97">
        <v>88104</v>
      </c>
      <c r="I97">
        <v>88962</v>
      </c>
      <c r="J97">
        <v>89483</v>
      </c>
      <c r="K97">
        <v>89634</v>
      </c>
      <c r="L97">
        <v>89744</v>
      </c>
      <c r="M97">
        <v>90204</v>
      </c>
      <c r="N97">
        <v>90888</v>
      </c>
      <c r="O97">
        <v>91331</v>
      </c>
      <c r="P97">
        <v>91630</v>
      </c>
      <c r="Q97">
        <v>91657</v>
      </c>
    </row>
    <row r="100" spans="4:18" ht="12.75">
      <c r="D100" t="s">
        <v>116</v>
      </c>
      <c r="F100">
        <v>62</v>
      </c>
      <c r="G100">
        <v>57</v>
      </c>
      <c r="H100">
        <v>576</v>
      </c>
      <c r="I100">
        <v>786</v>
      </c>
      <c r="J100">
        <v>705</v>
      </c>
      <c r="K100">
        <v>671</v>
      </c>
      <c r="L100" s="194">
        <v>489</v>
      </c>
      <c r="M100">
        <v>362</v>
      </c>
      <c r="N100">
        <v>616</v>
      </c>
      <c r="O100">
        <v>512</v>
      </c>
      <c r="P100">
        <v>456</v>
      </c>
      <c r="Q100">
        <v>127</v>
      </c>
      <c r="R100" s="89">
        <f>SUM(F100:Q100)</f>
        <v>5419</v>
      </c>
    </row>
    <row r="102" spans="4:18" ht="15">
      <c r="D102" t="s">
        <v>117</v>
      </c>
      <c r="F102" s="170">
        <v>634.21</v>
      </c>
      <c r="G102" s="170">
        <v>789.67</v>
      </c>
      <c r="H102" s="170">
        <v>4117.5</v>
      </c>
      <c r="I102" s="170">
        <v>5620.66</v>
      </c>
      <c r="J102" s="170">
        <v>5032.47</v>
      </c>
      <c r="K102" s="170">
        <v>4792.86</v>
      </c>
      <c r="L102" s="184">
        <v>3491.19</v>
      </c>
      <c r="M102" s="184">
        <v>2907.37</v>
      </c>
      <c r="N102" s="184">
        <v>4360.88</v>
      </c>
      <c r="O102" s="184">
        <v>3657.61</v>
      </c>
      <c r="P102" s="184">
        <v>3260.66</v>
      </c>
      <c r="Q102" s="184">
        <v>906.89</v>
      </c>
      <c r="R102" s="183">
        <f>SUM(F102:Q102)</f>
        <v>39571.97</v>
      </c>
    </row>
  </sheetData>
  <printOptions/>
  <pageMargins left="0.75" right="0" top="0.5" bottom="0.5" header="0.5" footer="0"/>
  <pageSetup fitToHeight="2" horizontalDpi="600" verticalDpi="600" orientation="landscape" scale="63" r:id="rId3"/>
  <headerFooter alignWithMargins="0">
    <oddFooter>&amp;CPage &amp;P&amp;R2004 2nd Qtr Snohomish County Reports.xls</oddFooter>
  </headerFooter>
  <rowBreaks count="1" manualBreakCount="1">
    <brk id="64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16.28125" style="0" customWidth="1"/>
    <col min="3" max="3" width="2.57421875" style="0" customWidth="1"/>
    <col min="4" max="5" width="10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2.28125" style="0" bestFit="1" customWidth="1"/>
    <col min="11" max="11" width="3.140625" style="0" customWidth="1"/>
    <col min="12" max="12" width="10.28125" style="0" bestFit="1" customWidth="1"/>
    <col min="13" max="13" width="12.28125" style="0" bestFit="1" customWidth="1"/>
    <col min="14" max="14" width="3.421875" style="0" customWidth="1"/>
    <col min="15" max="15" width="10.28125" style="0" bestFit="1" customWidth="1"/>
    <col min="16" max="16" width="12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ht="24">
      <c r="A1" s="116" t="s">
        <v>69</v>
      </c>
    </row>
    <row r="2" s="1" customFormat="1" ht="21">
      <c r="A2" s="86" t="s">
        <v>78</v>
      </c>
    </row>
    <row r="3" s="1" customFormat="1" ht="12.75"/>
    <row r="4" s="1" customFormat="1" ht="12.75"/>
    <row r="5" s="1" customFormat="1" ht="12.75"/>
    <row r="6" spans="1:6" s="1" customFormat="1" ht="13.5">
      <c r="A6" s="149" t="s">
        <v>105</v>
      </c>
      <c r="B6" s="150"/>
      <c r="C6" s="150"/>
      <c r="D6" s="150"/>
      <c r="E6" s="150"/>
      <c r="F6" s="150"/>
    </row>
    <row r="7" s="1" customFormat="1" ht="12.75"/>
    <row r="8" spans="2:19" s="4" customFormat="1" ht="12.75">
      <c r="B8" s="4" t="s">
        <v>71</v>
      </c>
      <c r="D8" s="203" t="s">
        <v>72</v>
      </c>
      <c r="E8" s="203"/>
      <c r="F8" s="203"/>
      <c r="G8" s="203"/>
      <c r="I8" s="203" t="s">
        <v>11</v>
      </c>
      <c r="J8" s="203"/>
      <c r="L8" s="203" t="s">
        <v>12</v>
      </c>
      <c r="M8" s="203"/>
      <c r="O8" s="203" t="s">
        <v>13</v>
      </c>
      <c r="P8" s="203"/>
      <c r="R8" s="203" t="s">
        <v>97</v>
      </c>
      <c r="S8" s="203"/>
    </row>
    <row r="9" spans="1:19" s="87" customFormat="1" ht="12.75">
      <c r="A9" s="87" t="s">
        <v>73</v>
      </c>
      <c r="B9" s="87" t="s">
        <v>74</v>
      </c>
      <c r="D9" s="87" t="s">
        <v>11</v>
      </c>
      <c r="E9" s="87" t="s">
        <v>12</v>
      </c>
      <c r="F9" s="87" t="s">
        <v>13</v>
      </c>
      <c r="G9" s="87" t="s">
        <v>75</v>
      </c>
      <c r="I9" s="87" t="s">
        <v>76</v>
      </c>
      <c r="J9" s="87" t="s">
        <v>77</v>
      </c>
      <c r="L9" s="87" t="s">
        <v>76</v>
      </c>
      <c r="M9" s="87" t="s">
        <v>77</v>
      </c>
      <c r="O9" s="87" t="s">
        <v>76</v>
      </c>
      <c r="P9" s="87" t="s">
        <v>77</v>
      </c>
      <c r="R9" s="87" t="s">
        <v>76</v>
      </c>
      <c r="S9" s="87" t="s">
        <v>77</v>
      </c>
    </row>
    <row r="11" spans="1:19" ht="12.75">
      <c r="A11" s="142" t="s">
        <v>2</v>
      </c>
      <c r="B11" s="90">
        <f>+G11/$G$21</f>
        <v>0.4487359936060222</v>
      </c>
      <c r="D11" s="24">
        <f>+'Waste Stream Report'!F10</f>
        <v>1132.5293876972644</v>
      </c>
      <c r="E11" s="24">
        <f>+'Waste Stream Report'!G10</f>
        <v>876.4259277888717</v>
      </c>
      <c r="F11" s="24">
        <f>+'Waste Stream Report'!H10</f>
        <v>882.8232591881357</v>
      </c>
      <c r="G11" s="24">
        <f>SUM(D11:F11)</f>
        <v>2891.7785746742716</v>
      </c>
      <c r="I11" s="88">
        <v>70.65</v>
      </c>
      <c r="J11" s="99">
        <f aca="true" t="shared" si="0" ref="J11:J20">+I11*D11</f>
        <v>80013.20124081173</v>
      </c>
      <c r="L11" s="88">
        <v>74.2</v>
      </c>
      <c r="M11" s="99">
        <f aca="true" t="shared" si="1" ref="M11:M20">+L11*E11</f>
        <v>65030.803841934285</v>
      </c>
      <c r="O11" s="88">
        <v>75.27</v>
      </c>
      <c r="P11" s="99">
        <f aca="true" t="shared" si="2" ref="P11:P20">+O11*F11</f>
        <v>66450.10671909097</v>
      </c>
      <c r="R11" s="88">
        <f>+S11/G11</f>
        <v>73.13634372080496</v>
      </c>
      <c r="S11" s="99">
        <f>+P11+M11+J11</f>
        <v>211494.111801837</v>
      </c>
    </row>
    <row r="12" spans="1:19" ht="12.75">
      <c r="A12" s="142" t="s">
        <v>1</v>
      </c>
      <c r="B12" s="90">
        <f aca="true" t="shared" si="3" ref="B12:B20">+G12/$G$21</f>
        <v>0.24300206990889042</v>
      </c>
      <c r="D12" s="24">
        <f>+'Waste Stream Report'!F11</f>
        <v>505.99507965732363</v>
      </c>
      <c r="E12" s="24">
        <f>+'Waste Stream Report'!G11</f>
        <v>452.46431972152516</v>
      </c>
      <c r="F12" s="24">
        <f>+'Waste Stream Report'!H11</f>
        <v>607.5129972570834</v>
      </c>
      <c r="G12" s="24">
        <f aca="true" t="shared" si="4" ref="G12:G20">SUM(D12:F12)</f>
        <v>1565.972396635932</v>
      </c>
      <c r="I12" s="88">
        <v>86.42</v>
      </c>
      <c r="J12" s="64">
        <f t="shared" si="0"/>
        <v>43728.09478398591</v>
      </c>
      <c r="L12" s="88">
        <v>88.89</v>
      </c>
      <c r="M12" s="89">
        <f t="shared" si="1"/>
        <v>40219.553380046375</v>
      </c>
      <c r="O12" s="88">
        <v>86.45</v>
      </c>
      <c r="P12" s="89">
        <f t="shared" si="2"/>
        <v>52519.49861287486</v>
      </c>
      <c r="R12" s="88">
        <f aca="true" t="shared" si="5" ref="R12:R20">+S12/G12</f>
        <v>87.14530796971255</v>
      </c>
      <c r="S12" s="89">
        <f aca="true" t="shared" si="6" ref="S12:S20">+P12+M12+J12</f>
        <v>136467.14677690715</v>
      </c>
    </row>
    <row r="13" spans="1:19" ht="12.75">
      <c r="A13" s="142" t="s">
        <v>3</v>
      </c>
      <c r="B13" s="90">
        <f t="shared" si="3"/>
        <v>0.00807252570634403</v>
      </c>
      <c r="D13" s="24">
        <f>+'Waste Stream Report'!F12</f>
        <v>20.167962499648173</v>
      </c>
      <c r="E13" s="24">
        <f>+'Waste Stream Report'!G12</f>
        <v>17.048378785793957</v>
      </c>
      <c r="F13" s="24">
        <f>+'Waste Stream Report'!H12</f>
        <v>14.805242036907337</v>
      </c>
      <c r="G13" s="24">
        <f t="shared" si="4"/>
        <v>52.021583322349464</v>
      </c>
      <c r="I13" s="88">
        <v>1210.7</v>
      </c>
      <c r="J13" s="64">
        <f t="shared" si="0"/>
        <v>24417.352198324043</v>
      </c>
      <c r="L13" s="88">
        <v>1128.22</v>
      </c>
      <c r="M13" s="89">
        <f t="shared" si="1"/>
        <v>19234.32191370846</v>
      </c>
      <c r="O13" s="88">
        <v>1034.97</v>
      </c>
      <c r="P13" s="89">
        <f t="shared" si="2"/>
        <v>15322.981350937987</v>
      </c>
      <c r="R13" s="88">
        <f t="shared" si="5"/>
        <v>1133.6574494001195</v>
      </c>
      <c r="S13" s="89">
        <f t="shared" si="6"/>
        <v>58974.65546297049</v>
      </c>
    </row>
    <row r="14" spans="1:19" ht="12.75">
      <c r="A14" s="142" t="s">
        <v>6</v>
      </c>
      <c r="B14" s="90">
        <f t="shared" si="3"/>
        <v>0.016541600140392194</v>
      </c>
      <c r="D14" s="24">
        <f>+'Waste Stream Report'!F13</f>
        <v>42.10200688027516</v>
      </c>
      <c r="E14" s="24">
        <f>+'Waste Stream Report'!G13</f>
        <v>34.917274731358425</v>
      </c>
      <c r="F14" s="24">
        <f>+'Waste Stream Report'!H13</f>
        <v>29.579354464822018</v>
      </c>
      <c r="G14" s="24">
        <f t="shared" si="4"/>
        <v>106.5986360764556</v>
      </c>
      <c r="I14" s="88">
        <v>48.45</v>
      </c>
      <c r="J14" s="64">
        <f t="shared" si="0"/>
        <v>2039.8422333493318</v>
      </c>
      <c r="L14" s="88">
        <v>69.7</v>
      </c>
      <c r="M14" s="89">
        <f t="shared" si="1"/>
        <v>2433.7340487756824</v>
      </c>
      <c r="O14" s="88">
        <v>59.74</v>
      </c>
      <c r="P14" s="89">
        <f t="shared" si="2"/>
        <v>1767.0706357284673</v>
      </c>
      <c r="R14" s="88">
        <f t="shared" si="5"/>
        <v>58.54340306359558</v>
      </c>
      <c r="S14" s="89">
        <f t="shared" si="6"/>
        <v>6240.646917853482</v>
      </c>
    </row>
    <row r="15" spans="1:19" ht="12.75">
      <c r="A15" s="142" t="s">
        <v>4</v>
      </c>
      <c r="B15" s="90">
        <f t="shared" si="3"/>
        <v>0.176987796572979</v>
      </c>
      <c r="D15" s="24">
        <f>+'Waste Stream Report'!F14</f>
        <v>388.5518654379333</v>
      </c>
      <c r="E15" s="24">
        <f>+'Waste Stream Report'!G14</f>
        <v>321.90098110696294</v>
      </c>
      <c r="F15" s="24">
        <f>+'Waste Stream Report'!H14</f>
        <v>430.10535560793517</v>
      </c>
      <c r="G15" s="24">
        <f t="shared" si="4"/>
        <v>1140.5582021528314</v>
      </c>
      <c r="I15" s="88">
        <v>-43.35</v>
      </c>
      <c r="J15" s="64">
        <f t="shared" si="0"/>
        <v>-16843.723366734408</v>
      </c>
      <c r="L15" s="88">
        <v>-43.35</v>
      </c>
      <c r="M15" s="89">
        <f t="shared" si="1"/>
        <v>-13954.407530986844</v>
      </c>
      <c r="O15" s="88">
        <v>-43.35</v>
      </c>
      <c r="P15" s="89">
        <f t="shared" si="2"/>
        <v>-18645.06716560399</v>
      </c>
      <c r="R15" s="88">
        <f t="shared" si="5"/>
        <v>-43.349999999999994</v>
      </c>
      <c r="S15" s="89">
        <f t="shared" si="6"/>
        <v>-49443.19806332524</v>
      </c>
    </row>
    <row r="16" spans="1:19" ht="12.75">
      <c r="A16" s="142" t="s">
        <v>5</v>
      </c>
      <c r="B16" s="90">
        <f t="shared" si="3"/>
        <v>0.009370339861404979</v>
      </c>
      <c r="D16" s="24">
        <f>+'Waste Stream Report'!F15</f>
        <v>22.09102943671399</v>
      </c>
      <c r="E16" s="24">
        <f>+'Waste Stream Report'!G15</f>
        <v>17.443414338579093</v>
      </c>
      <c r="F16" s="24">
        <f>+'Waste Stream Report'!H15</f>
        <v>20.850612103281193</v>
      </c>
      <c r="G16" s="24">
        <f t="shared" si="4"/>
        <v>60.38505587857428</v>
      </c>
      <c r="I16" s="88">
        <v>242.58</v>
      </c>
      <c r="J16" s="64">
        <f t="shared" si="0"/>
        <v>5358.841920758079</v>
      </c>
      <c r="L16" s="88">
        <v>278.4</v>
      </c>
      <c r="M16" s="89">
        <f t="shared" si="1"/>
        <v>4856.246551860419</v>
      </c>
      <c r="O16" s="88">
        <v>226.21</v>
      </c>
      <c r="P16" s="89">
        <f t="shared" si="2"/>
        <v>4716.616963883239</v>
      </c>
      <c r="R16" s="88">
        <f t="shared" si="5"/>
        <v>247.2748467191496</v>
      </c>
      <c r="S16" s="89">
        <f t="shared" si="6"/>
        <v>14931.705436501737</v>
      </c>
    </row>
    <row r="17" spans="1:19" ht="12.75">
      <c r="A17" s="142" t="s">
        <v>94</v>
      </c>
      <c r="B17" s="90">
        <f t="shared" si="3"/>
        <v>0.007547977207530088</v>
      </c>
      <c r="D17" s="24">
        <f>+'Waste Stream Report'!F16</f>
        <v>16.6450331527545</v>
      </c>
      <c r="E17" s="24">
        <f>+'Waste Stream Report'!G16</f>
        <v>17.278135758634946</v>
      </c>
      <c r="F17" s="24">
        <f>+'Waste Stream Report'!H16</f>
        <v>14.718079131727901</v>
      </c>
      <c r="G17" s="24">
        <f t="shared" si="4"/>
        <v>48.64124804311734</v>
      </c>
      <c r="I17" s="88">
        <v>83.92</v>
      </c>
      <c r="J17" s="64">
        <f t="shared" si="0"/>
        <v>1396.8511821791576</v>
      </c>
      <c r="L17" s="88">
        <v>37.16</v>
      </c>
      <c r="M17" s="89">
        <f t="shared" si="1"/>
        <v>642.0555247908745</v>
      </c>
      <c r="O17" s="88">
        <v>312.08</v>
      </c>
      <c r="P17" s="89">
        <f t="shared" si="2"/>
        <v>4593.218135429643</v>
      </c>
      <c r="R17" s="88">
        <f t="shared" si="5"/>
        <v>136.3477523545597</v>
      </c>
      <c r="S17" s="89">
        <f t="shared" si="6"/>
        <v>6632.124842399675</v>
      </c>
    </row>
    <row r="18" spans="1:19" ht="12.75">
      <c r="A18" s="142" t="s">
        <v>95</v>
      </c>
      <c r="B18" s="90">
        <f t="shared" si="3"/>
        <v>0.006209326896204113</v>
      </c>
      <c r="D18" s="24">
        <f>+'Waste Stream Report'!F17</f>
        <v>12.98820478743368</v>
      </c>
      <c r="E18" s="24">
        <f>+'Waste Stream Report'!G17</f>
        <v>12.750372555428154</v>
      </c>
      <c r="F18" s="24">
        <f>+'Waste Stream Report'!H17</f>
        <v>14.27603868403218</v>
      </c>
      <c r="G18" s="24">
        <f t="shared" si="4"/>
        <v>40.01461602689402</v>
      </c>
      <c r="I18" s="88">
        <v>287.55</v>
      </c>
      <c r="J18" s="64">
        <f t="shared" si="0"/>
        <v>3734.758286626555</v>
      </c>
      <c r="L18" s="88">
        <v>307.09</v>
      </c>
      <c r="M18" s="89">
        <f t="shared" si="1"/>
        <v>3915.5119080464315</v>
      </c>
      <c r="O18" s="88">
        <v>252.63</v>
      </c>
      <c r="P18" s="89">
        <f t="shared" si="2"/>
        <v>3606.5556527470494</v>
      </c>
      <c r="R18" s="88">
        <f t="shared" si="5"/>
        <v>281.3178524530704</v>
      </c>
      <c r="S18" s="89">
        <f t="shared" si="6"/>
        <v>11256.825847420036</v>
      </c>
    </row>
    <row r="19" spans="1:19" ht="12.75">
      <c r="A19" s="142" t="s">
        <v>96</v>
      </c>
      <c r="B19" s="90">
        <f t="shared" si="3"/>
        <v>0.0035323701002329543</v>
      </c>
      <c r="D19" s="24">
        <f>+'Waste Stream Report'!F18</f>
        <v>5.821877887249764</v>
      </c>
      <c r="E19" s="24">
        <f>+'Waste Stream Report'!G18</f>
        <v>10.871416067642048</v>
      </c>
      <c r="F19" s="24">
        <f>+'Waste Stream Report'!H18</f>
        <v>6.070273753567979</v>
      </c>
      <c r="G19" s="24">
        <f t="shared" si="4"/>
        <v>22.763567708459792</v>
      </c>
      <c r="I19" s="88">
        <v>-3.16</v>
      </c>
      <c r="J19" s="64">
        <f t="shared" si="0"/>
        <v>-18.397134123709254</v>
      </c>
      <c r="L19" s="88">
        <v>-2.18</v>
      </c>
      <c r="M19" s="89">
        <f t="shared" si="1"/>
        <v>-23.699687027459667</v>
      </c>
      <c r="O19" s="88">
        <v>30.34</v>
      </c>
      <c r="P19" s="89">
        <f t="shared" si="2"/>
        <v>184.17210568325248</v>
      </c>
      <c r="R19" s="88">
        <f t="shared" si="5"/>
        <v>6.241345221086897</v>
      </c>
      <c r="S19" s="89">
        <f t="shared" si="6"/>
        <v>142.07528453208354</v>
      </c>
    </row>
    <row r="20" spans="1:19" ht="15">
      <c r="A20" s="142" t="s">
        <v>7</v>
      </c>
      <c r="B20" s="100">
        <f t="shared" si="3"/>
        <v>0.07999999999999999</v>
      </c>
      <c r="D20" s="101">
        <f>+'Waste Stream Report'!F19</f>
        <v>186.68629977709534</v>
      </c>
      <c r="E20" s="101">
        <f>+'Waste Stream Report'!G19</f>
        <v>153.13914963954753</v>
      </c>
      <c r="F20" s="101">
        <f>+'Waste Stream Report'!H19</f>
        <v>175.71662715021677</v>
      </c>
      <c r="G20" s="101">
        <f t="shared" si="4"/>
        <v>515.5420765668596</v>
      </c>
      <c r="I20" s="110">
        <v>-69.5</v>
      </c>
      <c r="J20" s="102">
        <f t="shared" si="0"/>
        <v>-12974.697834508126</v>
      </c>
      <c r="L20" s="110">
        <v>-69.5</v>
      </c>
      <c r="M20" s="103">
        <f t="shared" si="1"/>
        <v>-10643.170899948553</v>
      </c>
      <c r="O20" s="110">
        <v>-69.5</v>
      </c>
      <c r="P20" s="103">
        <f t="shared" si="2"/>
        <v>-12212.305586940065</v>
      </c>
      <c r="R20" s="88">
        <f t="shared" si="5"/>
        <v>-69.5</v>
      </c>
      <c r="S20" s="103">
        <f t="shared" si="6"/>
        <v>-35830.17432139674</v>
      </c>
    </row>
    <row r="21" spans="2:19" ht="12.75">
      <c r="B21" s="105">
        <f>SUM(B11:B20)</f>
        <v>1</v>
      </c>
      <c r="C21" s="91"/>
      <c r="D21" s="106">
        <f>SUM(D11:D20)</f>
        <v>2333.5787472136917</v>
      </c>
      <c r="E21" s="106">
        <f>SUM(E11:E20)</f>
        <v>1914.239370494344</v>
      </c>
      <c r="F21" s="106">
        <f>SUM(F11:F20)</f>
        <v>2196.4578393777097</v>
      </c>
      <c r="G21" s="106">
        <f>SUM(G11:G20)</f>
        <v>6444.275957085745</v>
      </c>
      <c r="H21" s="106"/>
      <c r="I21" s="106"/>
      <c r="J21" s="107">
        <f>SUM(J11:J20)</f>
        <v>130852.12351066853</v>
      </c>
      <c r="L21" s="106"/>
      <c r="M21" s="107">
        <f>SUM(M11:M20)</f>
        <v>111710.94905119968</v>
      </c>
      <c r="O21" s="106"/>
      <c r="P21" s="107">
        <f>SUM(P11:P20)</f>
        <v>118302.84742383141</v>
      </c>
      <c r="R21" s="106"/>
      <c r="S21" s="107">
        <f>SUM(S11:S20)</f>
        <v>360865.91998569964</v>
      </c>
    </row>
    <row r="24" spans="1:6" ht="13.5">
      <c r="A24" s="149" t="s">
        <v>106</v>
      </c>
      <c r="B24" s="150"/>
      <c r="C24" s="150"/>
      <c r="D24" s="150"/>
      <c r="E24" s="150"/>
      <c r="F24" s="150"/>
    </row>
    <row r="26" spans="1:19" ht="12.75">
      <c r="A26" s="4"/>
      <c r="B26" s="4" t="s">
        <v>71</v>
      </c>
      <c r="C26" s="4"/>
      <c r="D26" s="203" t="s">
        <v>72</v>
      </c>
      <c r="E26" s="203"/>
      <c r="F26" s="203"/>
      <c r="G26" s="203"/>
      <c r="H26" s="4"/>
      <c r="I26" s="203" t="s">
        <v>100</v>
      </c>
      <c r="J26" s="203"/>
      <c r="K26" s="4"/>
      <c r="L26" s="203" t="s">
        <v>14</v>
      </c>
      <c r="M26" s="203"/>
      <c r="N26" s="4"/>
      <c r="O26" s="203" t="s">
        <v>103</v>
      </c>
      <c r="P26" s="203"/>
      <c r="Q26" s="4"/>
      <c r="R26" s="203" t="s">
        <v>104</v>
      </c>
      <c r="S26" s="203"/>
    </row>
    <row r="27" spans="1:19" ht="12.75">
      <c r="A27" s="87" t="s">
        <v>73</v>
      </c>
      <c r="B27" s="87" t="s">
        <v>74</v>
      </c>
      <c r="C27" s="87"/>
      <c r="D27" s="87" t="s">
        <v>100</v>
      </c>
      <c r="E27" s="87" t="s">
        <v>14</v>
      </c>
      <c r="F27" s="87" t="s">
        <v>103</v>
      </c>
      <c r="G27" s="87" t="s">
        <v>75</v>
      </c>
      <c r="H27" s="87"/>
      <c r="I27" s="87" t="s">
        <v>76</v>
      </c>
      <c r="J27" s="87" t="s">
        <v>77</v>
      </c>
      <c r="K27" s="87"/>
      <c r="L27" s="87" t="s">
        <v>76</v>
      </c>
      <c r="M27" s="87" t="s">
        <v>77</v>
      </c>
      <c r="N27" s="87"/>
      <c r="O27" s="87" t="s">
        <v>76</v>
      </c>
      <c r="P27" s="87" t="s">
        <v>77</v>
      </c>
      <c r="Q27" s="87"/>
      <c r="R27" s="87" t="s">
        <v>76</v>
      </c>
      <c r="S27" s="87" t="s">
        <v>77</v>
      </c>
    </row>
    <row r="29" spans="1:19" ht="12.75">
      <c r="A29" s="142" t="s">
        <v>2</v>
      </c>
      <c r="B29" s="90">
        <f>+G29/$G$39</f>
        <v>0.42647615309635917</v>
      </c>
      <c r="D29" s="24">
        <f>+'Waste Stream Report'!I10</f>
        <v>903.69</v>
      </c>
      <c r="E29" s="24">
        <f>+'Waste Stream Report'!J10</f>
        <v>989.78</v>
      </c>
      <c r="F29" s="24">
        <f>+'Waste Stream Report'!K10</f>
        <v>964.75</v>
      </c>
      <c r="G29" s="24">
        <f>SUM(D29:F29)</f>
        <v>2858.2200000000003</v>
      </c>
      <c r="I29" s="88">
        <v>76.23</v>
      </c>
      <c r="J29" s="99">
        <f aca="true" t="shared" si="7" ref="J29:J38">+I29*D29</f>
        <v>68888.2887</v>
      </c>
      <c r="L29" s="88">
        <v>77.77</v>
      </c>
      <c r="M29" s="99">
        <f aca="true" t="shared" si="8" ref="M29:M38">+L29*E29</f>
        <v>76975.19059999999</v>
      </c>
      <c r="O29" s="88">
        <v>76.62</v>
      </c>
      <c r="P29" s="99">
        <f aca="true" t="shared" si="9" ref="P29:P38">+O29*F29</f>
        <v>73919.145</v>
      </c>
      <c r="R29" s="88">
        <f>+S29/G29</f>
        <v>76.89492911672299</v>
      </c>
      <c r="S29" s="99">
        <f>+P29+M29+J29</f>
        <v>219782.6243</v>
      </c>
    </row>
    <row r="30" spans="1:19" ht="12.75">
      <c r="A30" s="142" t="s">
        <v>1</v>
      </c>
      <c r="B30" s="90">
        <f aca="true" t="shared" si="10" ref="B30:B38">+G30/$G$39</f>
        <v>0.2569597083261026</v>
      </c>
      <c r="D30" s="24">
        <f>+'Waste Stream Report'!I11</f>
        <v>617.23</v>
      </c>
      <c r="E30" s="24">
        <f>+'Waste Stream Report'!J11</f>
        <v>638.03</v>
      </c>
      <c r="F30" s="24">
        <f>+'Waste Stream Report'!K11</f>
        <v>466.87</v>
      </c>
      <c r="G30" s="24">
        <f aca="true" t="shared" si="11" ref="G30:G38">SUM(D30:F30)</f>
        <v>1722.13</v>
      </c>
      <c r="I30" s="88">
        <v>98.55</v>
      </c>
      <c r="J30" s="64">
        <f t="shared" si="7"/>
        <v>60828.0165</v>
      </c>
      <c r="L30" s="88">
        <v>101.07</v>
      </c>
      <c r="M30" s="89">
        <f t="shared" si="8"/>
        <v>64485.69209999999</v>
      </c>
      <c r="O30" s="88">
        <v>100.22</v>
      </c>
      <c r="P30" s="89">
        <f t="shared" si="9"/>
        <v>46789.7114</v>
      </c>
      <c r="R30" s="88">
        <f aca="true" t="shared" si="12" ref="R30:R38">+S30/G30</f>
        <v>99.93636949591493</v>
      </c>
      <c r="S30" s="89">
        <f aca="true" t="shared" si="13" ref="S30:S38">+P30+M30+J30</f>
        <v>172103.41999999998</v>
      </c>
    </row>
    <row r="31" spans="1:19" ht="12.75">
      <c r="A31" s="142" t="s">
        <v>3</v>
      </c>
      <c r="B31" s="90">
        <f t="shared" si="10"/>
        <v>0.00916599494955229</v>
      </c>
      <c r="D31" s="24">
        <f>+'Waste Stream Report'!I12</f>
        <v>20.77</v>
      </c>
      <c r="E31" s="24">
        <f>+'Waste Stream Report'!J12</f>
        <v>17.29</v>
      </c>
      <c r="F31" s="24">
        <f>+'Waste Stream Report'!K12</f>
        <v>23.37</v>
      </c>
      <c r="G31" s="24">
        <f t="shared" si="11"/>
        <v>61.43000000000001</v>
      </c>
      <c r="I31" s="88">
        <v>1176.82</v>
      </c>
      <c r="J31" s="64">
        <f t="shared" si="7"/>
        <v>24442.551399999997</v>
      </c>
      <c r="L31" s="88">
        <v>1146.77</v>
      </c>
      <c r="M31" s="89">
        <f t="shared" si="8"/>
        <v>19827.653299999998</v>
      </c>
      <c r="O31" s="88">
        <v>1152.56</v>
      </c>
      <c r="P31" s="89">
        <f t="shared" si="9"/>
        <v>26935.3272</v>
      </c>
      <c r="R31" s="88">
        <f t="shared" si="12"/>
        <v>1159.1328650496498</v>
      </c>
      <c r="S31" s="89">
        <f t="shared" si="13"/>
        <v>71205.5319</v>
      </c>
    </row>
    <row r="32" spans="1:19" ht="12.75">
      <c r="A32" s="142" t="s">
        <v>6</v>
      </c>
      <c r="B32" s="90">
        <f t="shared" si="10"/>
        <v>0.015820778845857548</v>
      </c>
      <c r="D32" s="24">
        <f>+'Waste Stream Report'!I13</f>
        <v>31.95</v>
      </c>
      <c r="E32" s="24">
        <f>+'Waste Stream Report'!J13</f>
        <v>40.99</v>
      </c>
      <c r="F32" s="24">
        <f>+'Waste Stream Report'!K13</f>
        <v>33.09</v>
      </c>
      <c r="G32" s="24">
        <f t="shared" si="11"/>
        <v>106.03</v>
      </c>
      <c r="I32" s="88">
        <v>48.27</v>
      </c>
      <c r="J32" s="64">
        <f t="shared" si="7"/>
        <v>1542.2265</v>
      </c>
      <c r="L32" s="88">
        <v>43.75</v>
      </c>
      <c r="M32" s="89">
        <f t="shared" si="8"/>
        <v>1793.3125</v>
      </c>
      <c r="O32" s="88">
        <v>45.54</v>
      </c>
      <c r="P32" s="89">
        <f t="shared" si="9"/>
        <v>1506.9186000000002</v>
      </c>
      <c r="R32" s="88">
        <f t="shared" si="12"/>
        <v>45.67063661227954</v>
      </c>
      <c r="S32" s="89">
        <f t="shared" si="13"/>
        <v>4842.4576</v>
      </c>
    </row>
    <row r="33" spans="1:19" ht="12.75">
      <c r="A33" s="142" t="s">
        <v>4</v>
      </c>
      <c r="B33" s="90">
        <f t="shared" si="10"/>
        <v>0.18164128197684318</v>
      </c>
      <c r="D33" s="24">
        <f>+'Waste Stream Report'!I14</f>
        <v>407.49</v>
      </c>
      <c r="E33" s="24">
        <f>+'Waste Stream Report'!J14</f>
        <v>379.01</v>
      </c>
      <c r="F33" s="24">
        <f>+'Waste Stream Report'!K14</f>
        <v>430.85</v>
      </c>
      <c r="G33" s="24">
        <f t="shared" si="11"/>
        <v>1217.35</v>
      </c>
      <c r="I33" s="88">
        <v>-43.35</v>
      </c>
      <c r="J33" s="64">
        <f t="shared" si="7"/>
        <v>-17664.6915</v>
      </c>
      <c r="L33" s="88">
        <v>-43.35</v>
      </c>
      <c r="M33" s="89">
        <f t="shared" si="8"/>
        <v>-16430.0835</v>
      </c>
      <c r="O33" s="88">
        <v>-43.35</v>
      </c>
      <c r="P33" s="89">
        <f t="shared" si="9"/>
        <v>-18677.3475</v>
      </c>
      <c r="R33" s="88">
        <f t="shared" si="12"/>
        <v>-43.35</v>
      </c>
      <c r="S33" s="89">
        <f t="shared" si="13"/>
        <v>-52772.1225</v>
      </c>
    </row>
    <row r="34" spans="1:19" ht="12.75">
      <c r="A34" s="142" t="s">
        <v>5</v>
      </c>
      <c r="B34" s="90">
        <f t="shared" si="10"/>
        <v>0.008710903225701816</v>
      </c>
      <c r="D34" s="24">
        <f>+'Waste Stream Report'!I15</f>
        <v>22.28</v>
      </c>
      <c r="E34" s="24">
        <f>+'Waste Stream Report'!J15</f>
        <v>17.68</v>
      </c>
      <c r="F34" s="24">
        <f>+'Waste Stream Report'!K15</f>
        <v>18.42</v>
      </c>
      <c r="G34" s="24">
        <f t="shared" si="11"/>
        <v>58.38</v>
      </c>
      <c r="I34" s="88">
        <v>130.5</v>
      </c>
      <c r="J34" s="64">
        <f t="shared" si="7"/>
        <v>2907.54</v>
      </c>
      <c r="L34" s="88">
        <v>290</v>
      </c>
      <c r="M34" s="89">
        <f t="shared" si="8"/>
        <v>5127.2</v>
      </c>
      <c r="O34" s="88">
        <v>301.07</v>
      </c>
      <c r="P34" s="89">
        <f t="shared" si="9"/>
        <v>5545.709400000001</v>
      </c>
      <c r="R34" s="88">
        <f t="shared" si="12"/>
        <v>232.6216067146283</v>
      </c>
      <c r="S34" s="89">
        <f t="shared" si="13"/>
        <v>13580.449400000001</v>
      </c>
    </row>
    <row r="35" spans="1:19" ht="12.75">
      <c r="A35" s="142" t="s">
        <v>94</v>
      </c>
      <c r="B35" s="90">
        <f t="shared" si="10"/>
        <v>0.008722840057802814</v>
      </c>
      <c r="D35" s="24">
        <f>+'Waste Stream Report'!I16</f>
        <v>19.41</v>
      </c>
      <c r="E35" s="24">
        <f>+'Waste Stream Report'!J16</f>
        <v>23.82</v>
      </c>
      <c r="F35" s="24">
        <f>+'Waste Stream Report'!K16</f>
        <v>15.23</v>
      </c>
      <c r="G35" s="24">
        <f t="shared" si="11"/>
        <v>58.46000000000001</v>
      </c>
      <c r="I35" s="88">
        <v>97.34</v>
      </c>
      <c r="J35" s="64">
        <f t="shared" si="7"/>
        <v>1889.3694</v>
      </c>
      <c r="L35" s="88">
        <v>130</v>
      </c>
      <c r="M35" s="89">
        <f t="shared" si="8"/>
        <v>3096.6</v>
      </c>
      <c r="O35" s="88">
        <v>140</v>
      </c>
      <c r="P35" s="89">
        <f t="shared" si="9"/>
        <v>2132.2000000000003</v>
      </c>
      <c r="R35" s="88">
        <f t="shared" si="12"/>
        <v>121.761365035922</v>
      </c>
      <c r="S35" s="89">
        <f t="shared" si="13"/>
        <v>7118.169400000001</v>
      </c>
    </row>
    <row r="36" spans="1:19" ht="12.75">
      <c r="A36" s="142" t="s">
        <v>95</v>
      </c>
      <c r="B36" s="90">
        <f t="shared" si="10"/>
        <v>0.004510630430163857</v>
      </c>
      <c r="D36" s="24">
        <f>+'Waste Stream Report'!I17</f>
        <v>11.85</v>
      </c>
      <c r="E36" s="24">
        <f>+'Waste Stream Report'!J17</f>
        <v>7.32</v>
      </c>
      <c r="F36" s="24">
        <f>+'Waste Stream Report'!K17</f>
        <v>11.06</v>
      </c>
      <c r="G36" s="24">
        <f t="shared" si="11"/>
        <v>30.230000000000004</v>
      </c>
      <c r="I36" s="88">
        <v>252.7</v>
      </c>
      <c r="J36" s="64">
        <f t="shared" si="7"/>
        <v>2994.495</v>
      </c>
      <c r="L36" s="88">
        <v>330</v>
      </c>
      <c r="M36" s="89">
        <f t="shared" si="8"/>
        <v>2415.6</v>
      </c>
      <c r="O36" s="88">
        <v>330</v>
      </c>
      <c r="P36" s="89">
        <f t="shared" si="9"/>
        <v>3649.8</v>
      </c>
      <c r="R36" s="88">
        <f t="shared" si="12"/>
        <v>299.69880913000327</v>
      </c>
      <c r="S36" s="89">
        <f t="shared" si="13"/>
        <v>9059.895</v>
      </c>
    </row>
    <row r="37" spans="1:19" ht="12.75">
      <c r="A37" s="142" t="s">
        <v>96</v>
      </c>
      <c r="B37" s="90">
        <f t="shared" si="10"/>
        <v>0.00799170909161681</v>
      </c>
      <c r="D37" s="24">
        <f>+'Waste Stream Report'!I18</f>
        <v>23.86</v>
      </c>
      <c r="E37" s="24">
        <f>+'Waste Stream Report'!J18</f>
        <v>10.74</v>
      </c>
      <c r="F37" s="24">
        <f>+'Waste Stream Report'!K18</f>
        <v>18.96</v>
      </c>
      <c r="G37" s="24">
        <f t="shared" si="11"/>
        <v>53.56</v>
      </c>
      <c r="I37" s="88">
        <v>7.17</v>
      </c>
      <c r="J37" s="64">
        <f t="shared" si="7"/>
        <v>171.0762</v>
      </c>
      <c r="L37" s="88">
        <v>0</v>
      </c>
      <c r="M37" s="89">
        <f t="shared" si="8"/>
        <v>0</v>
      </c>
      <c r="O37" s="88">
        <v>0</v>
      </c>
      <c r="P37" s="89">
        <f t="shared" si="9"/>
        <v>0</v>
      </c>
      <c r="R37" s="88">
        <f t="shared" si="12"/>
        <v>3.1941038088125464</v>
      </c>
      <c r="S37" s="89">
        <f t="shared" si="13"/>
        <v>171.0762</v>
      </c>
    </row>
    <row r="38" spans="1:19" ht="15">
      <c r="A38" s="142" t="s">
        <v>7</v>
      </c>
      <c r="B38" s="100">
        <f t="shared" si="10"/>
        <v>0.08</v>
      </c>
      <c r="D38" s="101">
        <f>+'Waste Stream Report'!I19</f>
        <v>179.0026086956522</v>
      </c>
      <c r="E38" s="101">
        <f>+'Waste Stream Report'!J19</f>
        <v>184.75304347826085</v>
      </c>
      <c r="F38" s="101">
        <f>+'Waste Stream Report'!K19</f>
        <v>172.4</v>
      </c>
      <c r="G38" s="101">
        <f t="shared" si="11"/>
        <v>536.155652173913</v>
      </c>
      <c r="I38" s="110">
        <v>-69.5</v>
      </c>
      <c r="J38" s="102">
        <f t="shared" si="7"/>
        <v>-12440.681304347829</v>
      </c>
      <c r="L38" s="110">
        <v>-69.5</v>
      </c>
      <c r="M38" s="103">
        <f t="shared" si="8"/>
        <v>-12840.33652173913</v>
      </c>
      <c r="O38" s="110">
        <v>-69.5</v>
      </c>
      <c r="P38" s="103">
        <f t="shared" si="9"/>
        <v>-11981.800000000001</v>
      </c>
      <c r="R38" s="88">
        <f t="shared" si="12"/>
        <v>-69.50000000000001</v>
      </c>
      <c r="S38" s="103">
        <f t="shared" si="13"/>
        <v>-37262.81782608696</v>
      </c>
    </row>
    <row r="39" spans="2:19" ht="12.75">
      <c r="B39" s="105">
        <f>SUM(B29:B38)</f>
        <v>1</v>
      </c>
      <c r="C39" s="91"/>
      <c r="D39" s="106">
        <f>SUM(D29:D38)</f>
        <v>2237.5326086956525</v>
      </c>
      <c r="E39" s="106">
        <f>SUM(E29:E38)</f>
        <v>2309.4130434782605</v>
      </c>
      <c r="F39" s="106">
        <f>SUM(F29:F38)</f>
        <v>2155</v>
      </c>
      <c r="G39" s="106">
        <f>SUM(G29:G38)</f>
        <v>6701.945652173913</v>
      </c>
      <c r="H39" s="106"/>
      <c r="I39" s="106"/>
      <c r="J39" s="107">
        <f>SUM(J29:J38)</f>
        <v>133558.19089565217</v>
      </c>
      <c r="L39" s="106"/>
      <c r="M39" s="107">
        <f>SUM(M29:M38)</f>
        <v>144450.82847826087</v>
      </c>
      <c r="O39" s="106"/>
      <c r="P39" s="107">
        <f>SUM(P29:P38)</f>
        <v>129819.66409999998</v>
      </c>
      <c r="R39" s="106"/>
      <c r="S39" s="107">
        <f>SUM(S29:S38)</f>
        <v>407828.68347391306</v>
      </c>
    </row>
    <row r="42" spans="1:6" ht="13.5">
      <c r="A42" s="149" t="s">
        <v>110</v>
      </c>
      <c r="B42" s="150"/>
      <c r="C42" s="150"/>
      <c r="D42" s="150"/>
      <c r="E42" s="150"/>
      <c r="F42" s="150"/>
    </row>
    <row r="44" spans="1:19" ht="12.75">
      <c r="A44" s="4"/>
      <c r="B44" s="4" t="s">
        <v>71</v>
      </c>
      <c r="C44" s="4"/>
      <c r="D44" s="203" t="s">
        <v>72</v>
      </c>
      <c r="E44" s="203"/>
      <c r="F44" s="203"/>
      <c r="G44" s="203"/>
      <c r="H44" s="4"/>
      <c r="I44" s="203" t="s">
        <v>16</v>
      </c>
      <c r="J44" s="203"/>
      <c r="K44" s="4"/>
      <c r="L44" s="203" t="s">
        <v>92</v>
      </c>
      <c r="M44" s="203"/>
      <c r="N44" s="4"/>
      <c r="O44" s="203" t="s">
        <v>93</v>
      </c>
      <c r="P44" s="203"/>
      <c r="Q44" s="4"/>
      <c r="R44" s="203" t="s">
        <v>113</v>
      </c>
      <c r="S44" s="203"/>
    </row>
    <row r="45" spans="1:19" ht="12.75">
      <c r="A45" s="87" t="s">
        <v>73</v>
      </c>
      <c r="B45" s="87" t="s">
        <v>74</v>
      </c>
      <c r="C45" s="87"/>
      <c r="D45" s="87" t="s">
        <v>16</v>
      </c>
      <c r="E45" s="87" t="s">
        <v>92</v>
      </c>
      <c r="F45" s="87" t="s">
        <v>111</v>
      </c>
      <c r="G45" s="87" t="s">
        <v>75</v>
      </c>
      <c r="H45" s="87"/>
      <c r="I45" s="87" t="s">
        <v>76</v>
      </c>
      <c r="J45" s="87" t="s">
        <v>77</v>
      </c>
      <c r="K45" s="87"/>
      <c r="L45" s="87" t="s">
        <v>76</v>
      </c>
      <c r="M45" s="87" t="s">
        <v>77</v>
      </c>
      <c r="N45" s="87"/>
      <c r="O45" s="87" t="s">
        <v>76</v>
      </c>
      <c r="P45" s="87" t="s">
        <v>77</v>
      </c>
      <c r="Q45" s="87"/>
      <c r="R45" s="87" t="s">
        <v>76</v>
      </c>
      <c r="S45" s="87" t="s">
        <v>77</v>
      </c>
    </row>
    <row r="47" spans="1:19" ht="12.75">
      <c r="A47" s="142" t="s">
        <v>2</v>
      </c>
      <c r="B47" s="90">
        <f>+G47/$G$57</f>
        <v>0.40210030197169755</v>
      </c>
      <c r="D47" s="24">
        <f>+'Waste Stream Report'!L10</f>
        <v>1002.88</v>
      </c>
      <c r="E47" s="24">
        <f>+'Waste Stream Report'!M10</f>
        <v>976.6700000000001</v>
      </c>
      <c r="F47" s="24">
        <f>+'Waste Stream Report'!N10</f>
        <v>973.0899999999999</v>
      </c>
      <c r="G47" s="24">
        <f>SUM(D47:F47)</f>
        <v>2952.6400000000003</v>
      </c>
      <c r="I47" s="88">
        <v>76.07</v>
      </c>
      <c r="J47" s="99">
        <f aca="true" t="shared" si="14" ref="J47:J56">+I47*D47</f>
        <v>76289.08159999999</v>
      </c>
      <c r="L47" s="88">
        <v>73.4</v>
      </c>
      <c r="M47" s="99">
        <f aca="true" t="shared" si="15" ref="M47:M56">+L47*E47</f>
        <v>71687.57800000001</v>
      </c>
      <c r="O47" s="88">
        <v>71.47</v>
      </c>
      <c r="P47" s="99">
        <f aca="true" t="shared" si="16" ref="P47:P56">+O47*F47</f>
        <v>69546.7423</v>
      </c>
      <c r="R47" s="88">
        <f>+S47/G47</f>
        <v>73.67081726861385</v>
      </c>
      <c r="S47" s="99">
        <f>+P47+M47+J47</f>
        <v>217523.4019</v>
      </c>
    </row>
    <row r="48" spans="1:19" ht="12.75">
      <c r="A48" s="142" t="s">
        <v>1</v>
      </c>
      <c r="B48" s="90">
        <f aca="true" t="shared" si="17" ref="B48:B56">+G48/$G$57</f>
        <v>0.2756064302208538</v>
      </c>
      <c r="D48" s="24">
        <f>+'Waste Stream Report'!L11</f>
        <v>558.07</v>
      </c>
      <c r="E48" s="24">
        <f>+'Waste Stream Report'!M11</f>
        <v>730.25</v>
      </c>
      <c r="F48" s="24">
        <f>+'Waste Stream Report'!N11</f>
        <v>735.47</v>
      </c>
      <c r="G48" s="24">
        <f aca="true" t="shared" si="18" ref="G48:G56">SUM(D48:F48)</f>
        <v>2023.7900000000002</v>
      </c>
      <c r="I48" s="88">
        <v>101.06</v>
      </c>
      <c r="J48" s="64">
        <f t="shared" si="14"/>
        <v>56398.554200000006</v>
      </c>
      <c r="L48" s="88">
        <v>98.97</v>
      </c>
      <c r="M48" s="89">
        <f t="shared" si="15"/>
        <v>72272.8425</v>
      </c>
      <c r="O48" s="88">
        <v>96.62</v>
      </c>
      <c r="P48" s="89">
        <f t="shared" si="16"/>
        <v>71061.11140000001</v>
      </c>
      <c r="R48" s="88">
        <f aca="true" t="shared" si="19" ref="R48:R56">+S48/G48</f>
        <v>98.69230903404011</v>
      </c>
      <c r="S48" s="89">
        <f aca="true" t="shared" si="20" ref="S48:S56">+P48+M48+J48</f>
        <v>199732.50810000004</v>
      </c>
    </row>
    <row r="49" spans="1:19" ht="12.75">
      <c r="A49" s="142" t="s">
        <v>3</v>
      </c>
      <c r="B49" s="90">
        <f t="shared" si="17"/>
        <v>0.009204630232695837</v>
      </c>
      <c r="D49" s="24">
        <f>+'Waste Stream Report'!L12</f>
        <v>23.87</v>
      </c>
      <c r="E49" s="24">
        <f>+'Waste Stream Report'!M12</f>
        <v>24.88</v>
      </c>
      <c r="F49" s="24">
        <f>+'Waste Stream Report'!N12</f>
        <v>18.84</v>
      </c>
      <c r="G49" s="24">
        <f t="shared" si="18"/>
        <v>67.59</v>
      </c>
      <c r="I49" s="88">
        <v>1225.08</v>
      </c>
      <c r="J49" s="64">
        <f t="shared" si="14"/>
        <v>29242.6596</v>
      </c>
      <c r="L49" s="88">
        <v>1191.3</v>
      </c>
      <c r="M49" s="89">
        <f t="shared" si="15"/>
        <v>29639.543999999998</v>
      </c>
      <c r="O49" s="88">
        <v>959.82</v>
      </c>
      <c r="P49" s="89">
        <f t="shared" si="16"/>
        <v>18083.0088</v>
      </c>
      <c r="R49" s="88">
        <f t="shared" si="19"/>
        <v>1138.7070927652017</v>
      </c>
      <c r="S49" s="89">
        <f t="shared" si="20"/>
        <v>76965.21239999999</v>
      </c>
    </row>
    <row r="50" spans="1:19" ht="12.75">
      <c r="A50" s="142" t="s">
        <v>6</v>
      </c>
      <c r="B50" s="90">
        <f t="shared" si="17"/>
        <v>0.01341405648647048</v>
      </c>
      <c r="D50" s="24">
        <f>+'Waste Stream Report'!L13</f>
        <v>31.46</v>
      </c>
      <c r="E50" s="24">
        <f>+'Waste Stream Report'!M13</f>
        <v>32.46</v>
      </c>
      <c r="F50" s="24">
        <f>+'Waste Stream Report'!N13</f>
        <v>34.58</v>
      </c>
      <c r="G50" s="24">
        <f t="shared" si="18"/>
        <v>98.5</v>
      </c>
      <c r="I50" s="88">
        <v>67.86</v>
      </c>
      <c r="J50" s="64">
        <f t="shared" si="14"/>
        <v>2134.8756</v>
      </c>
      <c r="L50" s="88">
        <v>90.18</v>
      </c>
      <c r="M50" s="89">
        <f t="shared" si="15"/>
        <v>2927.2428000000004</v>
      </c>
      <c r="O50" s="88">
        <v>72.32</v>
      </c>
      <c r="P50" s="89">
        <f t="shared" si="16"/>
        <v>2500.8255999999997</v>
      </c>
      <c r="R50" s="88">
        <f t="shared" si="19"/>
        <v>76.78115736040608</v>
      </c>
      <c r="S50" s="89">
        <f t="shared" si="20"/>
        <v>7562.9439999999995</v>
      </c>
    </row>
    <row r="51" spans="1:19" ht="12.75">
      <c r="A51" s="142" t="s">
        <v>4</v>
      </c>
      <c r="B51" s="90">
        <f t="shared" si="17"/>
        <v>0.19815761738409612</v>
      </c>
      <c r="D51" s="24">
        <f>+'Waste Stream Report'!L14</f>
        <v>506.86</v>
      </c>
      <c r="E51" s="24">
        <f>+'Waste Stream Report'!M14</f>
        <v>542.36</v>
      </c>
      <c r="F51" s="24">
        <f>+'Waste Stream Report'!N14</f>
        <v>405.86</v>
      </c>
      <c r="G51" s="24">
        <f t="shared" si="18"/>
        <v>1455.08</v>
      </c>
      <c r="I51" s="88">
        <v>-43.35</v>
      </c>
      <c r="J51" s="64">
        <f t="shared" si="14"/>
        <v>-21972.381</v>
      </c>
      <c r="L51" s="88">
        <v>-53.04</v>
      </c>
      <c r="M51" s="89">
        <f t="shared" si="15"/>
        <v>-28766.774400000002</v>
      </c>
      <c r="O51" s="88">
        <v>-53.04</v>
      </c>
      <c r="P51" s="89">
        <f t="shared" si="16"/>
        <v>-21526.8144</v>
      </c>
      <c r="R51" s="88">
        <f t="shared" si="19"/>
        <v>-49.664602496082686</v>
      </c>
      <c r="S51" s="89">
        <f t="shared" si="20"/>
        <v>-72265.96979999999</v>
      </c>
    </row>
    <row r="52" spans="1:19" ht="12.75">
      <c r="A52" s="142" t="s">
        <v>5</v>
      </c>
      <c r="B52" s="90">
        <f t="shared" si="17"/>
        <v>0.0063012019657765405</v>
      </c>
      <c r="D52" s="24">
        <f>+'Waste Stream Report'!L15</f>
        <v>18.44</v>
      </c>
      <c r="E52" s="24">
        <f>+'Waste Stream Report'!M15</f>
        <v>19.19</v>
      </c>
      <c r="F52" s="24">
        <f>+'Waste Stream Report'!N15</f>
        <v>8.64</v>
      </c>
      <c r="G52" s="24">
        <f t="shared" si="18"/>
        <v>46.27</v>
      </c>
      <c r="I52" s="88">
        <v>316.84</v>
      </c>
      <c r="J52" s="64">
        <f t="shared" si="14"/>
        <v>5842.5296</v>
      </c>
      <c r="L52" s="88">
        <v>296.58</v>
      </c>
      <c r="M52" s="89">
        <f t="shared" si="15"/>
        <v>5691.3702</v>
      </c>
      <c r="O52" s="88">
        <v>335.46</v>
      </c>
      <c r="P52" s="89">
        <f t="shared" si="16"/>
        <v>2898.3744</v>
      </c>
      <c r="R52" s="88">
        <f t="shared" si="19"/>
        <v>311.91429003674085</v>
      </c>
      <c r="S52" s="89">
        <f t="shared" si="20"/>
        <v>14432.2742</v>
      </c>
    </row>
    <row r="53" spans="1:19" ht="12.75">
      <c r="A53" s="142" t="s">
        <v>94</v>
      </c>
      <c r="B53" s="90">
        <f t="shared" si="17"/>
        <v>0.0072885309965066</v>
      </c>
      <c r="D53" s="24">
        <f>+'Waste Stream Report'!L16</f>
        <v>18.88</v>
      </c>
      <c r="E53" s="24">
        <f>+'Waste Stream Report'!M16</f>
        <v>18.24</v>
      </c>
      <c r="F53" s="24">
        <f>+'Waste Stream Report'!N16</f>
        <v>16.4</v>
      </c>
      <c r="G53" s="24">
        <f t="shared" si="18"/>
        <v>53.519999999999996</v>
      </c>
      <c r="I53" s="88">
        <v>120</v>
      </c>
      <c r="J53" s="64">
        <f t="shared" si="14"/>
        <v>2265.6</v>
      </c>
      <c r="L53" s="88">
        <v>126.03</v>
      </c>
      <c r="M53" s="89">
        <f t="shared" si="15"/>
        <v>2298.7871999999998</v>
      </c>
      <c r="O53" s="88">
        <v>162.6</v>
      </c>
      <c r="P53" s="89">
        <f t="shared" si="16"/>
        <v>2666.64</v>
      </c>
      <c r="R53" s="88">
        <f t="shared" si="19"/>
        <v>135.10887892376684</v>
      </c>
      <c r="S53" s="89">
        <f t="shared" si="20"/>
        <v>7231.0272</v>
      </c>
    </row>
    <row r="54" spans="1:19" ht="12.75">
      <c r="A54" s="142" t="s">
        <v>95</v>
      </c>
      <c r="B54" s="90">
        <f t="shared" si="17"/>
        <v>0.003988809284149446</v>
      </c>
      <c r="D54" s="24">
        <f>+'Waste Stream Report'!L17</f>
        <v>8.9</v>
      </c>
      <c r="E54" s="24">
        <f>+'Waste Stream Report'!M17</f>
        <v>10.19</v>
      </c>
      <c r="F54" s="24">
        <f>+'Waste Stream Report'!N17</f>
        <v>10.2</v>
      </c>
      <c r="G54" s="24">
        <f t="shared" si="18"/>
        <v>29.29</v>
      </c>
      <c r="I54" s="88">
        <v>330</v>
      </c>
      <c r="J54" s="64">
        <f t="shared" si="14"/>
        <v>2937</v>
      </c>
      <c r="L54" s="88">
        <v>354.95</v>
      </c>
      <c r="M54" s="89">
        <f t="shared" si="15"/>
        <v>3616.9404999999997</v>
      </c>
      <c r="O54" s="88">
        <v>353.39</v>
      </c>
      <c r="P54" s="89">
        <f t="shared" si="16"/>
        <v>3604.5779999999995</v>
      </c>
      <c r="R54" s="88">
        <f t="shared" si="19"/>
        <v>346.82548651416863</v>
      </c>
      <c r="S54" s="89">
        <f t="shared" si="20"/>
        <v>10158.518499999998</v>
      </c>
    </row>
    <row r="55" spans="1:19" ht="12.75">
      <c r="A55" s="142" t="s">
        <v>96</v>
      </c>
      <c r="B55" s="90">
        <f t="shared" si="17"/>
        <v>0.003938421457753567</v>
      </c>
      <c r="D55" s="24">
        <f>+'Waste Stream Report'!L18</f>
        <v>0</v>
      </c>
      <c r="E55" s="24">
        <f>+'Waste Stream Report'!M18</f>
        <v>15.4</v>
      </c>
      <c r="F55" s="24">
        <f>+'Waste Stream Report'!N18</f>
        <v>13.52</v>
      </c>
      <c r="G55" s="24">
        <f t="shared" si="18"/>
        <v>28.92</v>
      </c>
      <c r="I55" s="88">
        <v>0</v>
      </c>
      <c r="J55" s="64">
        <f t="shared" si="14"/>
        <v>0</v>
      </c>
      <c r="L55" s="88">
        <v>0</v>
      </c>
      <c r="M55" s="89">
        <f t="shared" si="15"/>
        <v>0</v>
      </c>
      <c r="O55" s="88">
        <v>0</v>
      </c>
      <c r="P55" s="89">
        <f t="shared" si="16"/>
        <v>0</v>
      </c>
      <c r="R55" s="88">
        <f t="shared" si="19"/>
        <v>0</v>
      </c>
      <c r="S55" s="89">
        <f t="shared" si="20"/>
        <v>0</v>
      </c>
    </row>
    <row r="56" spans="1:19" ht="15">
      <c r="A56" s="142" t="s">
        <v>7</v>
      </c>
      <c r="B56" s="100">
        <f t="shared" si="17"/>
        <v>0.07999999999999999</v>
      </c>
      <c r="D56" s="101">
        <f>+'Waste Stream Report'!L19</f>
        <v>188.64000000000001</v>
      </c>
      <c r="E56" s="101">
        <f>+'Waste Stream Report'!M19</f>
        <v>206.05565217391307</v>
      </c>
      <c r="F56" s="101">
        <f>+'Waste Stream Report'!N19</f>
        <v>192.74782608695648</v>
      </c>
      <c r="G56" s="101">
        <f t="shared" si="18"/>
        <v>587.4434782608696</v>
      </c>
      <c r="I56" s="110">
        <v>-69.5</v>
      </c>
      <c r="J56" s="102">
        <f t="shared" si="14"/>
        <v>-13110.480000000001</v>
      </c>
      <c r="L56" s="110">
        <v>-69.5</v>
      </c>
      <c r="M56" s="103">
        <f t="shared" si="15"/>
        <v>-14320.867826086958</v>
      </c>
      <c r="O56" s="110">
        <v>-69.5</v>
      </c>
      <c r="P56" s="103">
        <f t="shared" si="16"/>
        <v>-13395.973913043475</v>
      </c>
      <c r="R56" s="88">
        <f t="shared" si="19"/>
        <v>-69.5</v>
      </c>
      <c r="S56" s="103">
        <f t="shared" si="20"/>
        <v>-40827.321739130435</v>
      </c>
    </row>
    <row r="57" spans="2:19" ht="12.75">
      <c r="B57" s="105">
        <f>SUM(B47:B56)</f>
        <v>0.9999999999999999</v>
      </c>
      <c r="C57" s="91"/>
      <c r="D57" s="106">
        <f>SUM(D47:D56)</f>
        <v>2358</v>
      </c>
      <c r="E57" s="106">
        <f>SUM(E47:E56)</f>
        <v>2575.6956521739135</v>
      </c>
      <c r="F57" s="106">
        <f>SUM(F47:F56)</f>
        <v>2409.347826086956</v>
      </c>
      <c r="G57" s="106">
        <f>SUM(G47:G56)</f>
        <v>7343.043478260871</v>
      </c>
      <c r="H57" s="106"/>
      <c r="I57" s="106"/>
      <c r="J57" s="107">
        <f>SUM(J47:J56)</f>
        <v>140027.4396</v>
      </c>
      <c r="L57" s="106"/>
      <c r="M57" s="107">
        <f>SUM(M47:M56)</f>
        <v>145046.66297391304</v>
      </c>
      <c r="O57" s="106"/>
      <c r="P57" s="107">
        <f>SUM(P47:P56)</f>
        <v>135438.49218695657</v>
      </c>
      <c r="R57" s="106"/>
      <c r="S57" s="107">
        <f>SUM(S47:S56)</f>
        <v>420512.59476086963</v>
      </c>
    </row>
    <row r="60" spans="1:6" ht="13.5">
      <c r="A60" s="149" t="s">
        <v>112</v>
      </c>
      <c r="B60" s="150"/>
      <c r="C60" s="150"/>
      <c r="D60" s="150"/>
      <c r="E60" s="150"/>
      <c r="F60" s="150"/>
    </row>
    <row r="62" spans="1:19" ht="12.75">
      <c r="A62" s="4"/>
      <c r="B62" s="4" t="s">
        <v>71</v>
      </c>
      <c r="C62" s="4"/>
      <c r="D62" s="203" t="s">
        <v>72</v>
      </c>
      <c r="E62" s="203"/>
      <c r="F62" s="203"/>
      <c r="G62" s="203"/>
      <c r="H62" s="4"/>
      <c r="I62" s="203" t="s">
        <v>83</v>
      </c>
      <c r="J62" s="203"/>
      <c r="K62" s="4"/>
      <c r="L62" s="203" t="s">
        <v>84</v>
      </c>
      <c r="M62" s="203"/>
      <c r="N62" s="4"/>
      <c r="O62" s="203" t="s">
        <v>85</v>
      </c>
      <c r="P62" s="203"/>
      <c r="Q62" s="4"/>
      <c r="R62" s="203" t="s">
        <v>114</v>
      </c>
      <c r="S62" s="203"/>
    </row>
    <row r="63" spans="1:19" ht="12.75">
      <c r="A63" s="87" t="s">
        <v>73</v>
      </c>
      <c r="B63" s="87" t="s">
        <v>74</v>
      </c>
      <c r="C63" s="87"/>
      <c r="D63" s="87" t="s">
        <v>16</v>
      </c>
      <c r="E63" s="87" t="s">
        <v>92</v>
      </c>
      <c r="F63" s="87" t="s">
        <v>111</v>
      </c>
      <c r="G63" s="87" t="s">
        <v>75</v>
      </c>
      <c r="H63" s="87"/>
      <c r="I63" s="87" t="s">
        <v>76</v>
      </c>
      <c r="J63" s="87" t="s">
        <v>77</v>
      </c>
      <c r="K63" s="87"/>
      <c r="L63" s="87" t="s">
        <v>76</v>
      </c>
      <c r="M63" s="87" t="s">
        <v>77</v>
      </c>
      <c r="N63" s="87"/>
      <c r="O63" s="87" t="s">
        <v>76</v>
      </c>
      <c r="P63" s="87" t="s">
        <v>77</v>
      </c>
      <c r="Q63" s="87"/>
      <c r="R63" s="87" t="s">
        <v>76</v>
      </c>
      <c r="S63" s="87" t="s">
        <v>77</v>
      </c>
    </row>
    <row r="65" spans="1:19" ht="12.75">
      <c r="A65" s="142" t="s">
        <v>2</v>
      </c>
      <c r="B65" s="90">
        <f>+G65/$G$75</f>
        <v>0.39699639948580295</v>
      </c>
      <c r="D65" s="24">
        <f>+'Waste Stream Report'!O10</f>
        <v>979.05</v>
      </c>
      <c r="E65" s="24">
        <f>+'Waste Stream Report'!P10</f>
        <v>979.26</v>
      </c>
      <c r="F65" s="24">
        <f>+'Waste Stream Report'!Q10</f>
        <v>1147.59</v>
      </c>
      <c r="G65" s="24">
        <f>SUM(D65:F65)</f>
        <v>3105.8999999999996</v>
      </c>
      <c r="I65" s="88">
        <v>72.66</v>
      </c>
      <c r="J65" s="99">
        <f aca="true" t="shared" si="21" ref="J65:J74">+I65*D65</f>
        <v>71137.77299999999</v>
      </c>
      <c r="L65" s="88">
        <v>76.01</v>
      </c>
      <c r="M65" s="99">
        <f aca="true" t="shared" si="22" ref="M65:M74">+L65*E65</f>
        <v>74433.55260000001</v>
      </c>
      <c r="O65" s="88">
        <v>78.03</v>
      </c>
      <c r="P65" s="99">
        <f aca="true" t="shared" si="23" ref="P65:P74">+O65*F65</f>
        <v>89546.44769999999</v>
      </c>
      <c r="R65" s="88">
        <f>+S65/G65</f>
        <v>75.70036810586305</v>
      </c>
      <c r="S65" s="99">
        <f>+P65+M65+J65</f>
        <v>235117.7733</v>
      </c>
    </row>
    <row r="66" spans="1:19" ht="12.75">
      <c r="A66" s="142" t="s">
        <v>1</v>
      </c>
      <c r="B66" s="90">
        <f aca="true" t="shared" si="24" ref="B66:B74">+G66/$G$75</f>
        <v>0.3235274069864917</v>
      </c>
      <c r="D66" s="24">
        <f>+'Waste Stream Report'!O11</f>
        <v>781.4450682097709</v>
      </c>
      <c r="E66" s="24">
        <f>+'Waste Stream Report'!P11</f>
        <v>831.8566674780822</v>
      </c>
      <c r="F66" s="24">
        <f>+'Waste Stream Report'!Q11</f>
        <v>917.8138478812584</v>
      </c>
      <c r="G66" s="24">
        <f aca="true" t="shared" si="25" ref="G66:G74">SUM(D66:F66)</f>
        <v>2531.1155835691115</v>
      </c>
      <c r="I66" s="88">
        <v>96.59</v>
      </c>
      <c r="J66" s="64">
        <f t="shared" si="21"/>
        <v>75479.77913838177</v>
      </c>
      <c r="L66" s="88">
        <v>98.54</v>
      </c>
      <c r="M66" s="89">
        <f t="shared" si="22"/>
        <v>81971.15601329022</v>
      </c>
      <c r="O66" s="88">
        <v>101.03</v>
      </c>
      <c r="P66" s="89">
        <f t="shared" si="23"/>
        <v>92726.73305144355</v>
      </c>
      <c r="R66" s="88">
        <f aca="true" t="shared" si="26" ref="R66:R74">+S66/G66</f>
        <v>98.84087073192502</v>
      </c>
      <c r="S66" s="89">
        <f aca="true" t="shared" si="27" ref="S66:S74">+P66+M66+J66</f>
        <v>250177.66820311552</v>
      </c>
    </row>
    <row r="67" spans="1:19" ht="12.75">
      <c r="A67" s="142" t="s">
        <v>3</v>
      </c>
      <c r="B67" s="90">
        <f t="shared" si="24"/>
        <v>0.009909833842167863</v>
      </c>
      <c r="D67" s="24">
        <f>+'Waste Stream Report'!O12</f>
        <v>22.455318052004912</v>
      </c>
      <c r="E67" s="24">
        <f>+'Waste Stream Report'!P12</f>
        <v>28.692691729424816</v>
      </c>
      <c r="F67" s="24">
        <f>+'Waste Stream Report'!Q12</f>
        <v>26.381542048900783</v>
      </c>
      <c r="G67" s="24">
        <f t="shared" si="25"/>
        <v>77.52955183033052</v>
      </c>
      <c r="I67" s="88">
        <v>1143.93</v>
      </c>
      <c r="J67" s="64">
        <f t="shared" si="21"/>
        <v>25687.31197922998</v>
      </c>
      <c r="L67" s="88">
        <v>1057</v>
      </c>
      <c r="M67" s="89">
        <f t="shared" si="22"/>
        <v>30328.175158002032</v>
      </c>
      <c r="O67" s="88">
        <v>1057</v>
      </c>
      <c r="P67" s="89">
        <f t="shared" si="23"/>
        <v>27885.289945688128</v>
      </c>
      <c r="R67" s="88">
        <f t="shared" si="26"/>
        <v>1082.178022472421</v>
      </c>
      <c r="S67" s="89">
        <f t="shared" si="27"/>
        <v>83900.77708292015</v>
      </c>
    </row>
    <row r="68" spans="1:19" ht="12.75">
      <c r="A68" s="142" t="s">
        <v>6</v>
      </c>
      <c r="B68" s="90">
        <f t="shared" si="24"/>
        <v>0.015091488195113191</v>
      </c>
      <c r="D68" s="24">
        <f>+'Waste Stream Report'!O13</f>
        <v>35.928508883207854</v>
      </c>
      <c r="E68" s="24">
        <f>+'Waste Stream Report'!P13</f>
        <v>38.873969439865874</v>
      </c>
      <c r="F68" s="24">
        <f>+'Waste Stream Report'!Q13</f>
        <v>43.26572896019729</v>
      </c>
      <c r="G68" s="24">
        <f t="shared" si="25"/>
        <v>118.06820728327102</v>
      </c>
      <c r="I68" s="88">
        <v>70.2</v>
      </c>
      <c r="J68" s="64">
        <f t="shared" si="21"/>
        <v>2522.1813236011913</v>
      </c>
      <c r="L68" s="88">
        <v>69.32</v>
      </c>
      <c r="M68" s="89">
        <f t="shared" si="22"/>
        <v>2694.743561571502</v>
      </c>
      <c r="O68" s="88">
        <v>47</v>
      </c>
      <c r="P68" s="89">
        <f t="shared" si="23"/>
        <v>2033.4892611292728</v>
      </c>
      <c r="R68" s="88">
        <f t="shared" si="26"/>
        <v>61.408691748039026</v>
      </c>
      <c r="S68" s="89">
        <f t="shared" si="27"/>
        <v>7250.414146301966</v>
      </c>
    </row>
    <row r="69" spans="1:19" ht="12.75">
      <c r="A69" s="142" t="s">
        <v>4</v>
      </c>
      <c r="B69" s="90">
        <f t="shared" si="24"/>
        <v>0.15265821665503806</v>
      </c>
      <c r="D69" s="24">
        <f>+'Waste Stream Report'!O14</f>
        <v>374.3301519269218</v>
      </c>
      <c r="E69" s="24">
        <f>+'Waste Stream Report'!P14</f>
        <v>379.9467727396416</v>
      </c>
      <c r="F69" s="24">
        <f>+'Waste Stream Report'!Q14</f>
        <v>440.04412137566516</v>
      </c>
      <c r="G69" s="24">
        <f t="shared" si="25"/>
        <v>1194.3210460422285</v>
      </c>
      <c r="I69" s="88">
        <v>-53.04</v>
      </c>
      <c r="J69" s="64">
        <f t="shared" si="21"/>
        <v>-19854.471258203932</v>
      </c>
      <c r="L69" s="88">
        <v>-53.04</v>
      </c>
      <c r="M69" s="89">
        <f t="shared" si="22"/>
        <v>-20152.376826110587</v>
      </c>
      <c r="O69" s="88">
        <v>-53.04</v>
      </c>
      <c r="P69" s="89">
        <f t="shared" si="23"/>
        <v>-23339.940197765278</v>
      </c>
      <c r="R69" s="88">
        <f t="shared" si="26"/>
        <v>-53.04</v>
      </c>
      <c r="S69" s="89">
        <f t="shared" si="27"/>
        <v>-63346.7882820798</v>
      </c>
    </row>
    <row r="70" spans="1:19" ht="12.75">
      <c r="A70" s="142" t="s">
        <v>5</v>
      </c>
      <c r="B70" s="90">
        <f t="shared" si="24"/>
        <v>0.007295176609979047</v>
      </c>
      <c r="D70" s="24">
        <f>+'Waste Stream Report'!O15</f>
        <v>17.290594900043782</v>
      </c>
      <c r="E70" s="24">
        <f>+'Waste Stream Report'!P15</f>
        <v>19.205592044695642</v>
      </c>
      <c r="F70" s="24">
        <f>+'Waste Stream Report'!Q15</f>
        <v>20.57760279814261</v>
      </c>
      <c r="G70" s="24">
        <f t="shared" si="25"/>
        <v>57.07378974288203</v>
      </c>
      <c r="I70" s="88">
        <v>350.46</v>
      </c>
      <c r="J70" s="64">
        <f t="shared" si="21"/>
        <v>6059.661888669343</v>
      </c>
      <c r="L70" s="88">
        <v>378.28</v>
      </c>
      <c r="M70" s="89">
        <f t="shared" si="22"/>
        <v>7265.091358667467</v>
      </c>
      <c r="O70" s="88">
        <v>334.78</v>
      </c>
      <c r="P70" s="89">
        <f t="shared" si="23"/>
        <v>6888.969864762183</v>
      </c>
      <c r="R70" s="88">
        <f t="shared" si="26"/>
        <v>354.16823034114276</v>
      </c>
      <c r="S70" s="89">
        <f t="shared" si="27"/>
        <v>20213.723112098993</v>
      </c>
    </row>
    <row r="71" spans="1:19" ht="12.75">
      <c r="A71" s="142" t="s">
        <v>94</v>
      </c>
      <c r="B71" s="90">
        <f t="shared" si="24"/>
        <v>0.005270157400709555</v>
      </c>
      <c r="D71" s="24">
        <f>+'Waste Stream Report'!O16</f>
        <v>14.595956733803192</v>
      </c>
      <c r="E71" s="24">
        <f>+'Waste Stream Report'!P16</f>
        <v>9.487099684729172</v>
      </c>
      <c r="F71" s="24">
        <f>+'Waste Stream Report'!Q16</f>
        <v>17.14800233178551</v>
      </c>
      <c r="G71" s="24">
        <f t="shared" si="25"/>
        <v>41.23105875031787</v>
      </c>
      <c r="I71" s="88">
        <v>212.16</v>
      </c>
      <c r="J71" s="64">
        <f t="shared" si="21"/>
        <v>3096.678180643685</v>
      </c>
      <c r="L71" s="88">
        <v>242</v>
      </c>
      <c r="M71" s="89">
        <f t="shared" si="22"/>
        <v>2295.8781237044595</v>
      </c>
      <c r="O71" s="88">
        <v>281.7</v>
      </c>
      <c r="P71" s="89">
        <f t="shared" si="23"/>
        <v>4830.592256863978</v>
      </c>
      <c r="R71" s="88">
        <f t="shared" si="26"/>
        <v>247.94775761447815</v>
      </c>
      <c r="S71" s="89">
        <f t="shared" si="27"/>
        <v>10223.148561212123</v>
      </c>
    </row>
    <row r="72" spans="1:19" ht="12.75">
      <c r="A72" s="142" t="s">
        <v>95</v>
      </c>
      <c r="B72" s="90">
        <f t="shared" si="24"/>
        <v>0.0045350320500878935</v>
      </c>
      <c r="D72" s="24">
        <f>+'Waste Stream Report'!O17</f>
        <v>12.57497810912275</v>
      </c>
      <c r="E72" s="24">
        <f>+'Waste Stream Report'!P17</f>
        <v>7.867350958068093</v>
      </c>
      <c r="F72" s="24">
        <f>+'Waste Stream Report'!Q17</f>
        <v>15.037478967873449</v>
      </c>
      <c r="G72" s="24">
        <f t="shared" si="25"/>
        <v>35.479808035064295</v>
      </c>
      <c r="I72" s="88">
        <v>417</v>
      </c>
      <c r="J72" s="64">
        <f t="shared" si="21"/>
        <v>5243.765871504186</v>
      </c>
      <c r="L72" s="88">
        <v>397</v>
      </c>
      <c r="M72" s="89">
        <f t="shared" si="22"/>
        <v>3123.338330353033</v>
      </c>
      <c r="O72" s="88">
        <v>367.33</v>
      </c>
      <c r="P72" s="89">
        <f t="shared" si="23"/>
        <v>5523.717149268954</v>
      </c>
      <c r="R72" s="88">
        <f t="shared" si="26"/>
        <v>391.51343032628677</v>
      </c>
      <c r="S72" s="89">
        <f t="shared" si="27"/>
        <v>13890.821351126175</v>
      </c>
    </row>
    <row r="73" spans="1:19" ht="12.75">
      <c r="A73" s="142" t="s">
        <v>96</v>
      </c>
      <c r="B73" s="90">
        <f t="shared" si="24"/>
        <v>0.004716288774609772</v>
      </c>
      <c r="D73" s="24">
        <f>+'Waste Stream Report'!O18</f>
        <v>7.859361318201718</v>
      </c>
      <c r="E73" s="24">
        <f>+'Waste Stream Report'!P18</f>
        <v>18.74970669422105</v>
      </c>
      <c r="F73" s="24">
        <f>+'Waste Stream Report'!Q18</f>
        <v>10.288801399071305</v>
      </c>
      <c r="G73" s="24">
        <f t="shared" si="25"/>
        <v>36.89786941149407</v>
      </c>
      <c r="I73" s="88">
        <v>0</v>
      </c>
      <c r="J73" s="64">
        <f t="shared" si="21"/>
        <v>0</v>
      </c>
      <c r="L73" s="88">
        <v>0</v>
      </c>
      <c r="M73" s="89">
        <f t="shared" si="22"/>
        <v>0</v>
      </c>
      <c r="O73" s="88">
        <v>0</v>
      </c>
      <c r="P73" s="89">
        <f t="shared" si="23"/>
        <v>0</v>
      </c>
      <c r="R73" s="88">
        <f t="shared" si="26"/>
        <v>0</v>
      </c>
      <c r="S73" s="89">
        <f t="shared" si="27"/>
        <v>0</v>
      </c>
    </row>
    <row r="74" spans="1:19" ht="15">
      <c r="A74" s="142" t="s">
        <v>7</v>
      </c>
      <c r="B74" s="100">
        <f t="shared" si="24"/>
        <v>0.08</v>
      </c>
      <c r="D74" s="101">
        <f>+'Waste Stream Report'!O19</f>
        <v>195.2634728811371</v>
      </c>
      <c r="E74" s="101">
        <f>+'Waste Stream Report'!P19</f>
        <v>201.21216093641112</v>
      </c>
      <c r="F74" s="101">
        <f>+'Waste Stream Report'!Q19</f>
        <v>229.40409789242568</v>
      </c>
      <c r="G74" s="101">
        <f t="shared" si="25"/>
        <v>625.8797317099738</v>
      </c>
      <c r="I74" s="110">
        <v>-69.5</v>
      </c>
      <c r="J74" s="102">
        <f t="shared" si="21"/>
        <v>-13570.811365239028</v>
      </c>
      <c r="L74" s="110">
        <v>-69.5</v>
      </c>
      <c r="M74" s="103">
        <f t="shared" si="22"/>
        <v>-13984.245185080574</v>
      </c>
      <c r="O74" s="110">
        <v>-69.5</v>
      </c>
      <c r="P74" s="103">
        <f t="shared" si="23"/>
        <v>-15943.584803523585</v>
      </c>
      <c r="R74" s="88">
        <f t="shared" si="26"/>
        <v>-69.5</v>
      </c>
      <c r="S74" s="103">
        <f t="shared" si="27"/>
        <v>-43498.64135384318</v>
      </c>
    </row>
    <row r="75" spans="2:19" ht="12.75">
      <c r="B75" s="105">
        <f>SUM(B65:B74)</f>
        <v>0.9999999999999999</v>
      </c>
      <c r="C75" s="91"/>
      <c r="D75" s="106">
        <f>SUM(D65:D74)</f>
        <v>2440.7934110142137</v>
      </c>
      <c r="E75" s="106">
        <f>SUM(E65:E74)</f>
        <v>2515.152011705139</v>
      </c>
      <c r="F75" s="106">
        <f>SUM(F65:F74)</f>
        <v>2867.551223655321</v>
      </c>
      <c r="G75" s="106">
        <f>SUM(G65:G74)</f>
        <v>7823.496646374673</v>
      </c>
      <c r="H75" s="106"/>
      <c r="I75" s="106"/>
      <c r="J75" s="107">
        <f>SUM(J65:J74)</f>
        <v>155801.86875858714</v>
      </c>
      <c r="L75" s="106"/>
      <c r="M75" s="107">
        <f>SUM(M65:M74)</f>
        <v>167975.31313439755</v>
      </c>
      <c r="O75" s="106"/>
      <c r="P75" s="107">
        <f>SUM(P65:P74)</f>
        <v>190151.7142278672</v>
      </c>
      <c r="R75" s="106"/>
      <c r="S75" s="107">
        <f>SUM(S65:S74)</f>
        <v>513928.896120852</v>
      </c>
    </row>
  </sheetData>
  <mergeCells count="20">
    <mergeCell ref="R8:S8"/>
    <mergeCell ref="D8:G8"/>
    <mergeCell ref="I8:J8"/>
    <mergeCell ref="L8:M8"/>
    <mergeCell ref="O8:P8"/>
    <mergeCell ref="R26:S26"/>
    <mergeCell ref="D26:G26"/>
    <mergeCell ref="I26:J26"/>
    <mergeCell ref="L26:M26"/>
    <mergeCell ref="O26:P26"/>
    <mergeCell ref="R44:S44"/>
    <mergeCell ref="D44:G44"/>
    <mergeCell ref="I44:J44"/>
    <mergeCell ref="L44:M44"/>
    <mergeCell ref="O44:P44"/>
    <mergeCell ref="R62:S62"/>
    <mergeCell ref="D62:G62"/>
    <mergeCell ref="I62:J62"/>
    <mergeCell ref="L62:M62"/>
    <mergeCell ref="O62:P62"/>
  </mergeCells>
  <printOptions/>
  <pageMargins left="0.5" right="0.25" top="0.75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workbookViewId="0" topLeftCell="A46">
      <selection activeCell="A76" sqref="A76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4">
      <c r="A1" s="116" t="s">
        <v>69</v>
      </c>
    </row>
    <row r="2" ht="21">
      <c r="A2" s="86" t="s">
        <v>70</v>
      </c>
    </row>
    <row r="6" spans="1:6" ht="13.5">
      <c r="A6" s="149" t="s">
        <v>105</v>
      </c>
      <c r="B6" s="151"/>
      <c r="C6" s="151"/>
      <c r="D6" s="151"/>
      <c r="E6" s="151"/>
      <c r="F6" s="151"/>
    </row>
    <row r="8" spans="1:19" ht="12.75">
      <c r="A8" s="4"/>
      <c r="B8" s="4" t="s">
        <v>71</v>
      </c>
      <c r="C8" s="4"/>
      <c r="D8" s="203" t="s">
        <v>72</v>
      </c>
      <c r="E8" s="203"/>
      <c r="F8" s="203"/>
      <c r="G8" s="203"/>
      <c r="H8" s="4"/>
      <c r="I8" s="203" t="s">
        <v>11</v>
      </c>
      <c r="J8" s="203"/>
      <c r="K8" s="4"/>
      <c r="L8" s="203" t="s">
        <v>12</v>
      </c>
      <c r="M8" s="203"/>
      <c r="N8" s="4"/>
      <c r="O8" s="203" t="s">
        <v>13</v>
      </c>
      <c r="P8" s="203"/>
      <c r="R8" s="203" t="s">
        <v>97</v>
      </c>
      <c r="S8" s="203"/>
    </row>
    <row r="9" spans="1:19" ht="12.75">
      <c r="A9" s="87" t="s">
        <v>73</v>
      </c>
      <c r="B9" s="87" t="s">
        <v>74</v>
      </c>
      <c r="C9" s="87"/>
      <c r="D9" s="87" t="s">
        <v>11</v>
      </c>
      <c r="E9" s="87" t="s">
        <v>12</v>
      </c>
      <c r="F9" s="87" t="s">
        <v>13</v>
      </c>
      <c r="G9" s="87" t="s">
        <v>75</v>
      </c>
      <c r="H9" s="87"/>
      <c r="I9" s="87" t="s">
        <v>76</v>
      </c>
      <c r="J9" s="87" t="s">
        <v>77</v>
      </c>
      <c r="K9" s="87"/>
      <c r="L9" s="87" t="s">
        <v>76</v>
      </c>
      <c r="M9" s="87" t="s">
        <v>77</v>
      </c>
      <c r="N9" s="87"/>
      <c r="O9" s="87" t="s">
        <v>76</v>
      </c>
      <c r="P9" s="87" t="s">
        <v>77</v>
      </c>
      <c r="R9" s="87" t="s">
        <v>76</v>
      </c>
      <c r="S9" s="87" t="s">
        <v>77</v>
      </c>
    </row>
    <row r="11" spans="1:19" ht="12.75">
      <c r="A11" s="142" t="s">
        <v>2</v>
      </c>
      <c r="B11" s="90">
        <f>+G11/$G$21</f>
        <v>0.43014620093813255</v>
      </c>
      <c r="D11" s="24">
        <v>102.14374906041175</v>
      </c>
      <c r="E11" s="24">
        <v>99.60628429561095</v>
      </c>
      <c r="F11" s="24">
        <v>100.33334449531995</v>
      </c>
      <c r="G11" s="24">
        <f>SUM(D11:F11)</f>
        <v>302.0833778513427</v>
      </c>
      <c r="I11" s="88">
        <f>+'Res''l Revenue'!I11</f>
        <v>70.65</v>
      </c>
      <c r="J11" s="99">
        <f aca="true" t="shared" si="0" ref="J11:J20">+I11*D11</f>
        <v>7216.455871118091</v>
      </c>
      <c r="L11" s="88">
        <f>+'Res''l Revenue'!L11</f>
        <v>74.2</v>
      </c>
      <c r="M11" s="99">
        <f aca="true" t="shared" si="1" ref="M11:M20">+L11*E11</f>
        <v>7390.786294734333</v>
      </c>
      <c r="N11" s="88"/>
      <c r="O11" s="88">
        <f>+'Res''l Revenue'!O11</f>
        <v>75.27</v>
      </c>
      <c r="P11" s="99">
        <f aca="true" t="shared" si="2" ref="P11:P20">+O11*F11</f>
        <v>7552.090840162732</v>
      </c>
      <c r="R11" s="88">
        <f>+S11/G11</f>
        <v>73.3550225888957</v>
      </c>
      <c r="S11" s="99">
        <f>+P11+M11+J11</f>
        <v>22159.333006015157</v>
      </c>
    </row>
    <row r="12" spans="1:19" ht="13.5" customHeight="1">
      <c r="A12" s="142" t="s">
        <v>1</v>
      </c>
      <c r="B12" s="90">
        <f aca="true" t="shared" si="3" ref="B12:B20">+G12/$G$21</f>
        <v>0.23651953850333768</v>
      </c>
      <c r="D12" s="24">
        <v>45.63610887608719</v>
      </c>
      <c r="E12" s="24">
        <v>51.42281650373452</v>
      </c>
      <c r="F12" s="24">
        <v>69.04418319838312</v>
      </c>
      <c r="G12" s="24">
        <f aca="true" t="shared" si="4" ref="G12:G20">SUM(D12:F12)</f>
        <v>166.10310857820485</v>
      </c>
      <c r="I12" s="88">
        <f>+'Res''l Revenue'!I12</f>
        <v>86.42</v>
      </c>
      <c r="J12" s="64">
        <f t="shared" si="0"/>
        <v>3943.872529071455</v>
      </c>
      <c r="L12" s="88">
        <f>+'Res''l Revenue'!L12</f>
        <v>88.89</v>
      </c>
      <c r="M12" s="89">
        <f t="shared" si="1"/>
        <v>4570.9741590169615</v>
      </c>
      <c r="O12" s="88">
        <f>+'Res''l Revenue'!O12</f>
        <v>86.45</v>
      </c>
      <c r="P12" s="89">
        <f t="shared" si="2"/>
        <v>5968.869637500221</v>
      </c>
      <c r="R12" s="88">
        <f aca="true" t="shared" si="5" ref="R12:R21">+S12/G12</f>
        <v>87.19714188111898</v>
      </c>
      <c r="S12" s="89">
        <f aca="true" t="shared" si="6" ref="S12:S20">+P12+M12+J12</f>
        <v>14483.716325588639</v>
      </c>
    </row>
    <row r="13" spans="1:19" ht="13.5" customHeight="1">
      <c r="A13" s="142" t="s">
        <v>3</v>
      </c>
      <c r="B13" s="90">
        <f t="shared" si="3"/>
        <v>0.007744974766150557</v>
      </c>
      <c r="D13" s="24">
        <v>1.8189649849285172</v>
      </c>
      <c r="E13" s="24">
        <v>1.9375575394046631</v>
      </c>
      <c r="F13" s="24">
        <v>1.6826238255114376</v>
      </c>
      <c r="G13" s="24">
        <f t="shared" si="4"/>
        <v>5.439146349844618</v>
      </c>
      <c r="I13" s="88">
        <f>+'Res''l Revenue'!I13</f>
        <v>1210.7</v>
      </c>
      <c r="J13" s="64">
        <f t="shared" si="0"/>
        <v>2202.220907252956</v>
      </c>
      <c r="L13" s="88">
        <f>+'Res''l Revenue'!L13</f>
        <v>1128.22</v>
      </c>
      <c r="M13" s="89">
        <f t="shared" si="1"/>
        <v>2185.991167107129</v>
      </c>
      <c r="O13" s="88">
        <f>+'Res''l Revenue'!O13</f>
        <v>1034.97</v>
      </c>
      <c r="P13" s="89">
        <f t="shared" si="2"/>
        <v>1741.4651806895727</v>
      </c>
      <c r="R13" s="88">
        <f>+S13/G13</f>
        <v>1126.9557501839909</v>
      </c>
      <c r="S13" s="89">
        <f>+P13+M13+J13</f>
        <v>6129.677255049657</v>
      </c>
    </row>
    <row r="14" spans="1:19" ht="13.5" customHeight="1">
      <c r="A14" s="142" t="s">
        <v>6</v>
      </c>
      <c r="B14" s="90">
        <f t="shared" si="3"/>
        <v>0.01584450674587995</v>
      </c>
      <c r="D14" s="24">
        <v>3.7972143349520806</v>
      </c>
      <c r="E14" s="24">
        <v>3.968367301152544</v>
      </c>
      <c r="F14" s="24">
        <v>3.361709753996989</v>
      </c>
      <c r="G14" s="24">
        <f t="shared" si="4"/>
        <v>11.127291390101613</v>
      </c>
      <c r="I14" s="88">
        <f>+'Res''l Revenue'!I14</f>
        <v>48.45</v>
      </c>
      <c r="J14" s="64">
        <f t="shared" si="0"/>
        <v>183.97503452842832</v>
      </c>
      <c r="L14" s="88">
        <f>+'Res''l Revenue'!L14</f>
        <v>69.7</v>
      </c>
      <c r="M14" s="89">
        <f t="shared" si="1"/>
        <v>276.5952008903323</v>
      </c>
      <c r="O14" s="88">
        <f>+'Res''l Revenue'!O14</f>
        <v>59.74</v>
      </c>
      <c r="P14" s="89">
        <f t="shared" si="2"/>
        <v>200.82854070378013</v>
      </c>
      <c r="R14" s="88">
        <f>+S14/G14</f>
        <v>59.43933280213137</v>
      </c>
      <c r="S14" s="89">
        <f>+P14+M14+J14</f>
        <v>661.3987761225408</v>
      </c>
    </row>
    <row r="15" spans="1:19" ht="12.75">
      <c r="A15" s="142" t="s">
        <v>4</v>
      </c>
      <c r="B15" s="90">
        <f t="shared" si="3"/>
        <v>0.17159767950303356</v>
      </c>
      <c r="D15" s="24">
        <v>35.043809610047965</v>
      </c>
      <c r="E15" s="24">
        <v>36.58422192057764</v>
      </c>
      <c r="F15" s="24">
        <v>48.88170804785814</v>
      </c>
      <c r="G15" s="24">
        <f t="shared" si="4"/>
        <v>120.50973957848375</v>
      </c>
      <c r="I15" s="88">
        <f>+'Res''l Revenue'!I15</f>
        <v>-43.35</v>
      </c>
      <c r="J15" s="64">
        <f t="shared" si="0"/>
        <v>-1519.1491465955794</v>
      </c>
      <c r="L15" s="88">
        <f>+'Res''l Revenue'!L15</f>
        <v>-43.35</v>
      </c>
      <c r="M15" s="89">
        <f t="shared" si="1"/>
        <v>-1585.9260202570408</v>
      </c>
      <c r="O15" s="88">
        <f>+'Res''l Revenue'!O15</f>
        <v>-43.35</v>
      </c>
      <c r="P15" s="89">
        <f t="shared" si="2"/>
        <v>-2119.0220438746505</v>
      </c>
      <c r="R15" s="88">
        <f t="shared" si="5"/>
        <v>-43.35</v>
      </c>
      <c r="S15" s="89">
        <f t="shared" si="6"/>
        <v>-5224.097210727271</v>
      </c>
    </row>
    <row r="16" spans="1:19" ht="12.75">
      <c r="A16" s="142" t="s">
        <v>5</v>
      </c>
      <c r="B16" s="90">
        <f t="shared" si="3"/>
        <v>0.009365508176000736</v>
      </c>
      <c r="D16" s="24">
        <v>1.9924081594950294</v>
      </c>
      <c r="E16" s="24">
        <v>1.9824535472331104</v>
      </c>
      <c r="F16" s="24">
        <v>2.6023539909355136</v>
      </c>
      <c r="G16" s="24">
        <f t="shared" si="4"/>
        <v>6.577215697663654</v>
      </c>
      <c r="I16" s="88">
        <f>+'Res''l Revenue'!I16</f>
        <v>242.58</v>
      </c>
      <c r="J16" s="64">
        <f t="shared" si="0"/>
        <v>483.3183713303043</v>
      </c>
      <c r="L16" s="88">
        <f>+'Res''l Revenue'!L16</f>
        <v>278.4</v>
      </c>
      <c r="M16" s="89">
        <f t="shared" si="1"/>
        <v>551.9150675496979</v>
      </c>
      <c r="O16" s="88">
        <f>+'Res''l Revenue'!O16</f>
        <v>226.21</v>
      </c>
      <c r="P16" s="89">
        <f t="shared" si="2"/>
        <v>588.6784962895225</v>
      </c>
      <c r="R16" s="88">
        <f t="shared" si="5"/>
        <v>246.89960156641473</v>
      </c>
      <c r="S16" s="89">
        <f t="shared" si="6"/>
        <v>1623.9119351695247</v>
      </c>
    </row>
    <row r="17" spans="1:19" ht="12.75">
      <c r="A17" s="142" t="s">
        <v>94</v>
      </c>
      <c r="B17" s="90">
        <f t="shared" si="3"/>
        <v>0.0075494806005518495</v>
      </c>
      <c r="D17" s="24">
        <v>1.5012292642866716</v>
      </c>
      <c r="E17" s="24">
        <v>1.963669546536225</v>
      </c>
      <c r="F17" s="24">
        <v>1.8369557583074212</v>
      </c>
      <c r="G17" s="24">
        <f t="shared" si="4"/>
        <v>5.301854569130318</v>
      </c>
      <c r="I17" s="88">
        <f>+'Res''l Revenue'!I17</f>
        <v>83.92</v>
      </c>
      <c r="J17" s="64">
        <f t="shared" si="0"/>
        <v>125.98315985893748</v>
      </c>
      <c r="L17" s="88">
        <f>+'Res''l Revenue'!L17</f>
        <v>37.16</v>
      </c>
      <c r="M17" s="89">
        <f t="shared" si="1"/>
        <v>72.96996034928611</v>
      </c>
      <c r="O17" s="88">
        <f>+'Res''l Revenue'!O17</f>
        <v>312.08</v>
      </c>
      <c r="P17" s="89">
        <f t="shared" si="2"/>
        <v>573.2771530525799</v>
      </c>
      <c r="R17" s="88">
        <f t="shared" si="5"/>
        <v>145.65285848409744</v>
      </c>
      <c r="S17" s="89">
        <f t="shared" si="6"/>
        <v>772.2302732608035</v>
      </c>
    </row>
    <row r="18" spans="1:19" ht="12.75">
      <c r="A18" s="142" t="s">
        <v>95</v>
      </c>
      <c r="B18" s="90">
        <f t="shared" si="3"/>
        <v>0.006268559808883312</v>
      </c>
      <c r="D18" s="24">
        <v>1.1714168988733447</v>
      </c>
      <c r="E18" s="24">
        <v>1.4490867906031326</v>
      </c>
      <c r="F18" s="24">
        <v>1.7817849212347363</v>
      </c>
      <c r="G18" s="24">
        <f t="shared" si="4"/>
        <v>4.402288610711214</v>
      </c>
      <c r="I18" s="88">
        <f>+'Res''l Revenue'!I18</f>
        <v>287.55</v>
      </c>
      <c r="J18" s="64">
        <f t="shared" si="0"/>
        <v>336.8409292710303</v>
      </c>
      <c r="L18" s="88">
        <f>+'Res''l Revenue'!L18</f>
        <v>307.09</v>
      </c>
      <c r="M18" s="89">
        <f t="shared" si="1"/>
        <v>445.00006252631596</v>
      </c>
      <c r="O18" s="88">
        <f>+'Res''l Revenue'!O18</f>
        <v>252.63</v>
      </c>
      <c r="P18" s="89">
        <f t="shared" si="2"/>
        <v>450.1323246515314</v>
      </c>
      <c r="R18" s="88">
        <f t="shared" si="5"/>
        <v>279.84837555887674</v>
      </c>
      <c r="S18" s="89">
        <f t="shared" si="6"/>
        <v>1231.9733164488775</v>
      </c>
    </row>
    <row r="19" spans="1:19" ht="12.75">
      <c r="A19" s="142" t="s">
        <v>96</v>
      </c>
      <c r="B19" s="90">
        <f t="shared" si="3"/>
        <v>0.0035858168931547775</v>
      </c>
      <c r="D19" s="24">
        <v>0.5250799669327468</v>
      </c>
      <c r="E19" s="24">
        <v>1.2355423616280161</v>
      </c>
      <c r="F19" s="24">
        <v>0.7576276921953197</v>
      </c>
      <c r="G19" s="24">
        <f t="shared" si="4"/>
        <v>2.5182500207560827</v>
      </c>
      <c r="I19" s="88">
        <f>+'Res''l Revenue'!I19</f>
        <v>-3.16</v>
      </c>
      <c r="J19" s="64">
        <f t="shared" si="0"/>
        <v>-1.65925269550748</v>
      </c>
      <c r="L19" s="88">
        <f>+'Res''l Revenue'!L19</f>
        <v>-2.18</v>
      </c>
      <c r="M19" s="89">
        <f t="shared" si="1"/>
        <v>-2.6934823483490753</v>
      </c>
      <c r="O19" s="88">
        <f>+'Res''l Revenue'!O19</f>
        <v>30.34</v>
      </c>
      <c r="P19" s="89">
        <f t="shared" si="2"/>
        <v>22.986424181205997</v>
      </c>
      <c r="R19" s="88">
        <f t="shared" si="5"/>
        <v>7.39945953887249</v>
      </c>
      <c r="S19" s="89">
        <f t="shared" si="6"/>
        <v>18.633689137349442</v>
      </c>
    </row>
    <row r="20" spans="1:19" ht="15">
      <c r="A20" s="142" t="s">
        <v>7</v>
      </c>
      <c r="B20" s="100">
        <f t="shared" si="3"/>
        <v>0.11137773406487494</v>
      </c>
      <c r="D20" s="101">
        <f>+D21*0.12</f>
        <v>26.40408833945663</v>
      </c>
      <c r="E20" s="101">
        <f>+E21*0.08</f>
        <v>17.404347809259203</v>
      </c>
      <c r="F20" s="101">
        <f>+F21*0.13</f>
        <v>34.409997607915564</v>
      </c>
      <c r="G20" s="101">
        <f t="shared" si="4"/>
        <v>78.2184337566314</v>
      </c>
      <c r="I20" s="88">
        <f>+'Res''l Revenue'!I20</f>
        <v>-69.5</v>
      </c>
      <c r="J20" s="102">
        <f t="shared" si="0"/>
        <v>-1835.084139592236</v>
      </c>
      <c r="L20" s="88">
        <f>+'Res''l Revenue'!L20</f>
        <v>-69.5</v>
      </c>
      <c r="M20" s="103">
        <f t="shared" si="1"/>
        <v>-1209.6021727435145</v>
      </c>
      <c r="O20" s="88">
        <f>+'Res''l Revenue'!O20</f>
        <v>-69.5</v>
      </c>
      <c r="P20" s="103">
        <f t="shared" si="2"/>
        <v>-2391.494833750132</v>
      </c>
      <c r="R20" s="104">
        <f t="shared" si="5"/>
        <v>-69.5</v>
      </c>
      <c r="S20" s="103">
        <f t="shared" si="6"/>
        <v>-5436.181146085883</v>
      </c>
    </row>
    <row r="21" spans="2:19" ht="12.75">
      <c r="B21" s="105">
        <f>SUM(B11:B20)</f>
        <v>0.9999999999999998</v>
      </c>
      <c r="C21" s="91"/>
      <c r="D21" s="106">
        <f>SUM(D11:D20)</f>
        <v>220.03406949547193</v>
      </c>
      <c r="E21" s="106">
        <f>SUM(E11:E20)</f>
        <v>217.55434761574003</v>
      </c>
      <c r="F21" s="106">
        <f>SUM(F11:F20)</f>
        <v>264.6922892916582</v>
      </c>
      <c r="G21" s="106">
        <f>SUM(G11:G20)</f>
        <v>702.2807064028702</v>
      </c>
      <c r="H21" s="106"/>
      <c r="I21" s="106"/>
      <c r="J21" s="107">
        <f>SUM(J11:J20)</f>
        <v>11136.77426354788</v>
      </c>
      <c r="K21" s="108"/>
      <c r="L21" s="109"/>
      <c r="M21" s="107">
        <f>SUM(M11:M20)</f>
        <v>12696.010236825154</v>
      </c>
      <c r="N21" s="108"/>
      <c r="O21" s="109"/>
      <c r="P21" s="107">
        <f>SUM(P11:P20)</f>
        <v>12587.811719606363</v>
      </c>
      <c r="R21" s="92">
        <f t="shared" si="5"/>
        <v>51.860453929495215</v>
      </c>
      <c r="S21" s="107">
        <f>SUM(S11:S20)</f>
        <v>36420.59621997941</v>
      </c>
    </row>
    <row r="24" spans="1:6" ht="13.5">
      <c r="A24" s="149" t="s">
        <v>106</v>
      </c>
      <c r="B24" s="151"/>
      <c r="C24" s="151"/>
      <c r="D24" s="151"/>
      <c r="E24" s="151"/>
      <c r="F24" s="151"/>
    </row>
    <row r="26" spans="1:19" ht="12.75">
      <c r="A26" s="4"/>
      <c r="B26" s="4" t="s">
        <v>71</v>
      </c>
      <c r="C26" s="4"/>
      <c r="D26" s="203" t="s">
        <v>72</v>
      </c>
      <c r="E26" s="203"/>
      <c r="F26" s="203"/>
      <c r="G26" s="203"/>
      <c r="H26" s="4"/>
      <c r="I26" s="203" t="s">
        <v>100</v>
      </c>
      <c r="J26" s="203"/>
      <c r="K26" s="4"/>
      <c r="L26" s="203" t="s">
        <v>14</v>
      </c>
      <c r="M26" s="203"/>
      <c r="N26" s="4"/>
      <c r="O26" s="203" t="s">
        <v>103</v>
      </c>
      <c r="P26" s="203"/>
      <c r="R26" s="203" t="s">
        <v>104</v>
      </c>
      <c r="S26" s="203"/>
    </row>
    <row r="27" spans="1:19" ht="12.75">
      <c r="A27" s="87" t="s">
        <v>73</v>
      </c>
      <c r="B27" s="87" t="s">
        <v>74</v>
      </c>
      <c r="C27" s="87"/>
      <c r="D27" s="87" t="s">
        <v>100</v>
      </c>
      <c r="E27" s="87" t="s">
        <v>14</v>
      </c>
      <c r="F27" s="87" t="s">
        <v>103</v>
      </c>
      <c r="G27" s="87" t="s">
        <v>75</v>
      </c>
      <c r="H27" s="87"/>
      <c r="I27" s="87" t="s">
        <v>76</v>
      </c>
      <c r="J27" s="87" t="s">
        <v>77</v>
      </c>
      <c r="K27" s="87"/>
      <c r="L27" s="87" t="s">
        <v>76</v>
      </c>
      <c r="M27" s="87" t="s">
        <v>77</v>
      </c>
      <c r="N27" s="87"/>
      <c r="O27" s="87" t="s">
        <v>76</v>
      </c>
      <c r="P27" s="87" t="s">
        <v>77</v>
      </c>
      <c r="R27" s="87" t="s">
        <v>76</v>
      </c>
      <c r="S27" s="87" t="s">
        <v>77</v>
      </c>
    </row>
    <row r="29" spans="1:19" ht="12.75">
      <c r="A29" s="142" t="s">
        <v>2</v>
      </c>
      <c r="B29" s="90">
        <f>+G29/$G$39</f>
        <v>0.4080299099242937</v>
      </c>
      <c r="D29" s="152">
        <v>102.7</v>
      </c>
      <c r="E29" s="152">
        <f>96.56+27.91</f>
        <v>124.47</v>
      </c>
      <c r="F29" s="152">
        <f>97.6+23.72</f>
        <v>121.32</v>
      </c>
      <c r="G29" s="24">
        <f>SUM(D29:F29)</f>
        <v>348.49</v>
      </c>
      <c r="I29" s="88">
        <f>+'Res''l Revenue'!I29</f>
        <v>76.23</v>
      </c>
      <c r="J29" s="99">
        <f aca="true" t="shared" si="7" ref="J29:J38">+I29*D29</f>
        <v>7828.821000000001</v>
      </c>
      <c r="L29" s="88">
        <f>+'Res''l Revenue'!L29</f>
        <v>77.77</v>
      </c>
      <c r="M29" s="99">
        <f aca="true" t="shared" si="8" ref="M29:M38">+L29*E29</f>
        <v>9680.0319</v>
      </c>
      <c r="N29" s="88"/>
      <c r="O29" s="88">
        <f>+'Res''l Revenue'!O29</f>
        <v>76.62</v>
      </c>
      <c r="P29" s="99">
        <f aca="true" t="shared" si="9" ref="P29:P38">+O29*F29</f>
        <v>9295.5384</v>
      </c>
      <c r="R29" s="88">
        <f>+S29/G29</f>
        <v>76.91581193147579</v>
      </c>
      <c r="S29" s="99">
        <f>+P29+M29+J29</f>
        <v>26804.3913</v>
      </c>
    </row>
    <row r="30" spans="1:19" ht="12.75">
      <c r="A30" s="142" t="s">
        <v>1</v>
      </c>
      <c r="B30" s="90">
        <f aca="true" t="shared" si="10" ref="B30:B38">+G30/$G$39</f>
        <v>0.24481326255006047</v>
      </c>
      <c r="D30" s="152">
        <v>70.15</v>
      </c>
      <c r="E30" s="152">
        <v>80.23</v>
      </c>
      <c r="F30" s="152">
        <v>58.71</v>
      </c>
      <c r="G30" s="24">
        <f aca="true" t="shared" si="11" ref="G30:G38">SUM(D30:F30)</f>
        <v>209.09</v>
      </c>
      <c r="I30" s="88">
        <f>+'Res''l Revenue'!I30</f>
        <v>98.55</v>
      </c>
      <c r="J30" s="64">
        <f t="shared" si="7"/>
        <v>6913.2825</v>
      </c>
      <c r="L30" s="88">
        <f>+'Res''l Revenue'!L30</f>
        <v>101.07</v>
      </c>
      <c r="M30" s="89">
        <f t="shared" si="8"/>
        <v>8108.8461</v>
      </c>
      <c r="O30" s="88">
        <f>+'Res''l Revenue'!O30</f>
        <v>100.22</v>
      </c>
      <c r="P30" s="89">
        <f t="shared" si="9"/>
        <v>5883.9162</v>
      </c>
      <c r="R30" s="88">
        <f>+S30/G30</f>
        <v>99.98586637333206</v>
      </c>
      <c r="S30" s="89">
        <f>+P30+M30+J30</f>
        <v>20906.0448</v>
      </c>
    </row>
    <row r="31" spans="1:19" ht="12.75">
      <c r="A31" s="142" t="s">
        <v>3</v>
      </c>
      <c r="B31" s="90">
        <f t="shared" si="10"/>
        <v>0.00874625793318165</v>
      </c>
      <c r="D31" s="152">
        <v>2.36</v>
      </c>
      <c r="E31" s="152">
        <v>2.17</v>
      </c>
      <c r="F31" s="152">
        <v>2.94</v>
      </c>
      <c r="G31" s="24">
        <f t="shared" si="11"/>
        <v>7.469999999999999</v>
      </c>
      <c r="I31" s="88">
        <f>+'Res''l Revenue'!I31</f>
        <v>1176.82</v>
      </c>
      <c r="J31" s="64">
        <f t="shared" si="7"/>
        <v>2777.2951999999996</v>
      </c>
      <c r="L31" s="88">
        <f>+'Res''l Revenue'!L31</f>
        <v>1146.77</v>
      </c>
      <c r="M31" s="89">
        <f t="shared" si="8"/>
        <v>2488.4909</v>
      </c>
      <c r="O31" s="88">
        <f>+'Res''l Revenue'!O31</f>
        <v>1152.56</v>
      </c>
      <c r="P31" s="89">
        <f t="shared" si="9"/>
        <v>3388.5263999999997</v>
      </c>
      <c r="R31" s="88">
        <f>+S31/G31</f>
        <v>1158.5425033467204</v>
      </c>
      <c r="S31" s="89">
        <f>+P31+M31+J31</f>
        <v>8654.3125</v>
      </c>
    </row>
    <row r="32" spans="1:19" ht="12.75">
      <c r="A32" s="142" t="s">
        <v>6</v>
      </c>
      <c r="B32" s="90">
        <f t="shared" si="10"/>
        <v>0.015150813608483346</v>
      </c>
      <c r="D32" s="152">
        <v>3.63</v>
      </c>
      <c r="E32" s="152">
        <v>5.15</v>
      </c>
      <c r="F32" s="152">
        <v>4.16</v>
      </c>
      <c r="G32" s="24">
        <f t="shared" si="11"/>
        <v>12.940000000000001</v>
      </c>
      <c r="I32" s="88">
        <f>+'Res''l Revenue'!I32</f>
        <v>48.27</v>
      </c>
      <c r="J32" s="64">
        <f t="shared" si="7"/>
        <v>175.2201</v>
      </c>
      <c r="L32" s="88">
        <f>+'Res''l Revenue'!L32</f>
        <v>43.75</v>
      </c>
      <c r="M32" s="89">
        <f t="shared" si="8"/>
        <v>225.31250000000003</v>
      </c>
      <c r="O32" s="88">
        <f>+'Res''l Revenue'!O32</f>
        <v>45.54</v>
      </c>
      <c r="P32" s="89">
        <f t="shared" si="9"/>
        <v>189.4464</v>
      </c>
      <c r="R32" s="88">
        <f>+S32/G32</f>
        <v>45.59343122102009</v>
      </c>
      <c r="S32" s="89">
        <f>+P32+M32+J32</f>
        <v>589.979</v>
      </c>
    </row>
    <row r="33" spans="1:19" ht="12.75">
      <c r="A33" s="142" t="s">
        <v>4</v>
      </c>
      <c r="B33" s="90">
        <f t="shared" si="10"/>
        <v>0.17346159475245806</v>
      </c>
      <c r="D33" s="152">
        <v>46.31</v>
      </c>
      <c r="E33" s="152">
        <v>47.66</v>
      </c>
      <c r="F33" s="152">
        <v>54.18</v>
      </c>
      <c r="G33" s="24">
        <f t="shared" si="11"/>
        <v>148.15</v>
      </c>
      <c r="I33" s="88">
        <f>+'Res''l Revenue'!I33</f>
        <v>-43.35</v>
      </c>
      <c r="J33" s="64">
        <f t="shared" si="7"/>
        <v>-2007.5385</v>
      </c>
      <c r="L33" s="88">
        <f>+'Res''l Revenue'!L33</f>
        <v>-43.35</v>
      </c>
      <c r="M33" s="89">
        <f t="shared" si="8"/>
        <v>-2066.0609999999997</v>
      </c>
      <c r="O33" s="88">
        <f>+'Res''l Revenue'!O33</f>
        <v>-43.35</v>
      </c>
      <c r="P33" s="89">
        <f t="shared" si="9"/>
        <v>-2348.703</v>
      </c>
      <c r="R33" s="88">
        <f aca="true" t="shared" si="12" ref="R33:R39">+S33/G33</f>
        <v>-43.349999999999994</v>
      </c>
      <c r="S33" s="89">
        <f aca="true" t="shared" si="13" ref="S33:S38">+P33+M33+J33</f>
        <v>-6422.3025</v>
      </c>
    </row>
    <row r="34" spans="1:19" ht="12.75">
      <c r="A34" s="142" t="s">
        <v>5</v>
      </c>
      <c r="B34" s="90">
        <f t="shared" si="10"/>
        <v>0.008570630263840655</v>
      </c>
      <c r="D34" s="152">
        <v>2.78</v>
      </c>
      <c r="E34" s="152">
        <v>2.22</v>
      </c>
      <c r="F34" s="152">
        <v>2.32</v>
      </c>
      <c r="G34" s="24">
        <f t="shared" si="11"/>
        <v>7.32</v>
      </c>
      <c r="I34" s="88">
        <f>+'Res''l Revenue'!I34</f>
        <v>130.5</v>
      </c>
      <c r="J34" s="64">
        <f t="shared" si="7"/>
        <v>362.78999999999996</v>
      </c>
      <c r="L34" s="88">
        <f>+'Res''l Revenue'!L34</f>
        <v>290</v>
      </c>
      <c r="M34" s="89">
        <f t="shared" si="8"/>
        <v>643.8000000000001</v>
      </c>
      <c r="O34" s="88">
        <f>+'Res''l Revenue'!O34</f>
        <v>301.07</v>
      </c>
      <c r="P34" s="89">
        <f t="shared" si="9"/>
        <v>698.4824</v>
      </c>
      <c r="R34" s="88">
        <f t="shared" si="12"/>
        <v>232.93338797814206</v>
      </c>
      <c r="S34" s="89">
        <f t="shared" si="13"/>
        <v>1705.0724</v>
      </c>
    </row>
    <row r="35" spans="1:19" ht="12.75">
      <c r="A35" s="142" t="s">
        <v>94</v>
      </c>
      <c r="B35" s="90">
        <f t="shared" si="10"/>
        <v>0.008582338775130056</v>
      </c>
      <c r="D35" s="152">
        <v>2.42</v>
      </c>
      <c r="E35" s="152">
        <v>3</v>
      </c>
      <c r="F35" s="152">
        <v>1.91</v>
      </c>
      <c r="G35" s="24">
        <f t="shared" si="11"/>
        <v>7.33</v>
      </c>
      <c r="I35" s="88">
        <f>+'Res''l Revenue'!I35</f>
        <v>97.34</v>
      </c>
      <c r="J35" s="64">
        <f t="shared" si="7"/>
        <v>235.5628</v>
      </c>
      <c r="L35" s="88">
        <f>+'Res''l Revenue'!L35</f>
        <v>130</v>
      </c>
      <c r="M35" s="89">
        <f t="shared" si="8"/>
        <v>390</v>
      </c>
      <c r="O35" s="88">
        <f>+'Res''l Revenue'!O35</f>
        <v>140</v>
      </c>
      <c r="P35" s="89">
        <f t="shared" si="9"/>
        <v>267.4</v>
      </c>
      <c r="R35" s="88">
        <f t="shared" si="12"/>
        <v>121.82302864938609</v>
      </c>
      <c r="S35" s="89">
        <f t="shared" si="13"/>
        <v>892.9628</v>
      </c>
    </row>
    <row r="36" spans="1:19" ht="12.75">
      <c r="A36" s="142" t="s">
        <v>95</v>
      </c>
      <c r="B36" s="90">
        <f t="shared" si="10"/>
        <v>0.004788781117364519</v>
      </c>
      <c r="D36" s="152">
        <v>1.48</v>
      </c>
      <c r="E36" s="152">
        <v>0.92</v>
      </c>
      <c r="F36" s="152">
        <v>1.69</v>
      </c>
      <c r="G36" s="24">
        <f t="shared" si="11"/>
        <v>4.09</v>
      </c>
      <c r="I36" s="88">
        <f>+'Res''l Revenue'!I36</f>
        <v>252.7</v>
      </c>
      <c r="J36" s="64">
        <f t="shared" si="7"/>
        <v>373.996</v>
      </c>
      <c r="L36" s="88">
        <f>+'Res''l Revenue'!L36</f>
        <v>330</v>
      </c>
      <c r="M36" s="89">
        <f t="shared" si="8"/>
        <v>303.6</v>
      </c>
      <c r="O36" s="88">
        <f>+'Res''l Revenue'!O36</f>
        <v>330</v>
      </c>
      <c r="P36" s="89">
        <f t="shared" si="9"/>
        <v>557.6999999999999</v>
      </c>
      <c r="R36" s="88">
        <f t="shared" si="12"/>
        <v>302.0283618581907</v>
      </c>
      <c r="S36" s="89">
        <f t="shared" si="13"/>
        <v>1235.2959999999998</v>
      </c>
    </row>
    <row r="37" spans="1:19" ht="12.75">
      <c r="A37" s="142" t="s">
        <v>96</v>
      </c>
      <c r="B37" s="90">
        <f t="shared" si="10"/>
        <v>0.007856411075187267</v>
      </c>
      <c r="D37" s="152">
        <v>2.98</v>
      </c>
      <c r="E37" s="152">
        <v>1.35</v>
      </c>
      <c r="F37" s="152">
        <v>2.38</v>
      </c>
      <c r="G37" s="24">
        <f t="shared" si="11"/>
        <v>6.71</v>
      </c>
      <c r="I37" s="88">
        <f>+'Res''l Revenue'!I37</f>
        <v>7.17</v>
      </c>
      <c r="J37" s="64">
        <f t="shared" si="7"/>
        <v>21.3666</v>
      </c>
      <c r="L37" s="88">
        <f>+'Res''l Revenue'!L37</f>
        <v>0</v>
      </c>
      <c r="M37" s="89">
        <f t="shared" si="8"/>
        <v>0</v>
      </c>
      <c r="O37" s="88">
        <f>+'Res''l Revenue'!O37</f>
        <v>0</v>
      </c>
      <c r="P37" s="89">
        <f t="shared" si="9"/>
        <v>0</v>
      </c>
      <c r="R37" s="88">
        <f t="shared" si="12"/>
        <v>3.1842921013412813</v>
      </c>
      <c r="S37" s="89">
        <f t="shared" si="13"/>
        <v>21.3666</v>
      </c>
    </row>
    <row r="38" spans="1:19" ht="15">
      <c r="A38" s="142" t="s">
        <v>7</v>
      </c>
      <c r="B38" s="100">
        <f t="shared" si="10"/>
        <v>0.11999999999999994</v>
      </c>
      <c r="D38" s="101">
        <f>+D39*0.12</f>
        <v>32.01954545454545</v>
      </c>
      <c r="E38" s="101">
        <f>+E39*0.12</f>
        <v>36.432272727272725</v>
      </c>
      <c r="F38" s="101">
        <f>+F39*0.12</f>
        <v>34.03772727272727</v>
      </c>
      <c r="G38" s="101">
        <f t="shared" si="11"/>
        <v>102.48954545454544</v>
      </c>
      <c r="I38" s="88">
        <f>+'Res''l Revenue'!I38</f>
        <v>-69.5</v>
      </c>
      <c r="J38" s="102">
        <f t="shared" si="7"/>
        <v>-2225.358409090909</v>
      </c>
      <c r="L38" s="88">
        <f>+'Res''l Revenue'!L38</f>
        <v>-69.5</v>
      </c>
      <c r="M38" s="103">
        <f t="shared" si="8"/>
        <v>-2532.0429545454544</v>
      </c>
      <c r="O38" s="88">
        <f>+'Res''l Revenue'!O38</f>
        <v>-69.5</v>
      </c>
      <c r="P38" s="103">
        <f t="shared" si="9"/>
        <v>-2365.622045454545</v>
      </c>
      <c r="R38" s="104">
        <f t="shared" si="12"/>
        <v>-69.5</v>
      </c>
      <c r="S38" s="103">
        <f t="shared" si="13"/>
        <v>-7123.023409090908</v>
      </c>
    </row>
    <row r="39" spans="2:19" ht="12.75">
      <c r="B39" s="105">
        <f>SUM(B29:B38)</f>
        <v>0.9999999999999996</v>
      </c>
      <c r="C39" s="91"/>
      <c r="D39" s="106">
        <f>SUM(D29:D38)</f>
        <v>266.82954545454544</v>
      </c>
      <c r="E39" s="106">
        <f>SUM(E29:E38)</f>
        <v>303.60227272727275</v>
      </c>
      <c r="F39" s="106">
        <f>SUM(F29:F38)</f>
        <v>283.64772727272725</v>
      </c>
      <c r="G39" s="106">
        <f>SUM(G29:G38)</f>
        <v>854.0795454545457</v>
      </c>
      <c r="H39" s="106"/>
      <c r="I39" s="106"/>
      <c r="J39" s="107">
        <f>SUM(J29:J38)</f>
        <v>14455.437290909089</v>
      </c>
      <c r="K39" s="108"/>
      <c r="L39" s="109"/>
      <c r="M39" s="107">
        <f>SUM(M29:M38)</f>
        <v>17241.977445454544</v>
      </c>
      <c r="N39" s="108"/>
      <c r="O39" s="109"/>
      <c r="P39" s="107">
        <f>SUM(P29:P38)</f>
        <v>15566.684754545457</v>
      </c>
      <c r="R39" s="92">
        <f t="shared" si="12"/>
        <v>55.33922424726246</v>
      </c>
      <c r="S39" s="107">
        <f>SUM(S29:S38)</f>
        <v>47264.099490909095</v>
      </c>
    </row>
    <row r="42" spans="1:6" ht="13.5">
      <c r="A42" s="149" t="s">
        <v>110</v>
      </c>
      <c r="B42" s="151"/>
      <c r="C42" s="151"/>
      <c r="D42" s="151"/>
      <c r="E42" s="151"/>
      <c r="F42" s="151"/>
    </row>
    <row r="44" spans="1:19" ht="12.75">
      <c r="A44" s="4"/>
      <c r="B44" s="4" t="s">
        <v>71</v>
      </c>
      <c r="C44" s="4"/>
      <c r="D44" s="203" t="s">
        <v>72</v>
      </c>
      <c r="E44" s="203"/>
      <c r="F44" s="203"/>
      <c r="G44" s="203"/>
      <c r="H44" s="4"/>
      <c r="I44" s="203" t="s">
        <v>16</v>
      </c>
      <c r="J44" s="203"/>
      <c r="K44" s="4"/>
      <c r="L44" s="203" t="s">
        <v>92</v>
      </c>
      <c r="M44" s="203"/>
      <c r="N44" s="4"/>
      <c r="O44" s="203" t="s">
        <v>93</v>
      </c>
      <c r="P44" s="203"/>
      <c r="R44" s="203" t="s">
        <v>113</v>
      </c>
      <c r="S44" s="203"/>
    </row>
    <row r="45" spans="1:19" ht="12.75">
      <c r="A45" s="87" t="s">
        <v>73</v>
      </c>
      <c r="B45" s="87" t="s">
        <v>74</v>
      </c>
      <c r="C45" s="87"/>
      <c r="D45" s="87" t="s">
        <v>16</v>
      </c>
      <c r="E45" s="87" t="s">
        <v>92</v>
      </c>
      <c r="F45" s="87" t="s">
        <v>111</v>
      </c>
      <c r="G45" s="87" t="s">
        <v>75</v>
      </c>
      <c r="H45" s="87"/>
      <c r="I45" s="87" t="s">
        <v>76</v>
      </c>
      <c r="J45" s="87" t="s">
        <v>77</v>
      </c>
      <c r="K45" s="87"/>
      <c r="L45" s="87" t="s">
        <v>76</v>
      </c>
      <c r="M45" s="87" t="s">
        <v>77</v>
      </c>
      <c r="N45" s="87"/>
      <c r="O45" s="87" t="s">
        <v>76</v>
      </c>
      <c r="P45" s="87" t="s">
        <v>77</v>
      </c>
      <c r="R45" s="87" t="s">
        <v>76</v>
      </c>
      <c r="S45" s="87" t="s">
        <v>77</v>
      </c>
    </row>
    <row r="47" spans="1:19" ht="12.75">
      <c r="A47" s="142" t="s">
        <v>2</v>
      </c>
      <c r="B47" s="90">
        <f>+G47/$G$57</f>
        <v>0.3846208618568032</v>
      </c>
      <c r="D47" s="152">
        <f>87.32+37.26-0.32</f>
        <v>124.25999999999999</v>
      </c>
      <c r="E47" s="152">
        <f>78.79+41.66+0.56</f>
        <v>121.01</v>
      </c>
      <c r="F47" s="152">
        <f>84.51+36.06</f>
        <v>120.57000000000001</v>
      </c>
      <c r="G47" s="24">
        <f>SUM(D47:F47)</f>
        <v>365.84</v>
      </c>
      <c r="I47" s="88">
        <f>+'Res''l Revenue'!I47</f>
        <v>76.07</v>
      </c>
      <c r="J47" s="99">
        <f aca="true" t="shared" si="14" ref="J47:J56">+I47*D47</f>
        <v>9452.4582</v>
      </c>
      <c r="L47" s="88">
        <f>+'Res''l Revenue'!L47</f>
        <v>73.4</v>
      </c>
      <c r="M47" s="99">
        <f aca="true" t="shared" si="15" ref="M47:M56">+L47*E47</f>
        <v>8882.134000000002</v>
      </c>
      <c r="N47" s="88"/>
      <c r="O47" s="88">
        <f>+'Res''l Revenue'!O47</f>
        <v>71.47</v>
      </c>
      <c r="P47" s="99">
        <f aca="true" t="shared" si="16" ref="P47:P56">+O47*F47</f>
        <v>8617.1379</v>
      </c>
      <c r="R47" s="88">
        <f>+S47/G47</f>
        <v>73.67081265033896</v>
      </c>
      <c r="S47" s="99">
        <f>+P47+M47+J47</f>
        <v>26951.7301</v>
      </c>
    </row>
    <row r="48" spans="1:19" ht="12.75">
      <c r="A48" s="142" t="s">
        <v>1</v>
      </c>
      <c r="B48" s="90">
        <f aca="true" t="shared" si="17" ref="B48:B56">+G48/$G$57</f>
        <v>0.2636225702782457</v>
      </c>
      <c r="D48" s="152">
        <v>69.15</v>
      </c>
      <c r="E48" s="152">
        <v>90.48</v>
      </c>
      <c r="F48" s="152">
        <v>91.12</v>
      </c>
      <c r="G48" s="24">
        <f aca="true" t="shared" si="18" ref="G48:G56">SUM(D48:F48)</f>
        <v>250.75</v>
      </c>
      <c r="I48" s="88">
        <f>+'Res''l Revenue'!I48</f>
        <v>101.06</v>
      </c>
      <c r="J48" s="64">
        <f t="shared" si="14"/>
        <v>6988.299000000001</v>
      </c>
      <c r="L48" s="88">
        <f>+'Res''l Revenue'!L48</f>
        <v>98.97</v>
      </c>
      <c r="M48" s="89">
        <f t="shared" si="15"/>
        <v>8954.8056</v>
      </c>
      <c r="O48" s="88">
        <f>+'Res''l Revenue'!O48</f>
        <v>96.62</v>
      </c>
      <c r="P48" s="89">
        <f t="shared" si="16"/>
        <v>8804.0144</v>
      </c>
      <c r="R48" s="88">
        <f>+S48/G48</f>
        <v>98.69239880358923</v>
      </c>
      <c r="S48" s="89">
        <f>+P48+M48+J48</f>
        <v>24747.119</v>
      </c>
    </row>
    <row r="49" spans="1:19" ht="12.75">
      <c r="A49" s="142" t="s">
        <v>3</v>
      </c>
      <c r="B49" s="90">
        <f t="shared" si="17"/>
        <v>0.008799684599118313</v>
      </c>
      <c r="D49" s="152">
        <v>2.96</v>
      </c>
      <c r="E49" s="152">
        <v>3.08</v>
      </c>
      <c r="F49" s="152">
        <v>2.33</v>
      </c>
      <c r="G49" s="24">
        <f t="shared" si="18"/>
        <v>8.370000000000001</v>
      </c>
      <c r="I49" s="88">
        <f>+'Res''l Revenue'!I49</f>
        <v>1225.08</v>
      </c>
      <c r="J49" s="64">
        <f t="shared" si="14"/>
        <v>3626.2367999999997</v>
      </c>
      <c r="L49" s="88">
        <f>+'Res''l Revenue'!L49</f>
        <v>1191.3</v>
      </c>
      <c r="M49" s="89">
        <f t="shared" si="15"/>
        <v>3669.2039999999997</v>
      </c>
      <c r="O49" s="88">
        <f>+'Res''l Revenue'!O49</f>
        <v>959.82</v>
      </c>
      <c r="P49" s="89">
        <f t="shared" si="16"/>
        <v>2236.3806</v>
      </c>
      <c r="R49" s="88">
        <f>+S49/G49</f>
        <v>1138.8078136200716</v>
      </c>
      <c r="S49" s="89">
        <f>+P49+M49+J49</f>
        <v>9531.8214</v>
      </c>
    </row>
    <row r="50" spans="1:19" ht="12.75">
      <c r="A50" s="142" t="s">
        <v>6</v>
      </c>
      <c r="B50" s="90">
        <f t="shared" si="17"/>
        <v>0.012826302522012353</v>
      </c>
      <c r="D50" s="152">
        <v>3.9</v>
      </c>
      <c r="E50" s="152">
        <v>4.02</v>
      </c>
      <c r="F50" s="152">
        <v>4.28</v>
      </c>
      <c r="G50" s="24">
        <f t="shared" si="18"/>
        <v>12.2</v>
      </c>
      <c r="I50" s="88">
        <f>+'Res''l Revenue'!I50</f>
        <v>67.86</v>
      </c>
      <c r="J50" s="64">
        <f t="shared" si="14"/>
        <v>264.654</v>
      </c>
      <c r="L50" s="88">
        <f>+'Res''l Revenue'!L50</f>
        <v>90.18</v>
      </c>
      <c r="M50" s="89">
        <f t="shared" si="15"/>
        <v>362.5236</v>
      </c>
      <c r="O50" s="88">
        <f>+'Res''l Revenue'!O50</f>
        <v>72.32</v>
      </c>
      <c r="P50" s="89">
        <f t="shared" si="16"/>
        <v>309.5296</v>
      </c>
      <c r="R50" s="88">
        <f>+S50/G50</f>
        <v>76.7792786885246</v>
      </c>
      <c r="S50" s="89">
        <f>+P50+M50+J50</f>
        <v>936.7072000000001</v>
      </c>
    </row>
    <row r="51" spans="1:19" ht="12.75">
      <c r="A51" s="142" t="s">
        <v>4</v>
      </c>
      <c r="B51" s="90">
        <f t="shared" si="17"/>
        <v>0.1895454165322629</v>
      </c>
      <c r="D51" s="152">
        <v>62.8</v>
      </c>
      <c r="E51" s="152">
        <v>67.2</v>
      </c>
      <c r="F51" s="152">
        <v>50.29</v>
      </c>
      <c r="G51" s="24">
        <f t="shared" si="18"/>
        <v>180.29</v>
      </c>
      <c r="I51" s="185">
        <f>+'Res''l Revenue'!I51</f>
        <v>-43.35</v>
      </c>
      <c r="J51" s="64">
        <f t="shared" si="14"/>
        <v>-2722.38</v>
      </c>
      <c r="L51" s="185">
        <f>+'Res''l Revenue'!L51</f>
        <v>-53.04</v>
      </c>
      <c r="M51" s="89">
        <f t="shared" si="15"/>
        <v>-3564.288</v>
      </c>
      <c r="O51" s="185">
        <f>+'Res''l Revenue'!O51</f>
        <v>-53.04</v>
      </c>
      <c r="P51" s="89">
        <f t="shared" si="16"/>
        <v>-2667.3815999999997</v>
      </c>
      <c r="R51" s="88">
        <f aca="true" t="shared" si="19" ref="R51:R57">+S51/G51</f>
        <v>-49.66470464252038</v>
      </c>
      <c r="S51" s="89">
        <f aca="true" t="shared" si="20" ref="S51:S56">+P51+M51+J51</f>
        <v>-8954.049599999998</v>
      </c>
    </row>
    <row r="52" spans="1:19" ht="12.75">
      <c r="A52" s="142" t="s">
        <v>5</v>
      </c>
      <c r="B52" s="90">
        <f t="shared" si="17"/>
        <v>0.0060346702029795835</v>
      </c>
      <c r="D52" s="152">
        <v>2.29</v>
      </c>
      <c r="E52" s="152">
        <v>2.38</v>
      </c>
      <c r="F52" s="152">
        <v>1.07</v>
      </c>
      <c r="G52" s="24">
        <f t="shared" si="18"/>
        <v>5.74</v>
      </c>
      <c r="I52" s="88">
        <f>+'Res''l Revenue'!I52</f>
        <v>316.84</v>
      </c>
      <c r="J52" s="64">
        <f t="shared" si="14"/>
        <v>725.5636</v>
      </c>
      <c r="L52" s="88">
        <f>+'Res''l Revenue'!L52</f>
        <v>296.58</v>
      </c>
      <c r="M52" s="89">
        <f t="shared" si="15"/>
        <v>705.8603999999999</v>
      </c>
      <c r="O52" s="88">
        <f>+'Res''l Revenue'!O52</f>
        <v>335.46</v>
      </c>
      <c r="P52" s="89">
        <f t="shared" si="16"/>
        <v>358.9422</v>
      </c>
      <c r="R52" s="88">
        <f t="shared" si="19"/>
        <v>311.910487804878</v>
      </c>
      <c r="S52" s="89">
        <f t="shared" si="20"/>
        <v>1790.3662</v>
      </c>
    </row>
    <row r="53" spans="1:19" ht="12.75">
      <c r="A53" s="142" t="s">
        <v>94</v>
      </c>
      <c r="B53" s="90">
        <f t="shared" si="17"/>
        <v>0.006686498691803161</v>
      </c>
      <c r="D53" s="152">
        <f>2.34-0.27</f>
        <v>2.07</v>
      </c>
      <c r="E53" s="152">
        <v>2.26</v>
      </c>
      <c r="F53" s="152">
        <v>2.03</v>
      </c>
      <c r="G53" s="24">
        <f t="shared" si="18"/>
        <v>6.359999999999999</v>
      </c>
      <c r="I53" s="88">
        <f>+'Res''l Revenue'!I53</f>
        <v>120</v>
      </c>
      <c r="J53" s="64">
        <f t="shared" si="14"/>
        <v>248.39999999999998</v>
      </c>
      <c r="L53" s="88">
        <f>+'Res''l Revenue'!L53</f>
        <v>126.03</v>
      </c>
      <c r="M53" s="89">
        <f t="shared" si="15"/>
        <v>284.82779999999997</v>
      </c>
      <c r="O53" s="88">
        <f>+'Res''l Revenue'!O53</f>
        <v>162.6</v>
      </c>
      <c r="P53" s="89">
        <f t="shared" si="16"/>
        <v>330.078</v>
      </c>
      <c r="R53" s="88">
        <f t="shared" si="19"/>
        <v>135.73990566037736</v>
      </c>
      <c r="S53" s="89">
        <f t="shared" si="20"/>
        <v>863.3058</v>
      </c>
    </row>
    <row r="54" spans="1:19" ht="12.75">
      <c r="A54" s="142" t="s">
        <v>95</v>
      </c>
      <c r="B54" s="90">
        <f t="shared" si="17"/>
        <v>0.004089698099231808</v>
      </c>
      <c r="D54" s="152">
        <v>1.37</v>
      </c>
      <c r="E54" s="152">
        <v>1.26</v>
      </c>
      <c r="F54" s="152">
        <v>1.26</v>
      </c>
      <c r="G54" s="24">
        <f t="shared" si="18"/>
        <v>3.8899999999999997</v>
      </c>
      <c r="I54" s="88">
        <f>+'Res''l Revenue'!I54</f>
        <v>330</v>
      </c>
      <c r="J54" s="64">
        <f t="shared" si="14"/>
        <v>452.1</v>
      </c>
      <c r="L54" s="88">
        <f>+'Res''l Revenue'!L54</f>
        <v>354.95</v>
      </c>
      <c r="M54" s="89">
        <f t="shared" si="15"/>
        <v>447.23699999999997</v>
      </c>
      <c r="O54" s="88">
        <f>+'Res''l Revenue'!O54</f>
        <v>353.39</v>
      </c>
      <c r="P54" s="89">
        <f t="shared" si="16"/>
        <v>445.27139999999997</v>
      </c>
      <c r="R54" s="88">
        <f t="shared" si="19"/>
        <v>345.65768637532136</v>
      </c>
      <c r="S54" s="89">
        <f t="shared" si="20"/>
        <v>1344.6084</v>
      </c>
    </row>
    <row r="55" spans="1:19" ht="12.75">
      <c r="A55" s="142" t="s">
        <v>96</v>
      </c>
      <c r="B55" s="90">
        <f t="shared" si="17"/>
        <v>0.0037742972175429795</v>
      </c>
      <c r="D55" s="152">
        <v>0</v>
      </c>
      <c r="E55" s="152">
        <v>1.91</v>
      </c>
      <c r="F55" s="152">
        <v>1.68</v>
      </c>
      <c r="G55" s="24">
        <f t="shared" si="18"/>
        <v>3.59</v>
      </c>
      <c r="I55" s="88">
        <f>+'Res''l Revenue'!I55</f>
        <v>0</v>
      </c>
      <c r="J55" s="64">
        <f t="shared" si="14"/>
        <v>0</v>
      </c>
      <c r="L55" s="88">
        <f>+'Res''l Revenue'!L55</f>
        <v>0</v>
      </c>
      <c r="M55" s="89">
        <f t="shared" si="15"/>
        <v>0</v>
      </c>
      <c r="O55" s="88">
        <f>+'Res''l Revenue'!O55</f>
        <v>0</v>
      </c>
      <c r="P55" s="89">
        <f t="shared" si="16"/>
        <v>0</v>
      </c>
      <c r="R55" s="88">
        <f t="shared" si="19"/>
        <v>0</v>
      </c>
      <c r="S55" s="89">
        <f t="shared" si="20"/>
        <v>0</v>
      </c>
    </row>
    <row r="56" spans="1:19" ht="15">
      <c r="A56" s="142" t="s">
        <v>7</v>
      </c>
      <c r="B56" s="100">
        <f t="shared" si="17"/>
        <v>0.12</v>
      </c>
      <c r="D56" s="101">
        <f>+D57*0.12</f>
        <v>36.65454545454545</v>
      </c>
      <c r="E56" s="101">
        <f>+E57*0.12</f>
        <v>40.03636363636363</v>
      </c>
      <c r="F56" s="101">
        <f>+F57*0.12</f>
        <v>37.44954545454545</v>
      </c>
      <c r="G56" s="101">
        <f t="shared" si="18"/>
        <v>114.14045454545453</v>
      </c>
      <c r="I56" s="185">
        <f>+'Res''l Revenue'!I56</f>
        <v>-69.5</v>
      </c>
      <c r="J56" s="102">
        <f t="shared" si="14"/>
        <v>-2547.4909090909086</v>
      </c>
      <c r="L56" s="185">
        <f>+'Res''l Revenue'!L56</f>
        <v>-69.5</v>
      </c>
      <c r="M56" s="103">
        <f t="shared" si="15"/>
        <v>-2782.5272727272722</v>
      </c>
      <c r="O56" s="185">
        <f>+'Res''l Revenue'!O56</f>
        <v>-69.5</v>
      </c>
      <c r="P56" s="103">
        <f t="shared" si="16"/>
        <v>-2602.7434090909087</v>
      </c>
      <c r="R56" s="104">
        <f t="shared" si="19"/>
        <v>-69.5</v>
      </c>
      <c r="S56" s="103">
        <f t="shared" si="20"/>
        <v>-7932.76159090909</v>
      </c>
    </row>
    <row r="57" spans="2:19" ht="12.75">
      <c r="B57" s="105">
        <f>SUM(B47:B56)</f>
        <v>0.9999999999999999</v>
      </c>
      <c r="C57" s="91"/>
      <c r="D57" s="106">
        <f>SUM(D47:D56)</f>
        <v>305.45454545454544</v>
      </c>
      <c r="E57" s="106">
        <f>SUM(E47:E56)</f>
        <v>333.6363636363636</v>
      </c>
      <c r="F57" s="106">
        <f>SUM(F47:F56)</f>
        <v>312.07954545454544</v>
      </c>
      <c r="G57" s="106">
        <f>SUM(G47:G56)</f>
        <v>951.1704545454545</v>
      </c>
      <c r="H57" s="106"/>
      <c r="I57" s="106"/>
      <c r="J57" s="107">
        <f>SUM(J47:J56)</f>
        <v>16487.840690909088</v>
      </c>
      <c r="K57" s="108"/>
      <c r="L57" s="109"/>
      <c r="M57" s="107">
        <f>SUM(M47:M56)</f>
        <v>16959.777127272733</v>
      </c>
      <c r="N57" s="108"/>
      <c r="O57" s="109"/>
      <c r="P57" s="107">
        <f>SUM(P47:P56)</f>
        <v>15831.229090909099</v>
      </c>
      <c r="R57" s="92">
        <f t="shared" si="19"/>
        <v>51.808639212453556</v>
      </c>
      <c r="S57" s="107">
        <f>SUM(S47:S56)</f>
        <v>49278.846909090906</v>
      </c>
    </row>
    <row r="60" spans="1:6" ht="13.5">
      <c r="A60" s="149" t="s">
        <v>112</v>
      </c>
      <c r="B60" s="151"/>
      <c r="C60" s="151"/>
      <c r="D60" s="151"/>
      <c r="E60" s="151"/>
      <c r="F60" s="151"/>
    </row>
    <row r="62" spans="1:19" ht="12.75">
      <c r="A62" s="4"/>
      <c r="B62" s="4" t="s">
        <v>71</v>
      </c>
      <c r="C62" s="4"/>
      <c r="D62" s="203" t="s">
        <v>72</v>
      </c>
      <c r="E62" s="203"/>
      <c r="F62" s="203"/>
      <c r="G62" s="203"/>
      <c r="H62" s="4"/>
      <c r="I62" s="203" t="s">
        <v>16</v>
      </c>
      <c r="J62" s="203"/>
      <c r="K62" s="4"/>
      <c r="L62" s="203" t="s">
        <v>92</v>
      </c>
      <c r="M62" s="203"/>
      <c r="N62" s="4"/>
      <c r="O62" s="203" t="s">
        <v>93</v>
      </c>
      <c r="P62" s="203"/>
      <c r="R62" s="203" t="s">
        <v>114</v>
      </c>
      <c r="S62" s="203"/>
    </row>
    <row r="63" spans="1:19" ht="12.75">
      <c r="A63" s="87" t="s">
        <v>73</v>
      </c>
      <c r="B63" s="87" t="s">
        <v>74</v>
      </c>
      <c r="C63" s="87"/>
      <c r="D63" s="87" t="s">
        <v>8</v>
      </c>
      <c r="E63" s="87" t="s">
        <v>9</v>
      </c>
      <c r="F63" s="87" t="s">
        <v>10</v>
      </c>
      <c r="G63" s="87" t="s">
        <v>75</v>
      </c>
      <c r="H63" s="87"/>
      <c r="I63" s="87" t="s">
        <v>76</v>
      </c>
      <c r="J63" s="87" t="s">
        <v>77</v>
      </c>
      <c r="K63" s="87"/>
      <c r="L63" s="87" t="s">
        <v>76</v>
      </c>
      <c r="M63" s="87" t="s">
        <v>77</v>
      </c>
      <c r="N63" s="87"/>
      <c r="O63" s="87" t="s">
        <v>76</v>
      </c>
      <c r="P63" s="87" t="s">
        <v>77</v>
      </c>
      <c r="R63" s="87" t="s">
        <v>76</v>
      </c>
      <c r="S63" s="87" t="s">
        <v>77</v>
      </c>
    </row>
    <row r="65" spans="1:19" ht="12.75">
      <c r="A65" s="142" t="s">
        <v>2</v>
      </c>
      <c r="B65" s="90">
        <f>+G65/$G$75</f>
        <v>0.37975230190425463</v>
      </c>
      <c r="D65" s="152">
        <v>121.3</v>
      </c>
      <c r="E65" s="152">
        <v>119.57</v>
      </c>
      <c r="F65" s="152">
        <v>140.13</v>
      </c>
      <c r="G65" s="24">
        <f>SUM(D65:F65)</f>
        <v>381</v>
      </c>
      <c r="I65" s="88">
        <f>+'Res''l Revenue'!I65</f>
        <v>72.66</v>
      </c>
      <c r="J65" s="99">
        <f aca="true" t="shared" si="21" ref="J65:J74">+I65*D65</f>
        <v>8813.658</v>
      </c>
      <c r="L65" s="88">
        <f>+'Res''l Revenue'!L65</f>
        <v>76.01</v>
      </c>
      <c r="M65" s="99">
        <f aca="true" t="shared" si="22" ref="M65:M74">+L65*E65</f>
        <v>9088.5157</v>
      </c>
      <c r="N65" s="88"/>
      <c r="O65" s="88">
        <f>+'Res''l Revenue'!O65</f>
        <v>78.03</v>
      </c>
      <c r="P65" s="99">
        <f aca="true" t="shared" si="23" ref="P65:P74">+O65*F65</f>
        <v>10934.3439</v>
      </c>
      <c r="R65" s="88">
        <f>+S65/G65</f>
        <v>75.68639790026246</v>
      </c>
      <c r="S65" s="99">
        <f>+P65+M65+J65</f>
        <v>28836.5176</v>
      </c>
    </row>
    <row r="66" spans="1:19" ht="12.75">
      <c r="A66" s="142" t="s">
        <v>1</v>
      </c>
      <c r="B66" s="90">
        <f aca="true" t="shared" si="24" ref="B66:B74">+G66/$G$75</f>
        <v>0.3094476720700879</v>
      </c>
      <c r="D66" s="152">
        <v>96.82134305867311</v>
      </c>
      <c r="E66" s="152">
        <v>101.57362965578264</v>
      </c>
      <c r="F66" s="152">
        <v>112.06940753419649</v>
      </c>
      <c r="G66" s="24">
        <f aca="true" t="shared" si="25" ref="G66:G74">SUM(D66:F66)</f>
        <v>310.4643802486522</v>
      </c>
      <c r="I66" s="88">
        <f>+'Res''l Revenue'!I66</f>
        <v>96.59</v>
      </c>
      <c r="J66" s="64">
        <f t="shared" si="21"/>
        <v>9351.973526037236</v>
      </c>
      <c r="L66" s="88">
        <f>+'Res''l Revenue'!L66</f>
        <v>98.54</v>
      </c>
      <c r="M66" s="89">
        <f t="shared" si="22"/>
        <v>10009.065466280821</v>
      </c>
      <c r="O66" s="88">
        <f>+'Res''l Revenue'!O66</f>
        <v>101.03</v>
      </c>
      <c r="P66" s="89">
        <f t="shared" si="23"/>
        <v>11322.37224317987</v>
      </c>
      <c r="R66" s="88">
        <f>+S66/G66</f>
        <v>98.83069745689812</v>
      </c>
      <c r="S66" s="89">
        <f>+P66+M66+J66</f>
        <v>30683.411235497926</v>
      </c>
    </row>
    <row r="67" spans="1:19" ht="12.75">
      <c r="A67" s="142" t="s">
        <v>3</v>
      </c>
      <c r="B67" s="90">
        <f t="shared" si="24"/>
        <v>0.009475913015147294</v>
      </c>
      <c r="D67" s="152">
        <v>2.7822225016860087</v>
      </c>
      <c r="E67" s="152">
        <v>3.503513234302378</v>
      </c>
      <c r="F67" s="152">
        <v>3.2213109380338163</v>
      </c>
      <c r="G67" s="24">
        <f t="shared" si="25"/>
        <v>9.507046674022202</v>
      </c>
      <c r="I67" s="88">
        <f>+'Res''l Revenue'!I67</f>
        <v>1143.93</v>
      </c>
      <c r="J67" s="64">
        <f t="shared" si="21"/>
        <v>3182.667786353676</v>
      </c>
      <c r="L67" s="88">
        <f>+'Res''l Revenue'!L67</f>
        <v>1057</v>
      </c>
      <c r="M67" s="89">
        <f t="shared" si="22"/>
        <v>3703.213488657613</v>
      </c>
      <c r="O67" s="88">
        <f>+'Res''l Revenue'!O67</f>
        <v>1057</v>
      </c>
      <c r="P67" s="89">
        <f t="shared" si="23"/>
        <v>3404.925661501744</v>
      </c>
      <c r="R67" s="88">
        <f>+S67/G67</f>
        <v>1082.4399300186922</v>
      </c>
      <c r="S67" s="89">
        <f>+P67+M67+J67</f>
        <v>10290.806936513032</v>
      </c>
    </row>
    <row r="68" spans="1:19" ht="12.75">
      <c r="A68" s="142" t="s">
        <v>6</v>
      </c>
      <c r="B68" s="90">
        <f t="shared" si="24"/>
        <v>0.01443377827955364</v>
      </c>
      <c r="D68" s="152">
        <v>4.451556002697615</v>
      </c>
      <c r="E68" s="152">
        <v>4.746695349699996</v>
      </c>
      <c r="F68" s="152">
        <v>5.2829499383754595</v>
      </c>
      <c r="G68" s="24">
        <f t="shared" si="25"/>
        <v>14.48120129077307</v>
      </c>
      <c r="I68" s="88">
        <f>+'Res''l Revenue'!I68</f>
        <v>70.2</v>
      </c>
      <c r="J68" s="64">
        <f t="shared" si="21"/>
        <v>312.49923138937254</v>
      </c>
      <c r="L68" s="88">
        <f>+'Res''l Revenue'!L68</f>
        <v>69.32</v>
      </c>
      <c r="M68" s="89">
        <f t="shared" si="22"/>
        <v>329.0409216412037</v>
      </c>
      <c r="O68" s="88">
        <f>+'Res''l Revenue'!O68</f>
        <v>47</v>
      </c>
      <c r="P68" s="89">
        <f t="shared" si="23"/>
        <v>248.2986471036466</v>
      </c>
      <c r="R68" s="88">
        <f>+S68/G68</f>
        <v>61.447857968882595</v>
      </c>
      <c r="S68" s="89">
        <f>+P68+M68+J68</f>
        <v>889.8388001342229</v>
      </c>
    </row>
    <row r="69" spans="1:19" ht="12.75">
      <c r="A69" s="142" t="s">
        <v>4</v>
      </c>
      <c r="B69" s="90">
        <f t="shared" si="24"/>
        <v>0.14602463938818613</v>
      </c>
      <c r="D69" s="152">
        <v>46.37964910310576</v>
      </c>
      <c r="E69" s="152">
        <v>46.39329621552021</v>
      </c>
      <c r="F69" s="152">
        <v>53.73146644640406</v>
      </c>
      <c r="G69" s="24">
        <f t="shared" si="25"/>
        <v>146.50441176503003</v>
      </c>
      <c r="I69" s="185">
        <f>+'Res''l Revenue'!I69</f>
        <v>-53.04</v>
      </c>
      <c r="J69" s="64">
        <f t="shared" si="21"/>
        <v>-2459.9765884287294</v>
      </c>
      <c r="L69" s="185">
        <f>+'Res''l Revenue'!L69</f>
        <v>-53.04</v>
      </c>
      <c r="M69" s="89">
        <f t="shared" si="22"/>
        <v>-2460.700431271192</v>
      </c>
      <c r="O69" s="185">
        <f>+'Res''l Revenue'!O69</f>
        <v>-53.04</v>
      </c>
      <c r="P69" s="89">
        <f t="shared" si="23"/>
        <v>-2849.9169803172713</v>
      </c>
      <c r="R69" s="88">
        <f aca="true" t="shared" si="26" ref="R69:R75">+S69/G69</f>
        <v>-53.04</v>
      </c>
      <c r="S69" s="89">
        <f aca="true" t="shared" si="27" ref="S69:S74">+P69+M69+J69</f>
        <v>-7770.594000017192</v>
      </c>
    </row>
    <row r="70" spans="1:19" ht="12.75">
      <c r="A70" s="142" t="s">
        <v>5</v>
      </c>
      <c r="B70" s="90">
        <f t="shared" si="24"/>
        <v>0.006977103717058095</v>
      </c>
      <c r="D70" s="152">
        <v>2.142311326298227</v>
      </c>
      <c r="E70" s="152">
        <v>2.345093535863689</v>
      </c>
      <c r="F70" s="152">
        <v>2.5126225316663766</v>
      </c>
      <c r="G70" s="24">
        <f t="shared" si="25"/>
        <v>7.000027393828292</v>
      </c>
      <c r="I70" s="88">
        <f>+'Res''l Revenue'!I70</f>
        <v>350.46</v>
      </c>
      <c r="J70" s="64">
        <f t="shared" si="21"/>
        <v>750.7944274144766</v>
      </c>
      <c r="L70" s="88">
        <f>+'Res''l Revenue'!L70</f>
        <v>378.28</v>
      </c>
      <c r="M70" s="89">
        <f t="shared" si="22"/>
        <v>887.1019827465161</v>
      </c>
      <c r="O70" s="88">
        <f>+'Res''l Revenue'!O70</f>
        <v>334.78</v>
      </c>
      <c r="P70" s="89">
        <f t="shared" si="23"/>
        <v>841.1757711512695</v>
      </c>
      <c r="R70" s="88">
        <f t="shared" si="26"/>
        <v>354.15178281987636</v>
      </c>
      <c r="S70" s="89">
        <f t="shared" si="27"/>
        <v>2479.0721813122623</v>
      </c>
    </row>
    <row r="71" spans="1:19" ht="12.75">
      <c r="A71" s="142" t="s">
        <v>94</v>
      </c>
      <c r="B71" s="90">
        <f t="shared" si="24"/>
        <v>0.005044143609432091</v>
      </c>
      <c r="D71" s="152">
        <v>1.8084446260959057</v>
      </c>
      <c r="E71" s="152">
        <v>1.1584196984386896</v>
      </c>
      <c r="F71" s="152">
        <v>2.093852109721981</v>
      </c>
      <c r="G71" s="24">
        <f t="shared" si="25"/>
        <v>5.060716434256577</v>
      </c>
      <c r="I71" s="88">
        <f>+'Res''l Revenue'!I71</f>
        <v>212.16</v>
      </c>
      <c r="J71" s="64">
        <f t="shared" si="21"/>
        <v>383.67961187250734</v>
      </c>
      <c r="L71" s="88">
        <f>+'Res''l Revenue'!L71</f>
        <v>242</v>
      </c>
      <c r="M71" s="89">
        <f t="shared" si="22"/>
        <v>280.3375670221629</v>
      </c>
      <c r="O71" s="88">
        <f>+'Res''l Revenue'!O71</f>
        <v>281.7</v>
      </c>
      <c r="P71" s="89">
        <f t="shared" si="23"/>
        <v>589.838139308682</v>
      </c>
      <c r="R71" s="88">
        <f t="shared" si="26"/>
        <v>247.76241358157515</v>
      </c>
      <c r="S71" s="89">
        <f t="shared" si="27"/>
        <v>1253.8553182033522</v>
      </c>
    </row>
    <row r="72" spans="1:19" ht="12.75">
      <c r="A72" s="142" t="s">
        <v>95</v>
      </c>
      <c r="B72" s="90">
        <f t="shared" si="24"/>
        <v>0.004340571363536318</v>
      </c>
      <c r="D72" s="152">
        <v>1.5580446009441649</v>
      </c>
      <c r="E72" s="152">
        <v>0.960640725534523</v>
      </c>
      <c r="F72" s="152">
        <v>1.8361472346792755</v>
      </c>
      <c r="G72" s="24">
        <f t="shared" si="25"/>
        <v>4.354832561157963</v>
      </c>
      <c r="I72" s="88">
        <f>+'Res''l Revenue'!I72</f>
        <v>417</v>
      </c>
      <c r="J72" s="64">
        <f t="shared" si="21"/>
        <v>649.7045985937167</v>
      </c>
      <c r="L72" s="88">
        <f>+'Res''l Revenue'!L72</f>
        <v>397</v>
      </c>
      <c r="M72" s="89">
        <f t="shared" si="22"/>
        <v>381.3743680372056</v>
      </c>
      <c r="O72" s="88">
        <f>+'Res''l Revenue'!O72</f>
        <v>367.33</v>
      </c>
      <c r="P72" s="89">
        <f t="shared" si="23"/>
        <v>674.4719637147383</v>
      </c>
      <c r="R72" s="88">
        <f t="shared" si="26"/>
        <v>391.64558140718725</v>
      </c>
      <c r="S72" s="89">
        <f t="shared" si="27"/>
        <v>1705.5509303456606</v>
      </c>
    </row>
    <row r="73" spans="1:19" ht="12.75">
      <c r="A73" s="142" t="s">
        <v>96</v>
      </c>
      <c r="B73" s="90">
        <f t="shared" si="24"/>
        <v>0.004503876652743973</v>
      </c>
      <c r="D73" s="152">
        <v>0.9737778755901031</v>
      </c>
      <c r="E73" s="152">
        <v>2.2885852578910693</v>
      </c>
      <c r="F73" s="152">
        <v>1.2563112658331883</v>
      </c>
      <c r="G73" s="24">
        <f t="shared" si="25"/>
        <v>4.518674399314361</v>
      </c>
      <c r="I73" s="88">
        <f>+'Res''l Revenue'!I73</f>
        <v>0</v>
      </c>
      <c r="J73" s="64">
        <f t="shared" si="21"/>
        <v>0</v>
      </c>
      <c r="L73" s="88">
        <f>+'Res''l Revenue'!L73</f>
        <v>0</v>
      </c>
      <c r="M73" s="89">
        <f t="shared" si="22"/>
        <v>0</v>
      </c>
      <c r="O73" s="88">
        <f>+'Res''l Revenue'!O73</f>
        <v>0</v>
      </c>
      <c r="P73" s="89">
        <f t="shared" si="23"/>
        <v>0</v>
      </c>
      <c r="R73" s="88">
        <f t="shared" si="26"/>
        <v>0</v>
      </c>
      <c r="S73" s="89">
        <f t="shared" si="27"/>
        <v>0</v>
      </c>
    </row>
    <row r="74" spans="1:19" ht="15">
      <c r="A74" s="142" t="s">
        <v>7</v>
      </c>
      <c r="B74" s="100">
        <f t="shared" si="24"/>
        <v>0.11999999999999998</v>
      </c>
      <c r="D74" s="101">
        <f>+D75*0.12</f>
        <v>37.938729422057854</v>
      </c>
      <c r="E74" s="101">
        <f>+E75*0.12</f>
        <v>38.52816459177724</v>
      </c>
      <c r="F74" s="101">
        <f>+F75*0.12</f>
        <v>43.92737290894235</v>
      </c>
      <c r="G74" s="101">
        <f t="shared" si="25"/>
        <v>120.39426692277743</v>
      </c>
      <c r="I74" s="185">
        <f>+'Res''l Revenue'!I74</f>
        <v>-69.5</v>
      </c>
      <c r="J74" s="102">
        <f t="shared" si="21"/>
        <v>-2636.741694833021</v>
      </c>
      <c r="L74" s="185">
        <f>+'Res''l Revenue'!L74</f>
        <v>-69.5</v>
      </c>
      <c r="M74" s="103">
        <f t="shared" si="22"/>
        <v>-2677.707439128518</v>
      </c>
      <c r="O74" s="185">
        <f>+'Res''l Revenue'!O74</f>
        <v>-69.5</v>
      </c>
      <c r="P74" s="103">
        <f t="shared" si="23"/>
        <v>-3052.9524171714934</v>
      </c>
      <c r="R74" s="104">
        <f t="shared" si="26"/>
        <v>-69.50000000000001</v>
      </c>
      <c r="S74" s="103">
        <f t="shared" si="27"/>
        <v>-8367.401551133033</v>
      </c>
    </row>
    <row r="75" spans="2:19" ht="12.75">
      <c r="B75" s="105">
        <f>SUM(B65:B74)</f>
        <v>0.9999999999999999</v>
      </c>
      <c r="C75" s="91"/>
      <c r="D75" s="106">
        <f>SUM(D65:D74)</f>
        <v>316.1560785171488</v>
      </c>
      <c r="E75" s="106">
        <f>SUM(E65:E74)</f>
        <v>321.06803826481035</v>
      </c>
      <c r="F75" s="106">
        <f>SUM(F65:F74)</f>
        <v>366.06144090785295</v>
      </c>
      <c r="G75" s="106">
        <f>SUM(G65:G74)</f>
        <v>1003.2855576898121</v>
      </c>
      <c r="H75" s="106"/>
      <c r="I75" s="106"/>
      <c r="J75" s="107">
        <f>SUM(J65:J74)</f>
        <v>18348.258898399232</v>
      </c>
      <c r="K75" s="108"/>
      <c r="L75" s="109"/>
      <c r="M75" s="107">
        <f>SUM(M65:M74)</f>
        <v>19540.241623985814</v>
      </c>
      <c r="N75" s="108"/>
      <c r="O75" s="109"/>
      <c r="P75" s="107">
        <f>SUM(P65:P74)</f>
        <v>22112.556928471186</v>
      </c>
      <c r="R75" s="92">
        <f t="shared" si="26"/>
        <v>59.804566098824374</v>
      </c>
      <c r="S75" s="107">
        <f>SUM(S65:S74)</f>
        <v>60001.05745085624</v>
      </c>
    </row>
    <row r="78" spans="4:6" ht="12.75">
      <c r="D78" s="24">
        <f>+D57-D56</f>
        <v>268.8</v>
      </c>
      <c r="E78" s="24">
        <f>+E57-E56</f>
        <v>293.6</v>
      </c>
      <c r="F78" s="24">
        <f>+F57-F56</f>
        <v>274.63</v>
      </c>
    </row>
  </sheetData>
  <mergeCells count="20">
    <mergeCell ref="R8:S8"/>
    <mergeCell ref="D8:G8"/>
    <mergeCell ref="I8:J8"/>
    <mergeCell ref="L8:M8"/>
    <mergeCell ref="O8:P8"/>
    <mergeCell ref="R26:S26"/>
    <mergeCell ref="D26:G26"/>
    <mergeCell ref="I26:J26"/>
    <mergeCell ref="L26:M26"/>
    <mergeCell ref="O26:P26"/>
    <mergeCell ref="R44:S44"/>
    <mergeCell ref="D44:G44"/>
    <mergeCell ref="I44:J44"/>
    <mergeCell ref="L44:M44"/>
    <mergeCell ref="O44:P44"/>
    <mergeCell ref="R62:S62"/>
    <mergeCell ref="D62:G62"/>
    <mergeCell ref="I62:J62"/>
    <mergeCell ref="L62:M62"/>
    <mergeCell ref="O62:P62"/>
  </mergeCells>
  <printOptions/>
  <pageMargins left="0.75" right="0" top="0.5" bottom="0.5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Mike Sommerville, Customer Service Specialist 3</cp:lastModifiedBy>
  <cp:lastPrinted>2005-01-25T00:33:17Z</cp:lastPrinted>
  <dcterms:created xsi:type="dcterms:W3CDTF">2004-01-28T15:58:20Z</dcterms:created>
  <dcterms:modified xsi:type="dcterms:W3CDTF">2005-04-27T15:59:54Z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-1770780232</vt:i4>
  </property>
  <property fmtid="{D5CDD505-2E9C-101B-9397-08002B2CF9AE}" pid="3" name="_EmailSubject">
    <vt:lpwstr>4th Quarter Snohomish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408455369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030711</vt:lpwstr>
  </property>
  <property fmtid="{D5CDD505-2E9C-101B-9397-08002B2CF9AE}" pid="10" name="IsConfidential">
    <vt:lpwstr>0</vt:lpwstr>
  </property>
  <property fmtid="{D5CDD505-2E9C-101B-9397-08002B2CF9AE}" pid="11" name="Date1">
    <vt:lpwstr>2005-04-26T00:00:00Z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