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ewste215\OneDrive - Washington State Executive Branch Agencies\Exhibits in Process\"/>
    </mc:Choice>
  </mc:AlternateContent>
  <bookViews>
    <workbookView xWindow="570" yWindow="-210" windowWidth="20370" windowHeight="12300" tabRatio="838"/>
  </bookViews>
  <sheets>
    <sheet name="Growth Rate Table" sheetId="85" r:id="rId1"/>
    <sheet name="ADJ DETAIL INPUT-Restated CB" sheetId="79" r:id="rId2"/>
    <sheet name="2007-2018 data" sheetId="80" r:id="rId3"/>
    <sheet name="Acerno_Cache_XXXXX" sheetId="78" state="veryHidden" r:id="rId4"/>
    <sheet name="WA Natural Gas" sheetId="86" r:id="rId5"/>
    <sheet name="ADJ SUMMARY" sheetId="3" r:id="rId6"/>
    <sheet name="RR SUMMARY" sheetId="55" r:id="rId7"/>
    <sheet name="CF" sheetId="56" r:id="rId8"/>
    <sheet name="Reg Amort and Other RB" sheetId="82" r:id="rId9"/>
    <sheet name="Riders and Gas Cost Revenue" sheetId="81" r:id="rId10"/>
    <sheet name="DEBT CALC" sheetId="75" r:id="rId11"/>
    <sheet name="ROO INPUT" sheetId="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ctuals_Mo">[1]Tables!$B$19</definedName>
    <definedName name="Allocation_Categories">OFFSET('[2]Allocation Factors'!$A$4,0,0,COUNTA('[2]Allocation Factors'!$A:$A)-COUNTA('[2]Allocation Factors'!$A$1:$A$3),1)</definedName>
    <definedName name="Base1_Billing2" localSheetId="0">#REF!</definedName>
    <definedName name="Base1_Billing2">#REF!</definedName>
    <definedName name="BaseRev60_EntryLookup">INDEX('[3]Rev Summary'!$F$1176:$F$1177,2):'[3]Rev Summary'!$F$1221</definedName>
    <definedName name="Basic">'[3]Rev Summary'!$I$1279:$I$1322</definedName>
    <definedName name="BilledRev60_EntryLookup">INDEX('[3]Rev Summary'!$F$70:$F$71,2):'[3]Rev Summary'!$F$115</definedName>
    <definedName name="CalRev60_EntryLookup">INDEX('[3]Rev Summary'!$F$373:$F$374,2):'[3]Rev Summary'!$F$418</definedName>
    <definedName name="ClassEntry">'[3]Rev Summary'!$D$2</definedName>
    <definedName name="ClassEntryNo">'[3]Rev Summary'!$D$3</definedName>
    <definedName name="CopyClasses">'[3]Rev Summary'!$F$1279:INDEX('[3]Rev Summary'!$F$1279:$F$1323,COUNTA('[3]Rev Summary'!$F$1279:$F$1323))</definedName>
    <definedName name="CustMos">'[1]Cust Load'!$D$3</definedName>
    <definedName name="DSMFlag">'[3]Exp Summary'!$E$30</definedName>
    <definedName name="EndMo">[1]Tables!$B$16</definedName>
    <definedName name="ERM">'[4]Rate Design'!$D$45</definedName>
    <definedName name="GRCRev60_EntryLookup">INDEX('[3]Rev Summary'!$F$1075:$F$1076,2):'[3]Rev Summary'!$F$1120</definedName>
    <definedName name="GrossUnbillAccrRev60_EntryLookup">INDEX('[3]Rev Summary'!$F$873:$F$874,2):'[3]Rev Summary'!$F$918</definedName>
    <definedName name="GrossUnbillRevRev60_EntryLookup">INDEX('[3]Rev Summary'!$F$974:$F$975,2):'[3]Rev Summary'!$F$1019</definedName>
    <definedName name="ID" localSheetId="0">#REF!</definedName>
    <definedName name="ID">#REF!</definedName>
    <definedName name="ID_001b" localSheetId="0">#REF!</definedName>
    <definedName name="ID_001b">#REF!</definedName>
    <definedName name="ID_011b" localSheetId="0">#REF!</definedName>
    <definedName name="ID_011b">#REF!</definedName>
    <definedName name="ID_012b" localSheetId="0">#REF!</definedName>
    <definedName name="ID_012b">#REF!</definedName>
    <definedName name="ID_021b" localSheetId="0">#REF!</definedName>
    <definedName name="ID_021b">#REF!</definedName>
    <definedName name="ID_Elec" localSheetId="7">[5]DebtCalc!#REF!</definedName>
    <definedName name="ID_Elec" localSheetId="10">'DEBT CALC'!$A$63:$F$140</definedName>
    <definedName name="ID_Elec" localSheetId="0">#REF!</definedName>
    <definedName name="ID_Elec" localSheetId="6">[6]DebtCalc!#REF!</definedName>
    <definedName name="ID_Elec">#REF!</definedName>
    <definedName name="ID_Gas" localSheetId="10">'DEBT CALC'!#REF!</definedName>
    <definedName name="ID_Gas" localSheetId="0">#REF!</definedName>
    <definedName name="ID_Gas">#REF!</definedName>
    <definedName name="ID04X">[3]Rates!$O$121:$V$121</definedName>
    <definedName name="IDPPRider">[3]Rates!$O$124:$V$124</definedName>
    <definedName name="IDResEx">[3]Rates!$O$125:$V$125</definedName>
    <definedName name="IDSurch">[3]Rates!$O$122:$V$122</definedName>
    <definedName name="ManualSched">'[3]Rev Summary'!$B$36</definedName>
    <definedName name="Month1">[3]Setup!$B$3</definedName>
    <definedName name="NetUnbillRev60_EntryLookup">INDEX('[3]Rev Summary'!$F$272:$F$273,2):'[3]Rev Summary'!$F$317</definedName>
    <definedName name="PPRev60_EntryLookup">INDEX('[3]Rev Summary'!$F$671:$F$672,2):'[3]Rev Summary'!$F$716</definedName>
    <definedName name="_xlnm.Print_Area" localSheetId="2">'2007-2018 data'!$A$2:$J$210</definedName>
    <definedName name="_xlnm.Print_Area" localSheetId="1">'ADJ DETAIL INPUT-Restated CB'!$Y$2:$AF$81</definedName>
    <definedName name="_xlnm.Print_Area" localSheetId="5">'ADJ SUMMARY'!$A$1:$F$31</definedName>
    <definedName name="_xlnm.Print_Area" localSheetId="7">CF!$A$1:$E$29</definedName>
    <definedName name="_xlnm.Print_Area" localSheetId="10">'DEBT CALC'!$A$1:$I$41</definedName>
    <definedName name="_xlnm.Print_Area" localSheetId="0">'Growth Rate Table'!$A$1:$E$12</definedName>
    <definedName name="_xlnm.Print_Area" localSheetId="9">'Riders and Gas Cost Revenue'!$A$1:$S$65</definedName>
    <definedName name="_xlnm.Print_Area" localSheetId="11">'ROO INPUT'!$A$3:$G$82</definedName>
    <definedName name="_xlnm.Print_Area" localSheetId="6">'RR SUMMARY'!$J$1:$N$16</definedName>
    <definedName name="_xlnm.Print_Area" localSheetId="4">'WA Natural Gas'!$A$1:$J$47</definedName>
    <definedName name="Print_for_CBReport" localSheetId="0">#REF!</definedName>
    <definedName name="Print_for_CBReport">#REF!</definedName>
    <definedName name="Print_for_Checking" localSheetId="10">'[7]ADJ SUMMARY'!$A$1:'[7]ADJ SUMMARY'!#REF!</definedName>
    <definedName name="Print_for_Checking" localSheetId="0">#REF!</definedName>
    <definedName name="Print_for_Checking">#REF!</definedName>
    <definedName name="_xlnm.Print_Titles" localSheetId="2">'2007-2018 data'!$2:$2</definedName>
    <definedName name="_xlnm.Print_Titles" localSheetId="1">'ADJ DETAIL INPUT-Restated CB'!$A:$D,'ADJ DETAIL INPUT-Restated CB'!$2:$10</definedName>
    <definedName name="_xlnm.Print_Titles" localSheetId="9">'Riders and Gas Cost Revenue'!$A:$F,'Riders and Gas Cost Revenue'!$5:$9</definedName>
    <definedName name="RateDesc">CHOOSE([1]Rev!$B$5, [1]!Rates_WA[RateDesc], [1]!Rates_ID[RateDesc])</definedName>
    <definedName name="RateDesc2">CHOOSE('[1]Manual Rev'!$C1, [1]!Rates_WA[RateDesc], [1]!Rates_ID[RateDesc])</definedName>
    <definedName name="RateID">CHOOSE([1]Rev!$B$5, [1]!Rates_WA[ID], [1]!Rates_ID[ID])</definedName>
    <definedName name="RateID2">CHOOSE('[1]Manual Rev'!$C1, [1]!Rates_WA[ID], [1]!Rates_ID[ID])</definedName>
    <definedName name="RData">CHOOSE([1]Rev!$B$5, [1]!Rates_WA[#Data], [1]!Rates_ID[#Data])</definedName>
    <definedName name="RData2">CHOOSE('[1]Manual Rev'!$C1, [1]!Rates_WA[#Data], [1]!Rates_ID[#Data])</definedName>
    <definedName name="Recover">[8]Macro1!$A$92</definedName>
    <definedName name="ResExchRev60_EntryLookup">INDEX('[3]Rev Summary'!$F$772:$F$773,2):'[3]Rev Summary'!$F$817</definedName>
    <definedName name="RevMos">[1]Rev!$C$2</definedName>
    <definedName name="RH">CHOOSE([1]Rev!$B$5, [1]!Rates_WA[#Headers], [1]!Rates_ID[#Headers])</definedName>
    <definedName name="RH_2">CHOOSE('[1]Manual Rev'!$C1, [1]!Rates_WA[#Headers], [1]!Rates_ID[#Headers])</definedName>
    <definedName name="Sch">CHOOSE([1]Rev!$B$5, [1]!Rates_WA[St-Sch], [1]!Rates_ID[St-Sch])</definedName>
    <definedName name="Sch_2">CHOOSE('[1]Manual Rev'!$C1, [1]!Rates_WA[St-Sch], [1]!Rates_ID[St-Sch])</definedName>
    <definedName name="Sched">'[3]Rev Summary'!$E$2</definedName>
    <definedName name="SL_RateIncr">'[4]St Lts'!$AD$1</definedName>
    <definedName name="StartMo">[1]Tables!$B$13</definedName>
    <definedName name="Summary" localSheetId="10">#REF!</definedName>
    <definedName name="Summary" localSheetId="0">#REF!</definedName>
    <definedName name="Summary">#REF!</definedName>
    <definedName name="SurchRev60_EntryLookup">INDEX('[3]Rev Summary'!$F$474:$F$475,2):'[3]Rev Summary'!$F$519</definedName>
    <definedName name="TableName">"Dummy"</definedName>
    <definedName name="TaxCreditRev60_EntryLookup">INDEX('[3]Rev Summary'!$F$572:$F$621,2):'[3]Rev Summary'!$F$617</definedName>
    <definedName name="TaxRev60_EntryLookup">INDEX('[3]Rev Summary'!$F$171:$F$216,2):'[3]Rev Summary'!$F$216</definedName>
    <definedName name="Utility">[3]Setup!$B$1</definedName>
    <definedName name="vl_tbl_SchedClass">[1]!tbl_SchedAll[StClSch]</definedName>
    <definedName name="WA_001b" localSheetId="0">#REF!</definedName>
    <definedName name="WA_001b">#REF!</definedName>
    <definedName name="WA_011b" localSheetId="0">#REF!</definedName>
    <definedName name="WA_011b">#REF!</definedName>
    <definedName name="WA_012b" localSheetId="0">#REF!</definedName>
    <definedName name="WA_012b">#REF!</definedName>
    <definedName name="WA_021b" localSheetId="0">#REF!</definedName>
    <definedName name="WA_021b">#REF!</definedName>
    <definedName name="WA_Elec" localSheetId="7">[5]DebtCalc!#REF!</definedName>
    <definedName name="WA_Elec" localSheetId="10">'DEBT CALC'!$A$1:$F$62</definedName>
    <definedName name="WA_Elec" localSheetId="0">#REF!</definedName>
    <definedName name="WA_Elec" localSheetId="6">[6]DebtCalc!#REF!</definedName>
    <definedName name="WA_Elec">#REF!</definedName>
    <definedName name="WA_Gas" localSheetId="10">'DEBT CALC'!#REF!</definedName>
    <definedName name="WA_Gas" localSheetId="0">#REF!</definedName>
    <definedName name="WA_Gas">#REF!</definedName>
    <definedName name="WA04X">[3]Rates!$D$121:$K$121</definedName>
    <definedName name="WAPPRider">[3]Rates!$D$124:$K$124</definedName>
    <definedName name="WAResEx">[3]Rates!$D$125:$K$125</definedName>
    <definedName name="WASurch">[3]Rates!$D$122:$K$122</definedName>
    <definedName name="Year1">[3]Setup!$B$2</definedName>
    <definedName name="Z_5BE913A1_B14F_11D2_B0DC_0000832CDFF0_.wvu.Cols" localSheetId="2" hidden="1">'2007-2018 data'!#REF!</definedName>
    <definedName name="Z_5BE913A1_B14F_11D2_B0DC_0000832CDFF0_.wvu.Cols" localSheetId="1" hidden="1">'ADJ DETAIL INPUT-Restated CB'!$W:$Y</definedName>
    <definedName name="Z_5BE913A1_B14F_11D2_B0DC_0000832CDFF0_.wvu.PrintArea" localSheetId="2" hidden="1">'2007-2018 data'!#REF!</definedName>
    <definedName name="Z_5BE913A1_B14F_11D2_B0DC_0000832CDFF0_.wvu.PrintArea" localSheetId="1" hidden="1">'ADJ DETAIL INPUT-Restated CB'!$E$11:$Y$82</definedName>
    <definedName name="Z_5BE913A1_B14F_11D2_B0DC_0000832CDFF0_.wvu.PrintArea" localSheetId="5" hidden="1">'ADJ SUMMARY'!$A$1:$G$30</definedName>
    <definedName name="Z_5BE913A1_B14F_11D2_B0DC_0000832CDFF0_.wvu.PrintArea" localSheetId="11" hidden="1">'ROO INPUT'!$A$3:$G$82</definedName>
    <definedName name="Z_5BE913A1_B14F_11D2_B0DC_0000832CDFF0_.wvu.PrintTitles" localSheetId="2" hidden="1">'2007-2018 data'!$A:$D,'2007-2018 data'!$1:$8</definedName>
    <definedName name="Z_5BE913A1_B14F_11D2_B0DC_0000832CDFF0_.wvu.PrintTitles" localSheetId="1" hidden="1">'ADJ DETAIL INPUT-Restated CB'!$A:$D,'ADJ DETAIL INPUT-Restated CB'!$2:$10</definedName>
    <definedName name="Z_5BE913A1_B14F_11D2_B0DC_0000832CDFF0_.wvu.Rows" localSheetId="5" hidden="1">'ADJ SUMMARY'!$26:$26,'ADJ SUMMARY'!$29:$30,'ADJ SUMMARY'!#REF!</definedName>
    <definedName name="Z_A15D1964_B049_11D2_8670_0000832CEEE8_.wvu.Cols" localSheetId="2" hidden="1">'2007-2018 data'!#REF!</definedName>
    <definedName name="Z_A15D1964_B049_11D2_8670_0000832CEEE8_.wvu.Cols" localSheetId="1" hidden="1">'ADJ DETAIL INPUT-Restated CB'!$W:$Y</definedName>
    <definedName name="Z_A15D1964_B049_11D2_8670_0000832CEEE8_.wvu.PrintArea" localSheetId="2" hidden="1">'2007-2018 data'!#REF!</definedName>
    <definedName name="Z_A15D1964_B049_11D2_8670_0000832CEEE8_.wvu.PrintArea" localSheetId="1" hidden="1">'ADJ DETAIL INPUT-Restated CB'!$E$11:$Y$82</definedName>
    <definedName name="Z_A15D1964_B049_11D2_8670_0000832CEEE8_.wvu.PrintArea" localSheetId="5" hidden="1">'ADJ SUMMARY'!$A$1:$G$30</definedName>
    <definedName name="Z_A15D1964_B049_11D2_8670_0000832CEEE8_.wvu.PrintArea" localSheetId="11" hidden="1">'ROO INPUT'!$A$3:$G$82</definedName>
    <definedName name="Z_A15D1964_B049_11D2_8670_0000832CEEE8_.wvu.PrintTitles" localSheetId="2" hidden="1">'2007-2018 data'!$A:$D,'2007-2018 data'!$1:$8</definedName>
    <definedName name="Z_A15D1964_B049_11D2_8670_0000832CEEE8_.wvu.PrintTitles" localSheetId="1" hidden="1">'ADJ DETAIL INPUT-Restated CB'!$A:$D,'ADJ DETAIL INPUT-Restated CB'!$2:$10</definedName>
    <definedName name="Z_A15D1964_B049_11D2_8670_0000832CEEE8_.wvu.Rows" localSheetId="5" hidden="1">'ADJ SUMMARY'!$26:$26,'ADJ SUMMARY'!$29:$30,'ADJ SUMMARY'!#REF!</definedName>
  </definedNames>
  <calcPr calcId="152511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P182" i="80" l="1"/>
  <c r="Q182" i="80" s="1"/>
  <c r="Q183" i="80" s="1"/>
  <c r="C7" i="85" l="1"/>
  <c r="C5" i="85"/>
  <c r="AC42" i="79" l="1"/>
  <c r="AC41" i="79"/>
  <c r="H36" i="86" l="1"/>
  <c r="H37" i="86" s="1"/>
  <c r="R35" i="86"/>
  <c r="Q35" i="86"/>
  <c r="P35" i="86"/>
  <c r="N35" i="86"/>
  <c r="R34" i="86"/>
  <c r="Q34" i="86"/>
  <c r="P34" i="86"/>
  <c r="N34" i="86"/>
  <c r="R33" i="86"/>
  <c r="Q33" i="86"/>
  <c r="P33" i="86"/>
  <c r="I30" i="86" s="1"/>
  <c r="N33" i="86"/>
  <c r="R32" i="86"/>
  <c r="G31" i="86" s="1"/>
  <c r="G35" i="86" s="1"/>
  <c r="Q32" i="86"/>
  <c r="P32" i="86"/>
  <c r="N32" i="86"/>
  <c r="R31" i="86"/>
  <c r="Q31" i="86"/>
  <c r="P31" i="86"/>
  <c r="N31" i="86"/>
  <c r="J31" i="86"/>
  <c r="I31" i="86"/>
  <c r="R30" i="86"/>
  <c r="F31" i="86" s="1"/>
  <c r="F35" i="86" s="1"/>
  <c r="P30" i="86"/>
  <c r="N30" i="86"/>
  <c r="F29" i="86" s="1"/>
  <c r="J30" i="86"/>
  <c r="G30" i="86"/>
  <c r="G34" i="86" s="1"/>
  <c r="G37" i="86" s="1"/>
  <c r="F30" i="86"/>
  <c r="F34" i="86" s="1"/>
  <c r="R29" i="86"/>
  <c r="R36" i="86" s="1"/>
  <c r="Q29" i="86"/>
  <c r="P29" i="86"/>
  <c r="P36" i="86" s="1"/>
  <c r="N29" i="86"/>
  <c r="N36" i="86" s="1"/>
  <c r="J29" i="86"/>
  <c r="J36" i="86" s="1"/>
  <c r="J37" i="86" s="1"/>
  <c r="I29" i="86"/>
  <c r="G29" i="86"/>
  <c r="E29" i="86"/>
  <c r="N27" i="86"/>
  <c r="J22" i="86"/>
  <c r="J21" i="86"/>
  <c r="J19" i="86"/>
  <c r="J18" i="86"/>
  <c r="J15" i="86"/>
  <c r="I15" i="86"/>
  <c r="J14" i="86"/>
  <c r="I14" i="86"/>
  <c r="H14" i="86"/>
  <c r="H15" i="86" s="1"/>
  <c r="G13" i="86"/>
  <c r="F13" i="86"/>
  <c r="E13" i="86"/>
  <c r="D13" i="86" s="1"/>
  <c r="G12" i="86"/>
  <c r="G15" i="86" s="1"/>
  <c r="F12" i="86"/>
  <c r="F15" i="86" s="1"/>
  <c r="F23" i="86" s="1"/>
  <c r="E12" i="86"/>
  <c r="D12" i="86" s="1"/>
  <c r="D9" i="86"/>
  <c r="D8" i="86"/>
  <c r="D7" i="86"/>
  <c r="F17" i="86" l="1"/>
  <c r="F39" i="86"/>
  <c r="F40" i="86" s="1"/>
  <c r="F37" i="86"/>
  <c r="D29" i="86"/>
  <c r="I37" i="86"/>
  <c r="I36" i="86"/>
  <c r="E15" i="86"/>
  <c r="E31" i="86"/>
  <c r="Q30" i="86"/>
  <c r="Q36" i="86" s="1"/>
  <c r="D36" i="86"/>
  <c r="D14" i="86"/>
  <c r="E30" i="86"/>
  <c r="F15" i="80"/>
  <c r="F41" i="86" l="1"/>
  <c r="E35" i="86"/>
  <c r="D35" i="86" s="1"/>
  <c r="D31" i="86"/>
  <c r="I19" i="86"/>
  <c r="F18" i="86"/>
  <c r="F19" i="86" s="1"/>
  <c r="E34" i="86"/>
  <c r="D30" i="86"/>
  <c r="D15" i="86"/>
  <c r="E23" i="86"/>
  <c r="D34" i="86" l="1"/>
  <c r="E37" i="86"/>
  <c r="D37" i="86" s="1"/>
  <c r="E17" i="86"/>
  <c r="E39" i="86"/>
  <c r="E40" i="86" s="1"/>
  <c r="H83" i="80"/>
  <c r="I83" i="80"/>
  <c r="J83" i="80"/>
  <c r="G83" i="80"/>
  <c r="G73" i="80"/>
  <c r="H73" i="80"/>
  <c r="I73" i="80"/>
  <c r="J73" i="80"/>
  <c r="I68" i="82"/>
  <c r="I18" i="86" l="1"/>
  <c r="E18" i="86"/>
  <c r="E41" i="86"/>
  <c r="D41" i="86" s="1"/>
  <c r="D43" i="86" s="1"/>
  <c r="D40" i="86"/>
  <c r="I69" i="82"/>
  <c r="I70" i="82"/>
  <c r="I74" i="82" l="1"/>
  <c r="J87" i="80" s="1"/>
  <c r="E19" i="86"/>
  <c r="D19" i="86" s="1"/>
  <c r="D21" i="86" s="1"/>
  <c r="D45" i="86" s="1"/>
  <c r="D46" i="86" s="1"/>
  <c r="D18" i="86"/>
  <c r="H69" i="82"/>
  <c r="G70" i="82"/>
  <c r="G74" i="82"/>
  <c r="H87" i="80" s="1"/>
  <c r="H74" i="82" l="1"/>
  <c r="I87" i="80" s="1"/>
  <c r="H70" i="82"/>
  <c r="I18" i="82" l="1"/>
  <c r="I17" i="82"/>
  <c r="AC54" i="79" l="1"/>
  <c r="I133" i="80" l="1"/>
  <c r="I110" i="80"/>
  <c r="E12" i="3"/>
  <c r="F15" i="75" s="1"/>
  <c r="C12" i="3"/>
  <c r="B15" i="75" s="1"/>
  <c r="B12" i="3"/>
  <c r="A4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E9" i="3"/>
  <c r="E8" i="3"/>
  <c r="D18" i="3"/>
  <c r="D8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1" i="3"/>
  <c r="C10" i="3"/>
  <c r="C9" i="3"/>
  <c r="C8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1" i="3"/>
  <c r="B10" i="3"/>
  <c r="B9" i="3"/>
  <c r="B8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5" i="75" s="1"/>
  <c r="A11" i="3"/>
  <c r="A10" i="3"/>
  <c r="A9" i="3"/>
  <c r="A8" i="3"/>
  <c r="A1" i="3"/>
  <c r="I53" i="82"/>
  <c r="G53" i="82"/>
  <c r="H14" i="82"/>
  <c r="H19" i="82" s="1"/>
  <c r="I42" i="80" s="1"/>
  <c r="I14" i="82"/>
  <c r="I19" i="82" s="1"/>
  <c r="J42" i="80" s="1"/>
  <c r="I15" i="75" l="1"/>
  <c r="G15" i="75"/>
  <c r="E28" i="3"/>
  <c r="S20" i="81"/>
  <c r="Q20" i="81"/>
  <c r="E35" i="81"/>
  <c r="E40" i="81"/>
  <c r="E32" i="81"/>
  <c r="E11" i="81"/>
  <c r="S63" i="81"/>
  <c r="J109" i="80" s="1"/>
  <c r="Q63" i="81"/>
  <c r="I109" i="80" s="1"/>
  <c r="S18" i="81"/>
  <c r="Q18" i="81"/>
  <c r="S13" i="81"/>
  <c r="Q19" i="81" l="1"/>
  <c r="S19" i="81"/>
  <c r="O13" i="81" l="1"/>
  <c r="H30" i="82" l="1"/>
  <c r="I43" i="80" s="1"/>
  <c r="I30" i="82"/>
  <c r="J43" i="80" s="1"/>
  <c r="J124" i="80" s="1"/>
  <c r="H37" i="82"/>
  <c r="I37" i="82"/>
  <c r="H43" i="82"/>
  <c r="I43" i="82"/>
  <c r="H49" i="82"/>
  <c r="I49" i="82"/>
  <c r="S27" i="81"/>
  <c r="R27" i="81"/>
  <c r="R21" i="81"/>
  <c r="R11" i="81"/>
  <c r="R35" i="81" s="1"/>
  <c r="Q27" i="81"/>
  <c r="P27" i="81"/>
  <c r="P21" i="81"/>
  <c r="Q13" i="81"/>
  <c r="P11" i="81"/>
  <c r="P35" i="81" s="1"/>
  <c r="H35" i="82" l="1"/>
  <c r="H32" i="82"/>
  <c r="H33" i="82" s="1"/>
  <c r="I35" i="82"/>
  <c r="I50" i="82"/>
  <c r="I52" i="82" s="1"/>
  <c r="I59" i="82" s="1"/>
  <c r="H50" i="82"/>
  <c r="H52" i="82" s="1"/>
  <c r="H59" i="82" s="1"/>
  <c r="R14" i="81"/>
  <c r="P14" i="81"/>
  <c r="P40" i="81"/>
  <c r="P44" i="81" s="1"/>
  <c r="R40" i="81"/>
  <c r="R44" i="81" s="1"/>
  <c r="S21" i="81"/>
  <c r="Q21" i="81"/>
  <c r="I32" i="82"/>
  <c r="R32" i="81"/>
  <c r="R33" i="81" s="1"/>
  <c r="P32" i="81"/>
  <c r="P33" i="81" s="1"/>
  <c r="I15" i="80"/>
  <c r="J15" i="80"/>
  <c r="I22" i="80"/>
  <c r="J22" i="80"/>
  <c r="I28" i="80"/>
  <c r="J28" i="80"/>
  <c r="I34" i="80"/>
  <c r="J34" i="80"/>
  <c r="I45" i="80"/>
  <c r="J45" i="80"/>
  <c r="I66" i="80"/>
  <c r="J66" i="80"/>
  <c r="I75" i="80"/>
  <c r="J75" i="80"/>
  <c r="I81" i="80"/>
  <c r="J81" i="80"/>
  <c r="I100" i="80"/>
  <c r="J100" i="80"/>
  <c r="I102" i="80"/>
  <c r="J102" i="80"/>
  <c r="I103" i="80"/>
  <c r="J103" i="80"/>
  <c r="I104" i="80"/>
  <c r="J104" i="80"/>
  <c r="I105" i="80"/>
  <c r="J105" i="80"/>
  <c r="I106" i="80"/>
  <c r="J106" i="80"/>
  <c r="I107" i="80"/>
  <c r="J107" i="80"/>
  <c r="I117" i="80"/>
  <c r="J117" i="80"/>
  <c r="I118" i="80"/>
  <c r="J118" i="80"/>
  <c r="I119" i="80"/>
  <c r="J119" i="80"/>
  <c r="I124" i="80"/>
  <c r="I125" i="80"/>
  <c r="J125" i="80"/>
  <c r="I129" i="80"/>
  <c r="J129" i="80"/>
  <c r="I130" i="80"/>
  <c r="J130" i="80"/>
  <c r="I131" i="80"/>
  <c r="J131" i="80"/>
  <c r="I132" i="80"/>
  <c r="J132" i="80"/>
  <c r="AC45" i="79"/>
  <c r="AE30" i="79"/>
  <c r="W71" i="79"/>
  <c r="V71" i="79"/>
  <c r="W65" i="79"/>
  <c r="W72" i="79" s="1"/>
  <c r="W74" i="79" s="1"/>
  <c r="W81" i="79" s="1"/>
  <c r="V65" i="79"/>
  <c r="V72" i="79" s="1"/>
  <c r="V74" i="79" s="1"/>
  <c r="V81" i="79" s="1"/>
  <c r="W53" i="79"/>
  <c r="W47" i="79"/>
  <c r="V47" i="79"/>
  <c r="W36" i="79"/>
  <c r="V36" i="79"/>
  <c r="W30" i="79"/>
  <c r="V30" i="79"/>
  <c r="W24" i="79"/>
  <c r="W48" i="79" s="1"/>
  <c r="V24" i="79"/>
  <c r="V48" i="79" s="1"/>
  <c r="W17" i="79"/>
  <c r="V17" i="79"/>
  <c r="V50" i="79" s="1"/>
  <c r="W10" i="79"/>
  <c r="V10" i="79"/>
  <c r="U71" i="79"/>
  <c r="T71" i="79"/>
  <c r="S71" i="79"/>
  <c r="R71" i="79"/>
  <c r="Q71" i="79"/>
  <c r="P71" i="79"/>
  <c r="O71" i="79"/>
  <c r="N71" i="79"/>
  <c r="U65" i="79"/>
  <c r="U72" i="79" s="1"/>
  <c r="U74" i="79" s="1"/>
  <c r="U81" i="79" s="1"/>
  <c r="T65" i="79"/>
  <c r="T72" i="79" s="1"/>
  <c r="T74" i="79" s="1"/>
  <c r="T81" i="79" s="1"/>
  <c r="S65" i="79"/>
  <c r="S72" i="79" s="1"/>
  <c r="S74" i="79" s="1"/>
  <c r="S81" i="79" s="1"/>
  <c r="R65" i="79"/>
  <c r="R72" i="79" s="1"/>
  <c r="R74" i="79" s="1"/>
  <c r="R81" i="79" s="1"/>
  <c r="Q65" i="79"/>
  <c r="Q72" i="79" s="1"/>
  <c r="Q74" i="79" s="1"/>
  <c r="Q81" i="79" s="1"/>
  <c r="P65" i="79"/>
  <c r="P72" i="79" s="1"/>
  <c r="P74" i="79" s="1"/>
  <c r="P81" i="79" s="1"/>
  <c r="O65" i="79"/>
  <c r="O72" i="79" s="1"/>
  <c r="O74" i="79" s="1"/>
  <c r="O81" i="79" s="1"/>
  <c r="N65" i="79"/>
  <c r="N72" i="79" s="1"/>
  <c r="N74" i="79" s="1"/>
  <c r="N81" i="79" s="1"/>
  <c r="U47" i="79"/>
  <c r="R47" i="79"/>
  <c r="Q47" i="79"/>
  <c r="P47" i="79"/>
  <c r="O47" i="79"/>
  <c r="N47" i="79"/>
  <c r="T43" i="79"/>
  <c r="T47" i="79" s="1"/>
  <c r="S43" i="79"/>
  <c r="S47" i="79" s="1"/>
  <c r="T38" i="79"/>
  <c r="S38" i="79"/>
  <c r="U36" i="79"/>
  <c r="R36" i="79"/>
  <c r="Q36" i="79"/>
  <c r="P36" i="79"/>
  <c r="P48" i="79" s="1"/>
  <c r="P50" i="79" s="1"/>
  <c r="O36" i="79"/>
  <c r="N36" i="79"/>
  <c r="T35" i="79"/>
  <c r="T36" i="79" s="1"/>
  <c r="S35" i="79"/>
  <c r="S36" i="79" s="1"/>
  <c r="U30" i="79"/>
  <c r="T30" i="79"/>
  <c r="S30" i="79"/>
  <c r="R30" i="79"/>
  <c r="Q30" i="79"/>
  <c r="P30" i="79"/>
  <c r="O30" i="79"/>
  <c r="N30" i="79"/>
  <c r="U24" i="79"/>
  <c r="T24" i="79"/>
  <c r="S24" i="79"/>
  <c r="R24" i="79"/>
  <c r="R48" i="79" s="1"/>
  <c r="Q24" i="79"/>
  <c r="P24" i="79"/>
  <c r="O24" i="79"/>
  <c r="O48" i="79" s="1"/>
  <c r="N24" i="79"/>
  <c r="N48" i="79" s="1"/>
  <c r="U17" i="79"/>
  <c r="T17" i="79"/>
  <c r="S17" i="79"/>
  <c r="R17" i="79"/>
  <c r="R50" i="79" s="1"/>
  <c r="Q17" i="79"/>
  <c r="P17" i="79"/>
  <c r="O17" i="79"/>
  <c r="O50" i="79" s="1"/>
  <c r="O58" i="79" s="1"/>
  <c r="N17" i="79"/>
  <c r="N50" i="79" s="1"/>
  <c r="M71" i="79"/>
  <c r="L71" i="79"/>
  <c r="K71" i="79"/>
  <c r="J71" i="79"/>
  <c r="I71" i="79"/>
  <c r="H71" i="79"/>
  <c r="G71" i="79"/>
  <c r="F71" i="79"/>
  <c r="M65" i="79"/>
  <c r="M72" i="79" s="1"/>
  <c r="M74" i="79" s="1"/>
  <c r="M81" i="79" s="1"/>
  <c r="L65" i="79"/>
  <c r="L72" i="79" s="1"/>
  <c r="L74" i="79" s="1"/>
  <c r="L81" i="79" s="1"/>
  <c r="K65" i="79"/>
  <c r="K72" i="79" s="1"/>
  <c r="K74" i="79" s="1"/>
  <c r="K81" i="79" s="1"/>
  <c r="J65" i="79"/>
  <c r="J72" i="79" s="1"/>
  <c r="J74" i="79" s="1"/>
  <c r="J81" i="79" s="1"/>
  <c r="I65" i="79"/>
  <c r="I72" i="79" s="1"/>
  <c r="I74" i="79" s="1"/>
  <c r="I81" i="79" s="1"/>
  <c r="H65" i="79"/>
  <c r="H72" i="79" s="1"/>
  <c r="H74" i="79" s="1"/>
  <c r="H81" i="79" s="1"/>
  <c r="G65" i="79"/>
  <c r="G72" i="79" s="1"/>
  <c r="G74" i="79" s="1"/>
  <c r="G81" i="79" s="1"/>
  <c r="F65" i="79"/>
  <c r="F72" i="79" s="1"/>
  <c r="F74" i="79" s="1"/>
  <c r="F81" i="79" s="1"/>
  <c r="M47" i="79"/>
  <c r="L47" i="79"/>
  <c r="K47" i="79"/>
  <c r="J47" i="79"/>
  <c r="I47" i="79"/>
  <c r="H47" i="79"/>
  <c r="G47" i="79"/>
  <c r="F47" i="79"/>
  <c r="M36" i="79"/>
  <c r="L36" i="79"/>
  <c r="K36" i="79"/>
  <c r="J36" i="79"/>
  <c r="I36" i="79"/>
  <c r="H36" i="79"/>
  <c r="G36" i="79"/>
  <c r="F36" i="79"/>
  <c r="M30" i="79"/>
  <c r="L30" i="79"/>
  <c r="K30" i="79"/>
  <c r="J30" i="79"/>
  <c r="I30" i="79"/>
  <c r="H30" i="79"/>
  <c r="G30" i="79"/>
  <c r="F30" i="79"/>
  <c r="M24" i="79"/>
  <c r="M48" i="79" s="1"/>
  <c r="L24" i="79"/>
  <c r="L48" i="79" s="1"/>
  <c r="K24" i="79"/>
  <c r="K48" i="79" s="1"/>
  <c r="J24" i="79"/>
  <c r="J48" i="79" s="1"/>
  <c r="I24" i="79"/>
  <c r="I48" i="79" s="1"/>
  <c r="H24" i="79"/>
  <c r="H48" i="79" s="1"/>
  <c r="G24" i="79"/>
  <c r="G48" i="79" s="1"/>
  <c r="F24" i="79"/>
  <c r="F48" i="79" s="1"/>
  <c r="M17" i="79"/>
  <c r="M50" i="79" s="1"/>
  <c r="L17" i="79"/>
  <c r="L50" i="79" s="1"/>
  <c r="K17" i="79"/>
  <c r="J17" i="79"/>
  <c r="J50" i="79" s="1"/>
  <c r="I17" i="79"/>
  <c r="I50" i="79" s="1"/>
  <c r="H17" i="79"/>
  <c r="H50" i="79" s="1"/>
  <c r="G17" i="79"/>
  <c r="F17" i="79"/>
  <c r="F50" i="79" s="1"/>
  <c r="K10" i="79"/>
  <c r="L10" i="79" s="1"/>
  <c r="M10" i="79" s="1"/>
  <c r="N10" i="79" s="1"/>
  <c r="O10" i="79" s="1"/>
  <c r="P10" i="79" s="1"/>
  <c r="Q10" i="79" s="1"/>
  <c r="R10" i="79" s="1"/>
  <c r="S10" i="79" s="1"/>
  <c r="T10" i="79" s="1"/>
  <c r="U10" i="79" s="1"/>
  <c r="F10" i="79"/>
  <c r="G10" i="79" s="1"/>
  <c r="H10" i="79" s="1"/>
  <c r="I10" i="79" s="1"/>
  <c r="L12" i="55"/>
  <c r="N12" i="55"/>
  <c r="N14" i="55"/>
  <c r="J108" i="80" l="1"/>
  <c r="I108" i="80"/>
  <c r="J120" i="80"/>
  <c r="Q65" i="81"/>
  <c r="I120" i="80"/>
  <c r="I82" i="80"/>
  <c r="I84" i="80" s="1"/>
  <c r="I91" i="80" s="1"/>
  <c r="I46" i="80"/>
  <c r="I48" i="80" s="1"/>
  <c r="I56" i="80" s="1"/>
  <c r="I33" i="82"/>
  <c r="I126" i="80"/>
  <c r="S11" i="81"/>
  <c r="S35" i="81" s="1"/>
  <c r="S65" i="81"/>
  <c r="P45" i="81"/>
  <c r="P47" i="81" s="1"/>
  <c r="P55" i="81" s="1"/>
  <c r="R45" i="81"/>
  <c r="R47" i="81" s="1"/>
  <c r="R55" i="81" s="1"/>
  <c r="J126" i="80"/>
  <c r="Q33" i="81"/>
  <c r="Q44" i="81"/>
  <c r="Q14" i="81"/>
  <c r="I113" i="80"/>
  <c r="J82" i="80"/>
  <c r="J84" i="80" s="1"/>
  <c r="J91" i="80" s="1"/>
  <c r="I61" i="82" s="1"/>
  <c r="J46" i="80"/>
  <c r="J48" i="80" s="1"/>
  <c r="J56" i="80" s="1"/>
  <c r="I136" i="80"/>
  <c r="V53" i="79"/>
  <c r="W50" i="79"/>
  <c r="W58" i="79" s="1"/>
  <c r="V54" i="79"/>
  <c r="V58" i="79" s="1"/>
  <c r="T48" i="79"/>
  <c r="T50" i="79" s="1"/>
  <c r="T53" i="79" s="1"/>
  <c r="U50" i="79"/>
  <c r="Q48" i="79"/>
  <c r="Q50" i="79" s="1"/>
  <c r="U48" i="79"/>
  <c r="N53" i="79"/>
  <c r="P53" i="79"/>
  <c r="N54" i="79"/>
  <c r="R54" i="79"/>
  <c r="R53" i="79"/>
  <c r="S48" i="79"/>
  <c r="S50" i="79" s="1"/>
  <c r="S54" i="79"/>
  <c r="P54" i="79"/>
  <c r="P58" i="79" s="1"/>
  <c r="D19" i="3" s="1"/>
  <c r="T54" i="79"/>
  <c r="U53" i="79"/>
  <c r="Q54" i="79"/>
  <c r="U54" i="79"/>
  <c r="F53" i="79"/>
  <c r="J54" i="79"/>
  <c r="G54" i="79"/>
  <c r="K54" i="79"/>
  <c r="J53" i="79"/>
  <c r="F54" i="79"/>
  <c r="G50" i="79"/>
  <c r="K50" i="79"/>
  <c r="H53" i="79"/>
  <c r="L53" i="79"/>
  <c r="H54" i="79"/>
  <c r="L54" i="79"/>
  <c r="I53" i="79"/>
  <c r="M53" i="79"/>
  <c r="I54" i="79"/>
  <c r="M54" i="79"/>
  <c r="H61" i="82" l="1"/>
  <c r="J121" i="80"/>
  <c r="I139" i="80"/>
  <c r="T58" i="79"/>
  <c r="D23" i="3" s="1"/>
  <c r="V87" i="79"/>
  <c r="V88" i="79" s="1"/>
  <c r="V83" i="79" s="1"/>
  <c r="D25" i="3"/>
  <c r="W87" i="79"/>
  <c r="W88" i="79" s="1"/>
  <c r="W83" i="79" s="1"/>
  <c r="D26" i="3"/>
  <c r="I58" i="79"/>
  <c r="D12" i="3" s="1"/>
  <c r="H58" i="79"/>
  <c r="D11" i="3" s="1"/>
  <c r="F58" i="79"/>
  <c r="D9" i="3" s="1"/>
  <c r="U58" i="79"/>
  <c r="D24" i="3" s="1"/>
  <c r="R58" i="79"/>
  <c r="D21" i="3" s="1"/>
  <c r="S40" i="81"/>
  <c r="S44" i="81" s="1"/>
  <c r="S14" i="81"/>
  <c r="S32" i="81"/>
  <c r="Q45" i="81"/>
  <c r="Q47" i="81" s="1"/>
  <c r="Q55" i="81" s="1"/>
  <c r="J139" i="80"/>
  <c r="Q53" i="79"/>
  <c r="Q58" i="79" s="1"/>
  <c r="D20" i="3" s="1"/>
  <c r="N58" i="79"/>
  <c r="D17" i="3" s="1"/>
  <c r="M58" i="79"/>
  <c r="D16" i="3" s="1"/>
  <c r="L58" i="79"/>
  <c r="D15" i="3" s="1"/>
  <c r="J58" i="79"/>
  <c r="D13" i="3" s="1"/>
  <c r="S53" i="79"/>
  <c r="S58" i="79" s="1"/>
  <c r="D22" i="3" s="1"/>
  <c r="K53" i="79"/>
  <c r="K58" i="79" s="1"/>
  <c r="D14" i="3" s="1"/>
  <c r="G53" i="79"/>
  <c r="G58" i="79" s="1"/>
  <c r="D10" i="3" s="1"/>
  <c r="J140" i="80" l="1"/>
  <c r="J110" i="80"/>
  <c r="J113" i="80" s="1"/>
  <c r="S33" i="81"/>
  <c r="S45" i="81" s="1"/>
  <c r="S47" i="81" s="1"/>
  <c r="S55" i="81" s="1"/>
  <c r="J133" i="80"/>
  <c r="J136" i="80" l="1"/>
  <c r="J137" i="80" s="1"/>
  <c r="AC43" i="79"/>
  <c r="J114" i="80"/>
  <c r="E25" i="56"/>
  <c r="F312" i="5"/>
  <c r="F311" i="5"/>
  <c r="F310" i="5"/>
  <c r="F309" i="5"/>
  <c r="F308" i="5"/>
  <c r="F307" i="5"/>
  <c r="F306" i="5"/>
  <c r="F305" i="5"/>
  <c r="F304" i="5"/>
  <c r="F303" i="5"/>
  <c r="F302" i="5"/>
  <c r="F301" i="5"/>
  <c r="F76" i="5" s="1"/>
  <c r="E76" i="5" s="1"/>
  <c r="H76" i="5" s="1"/>
  <c r="F300" i="5"/>
  <c r="F299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71" i="5" s="1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57" i="5" s="1"/>
  <c r="E57" i="5" s="1"/>
  <c r="H57" i="5" s="1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41" i="5" s="1"/>
  <c r="E41" i="5" s="1"/>
  <c r="H41" i="5" s="1"/>
  <c r="F175" i="5"/>
  <c r="F174" i="5"/>
  <c r="F173" i="5"/>
  <c r="F172" i="5"/>
  <c r="F171" i="5"/>
  <c r="F170" i="5"/>
  <c r="F169" i="5"/>
  <c r="F168" i="5"/>
  <c r="F167" i="5"/>
  <c r="F166" i="5"/>
  <c r="F165" i="5"/>
  <c r="F164" i="5"/>
  <c r="F39" i="5" s="1"/>
  <c r="E39" i="5" s="1"/>
  <c r="H39" i="5" s="1"/>
  <c r="F163" i="5"/>
  <c r="F162" i="5"/>
  <c r="F161" i="5"/>
  <c r="F160" i="5"/>
  <c r="F159" i="5"/>
  <c r="F158" i="5"/>
  <c r="F157" i="5"/>
  <c r="F156" i="5"/>
  <c r="F155" i="5"/>
  <c r="F154" i="5"/>
  <c r="F153" i="5"/>
  <c r="F36" i="5" s="1"/>
  <c r="F152" i="5"/>
  <c r="F35" i="5" s="1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30" i="5" s="1"/>
  <c r="F122" i="5"/>
  <c r="F121" i="5"/>
  <c r="F29" i="5" s="1"/>
  <c r="F120" i="5"/>
  <c r="F119" i="5"/>
  <c r="F28" i="5" s="1"/>
  <c r="F118" i="5"/>
  <c r="F117" i="5"/>
  <c r="F116" i="5"/>
  <c r="F115" i="5"/>
  <c r="F114" i="5"/>
  <c r="F113" i="5"/>
  <c r="F112" i="5"/>
  <c r="F111" i="5"/>
  <c r="F23" i="5" s="1"/>
  <c r="E23" i="5" s="1"/>
  <c r="H23" i="5" s="1"/>
  <c r="F110" i="5"/>
  <c r="F109" i="5"/>
  <c r="F24" i="5" s="1"/>
  <c r="F108" i="5"/>
  <c r="F22" i="5" s="1"/>
  <c r="F107" i="5"/>
  <c r="F106" i="5"/>
  <c r="F105" i="5"/>
  <c r="F104" i="5"/>
  <c r="F103" i="5"/>
  <c r="F102" i="5"/>
  <c r="F101" i="5"/>
  <c r="F100" i="5"/>
  <c r="F99" i="5"/>
  <c r="F16" i="5" s="1"/>
  <c r="E16" i="5" s="1"/>
  <c r="H16" i="5" s="1"/>
  <c r="F98" i="5"/>
  <c r="F97" i="5"/>
  <c r="F96" i="5"/>
  <c r="F95" i="5"/>
  <c r="F94" i="5"/>
  <c r="F93" i="5"/>
  <c r="F92" i="5"/>
  <c r="F91" i="5"/>
  <c r="F90" i="5"/>
  <c r="F89" i="5"/>
  <c r="F88" i="5"/>
  <c r="G79" i="5"/>
  <c r="F79" i="5"/>
  <c r="E79" i="5"/>
  <c r="H77" i="5" s="1"/>
  <c r="G78" i="5"/>
  <c r="G77" i="5"/>
  <c r="E77" i="5"/>
  <c r="G76" i="5"/>
  <c r="G74" i="5"/>
  <c r="F74" i="5"/>
  <c r="E74" i="5" s="1"/>
  <c r="H74" i="5" s="1"/>
  <c r="G71" i="5"/>
  <c r="E71" i="5"/>
  <c r="H71" i="5" s="1"/>
  <c r="G70" i="5"/>
  <c r="F70" i="5"/>
  <c r="E70" i="5"/>
  <c r="H70" i="5" s="1"/>
  <c r="G69" i="5"/>
  <c r="G72" i="5" s="1"/>
  <c r="F69" i="5"/>
  <c r="E69" i="5"/>
  <c r="H69" i="5" s="1"/>
  <c r="H68" i="5"/>
  <c r="G65" i="5"/>
  <c r="F65" i="5"/>
  <c r="E65" i="5" s="1"/>
  <c r="H65" i="5" s="1"/>
  <c r="G64" i="5"/>
  <c r="F64" i="5"/>
  <c r="E64" i="5" s="1"/>
  <c r="H64" i="5" s="1"/>
  <c r="G63" i="5"/>
  <c r="G66" i="5" s="1"/>
  <c r="F63" i="5"/>
  <c r="E63" i="5" s="1"/>
  <c r="G57" i="5"/>
  <c r="G56" i="5"/>
  <c r="F56" i="5"/>
  <c r="E56" i="5" s="1"/>
  <c r="H56" i="5" s="1"/>
  <c r="G54" i="5"/>
  <c r="F54" i="5"/>
  <c r="E54" i="5" s="1"/>
  <c r="H54" i="5" s="1"/>
  <c r="E47" i="5"/>
  <c r="H47" i="5" s="1"/>
  <c r="G46" i="5"/>
  <c r="G45" i="5"/>
  <c r="G44" i="5"/>
  <c r="F44" i="5"/>
  <c r="G41" i="5"/>
  <c r="G40" i="5"/>
  <c r="E40" i="5" s="1"/>
  <c r="H40" i="5" s="1"/>
  <c r="F40" i="5"/>
  <c r="G39" i="5"/>
  <c r="G36" i="5"/>
  <c r="G35" i="5"/>
  <c r="G37" i="5" s="1"/>
  <c r="G34" i="5"/>
  <c r="E34" i="5" s="1"/>
  <c r="F34" i="5"/>
  <c r="G30" i="5"/>
  <c r="G31" i="5" s="1"/>
  <c r="G29" i="5"/>
  <c r="G28" i="5"/>
  <c r="G24" i="5"/>
  <c r="G25" i="5" s="1"/>
  <c r="G23" i="5"/>
  <c r="G22" i="5"/>
  <c r="H21" i="5"/>
  <c r="G17" i="5"/>
  <c r="G16" i="5"/>
  <c r="H15" i="5"/>
  <c r="G15" i="5"/>
  <c r="G18" i="5" s="1"/>
  <c r="F15" i="5"/>
  <c r="E15" i="5"/>
  <c r="F66" i="5" l="1"/>
  <c r="E30" i="5"/>
  <c r="H30" i="5" s="1"/>
  <c r="F17" i="5"/>
  <c r="E17" i="5" s="1"/>
  <c r="H17" i="5" s="1"/>
  <c r="E35" i="5"/>
  <c r="H35" i="5" s="1"/>
  <c r="F78" i="5"/>
  <c r="E78" i="5" s="1"/>
  <c r="F18" i="5"/>
  <c r="E66" i="5"/>
  <c r="H63" i="5"/>
  <c r="E72" i="5"/>
  <c r="E24" i="5"/>
  <c r="H24" i="5" s="1"/>
  <c r="E29" i="5"/>
  <c r="H29" i="5" s="1"/>
  <c r="E36" i="5"/>
  <c r="H36" i="5" s="1"/>
  <c r="G48" i="5"/>
  <c r="G49" i="5" s="1"/>
  <c r="G51" i="5" s="1"/>
  <c r="G59" i="5" s="1"/>
  <c r="E44" i="5"/>
  <c r="F31" i="5"/>
  <c r="E28" i="5"/>
  <c r="F25" i="5"/>
  <c r="E22" i="5"/>
  <c r="F45" i="5"/>
  <c r="F46" i="5"/>
  <c r="E46" i="5" s="1"/>
  <c r="F37" i="5"/>
  <c r="E37" i="5"/>
  <c r="H34" i="5"/>
  <c r="G73" i="5"/>
  <c r="G75" i="5" s="1"/>
  <c r="G82" i="5" s="1"/>
  <c r="F72" i="5"/>
  <c r="H44" i="5" l="1"/>
  <c r="F49" i="5"/>
  <c r="F51" i="5" s="1"/>
  <c r="F59" i="5" s="1"/>
  <c r="F84" i="5" s="1"/>
  <c r="H72" i="5"/>
  <c r="F73" i="5"/>
  <c r="F75" i="5" s="1"/>
  <c r="F82" i="5" s="1"/>
  <c r="E31" i="5"/>
  <c r="H31" i="5" s="1"/>
  <c r="H28" i="5"/>
  <c r="E25" i="5"/>
  <c r="H22" i="5"/>
  <c r="H37" i="5"/>
  <c r="E45" i="5"/>
  <c r="H45" i="5" s="1"/>
  <c r="F48" i="5"/>
  <c r="H66" i="5"/>
  <c r="E73" i="5"/>
  <c r="E75" i="5" s="1"/>
  <c r="E82" i="5" s="1"/>
  <c r="H82" i="5" s="1"/>
  <c r="E18" i="5"/>
  <c r="H18" i="5" l="1"/>
  <c r="E49" i="5"/>
  <c r="H49" i="5" s="1"/>
  <c r="H25" i="5"/>
  <c r="E48" i="5"/>
  <c r="H48" i="5" s="1"/>
  <c r="E51" i="5" l="1"/>
  <c r="E59" i="5" l="1"/>
  <c r="H51" i="5"/>
  <c r="E84" i="5" l="1"/>
  <c r="H59" i="5"/>
  <c r="F74" i="82" l="1"/>
  <c r="G87" i="80" s="1"/>
  <c r="E74" i="82"/>
  <c r="F70" i="82"/>
  <c r="E70" i="82"/>
  <c r="F87" i="80" s="1"/>
  <c r="G55" i="82"/>
  <c r="G49" i="82"/>
  <c r="G50" i="82" s="1"/>
  <c r="G52" i="82" s="1"/>
  <c r="G59" i="82" s="1"/>
  <c r="E49" i="82"/>
  <c r="F49" i="82"/>
  <c r="F43" i="82"/>
  <c r="E43" i="82"/>
  <c r="G42" i="82"/>
  <c r="G43" i="82" s="1"/>
  <c r="G37" i="82"/>
  <c r="F37" i="82"/>
  <c r="G30" i="82"/>
  <c r="F30" i="82"/>
  <c r="E30" i="82"/>
  <c r="G14" i="82"/>
  <c r="F14" i="82"/>
  <c r="E14" i="82"/>
  <c r="O63" i="81"/>
  <c r="O19" i="81" s="1"/>
  <c r="L63" i="81"/>
  <c r="L19" i="81" s="1"/>
  <c r="O27" i="81"/>
  <c r="N27" i="81"/>
  <c r="M27" i="81"/>
  <c r="L27" i="81"/>
  <c r="K27" i="81"/>
  <c r="J27" i="81"/>
  <c r="I27" i="81"/>
  <c r="H27" i="81"/>
  <c r="G27" i="81"/>
  <c r="N21" i="81"/>
  <c r="M21" i="81"/>
  <c r="K21" i="81"/>
  <c r="J21" i="81"/>
  <c r="H21" i="81"/>
  <c r="G21" i="81"/>
  <c r="O20" i="81"/>
  <c r="L20" i="81"/>
  <c r="I20" i="81"/>
  <c r="I19" i="81"/>
  <c r="O18" i="81"/>
  <c r="L18" i="81"/>
  <c r="I18" i="81"/>
  <c r="L13" i="81"/>
  <c r="I13" i="81"/>
  <c r="H149" i="80"/>
  <c r="H147" i="80"/>
  <c r="G147" i="80"/>
  <c r="F147" i="80"/>
  <c r="H146" i="80"/>
  <c r="G146" i="80"/>
  <c r="F146" i="80"/>
  <c r="H132" i="80"/>
  <c r="G132" i="80"/>
  <c r="F132" i="80"/>
  <c r="H131" i="80"/>
  <c r="G131" i="80"/>
  <c r="F131" i="80"/>
  <c r="H130" i="80"/>
  <c r="G130" i="80"/>
  <c r="F130" i="80"/>
  <c r="H129" i="80"/>
  <c r="G129" i="80"/>
  <c r="F129" i="80"/>
  <c r="H125" i="80"/>
  <c r="G125" i="80"/>
  <c r="F125" i="80"/>
  <c r="C125" i="80"/>
  <c r="H118" i="80"/>
  <c r="G118" i="80"/>
  <c r="F118" i="80"/>
  <c r="H117" i="80"/>
  <c r="G117" i="80"/>
  <c r="F117" i="80"/>
  <c r="F109" i="80"/>
  <c r="H107" i="80"/>
  <c r="G107" i="80"/>
  <c r="F107" i="80"/>
  <c r="H106" i="80"/>
  <c r="G106" i="80"/>
  <c r="F106" i="80"/>
  <c r="H105" i="80"/>
  <c r="G105" i="80"/>
  <c r="F105" i="80"/>
  <c r="H104" i="80"/>
  <c r="G104" i="80"/>
  <c r="F104" i="80"/>
  <c r="H103" i="80"/>
  <c r="G103" i="80"/>
  <c r="F103" i="80"/>
  <c r="H102" i="80"/>
  <c r="G102" i="80"/>
  <c r="F102" i="80"/>
  <c r="H100" i="80"/>
  <c r="G100" i="80"/>
  <c r="F100" i="80"/>
  <c r="F83" i="80"/>
  <c r="H81" i="80"/>
  <c r="G81" i="80"/>
  <c r="F81" i="80"/>
  <c r="H75" i="80"/>
  <c r="G75" i="80"/>
  <c r="F73" i="80"/>
  <c r="F75" i="80" s="1"/>
  <c r="H66" i="80"/>
  <c r="G66" i="80"/>
  <c r="A62" i="80"/>
  <c r="F54" i="80"/>
  <c r="H34" i="80"/>
  <c r="G34" i="80"/>
  <c r="F34" i="80"/>
  <c r="H28" i="80"/>
  <c r="G28" i="80"/>
  <c r="F28" i="80"/>
  <c r="H22" i="80"/>
  <c r="G22" i="80"/>
  <c r="F22" i="80"/>
  <c r="H15" i="80"/>
  <c r="G15" i="80"/>
  <c r="E78" i="79"/>
  <c r="X78" i="79" s="1"/>
  <c r="Y78" i="79" s="1"/>
  <c r="E77" i="79"/>
  <c r="X77" i="79" s="1"/>
  <c r="Y77" i="79" s="1"/>
  <c r="E76" i="79"/>
  <c r="X76" i="79" s="1"/>
  <c r="Y76" i="79" s="1"/>
  <c r="E75" i="79"/>
  <c r="X75" i="79" s="1"/>
  <c r="Y75" i="79" s="1"/>
  <c r="E73" i="79"/>
  <c r="X73" i="79" s="1"/>
  <c r="Y73" i="79" s="1"/>
  <c r="E70" i="79"/>
  <c r="X70" i="79" s="1"/>
  <c r="Y70" i="79" s="1"/>
  <c r="E69" i="79"/>
  <c r="X69" i="79" s="1"/>
  <c r="Y69" i="79" s="1"/>
  <c r="E68" i="79"/>
  <c r="E64" i="79"/>
  <c r="X64" i="79" s="1"/>
  <c r="Y64" i="79" s="1"/>
  <c r="E63" i="79"/>
  <c r="X63" i="79" s="1"/>
  <c r="Y63" i="79" s="1"/>
  <c r="E62" i="79"/>
  <c r="E56" i="79"/>
  <c r="X56" i="79" s="1"/>
  <c r="Y56" i="79" s="1"/>
  <c r="E55" i="79"/>
  <c r="X55" i="79" s="1"/>
  <c r="Y55" i="79" s="1"/>
  <c r="E54" i="79"/>
  <c r="E53" i="79"/>
  <c r="E46" i="79"/>
  <c r="X46" i="79" s="1"/>
  <c r="Y46" i="79" s="1"/>
  <c r="E45" i="79"/>
  <c r="X45" i="79" s="1"/>
  <c r="Y45" i="79" s="1"/>
  <c r="E44" i="79"/>
  <c r="X44" i="79" s="1"/>
  <c r="Y44" i="79" s="1"/>
  <c r="E43" i="79"/>
  <c r="X42" i="79"/>
  <c r="E40" i="79"/>
  <c r="X40" i="79" s="1"/>
  <c r="Y40" i="79" s="1"/>
  <c r="E39" i="79"/>
  <c r="X39" i="79" s="1"/>
  <c r="Y39" i="79" s="1"/>
  <c r="E38" i="79"/>
  <c r="E35" i="79"/>
  <c r="E34" i="79"/>
  <c r="X34" i="79" s="1"/>
  <c r="Y34" i="79" s="1"/>
  <c r="E33" i="79"/>
  <c r="X33" i="79" s="1"/>
  <c r="Y33" i="79" s="1"/>
  <c r="AD30" i="79"/>
  <c r="AB29" i="79"/>
  <c r="E29" i="79"/>
  <c r="X29" i="79" s="1"/>
  <c r="Y29" i="79" s="1"/>
  <c r="E28" i="79"/>
  <c r="X28" i="79" s="1"/>
  <c r="Y28" i="79" s="1"/>
  <c r="E27" i="79"/>
  <c r="X27" i="79" s="1"/>
  <c r="E23" i="79"/>
  <c r="X23" i="79" s="1"/>
  <c r="Y23" i="79" s="1"/>
  <c r="E22" i="79"/>
  <c r="X22" i="79" s="1"/>
  <c r="Y22" i="79" s="1"/>
  <c r="E21" i="79"/>
  <c r="E16" i="79"/>
  <c r="X16" i="79" s="1"/>
  <c r="Y16" i="79" s="1"/>
  <c r="E15" i="79"/>
  <c r="X15" i="79" s="1"/>
  <c r="Y15" i="79" s="1"/>
  <c r="E14" i="79"/>
  <c r="X14" i="79" s="1"/>
  <c r="Y14" i="79" s="1"/>
  <c r="A5" i="79"/>
  <c r="A4" i="79"/>
  <c r="A4" i="55" s="1"/>
  <c r="A2" i="79"/>
  <c r="F50" i="82" l="1"/>
  <c r="F52" i="82" s="1"/>
  <c r="F59" i="82" s="1"/>
  <c r="F82" i="80"/>
  <c r="F150" i="80"/>
  <c r="E35" i="82"/>
  <c r="F43" i="80"/>
  <c r="F124" i="80" s="1"/>
  <c r="F126" i="80" s="1"/>
  <c r="F35" i="82"/>
  <c r="G43" i="80"/>
  <c r="G124" i="80" s="1"/>
  <c r="G126" i="80" s="1"/>
  <c r="G35" i="82"/>
  <c r="H43" i="80"/>
  <c r="H124" i="80" s="1"/>
  <c r="H126" i="80" s="1"/>
  <c r="E50" i="82"/>
  <c r="E52" i="82" s="1"/>
  <c r="E59" i="82" s="1"/>
  <c r="G19" i="82"/>
  <c r="E19" i="82"/>
  <c r="F19" i="82"/>
  <c r="F84" i="80"/>
  <c r="F139" i="80" s="1"/>
  <c r="X38" i="79"/>
  <c r="Y38" i="79" s="1"/>
  <c r="AD29" i="79"/>
  <c r="AD31" i="79" s="1"/>
  <c r="AB31" i="79"/>
  <c r="X43" i="79"/>
  <c r="Y43" i="79" s="1"/>
  <c r="Y47" i="79" s="1"/>
  <c r="F108" i="80"/>
  <c r="H108" i="80"/>
  <c r="H82" i="80"/>
  <c r="H84" i="80" s="1"/>
  <c r="H139" i="80" s="1"/>
  <c r="G108" i="80"/>
  <c r="H150" i="80"/>
  <c r="G150" i="80"/>
  <c r="G82" i="80"/>
  <c r="G84" i="80" s="1"/>
  <c r="G91" i="80" s="1"/>
  <c r="G109" i="80"/>
  <c r="I21" i="81"/>
  <c r="I65" i="81" s="1"/>
  <c r="H109" i="80"/>
  <c r="O21" i="81"/>
  <c r="H44" i="81"/>
  <c r="H14" i="81"/>
  <c r="H33" i="81"/>
  <c r="M44" i="81"/>
  <c r="M33" i="81"/>
  <c r="M14" i="81"/>
  <c r="L21" i="81"/>
  <c r="AF30" i="79"/>
  <c r="AD32" i="79" s="1"/>
  <c r="X35" i="79"/>
  <c r="Y35" i="79" s="1"/>
  <c r="Y17" i="79"/>
  <c r="E30" i="79"/>
  <c r="E36" i="79"/>
  <c r="X17" i="79"/>
  <c r="X30" i="79"/>
  <c r="Y27" i="79"/>
  <c r="E17" i="79"/>
  <c r="X62" i="79"/>
  <c r="E65" i="79"/>
  <c r="E24" i="79"/>
  <c r="X21" i="79"/>
  <c r="E47" i="79"/>
  <c r="X68" i="79"/>
  <c r="E71" i="79"/>
  <c r="F61" i="82" l="1"/>
  <c r="F181" i="80"/>
  <c r="G139" i="80"/>
  <c r="G151" i="80"/>
  <c r="E32" i="82"/>
  <c r="E33" i="82" s="1"/>
  <c r="F42" i="80"/>
  <c r="G32" i="82"/>
  <c r="G33" i="82" s="1"/>
  <c r="H42" i="80"/>
  <c r="F32" i="82"/>
  <c r="F33" i="82" s="1"/>
  <c r="G42" i="80"/>
  <c r="I140" i="80"/>
  <c r="F91" i="80"/>
  <c r="X47" i="79"/>
  <c r="Y36" i="79"/>
  <c r="M45" i="81"/>
  <c r="M47" i="81" s="1"/>
  <c r="M55" i="81" s="1"/>
  <c r="H45" i="81"/>
  <c r="H47" i="81" s="1"/>
  <c r="H55" i="81" s="1"/>
  <c r="AD33" i="79"/>
  <c r="E48" i="79"/>
  <c r="Y30" i="79"/>
  <c r="F151" i="80"/>
  <c r="H91" i="80"/>
  <c r="H151" i="80"/>
  <c r="I14" i="81"/>
  <c r="O65" i="81"/>
  <c r="J33" i="81"/>
  <c r="J45" i="81" s="1"/>
  <c r="J14" i="81"/>
  <c r="J44" i="81"/>
  <c r="K44" i="81"/>
  <c r="K33" i="81"/>
  <c r="K14" i="81"/>
  <c r="N44" i="81"/>
  <c r="N33" i="81"/>
  <c r="N14" i="81"/>
  <c r="L65" i="81"/>
  <c r="G142" i="80"/>
  <c r="G33" i="81"/>
  <c r="G44" i="81"/>
  <c r="G14" i="81"/>
  <c r="G140" i="80"/>
  <c r="G166" i="80"/>
  <c r="H140" i="80"/>
  <c r="X71" i="79"/>
  <c r="Y68" i="79"/>
  <c r="Y71" i="79" s="1"/>
  <c r="Y21" i="79"/>
  <c r="Y24" i="79" s="1"/>
  <c r="X24" i="79"/>
  <c r="X65" i="79"/>
  <c r="X72" i="79" s="1"/>
  <c r="X74" i="79" s="1"/>
  <c r="X81" i="79" s="1"/>
  <c r="Y62" i="79"/>
  <c r="Y65" i="79" s="1"/>
  <c r="Y72" i="79" s="1"/>
  <c r="Y74" i="79" s="1"/>
  <c r="E50" i="79"/>
  <c r="E72" i="79"/>
  <c r="E74" i="79" s="1"/>
  <c r="E81" i="79" s="1"/>
  <c r="X36" i="79"/>
  <c r="F197" i="80" l="1"/>
  <c r="AE45" i="79"/>
  <c r="E61" i="82"/>
  <c r="F183" i="80"/>
  <c r="G119" i="80"/>
  <c r="G120" i="80" s="1"/>
  <c r="G45" i="80"/>
  <c r="G46" i="80" s="1"/>
  <c r="G48" i="80" s="1"/>
  <c r="G56" i="80" s="1"/>
  <c r="F119" i="80"/>
  <c r="F120" i="80" s="1"/>
  <c r="F45" i="80"/>
  <c r="F46" i="80" s="1"/>
  <c r="F48" i="80" s="1"/>
  <c r="F56" i="80" s="1"/>
  <c r="H119" i="80"/>
  <c r="H120" i="80" s="1"/>
  <c r="H45" i="80"/>
  <c r="H46" i="80" s="1"/>
  <c r="H48" i="80" s="1"/>
  <c r="H56" i="80" s="1"/>
  <c r="H142" i="80"/>
  <c r="H143" i="80" s="1"/>
  <c r="G61" i="82"/>
  <c r="G168" i="80"/>
  <c r="F142" i="80"/>
  <c r="G143" i="80" s="1"/>
  <c r="Y48" i="79"/>
  <c r="Y50" i="79" s="1"/>
  <c r="F168" i="80"/>
  <c r="J47" i="81"/>
  <c r="J55" i="81" s="1"/>
  <c r="K45" i="81"/>
  <c r="K47" i="81" s="1"/>
  <c r="K55" i="81" s="1"/>
  <c r="O14" i="81"/>
  <c r="O44" i="81"/>
  <c r="O33" i="81"/>
  <c r="O45" i="81" s="1"/>
  <c r="O47" i="81" s="1"/>
  <c r="O55" i="81" s="1"/>
  <c r="Y81" i="79"/>
  <c r="AB45" i="79"/>
  <c r="I44" i="81"/>
  <c r="I33" i="81"/>
  <c r="H133" i="80"/>
  <c r="L44" i="81"/>
  <c r="L14" i="81"/>
  <c r="F166" i="80"/>
  <c r="N45" i="81"/>
  <c r="N47" i="81" s="1"/>
  <c r="N55" i="81" s="1"/>
  <c r="G45" i="81"/>
  <c r="G47" i="81" s="1"/>
  <c r="G55" i="81" s="1"/>
  <c r="X50" i="79"/>
  <c r="E58" i="79"/>
  <c r="E82" i="79" s="1"/>
  <c r="X48" i="79"/>
  <c r="F177" i="80" l="1"/>
  <c r="AE41" i="79" s="1"/>
  <c r="F162" i="80"/>
  <c r="H121" i="80"/>
  <c r="I121" i="80"/>
  <c r="G162" i="80"/>
  <c r="G121" i="80"/>
  <c r="F110" i="80"/>
  <c r="F113" i="80" s="1"/>
  <c r="H110" i="80"/>
  <c r="H113" i="80" s="1"/>
  <c r="H136" i="80"/>
  <c r="F133" i="80"/>
  <c r="F136" i="80" s="1"/>
  <c r="AC47" i="79"/>
  <c r="AD54" i="79" s="1"/>
  <c r="I206" i="80" s="1"/>
  <c r="E8" i="85" s="1"/>
  <c r="I45" i="81"/>
  <c r="I47" i="81" s="1"/>
  <c r="I55" i="81" s="1"/>
  <c r="G110" i="80"/>
  <c r="G113" i="80" s="1"/>
  <c r="F143" i="80"/>
  <c r="G133" i="80"/>
  <c r="G136" i="80" s="1"/>
  <c r="L33" i="81"/>
  <c r="L45" i="81" s="1"/>
  <c r="L47" i="81" s="1"/>
  <c r="L55" i="81" s="1"/>
  <c r="F206" i="80" l="1"/>
  <c r="AD64" i="79"/>
  <c r="F179" i="80"/>
  <c r="F193" i="80"/>
  <c r="F174" i="80"/>
  <c r="I137" i="80"/>
  <c r="I114" i="80"/>
  <c r="F160" i="80"/>
  <c r="AD42" i="79"/>
  <c r="AD41" i="79"/>
  <c r="AD60" i="79" s="1"/>
  <c r="AD45" i="79"/>
  <c r="AD43" i="79"/>
  <c r="F164" i="80"/>
  <c r="G114" i="80"/>
  <c r="G160" i="80"/>
  <c r="H114" i="80"/>
  <c r="G164" i="80"/>
  <c r="G137" i="80"/>
  <c r="H137" i="80"/>
  <c r="AE43" i="79" l="1"/>
  <c r="C6" i="85"/>
  <c r="H174" i="80"/>
  <c r="E204" i="80"/>
  <c r="F204" i="80" s="1"/>
  <c r="I204" i="80" s="1"/>
  <c r="AD62" i="79"/>
  <c r="E205" i="80"/>
  <c r="AD63" i="79"/>
  <c r="E202" i="80"/>
  <c r="F202" i="80" s="1"/>
  <c r="I202" i="80" s="1"/>
  <c r="E203" i="80"/>
  <c r="F205" i="80"/>
  <c r="I205" i="80" s="1"/>
  <c r="F189" i="80"/>
  <c r="F195" i="80"/>
  <c r="B28" i="75"/>
  <c r="AE42" i="79" l="1"/>
  <c r="AD61" i="79" s="1"/>
  <c r="C4" i="85"/>
  <c r="I203" i="80"/>
  <c r="D4" i="85"/>
  <c r="E4" i="85" s="1"/>
  <c r="F203" i="80"/>
  <c r="F208" i="80" s="1"/>
  <c r="D6" i="85"/>
  <c r="D7" i="85"/>
  <c r="D5" i="85"/>
  <c r="F28" i="75"/>
  <c r="G28" i="75" s="1"/>
  <c r="E6" i="85" l="1"/>
  <c r="E7" i="85"/>
  <c r="E5" i="85"/>
  <c r="D8" i="85"/>
  <c r="E9" i="85" l="1"/>
  <c r="AD65" i="79"/>
  <c r="I208" i="80"/>
  <c r="B25" i="75" l="1"/>
  <c r="F25" i="75" l="1"/>
  <c r="G25" i="75" s="1"/>
  <c r="B16" i="75" l="1"/>
  <c r="F16" i="75" l="1"/>
  <c r="G16" i="75" s="1"/>
  <c r="AB59" i="55" l="1"/>
  <c r="Q82" i="56"/>
  <c r="A28" i="75" l="1"/>
  <c r="A25" i="75"/>
  <c r="G36" i="75" l="1"/>
  <c r="A4" i="75" l="1"/>
  <c r="A66" i="75" s="1"/>
  <c r="C124" i="75"/>
  <c r="C123" i="75"/>
  <c r="F110" i="75"/>
  <c r="B110" i="75"/>
  <c r="F107" i="75"/>
  <c r="B107" i="75"/>
  <c r="A107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2" i="75"/>
  <c r="B92" i="75"/>
  <c r="A92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B86" i="75"/>
  <c r="A86" i="75"/>
  <c r="F85" i="75"/>
  <c r="B85" i="75"/>
  <c r="A85" i="75"/>
  <c r="F84" i="75"/>
  <c r="B84" i="75"/>
  <c r="A84" i="75"/>
  <c r="F83" i="75"/>
  <c r="B83" i="75"/>
  <c r="A83" i="75"/>
  <c r="F82" i="75"/>
  <c r="B82" i="75"/>
  <c r="A82" i="75"/>
  <c r="F81" i="75"/>
  <c r="B81" i="75"/>
  <c r="A81" i="75"/>
  <c r="F80" i="75"/>
  <c r="B80" i="75"/>
  <c r="A80" i="75"/>
  <c r="F79" i="75"/>
  <c r="B79" i="75"/>
  <c r="A79" i="75"/>
  <c r="F78" i="75"/>
  <c r="B78" i="75"/>
  <c r="A78" i="75"/>
  <c r="F77" i="75"/>
  <c r="B77" i="75"/>
  <c r="A77" i="75"/>
  <c r="F76" i="75"/>
  <c r="B76" i="75"/>
  <c r="A76" i="75"/>
  <c r="F75" i="75"/>
  <c r="B75" i="75"/>
  <c r="A75" i="75"/>
  <c r="F74" i="75"/>
  <c r="B74" i="75"/>
  <c r="A74" i="75"/>
  <c r="F73" i="75"/>
  <c r="B73" i="75"/>
  <c r="A73" i="75"/>
  <c r="F72" i="75"/>
  <c r="B72" i="75"/>
  <c r="A72" i="75"/>
  <c r="F71" i="75"/>
  <c r="B71" i="75"/>
  <c r="A71" i="75"/>
  <c r="F70" i="75"/>
  <c r="F108" i="75" s="1"/>
  <c r="B70" i="75"/>
  <c r="A70" i="75"/>
  <c r="A64" i="75"/>
  <c r="A63" i="75"/>
  <c r="C61" i="75"/>
  <c r="C139" i="75" s="1"/>
  <c r="C60" i="75"/>
  <c r="C138" i="75" s="1"/>
  <c r="C57" i="75"/>
  <c r="C135" i="75" s="1"/>
  <c r="C56" i="75"/>
  <c r="C134" i="75" s="1"/>
  <c r="C53" i="75"/>
  <c r="C131" i="75" s="1"/>
  <c r="C52" i="75"/>
  <c r="C130" i="75" s="1"/>
  <c r="C51" i="75"/>
  <c r="C129" i="75" s="1"/>
  <c r="C47" i="75"/>
  <c r="E54" i="75" s="1"/>
  <c r="I10" i="75"/>
  <c r="F112" i="75" l="1"/>
  <c r="F116" i="75" s="1"/>
  <c r="F119" i="75" s="1"/>
  <c r="C62" i="75"/>
  <c r="D61" i="75" s="1"/>
  <c r="C125" i="75"/>
  <c r="E132" i="75" s="1"/>
  <c r="C132" i="75"/>
  <c r="D131" i="75" s="1"/>
  <c r="C136" i="75"/>
  <c r="D135" i="75" s="1"/>
  <c r="C140" i="75"/>
  <c r="D138" i="75" s="1"/>
  <c r="D140" i="75" s="1"/>
  <c r="C58" i="75"/>
  <c r="D56" i="75" s="1"/>
  <c r="C54" i="75"/>
  <c r="D52" i="75" s="1"/>
  <c r="E52" i="75" s="1"/>
  <c r="E62" i="75" s="1"/>
  <c r="D57" i="75" l="1"/>
  <c r="D58" i="75" s="1"/>
  <c r="D130" i="75"/>
  <c r="D60" i="75"/>
  <c r="D62" i="75" s="1"/>
  <c r="D129" i="75"/>
  <c r="E129" i="75" s="1"/>
  <c r="E136" i="75" s="1"/>
  <c r="E135" i="75" s="1"/>
  <c r="E131" i="75"/>
  <c r="D139" i="75"/>
  <c r="E61" i="75"/>
  <c r="D53" i="75"/>
  <c r="E53" i="75" s="1"/>
  <c r="D51" i="75"/>
  <c r="D134" i="75"/>
  <c r="D132" i="75" l="1"/>
  <c r="E130" i="75"/>
  <c r="E140" i="75" s="1"/>
  <c r="E138" i="75" s="1"/>
  <c r="E60" i="75"/>
  <c r="D54" i="75"/>
  <c r="E51" i="75"/>
  <c r="E58" i="75" s="1"/>
  <c r="E134" i="75"/>
  <c r="D136" i="75"/>
  <c r="E139" i="75" l="1"/>
  <c r="E56" i="75"/>
  <c r="E57" i="75"/>
  <c r="E21" i="56" l="1"/>
  <c r="E23" i="56" s="1"/>
  <c r="E27" i="56" l="1"/>
  <c r="B26" i="75"/>
  <c r="A13" i="75"/>
  <c r="B13" i="75"/>
  <c r="A14" i="75"/>
  <c r="B14" i="75"/>
  <c r="B24" i="75"/>
  <c r="B17" i="75"/>
  <c r="B18" i="75"/>
  <c r="B19" i="75"/>
  <c r="B20" i="75"/>
  <c r="B23" i="75"/>
  <c r="B27" i="75"/>
  <c r="B21" i="75"/>
  <c r="B22" i="75"/>
  <c r="B29" i="75"/>
  <c r="B11" i="75"/>
  <c r="A12" i="75"/>
  <c r="B12" i="75"/>
  <c r="A11" i="75"/>
  <c r="E86" i="79" l="1"/>
  <c r="F29" i="75" l="1"/>
  <c r="G29" i="75" s="1"/>
  <c r="F13" i="75"/>
  <c r="G13" i="75" s="1"/>
  <c r="F26" i="75"/>
  <c r="G26" i="75" s="1"/>
  <c r="F14" i="75"/>
  <c r="G14" i="75" s="1"/>
  <c r="E11" i="75"/>
  <c r="E30" i="75" l="1"/>
  <c r="F20" i="75"/>
  <c r="G20" i="75" s="1"/>
  <c r="F24" i="75"/>
  <c r="G24" i="75" s="1"/>
  <c r="F17" i="75"/>
  <c r="G17" i="75" s="1"/>
  <c r="F27" i="75"/>
  <c r="G27" i="75" s="1"/>
  <c r="F22" i="75"/>
  <c r="G22" i="75" s="1"/>
  <c r="F19" i="75"/>
  <c r="G19" i="75" s="1"/>
  <c r="F21" i="75"/>
  <c r="G21" i="75" s="1"/>
  <c r="G11" i="75"/>
  <c r="F23" i="75" l="1"/>
  <c r="G23" i="75" s="1"/>
  <c r="F18" i="75"/>
  <c r="G18" i="75" s="1"/>
  <c r="F12" i="75"/>
  <c r="F30" i="75" l="1"/>
  <c r="G12" i="75"/>
  <c r="G30" i="75" l="1"/>
  <c r="H28" i="3"/>
  <c r="F22" i="55" l="1"/>
  <c r="H22" i="55" l="1"/>
  <c r="G22" i="55"/>
  <c r="A16" i="75" l="1"/>
  <c r="A17" i="75" l="1"/>
  <c r="A18" i="75" l="1"/>
  <c r="A19" i="75" l="1"/>
  <c r="A20" i="75" l="1"/>
  <c r="A21" i="75" l="1"/>
  <c r="A22" i="75" l="1"/>
  <c r="A23" i="75" l="1"/>
  <c r="A24" i="75" l="1"/>
  <c r="A26" i="75" l="1"/>
  <c r="E8" i="75" l="1"/>
  <c r="A29" i="75"/>
  <c r="A27" i="75" l="1"/>
  <c r="L15" i="55"/>
  <c r="N15" i="55" l="1"/>
  <c r="E85" i="79" s="1"/>
  <c r="P13" i="55"/>
  <c r="O87" i="79" l="1"/>
  <c r="O88" i="79" s="1"/>
  <c r="O83" i="79" s="1"/>
  <c r="P87" i="79"/>
  <c r="P88" i="79" s="1"/>
  <c r="P83" i="79" s="1"/>
  <c r="U87" i="79"/>
  <c r="U88" i="79" s="1"/>
  <c r="U83" i="79" s="1"/>
  <c r="T87" i="79"/>
  <c r="T88" i="79" s="1"/>
  <c r="T83" i="79" s="1"/>
  <c r="I87" i="79"/>
  <c r="I88" i="79" s="1"/>
  <c r="I83" i="79" s="1"/>
  <c r="F87" i="79"/>
  <c r="F88" i="79" s="1"/>
  <c r="F83" i="79" s="1"/>
  <c r="R87" i="79"/>
  <c r="R88" i="79" s="1"/>
  <c r="R83" i="79" s="1"/>
  <c r="H87" i="79"/>
  <c r="H88" i="79" s="1"/>
  <c r="H83" i="79" s="1"/>
  <c r="Q87" i="79"/>
  <c r="Q88" i="79" s="1"/>
  <c r="Q83" i="79" s="1"/>
  <c r="K87" i="79"/>
  <c r="K88" i="79" s="1"/>
  <c r="K83" i="79" s="1"/>
  <c r="J87" i="79"/>
  <c r="J88" i="79" s="1"/>
  <c r="J83" i="79" s="1"/>
  <c r="S87" i="79"/>
  <c r="S88" i="79" s="1"/>
  <c r="S83" i="79" s="1"/>
  <c r="L87" i="79"/>
  <c r="L88" i="79" s="1"/>
  <c r="L83" i="79" s="1"/>
  <c r="M87" i="79"/>
  <c r="M88" i="79" s="1"/>
  <c r="M83" i="79" s="1"/>
  <c r="N87" i="79"/>
  <c r="N88" i="79" s="1"/>
  <c r="N83" i="79" s="1"/>
  <c r="G87" i="79"/>
  <c r="G88" i="79" s="1"/>
  <c r="G83" i="79" s="1"/>
  <c r="E87" i="79"/>
  <c r="E32" i="75"/>
  <c r="I11" i="75" l="1"/>
  <c r="I12" i="75"/>
  <c r="E88" i="79"/>
  <c r="E83" i="79" s="1"/>
  <c r="X54" i="79"/>
  <c r="I17" i="75"/>
  <c r="I19" i="75"/>
  <c r="I23" i="75"/>
  <c r="I27" i="75"/>
  <c r="I20" i="75"/>
  <c r="I24" i="75"/>
  <c r="I28" i="75"/>
  <c r="I22" i="75"/>
  <c r="I21" i="75"/>
  <c r="I29" i="75"/>
  <c r="I26" i="75"/>
  <c r="I25" i="75"/>
  <c r="I18" i="75"/>
  <c r="I16" i="75"/>
  <c r="E34" i="75"/>
  <c r="E38" i="75" s="1"/>
  <c r="I13" i="75"/>
  <c r="F32" i="75"/>
  <c r="F34" i="75" s="1"/>
  <c r="F38" i="75" s="1"/>
  <c r="F41" i="75" s="1"/>
  <c r="I14" i="75"/>
  <c r="Y54" i="79" l="1"/>
  <c r="I34" i="75"/>
  <c r="I41" i="75" s="1"/>
  <c r="J42" i="75" s="1"/>
  <c r="G34" i="75"/>
  <c r="E41" i="75"/>
  <c r="G38" i="75"/>
  <c r="X53" i="79" l="1"/>
  <c r="G41" i="75"/>
  <c r="Y53" i="79" l="1"/>
  <c r="Y58" i="79" s="1"/>
  <c r="Y87" i="79" s="1"/>
  <c r="Y88" i="79" s="1"/>
  <c r="Y83" i="79" s="1"/>
  <c r="F20" i="55" s="1"/>
  <c r="X58" i="79"/>
  <c r="X87" i="79" s="1"/>
  <c r="X88" i="79" s="1"/>
  <c r="X83" i="79" s="1"/>
  <c r="F28" i="55" l="1"/>
  <c r="D28" i="3"/>
  <c r="G20" i="55" l="1"/>
  <c r="H20" i="55" s="1"/>
  <c r="G24" i="55" l="1"/>
  <c r="G28" i="55"/>
  <c r="H34" i="55"/>
  <c r="H28" i="55"/>
  <c r="H24" i="55"/>
  <c r="H31" i="55" l="1"/>
  <c r="H32" i="55" s="1"/>
  <c r="H35" i="55" l="1"/>
  <c r="F24" i="55"/>
  <c r="J12" i="56"/>
  <c r="J15" i="56" l="1"/>
  <c r="J17" i="56"/>
  <c r="J19" i="56"/>
  <c r="J21" i="56" l="1"/>
  <c r="J23" i="56" s="1"/>
  <c r="J25" i="56" s="1"/>
  <c r="J27" i="56" l="1"/>
  <c r="J29" i="56" s="1"/>
  <c r="J30" i="56" s="1"/>
</calcChain>
</file>

<file path=xl/comments1.xml><?xml version="1.0" encoding="utf-8"?>
<comments xmlns="http://schemas.openxmlformats.org/spreadsheetml/2006/main">
  <authors>
    <author>rzk7kq</author>
  </authors>
  <commentList>
    <comment ref="B44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10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<sst xmlns="http://schemas.openxmlformats.org/spreadsheetml/2006/main" count="1171" uniqueCount="679">
  <si>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</si>
  <si>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</si>
  <si>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</si>
  <si>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</si>
  <si>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</si>
  <si>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</si>
  <si>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</si>
  <si>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</si>
  <si>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</si>
  <si>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</si>
  <si>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</si>
  <si>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</si>
  <si>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</si>
  <si>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</si>
  <si>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</si>
  <si>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</si>
  <si>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</si>
  <si>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</si>
  <si>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</si>
  <si>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</si>
  <si>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</si>
  <si>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</si>
  <si>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</si>
  <si>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</si>
  <si>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</si>
  <si>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</si>
  <si>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</si>
  <si>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</si>
  <si>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</si>
  <si>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</si>
  <si>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</si>
  <si>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</si>
  <si>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</si>
  <si>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</si>
  <si>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</si>
  <si>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</si>
  <si>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</si>
  <si>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</si>
  <si>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</si>
  <si>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</si>
  <si>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</si>
  <si>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</si>
  <si>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</si>
  <si>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</si>
  <si>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</si>
  <si>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</si>
  <si>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</si>
  <si>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</si>
  <si>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</si>
  <si>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</si>
  <si>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</si>
  <si>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</si>
  <si>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</si>
  <si>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</si>
  <si>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</si>
  <si>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</si>
  <si>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ACCUMULATED DEPRECIATION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</si>
  <si>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</si>
  <si>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</si>
  <si>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</si>
  <si>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</si>
  <si>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</si>
  <si>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</si>
  <si>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</si>
  <si>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</si>
  <si>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</si>
  <si>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</si>
  <si>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</si>
  <si>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</si>
  <si>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</si>
  <si>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</si>
  <si>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</si>
  <si>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</si>
  <si>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</si>
  <si>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</si>
  <si>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</si>
  <si>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</si>
  <si>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</si>
  <si>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</si>
  <si>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</si>
  <si>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</si>
  <si>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</si>
  <si>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</si>
  <si>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</si>
  <si>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</si>
  <si>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</si>
  <si>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</si>
  <si>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</si>
  <si>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</si>
  <si>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</si>
  <si>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</si>
  <si>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</si>
  <si>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</si>
  <si>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</si>
  <si>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</si>
  <si>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</si>
  <si>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</si>
  <si>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</si>
  <si>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</si>
  <si>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</si>
  <si>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</si>
  <si>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</si>
  <si>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</si>
  <si>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</si>
  <si>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</si>
  <si>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</si>
  <si>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</si>
  <si>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</si>
  <si>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</si>
  <si>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</si>
  <si>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</si>
  <si>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</si>
  <si>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</si>
  <si>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</si>
  <si>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</si>
  <si>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</si>
  <si>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>Restate Debt Interest</t>
  </si>
  <si>
    <t>Theresa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</si>
  <si>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</si>
  <si>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</si>
  <si>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</si>
  <si>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</si>
  <si>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</si>
  <si>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</si>
  <si>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</si>
  <si>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</si>
  <si>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</si>
  <si>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Conversion Factor</t>
  </si>
  <si>
    <t>Revenue Requirement</t>
  </si>
  <si>
    <t>(000's OF DOLLARS)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</si>
  <si>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</si>
  <si>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</si>
  <si>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</si>
  <si>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</si>
  <si>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</si>
  <si>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</si>
  <si>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</si>
  <si>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</si>
  <si>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</si>
  <si>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</si>
  <si>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WA Wtd Debt</t>
  </si>
  <si>
    <t>All Inputs</t>
  </si>
  <si>
    <t>NOI Requirement</t>
  </si>
  <si>
    <t xml:space="preserve">Karen </t>
  </si>
  <si>
    <t>Restating</t>
  </si>
  <si>
    <t>REVENUE REQUIREMENT</t>
  </si>
  <si>
    <t>Common Equity</t>
  </si>
  <si>
    <t>Jen</t>
  </si>
  <si>
    <t>NET PLANT</t>
  </si>
  <si>
    <t>Jen/Karen</t>
  </si>
  <si>
    <t>Joe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</si>
  <si>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</si>
  <si>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</si>
  <si>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</si>
  <si>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</si>
  <si>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</si>
  <si>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</si>
  <si>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</si>
  <si>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</si>
  <si>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</si>
  <si>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</si>
  <si>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</si>
  <si>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</si>
  <si>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</si>
  <si>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</si>
  <si>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</si>
  <si>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</si>
  <si>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</si>
  <si>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</si>
  <si>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</si>
  <si>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</si>
  <si>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</si>
  <si>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</si>
  <si>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</si>
  <si>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</si>
  <si>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</si>
  <si>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</si>
  <si>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</si>
  <si>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</si>
  <si>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</si>
  <si>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</si>
  <si>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</si>
  <si>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</si>
  <si>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</si>
  <si>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</si>
  <si>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</si>
  <si>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</si>
  <si>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</si>
  <si>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</si>
  <si>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</si>
  <si>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</si>
  <si>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</si>
  <si>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</si>
  <si>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</si>
  <si>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</si>
  <si>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</si>
  <si>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</si>
  <si>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</si>
  <si>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</si>
  <si>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</si>
  <si>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</si>
  <si>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</si>
  <si>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</si>
  <si>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</si>
  <si>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</si>
  <si>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</si>
  <si>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</si>
  <si>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</si>
  <si>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</si>
  <si>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</si>
  <si>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</si>
  <si>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</si>
  <si>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</si>
  <si>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</si>
  <si>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</si>
  <si>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</si>
  <si>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</si>
  <si>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</si>
  <si>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</si>
  <si>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</si>
  <si>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</si>
  <si>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</si>
  <si>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</si>
  <si>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</si>
  <si>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</si>
  <si>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</si>
  <si>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</si>
  <si>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</si>
  <si>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</si>
  <si>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</si>
  <si>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</si>
  <si>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</si>
  <si>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</si>
  <si>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</si>
  <si>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</si>
  <si>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</si>
  <si>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</si>
  <si>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</si>
  <si>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</si>
  <si>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</si>
  <si>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</si>
  <si>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</si>
  <si>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</si>
  <si>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</si>
  <si>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</si>
  <si>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</si>
  <si>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</si>
  <si>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</si>
  <si>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</si>
  <si>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</si>
  <si>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</si>
  <si>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</si>
  <si>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</si>
  <si>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</si>
  <si>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</si>
  <si>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</si>
  <si>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</si>
  <si>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</si>
  <si>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</si>
  <si>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</si>
  <si>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</si>
  <si>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</si>
  <si>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</si>
  <si>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</si>
  <si>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</si>
  <si>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</si>
  <si>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</si>
  <si>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</si>
  <si>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</si>
  <si>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</si>
  <si>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</si>
  <si>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</si>
  <si>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</si>
  <si>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</si>
  <si>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</si>
  <si>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</si>
  <si>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</si>
  <si>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</si>
  <si>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</si>
  <si>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</si>
  <si>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</si>
  <si>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</si>
  <si>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</si>
  <si>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</si>
  <si>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</si>
  <si>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</si>
  <si>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</si>
  <si>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</si>
  <si>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</si>
  <si>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</si>
  <si>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</si>
  <si>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</si>
  <si>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</si>
  <si>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</si>
  <si>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</si>
  <si>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</si>
  <si>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</si>
  <si>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</si>
  <si>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</si>
  <si>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</si>
  <si>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</si>
  <si>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</si>
  <si>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</si>
  <si>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</si>
  <si>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</si>
  <si>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</si>
  <si>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</si>
  <si>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</si>
  <si>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</si>
  <si>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</si>
  <si>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</si>
  <si>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</si>
  <si>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</si>
  <si>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</si>
  <si>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</si>
  <si>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</si>
  <si>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</si>
  <si>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</si>
  <si>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</si>
  <si>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</si>
  <si>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</si>
  <si>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</si>
  <si>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</si>
  <si>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</si>
  <si>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</si>
  <si>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</si>
  <si>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</si>
  <si>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</si>
  <si>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</si>
  <si>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</si>
  <si>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</si>
  <si>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</si>
  <si>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</si>
  <si>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</si>
  <si>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</si>
  <si>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</si>
  <si>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</si>
  <si>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</si>
  <si>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</si>
  <si>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</si>
  <si>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</si>
  <si>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</si>
  <si>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</si>
  <si>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</si>
  <si>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</si>
  <si>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</si>
  <si>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</si>
  <si>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</si>
  <si>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</si>
  <si>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</si>
  <si>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</si>
  <si>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</si>
  <si>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</si>
  <si>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</si>
  <si>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</si>
  <si>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</si>
  <si>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</si>
  <si>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</si>
  <si>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</si>
  <si>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</si>
  <si>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</si>
  <si>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</si>
  <si>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</si>
  <si>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</si>
  <si>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</si>
  <si>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</si>
  <si>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</si>
  <si>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</si>
  <si>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</si>
  <si>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</si>
  <si>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</si>
  <si>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</si>
  <si>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</si>
  <si>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</si>
  <si>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</si>
  <si>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</si>
  <si>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</si>
  <si>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</si>
  <si>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</si>
  <si>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</si>
  <si>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</si>
  <si>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</si>
  <si>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</si>
  <si>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</si>
  <si>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OTHER</t>
  </si>
  <si>
    <t>Reviewed</t>
  </si>
  <si>
    <t>All other</t>
  </si>
  <si>
    <t>Summary</t>
  </si>
  <si>
    <t>Pro Forma Rate of Return</t>
  </si>
  <si>
    <t>G-RET</t>
  </si>
  <si>
    <t>R-Ttl</t>
  </si>
  <si>
    <t>PF-STtl</t>
  </si>
  <si>
    <t>O&amp;M</t>
  </si>
  <si>
    <t xml:space="preserve">FIT / </t>
  </si>
  <si>
    <t xml:space="preserve">DFIT </t>
  </si>
  <si>
    <t>Total Debt</t>
  </si>
  <si>
    <t>Revenue requirement</t>
  </si>
  <si>
    <t>G-RPT</t>
  </si>
  <si>
    <t>Working</t>
  </si>
  <si>
    <t>G-WC</t>
  </si>
  <si>
    <t>ADFIT - Common Plant (283750 from C-DTX)</t>
  </si>
  <si>
    <t>Restated</t>
  </si>
  <si>
    <t>(1)</t>
  </si>
  <si>
    <t>* Line 8 "Total General Business Revenues" includes special contract transportation revenues.</t>
  </si>
  <si>
    <t>WASHINGTON NATURAL GAS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</si>
  <si>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</si>
  <si>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</si>
  <si>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</si>
  <si>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</si>
  <si>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</si>
  <si>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</si>
  <si>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</si>
  <si>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Tara</t>
  </si>
  <si>
    <t>Provision for Rate Refund</t>
  </si>
  <si>
    <t>Idaho Earnings Test Amortization</t>
  </si>
  <si>
    <t>Project Compass Deferral - ID</t>
  </si>
  <si>
    <t>407468</t>
  </si>
  <si>
    <t>RESTATEMENT ADJUSTMENTS</t>
  </si>
  <si>
    <t>Restating Adjustments</t>
  </si>
  <si>
    <t>G-WNGC</t>
  </si>
  <si>
    <t>2018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</si>
  <si>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</si>
  <si>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</si>
  <si>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</si>
  <si>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</si>
  <si>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</si>
  <si>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>TWELVE MONTHS ENDED DECEMBER 31, 2016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</si>
  <si>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</si>
  <si>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</si>
  <si>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</si>
  <si>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</si>
  <si>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</si>
  <si>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</si>
  <si>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</si>
  <si>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</si>
  <si>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</si>
  <si>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ACTUAL</t>
  </si>
  <si>
    <t>RESULTS</t>
  </si>
  <si>
    <t>Authorized ROR</t>
  </si>
  <si>
    <t>Tax on equity return</t>
  </si>
  <si>
    <t>Common</t>
  </si>
  <si>
    <t>Portion</t>
  </si>
  <si>
    <t>2013-2016</t>
  </si>
  <si>
    <t>of Total</t>
  </si>
  <si>
    <t>Growth Rate</t>
  </si>
  <si>
    <t>Taxes OTI</t>
  </si>
  <si>
    <t>Net Plant After ADFIT</t>
  </si>
  <si>
    <t>(RB*9.77%)</t>
  </si>
  <si>
    <t>*includes revenue related expenses</t>
  </si>
  <si>
    <t>Annual</t>
  </si>
  <si>
    <t>K-Factor</t>
  </si>
  <si>
    <t>Commission Basis Results of Operations</t>
  </si>
  <si>
    <t>2016</t>
  </si>
  <si>
    <t>Natural Gas Data for Escalators</t>
  </si>
  <si>
    <t>Line No.</t>
  </si>
  <si>
    <t>Exclude Gas Cost and Adder Schedule Expenses (DSM Tariff Rider, Decoupling Surcharge/Rebate) from O&amp;M</t>
  </si>
  <si>
    <t>CBR Line 9</t>
  </si>
  <si>
    <t>CBR Line 13</t>
  </si>
  <si>
    <t>CBR Line 17</t>
  </si>
  <si>
    <t xml:space="preserve">Customer Service and Information </t>
  </si>
  <si>
    <t>CBR Line 18</t>
  </si>
  <si>
    <t>CBR Line 19</t>
  </si>
  <si>
    <t>CBR Line 20</t>
  </si>
  <si>
    <t>Operating expenses excluding production</t>
  </si>
  <si>
    <t>Add Non PGA production O&amp;M expenses</t>
  </si>
  <si>
    <t>Deduct Gas Cost Rev Related Expenses</t>
  </si>
  <si>
    <t>Deduct DSM Tariff Rider Expenses</t>
  </si>
  <si>
    <t>Deduct Decoupling Surcharge/Rebate Expenses</t>
  </si>
  <si>
    <t>Adjusted Operating Expenses</t>
  </si>
  <si>
    <t>Annual Percentage Change</t>
  </si>
  <si>
    <t>CBR Line 10</t>
  </si>
  <si>
    <t>CBR Line 14</t>
  </si>
  <si>
    <t>CBR Line 21</t>
  </si>
  <si>
    <t>Total Depreciation/Amortization</t>
  </si>
  <si>
    <t>Exclude Adder Schedule amortizations (Decoupling Surcharge/Rebate) from Regulatory Amortizations</t>
  </si>
  <si>
    <t>CBR Line 22</t>
  </si>
  <si>
    <t>Adjusted Regulatory Amortizations</t>
  </si>
  <si>
    <t>Exclude Gas Cost and Adder Schedule excise taxes (DSM Tariff Rider, Decoupling Surcharge/Rebate) from Taxes Other Than Income Tax</t>
  </si>
  <si>
    <t>CBR Line 11</t>
  </si>
  <si>
    <t>CBR Line 15</t>
  </si>
  <si>
    <t>CBR Line 23</t>
  </si>
  <si>
    <t>Total Taxes Other Than Income</t>
  </si>
  <si>
    <t>Deduct Gas Cost Excise Tax</t>
  </si>
  <si>
    <t>Deduct DSM Tariff Rider Excise Tax</t>
  </si>
  <si>
    <t>Deduct Decoupling Surcharge/Rebate Excise Tax</t>
  </si>
  <si>
    <t>Adjusted Taxes Other Than Income</t>
  </si>
  <si>
    <t>Net Plant After Deferred Income Tax</t>
  </si>
  <si>
    <t>CBR Line 42</t>
  </si>
  <si>
    <t>Total Rate Base</t>
  </si>
  <si>
    <t>CBR Line 47</t>
  </si>
  <si>
    <t>Exclude Gas Cost Deferral related and JP Storage non-recurring revenues from Other Operating Revenue</t>
  </si>
  <si>
    <t>Other Operating Revenue</t>
  </si>
  <si>
    <t>CBR Line 3</t>
  </si>
  <si>
    <t>Deduct Gas Cost Deferral related revenues</t>
  </si>
  <si>
    <t>Deduct JP Storage allocated revenue (ended 2007)</t>
  </si>
  <si>
    <t>Eliminate Decoupling Deferred Revenue and Provision for Rate Refund</t>
  </si>
  <si>
    <t>Adjusted Other Operating Revenue</t>
  </si>
  <si>
    <t>ANNUAL AND COMPOUND GROWTH RATES</t>
  </si>
  <si>
    <t>Annual Growth Rates</t>
  </si>
  <si>
    <t>2013-2014</t>
  </si>
  <si>
    <t>2014-2015</t>
  </si>
  <si>
    <t>Adjusted Depreciation/Amortization</t>
  </si>
  <si>
    <t>Adjusted Taxes Other than Income</t>
  </si>
  <si>
    <t>Rate base</t>
  </si>
  <si>
    <t>Adjusted Other Revenue</t>
  </si>
  <si>
    <t>Net Plant After Deferred Income Taxes</t>
  </si>
  <si>
    <t>2.333-year Growth Rate  (12ME 2016 AMA to 12ME 04.30.2019 AMA)</t>
  </si>
  <si>
    <t>Adjusted taxes other than income</t>
  </si>
  <si>
    <t>Total K Factor %</t>
  </si>
  <si>
    <t>COMMISSION BASIS REPORTS INPUT</t>
  </si>
  <si>
    <t xml:space="preserve">       2014  **     </t>
  </si>
  <si>
    <t xml:space="preserve">       2015  **     </t>
  </si>
  <si>
    <t>2016**</t>
  </si>
  <si>
    <t>Remove</t>
  </si>
  <si>
    <t>Decoup.</t>
  </si>
  <si>
    <t>(Note 1)</t>
  </si>
  <si>
    <t>DSM</t>
  </si>
  <si>
    <t>Gas Cost</t>
  </si>
  <si>
    <t>Amort.</t>
  </si>
  <si>
    <t>Sales For Resale Revenue</t>
  </si>
  <si>
    <t>Non PGA Gas Expense</t>
  </si>
  <si>
    <t>check</t>
  </si>
  <si>
    <t xml:space="preserve">AVISTA UTILITIES  </t>
  </si>
  <si>
    <t xml:space="preserve">WASHINGTON NATURAL GAS RESULTS  </t>
  </si>
  <si>
    <t xml:space="preserve">(000'S OF DOLLARS)  </t>
  </si>
  <si>
    <t>Administration and General as filed</t>
  </si>
  <si>
    <t>Depreciation Expense - General Plant</t>
  </si>
  <si>
    <t>Amortization Expense - Intangible Plant</t>
  </si>
  <si>
    <t>Amortization Expense - Leasehold Improvements</t>
  </si>
  <si>
    <t>Total Plant Related Depreciation/Amortization</t>
  </si>
  <si>
    <t>Hamilton Street Bridge Amortization</t>
  </si>
  <si>
    <t>WA GRC JP O&amp;M Deferral</t>
  </si>
  <si>
    <t>WA Decoupling Deferral</t>
  </si>
  <si>
    <t>WA Decoupling Amortization</t>
  </si>
  <si>
    <t>Revenue</t>
  </si>
  <si>
    <t>Project Compass Deferral</t>
  </si>
  <si>
    <t>(Reg adj only, not on books 2015-2017)</t>
  </si>
  <si>
    <t>Total Regulatory Amortizations</t>
  </si>
  <si>
    <t>Check Total</t>
  </si>
  <si>
    <t>Regulatory Deferrals &amp; Amorts Excluding Revenue</t>
  </si>
  <si>
    <t>Deferred Debits and Credits</t>
  </si>
  <si>
    <t>ADFIT on Gain on Sale of Office Bldg</t>
  </si>
  <si>
    <t>ADFIT</t>
  </si>
  <si>
    <t>DSM Investment</t>
  </si>
  <si>
    <t>Dist Plant</t>
  </si>
  <si>
    <t>Other</t>
  </si>
  <si>
    <t>Commission Basis</t>
  </si>
  <si>
    <t>Base Rate Change</t>
  </si>
  <si>
    <t>Per K-Factor Restated Commission Basis Study</t>
  </si>
  <si>
    <t>CALCULATION OF K-FACTOR STUDY REVENUE</t>
  </si>
  <si>
    <t>Revenue Requirement -Restated CB          (At Proposed Capital Structure)</t>
  </si>
  <si>
    <t>Revenue on CB *</t>
  </si>
  <si>
    <t>(000's of Dollars)</t>
  </si>
  <si>
    <t>(a)</t>
  </si>
  <si>
    <t>(b)</t>
  </si>
  <si>
    <t>(c)</t>
  </si>
  <si>
    <t xml:space="preserve">No. </t>
  </si>
  <si>
    <t>Tax on Equity Return</t>
  </si>
  <si>
    <t xml:space="preserve">Total % to apply to RB </t>
  </si>
  <si>
    <t>Non-gas cost revenues (1)</t>
  </si>
  <si>
    <t>Category</t>
  </si>
  <si>
    <t>Revenue Portion of Category</t>
  </si>
  <si>
    <r>
      <t>Depreciation/Amortization</t>
    </r>
    <r>
      <rPr>
        <b/>
        <vertAlign val="superscript"/>
        <sz val="12"/>
        <color theme="1"/>
        <rFont val="Times New Roman"/>
        <family val="1"/>
      </rPr>
      <t>(1)</t>
    </r>
  </si>
  <si>
    <t>Taxes Other than Income</t>
  </si>
  <si>
    <t xml:space="preserve">Annual Growth In Sales Revenue </t>
  </si>
  <si>
    <t>Total 05/01/2019 Revenue Increase (Rate Period 2, per pg 6)</t>
  </si>
  <si>
    <t>Total 05/01/2020 Revenue Increase (Rate Period 3, per pg 6)</t>
  </si>
  <si>
    <t>TWELVE MONTHS ENDED DECEMBER 31, 2018</t>
  </si>
  <si>
    <t>Provision for Rate Refund-Tax Reform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</si>
  <si>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</si>
  <si>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</si>
  <si>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</si>
  <si>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</si>
  <si>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</si>
  <si>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</si>
  <si>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</si>
  <si>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</si>
  <si>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</si>
  <si>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</si>
  <si>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</si>
  <si>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</si>
  <si>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</si>
  <si>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</si>
  <si>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</si>
  <si>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</si>
  <si>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 xml:space="preserve">  Federal Income Tax @ 21%</t>
  </si>
  <si>
    <t>DECEMBER 31, 2018</t>
  </si>
  <si>
    <t>AMI</t>
  </si>
  <si>
    <t>G-AMI</t>
  </si>
  <si>
    <t>Non-Utility</t>
  </si>
  <si>
    <t>Recurring Expense</t>
  </si>
  <si>
    <t xml:space="preserve">REVENUE GROWTH RATE CALCULATION </t>
  </si>
  <si>
    <t>2017</t>
  </si>
  <si>
    <t>Update annually after hard code previous year row formula</t>
  </si>
  <si>
    <t>WA Excess Nat. Gas Line Extension Amort</t>
  </si>
  <si>
    <t>Deferred FISERVE</t>
  </si>
  <si>
    <t>( Restate Debt)</t>
  </si>
  <si>
    <t>2014-2018</t>
  </si>
  <si>
    <t xml:space="preserve">Natural Gas Revenue Growth  Rate Analysis </t>
  </si>
  <si>
    <t>MDM Deferrals</t>
  </si>
  <si>
    <t>AFUDC Deferrals</t>
  </si>
  <si>
    <t>Other Deferred Debits &amp; Credits</t>
  </si>
  <si>
    <t>AFUDC Reg Asset and Tax Reform Reg Liab</t>
  </si>
  <si>
    <t>30 bps Efficiency Adj</t>
  </si>
  <si>
    <t xml:space="preserve">Decoupled Revenue Comparison </t>
  </si>
  <si>
    <t>Total Base Rate Revenue by Rate Sched:</t>
  </si>
  <si>
    <t>12 ME December 2018 Test Year</t>
  </si>
  <si>
    <t>UG-19____ Proposed Decoupling Base at Present Rates</t>
  </si>
  <si>
    <t>WA101</t>
  </si>
  <si>
    <t>Natural Gas Service</t>
  </si>
  <si>
    <t>RESIDENTIAL</t>
  </si>
  <si>
    <t xml:space="preserve">GENERAL SVC. </t>
  </si>
  <si>
    <t>LG. GEN. SVC.</t>
  </si>
  <si>
    <t>INTERRUPTIBLE</t>
  </si>
  <si>
    <t>SCHEDULES</t>
  </si>
  <si>
    <t>WA111</t>
  </si>
  <si>
    <t>SCHEDULE 101/102</t>
  </si>
  <si>
    <t>SCH. 111/112/116</t>
  </si>
  <si>
    <t>SCH. 121/122/126</t>
  </si>
  <si>
    <t>SCH 131</t>
  </si>
  <si>
    <t>146 &amp; 148</t>
  </si>
  <si>
    <t>WA112</t>
  </si>
  <si>
    <t>WA121</t>
  </si>
  <si>
    <t>Revenue at Present Rates</t>
  </si>
  <si>
    <t>WA132</t>
  </si>
  <si>
    <t>Usage</t>
  </si>
  <si>
    <t>WA146</t>
  </si>
  <si>
    <t>Customer Bills</t>
  </si>
  <si>
    <t>WA148</t>
  </si>
  <si>
    <t>Fixed Charge per Bill</t>
  </si>
  <si>
    <t>PGA Sch 150 Rate</t>
  </si>
  <si>
    <t>Decoupled Gas Cost Revenue</t>
  </si>
  <si>
    <t>Total Loads by Rate Sched:</t>
  </si>
  <si>
    <t>Decoupled Fixed Charge Revenue</t>
  </si>
  <si>
    <t>Revenue Not Subject to Decoupling</t>
  </si>
  <si>
    <t>Decoupled Revenues from Rates</t>
  </si>
  <si>
    <t>Allowed Annual Decoupled Revenue per Customer</t>
  </si>
  <si>
    <t>Usage Per Customer</t>
  </si>
  <si>
    <t>average $/therm</t>
  </si>
  <si>
    <t>UG-19____ Base</t>
  </si>
  <si>
    <t>Allowed Decoupled Revenues</t>
  </si>
  <si>
    <t>Decoupling Revenue Adjustment</t>
  </si>
  <si>
    <t>Non-Residential</t>
  </si>
  <si>
    <t>Average Customers</t>
  </si>
  <si>
    <t>Total Revenue with Decoupling excl Gas Cost</t>
  </si>
  <si>
    <t>Total Customers by Rate Sched:</t>
  </si>
  <si>
    <t>Test Year Annual Decoupled Revenue per Customer</t>
  </si>
  <si>
    <t>12 ME March 2022 Forecast Customers</t>
  </si>
  <si>
    <t>2019 Final Budget Version</t>
  </si>
  <si>
    <t>GSFM December MidMonth_(12 13 18 pricing) - v4 GRC update 1-18-19.xlsm</t>
  </si>
  <si>
    <t>12 ME 03.2022</t>
  </si>
  <si>
    <t>Base Rate Revenue</t>
  </si>
  <si>
    <t>Therms</t>
  </si>
  <si>
    <t>Avg Customers</t>
  </si>
  <si>
    <t>Bills</t>
  </si>
  <si>
    <t>Total Revenue with Decoupling</t>
  </si>
  <si>
    <t>Change in Non-Gas Cost Revenue</t>
  </si>
  <si>
    <t>Annual Average Revenue Growth</t>
  </si>
  <si>
    <t>3.25 years</t>
  </si>
  <si>
    <t>(CBR Adjustments hidden to the left - informational only)</t>
  </si>
  <si>
    <t>NATURAL GAS COST AND REVENUE TREND CALCULATIONS 2014-2018</t>
  </si>
  <si>
    <t>Compound Growth Rate to 2018</t>
  </si>
  <si>
    <t>TWELVE MONTHS ENDED DECEMBER 31, 2014 - 2018</t>
  </si>
  <si>
    <t>CBR ACTUAL COST OF CAPITAL</t>
  </si>
  <si>
    <t>Growth Rate 2014-2018</t>
  </si>
  <si>
    <r>
      <t>Operating Expenses</t>
    </r>
    <r>
      <rPr>
        <b/>
        <vertAlign val="superscript"/>
        <sz val="12"/>
        <color theme="1"/>
        <rFont val="Times New Roman"/>
        <family val="1"/>
      </rPr>
      <t xml:space="preserve"> (1)</t>
    </r>
  </si>
  <si>
    <r>
      <rPr>
        <b/>
        <vertAlign val="superscript"/>
        <sz val="10"/>
        <rFont val="Times New Roman"/>
        <family val="1"/>
      </rPr>
      <t>(1)</t>
    </r>
    <r>
      <rPr>
        <b/>
        <sz val="10"/>
        <rFont val="Times New Roman"/>
        <family val="1"/>
      </rPr>
      <t xml:space="preserve"> Reflects a 30 basis points efficiency adjustment in O&amp;M expenses.</t>
    </r>
  </si>
  <si>
    <r>
      <rPr>
        <b/>
        <vertAlign val="superscript"/>
        <sz val="10"/>
        <rFont val="Times New Roman"/>
        <family val="1"/>
      </rPr>
      <t xml:space="preserve">(2) </t>
    </r>
    <r>
      <rPr>
        <b/>
        <sz val="10"/>
        <rFont val="Times New Roman"/>
        <family val="1"/>
      </rPr>
      <t>The growth rate in depreciation/amortization expense is primarily driven by shorter-lived assets representing a higher proportion of investment in recent years.</t>
    </r>
  </si>
  <si>
    <t>Growth Rate %              (a) x (b)</t>
  </si>
  <si>
    <t>Includes         30 bps Efficiency Reduction</t>
  </si>
  <si>
    <t>Rate Year 2</t>
  </si>
  <si>
    <t>04.2021-03.2022</t>
  </si>
  <si>
    <t>See Exh. EMA- 5, pg. 4 for growth rates and pg. 2 for revenue proportion and annual growth in sales revenue.</t>
  </si>
  <si>
    <t xml:space="preserve"> Total Revenue Growth Rate % </t>
  </si>
  <si>
    <t>Natural Gas                                                        Revenue Growth Rate Calculation - Rate Year 2:</t>
  </si>
  <si>
    <t>includes efficiency adj.</t>
  </si>
  <si>
    <t>Includes Efficiency Adj.</t>
  </si>
  <si>
    <t xml:space="preserve">(1) Non-gas cost revenues, covering investment-related costs and operating expenses. </t>
  </si>
  <si>
    <t xml:space="preserve">Revenue Growth: (see page 5 - 2.25 years from 2018 to 03.31.2020)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</si>
</sst>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0.000000"/>
    <numFmt numFmtId="169" formatCode="0.000%"/>
    <numFmt numFmtId="170" formatCode="&quot;x &quot;0.00"/>
    <numFmt numFmtId="171" formatCode="&quot;x &quot;0.000"/>
    <numFmt numFmtId="172" formatCode="_(* #,##0_);_(* \(#,##0\);_(* &quot;-&quot;??_);_(@_)"/>
    <numFmt numFmtId="173" formatCode="_(&quot;$&quot;* #,##0_);_(&quot;$&quot;* \(#,##0\);_(&quot;$&quot;* &quot;-&quot;??_);_(@_)"/>
    <numFmt numFmtId="174" formatCode="0000.00"/>
    <numFmt numFmtId="175" formatCode="0000"/>
    <numFmt numFmtId="176" formatCode="_(* #,##0.000000_);_(* \(#,##0.000000\);_(* &quot;-&quot;_);_(@_)"/>
    <numFmt numFmtId="177" formatCode="0.0000"/>
    <numFmt numFmtId="178" formatCode="#,##0.000000"/>
    <numFmt numFmtId="179" formatCode="mmm\ yy"/>
    <numFmt numFmtId="180" formatCode="&quot;$&quot;#,##0.00"/>
    <numFmt numFmtId="181" formatCode="&quot;$&quot;#,##0.00000"/>
    <numFmt numFmtId="182" formatCode="#,##0,;\-#,##0,"/>
    <numFmt numFmtId="183" formatCode="_(&quot;$&quot;* #,##0.000000_);_(&quot;$&quot;* \(#,##0.000000\);_(&quot;$&quot;* &quot;-&quot;??_);_(@_)"/>
    <numFmt numFmtId="184" formatCode="0.000000%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u/>
      <sz val="9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name val="Arial"/>
      <family val="2"/>
    </font>
    <font>
      <b/>
      <u/>
      <sz val="9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vertAlign val="superscript"/>
      <sz val="10"/>
      <name val="Times New Roman"/>
      <family val="1"/>
    </font>
    <font>
      <b/>
      <u/>
      <sz val="12"/>
      <name val="Times New Roman"/>
      <family val="1"/>
    </font>
    <font>
      <b/>
      <sz val="10"/>
      <color rgb="FFFF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Calibri"/>
      <family val="2"/>
    </font>
    <font>
      <sz val="10"/>
      <color rgb="FF0000FF"/>
      <name val="Arial"/>
      <family val="2"/>
    </font>
    <font>
      <b/>
      <i/>
      <sz val="9"/>
      <name val="Times New Roman"/>
      <family val="1"/>
    </font>
    <font>
      <b/>
      <sz val="10"/>
      <color theme="1"/>
      <name val="Arial"/>
      <family val="2"/>
    </font>
    <font>
      <b/>
      <sz val="8"/>
      <name val="Times New Roman"/>
      <family val="1"/>
    </font>
    <font>
      <u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5" fillId="0" borderId="0"/>
    <xf numFmtId="44" fontId="4" fillId="0" borderId="0" applyFont="0" applyFill="0" applyBorder="0" applyAlignment="0" applyProtection="0"/>
    <xf numFmtId="0" fontId="40" fillId="3" borderId="0"/>
    <xf numFmtId="0" fontId="2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5" fillId="0" borderId="0"/>
    <xf numFmtId="43" fontId="44" fillId="0" borderId="0" applyFont="0" applyFill="0" applyBorder="0" applyAlignment="0" applyProtection="0"/>
    <xf numFmtId="0" fontId="35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8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2" fillId="0" borderId="0"/>
  </cellStyleXfs>
  <cellXfs count="952">
    <xf numFmtId="0" fontId="0" fillId="0" borderId="0" xfId="0"/>
    <xf numFmtId="0" fontId="6" fillId="0" borderId="0" xfId="6" applyFont="1"/>
    <xf numFmtId="5" fontId="6" fillId="0" borderId="0" xfId="6" applyNumberFormat="1" applyFont="1"/>
    <xf numFmtId="37" fontId="6" fillId="0" borderId="0" xfId="6" applyNumberFormat="1" applyFont="1"/>
    <xf numFmtId="0" fontId="6" fillId="0" borderId="0" xfId="6" applyNumberFormat="1" applyFont="1" applyBorder="1" applyAlignment="1">
      <alignment horizontal="center"/>
    </xf>
    <xf numFmtId="37" fontId="6" fillId="0" borderId="0" xfId="6" applyNumberFormat="1" applyFont="1" applyBorder="1"/>
    <xf numFmtId="10" fontId="6" fillId="0" borderId="0" xfId="7" applyNumberFormat="1" applyFont="1"/>
    <xf numFmtId="0" fontId="7" fillId="0" borderId="0" xfId="0" applyFont="1"/>
    <xf numFmtId="0" fontId="10" fillId="0" borderId="0" xfId="0" applyFont="1" applyAlignment="1">
      <alignment horizontal="center"/>
    </xf>
    <xf numFmtId="37" fontId="7" fillId="0" borderId="0" xfId="0" applyNumberFormat="1" applyFont="1"/>
    <xf numFmtId="37" fontId="6" fillId="0" borderId="0" xfId="0" applyNumberFormat="1" applyFont="1"/>
    <xf numFmtId="5" fontId="14" fillId="0" borderId="12" xfId="0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1" fillId="0" borderId="0" xfId="0" applyFont="1" applyBorder="1"/>
    <xf numFmtId="5" fontId="11" fillId="0" borderId="0" xfId="0" applyNumberFormat="1" applyFont="1"/>
    <xf numFmtId="0" fontId="11" fillId="0" borderId="0" xfId="0" applyFont="1" applyFill="1" applyAlignment="1">
      <alignment horizontal="center"/>
    </xf>
    <xf numFmtId="3" fontId="6" fillId="0" borderId="0" xfId="6" applyNumberFormat="1" applyFont="1"/>
    <xf numFmtId="168" fontId="12" fillId="0" borderId="0" xfId="0" applyNumberFormat="1" applyFont="1" applyAlignment="1">
      <alignment horizontal="center"/>
    </xf>
    <xf numFmtId="168" fontId="19" fillId="0" borderId="0" xfId="0" applyNumberFormat="1" applyFont="1"/>
    <xf numFmtId="14" fontId="19" fillId="0" borderId="0" xfId="0" applyNumberFormat="1" applyFont="1"/>
    <xf numFmtId="0" fontId="19" fillId="0" borderId="0" xfId="0" applyFont="1"/>
    <xf numFmtId="168" fontId="19" fillId="0" borderId="0" xfId="0" applyNumberFormat="1" applyFont="1" applyAlignment="1">
      <alignment horizontal="right"/>
    </xf>
    <xf numFmtId="168" fontId="11" fillId="0" borderId="0" xfId="0" applyNumberFormat="1" applyFont="1"/>
    <xf numFmtId="168" fontId="20" fillId="0" borderId="0" xfId="0" applyNumberFormat="1" applyFont="1" applyAlignment="1">
      <alignment horizontal="center"/>
    </xf>
    <xf numFmtId="168" fontId="12" fillId="0" borderId="0" xfId="0" applyNumberFormat="1" applyFont="1"/>
    <xf numFmtId="5" fontId="11" fillId="0" borderId="0" xfId="1" applyNumberFormat="1" applyFont="1"/>
    <xf numFmtId="172" fontId="11" fillId="0" borderId="0" xfId="1" applyNumberFormat="1" applyFont="1"/>
    <xf numFmtId="168" fontId="21" fillId="0" borderId="0" xfId="0" applyNumberFormat="1" applyFont="1"/>
    <xf numFmtId="172" fontId="11" fillId="0" borderId="15" xfId="1" applyNumberFormat="1" applyFont="1" applyBorder="1"/>
    <xf numFmtId="172" fontId="11" fillId="0" borderId="0" xfId="1" applyNumberFormat="1" applyFont="1" applyBorder="1"/>
    <xf numFmtId="10" fontId="21" fillId="0" borderId="0" xfId="0" applyNumberFormat="1" applyFont="1"/>
    <xf numFmtId="172" fontId="11" fillId="0" borderId="10" xfId="1" applyNumberFormat="1" applyFont="1" applyBorder="1"/>
    <xf numFmtId="164" fontId="11" fillId="0" borderId="12" xfId="1" applyNumberFormat="1" applyFont="1" applyBorder="1"/>
    <xf numFmtId="0" fontId="16" fillId="0" borderId="0" xfId="0" applyFont="1"/>
    <xf numFmtId="168" fontId="15" fillId="0" borderId="0" xfId="0" applyNumberFormat="1" applyFont="1"/>
    <xf numFmtId="0" fontId="22" fillId="0" borderId="0" xfId="0" applyFont="1"/>
    <xf numFmtId="37" fontId="11" fillId="0" borderId="0" xfId="0" applyNumberFormat="1" applyFont="1" applyFill="1" applyBorder="1"/>
    <xf numFmtId="0" fontId="11" fillId="0" borderId="0" xfId="0" applyFont="1" applyFill="1"/>
    <xf numFmtId="168" fontId="12" fillId="0" borderId="0" xfId="0" applyNumberFormat="1" applyFont="1" applyAlignment="1"/>
    <xf numFmtId="0" fontId="12" fillId="0" borderId="0" xfId="0" applyFont="1" applyAlignment="1">
      <alignment horizontal="centerContinuous"/>
    </xf>
    <xf numFmtId="0" fontId="24" fillId="0" borderId="0" xfId="0" applyFont="1"/>
    <xf numFmtId="0" fontId="24" fillId="0" borderId="0" xfId="0" applyFont="1" applyFill="1"/>
    <xf numFmtId="37" fontId="24" fillId="0" borderId="0" xfId="5" applyNumberFormat="1" applyFont="1"/>
    <xf numFmtId="0" fontId="25" fillId="0" borderId="0" xfId="0" applyFont="1" applyFill="1" applyBorder="1" applyAlignment="1">
      <alignment horizontal="center"/>
    </xf>
    <xf numFmtId="37" fontId="24" fillId="0" borderId="0" xfId="5" applyNumberFormat="1" applyFont="1" applyFill="1" applyBorder="1"/>
    <xf numFmtId="5" fontId="27" fillId="0" borderId="0" xfId="0" applyNumberFormat="1" applyFont="1" applyFill="1" applyBorder="1"/>
    <xf numFmtId="5" fontId="24" fillId="0" borderId="0" xfId="0" applyNumberFormat="1" applyFont="1" applyFill="1" applyBorder="1"/>
    <xf numFmtId="0" fontId="25" fillId="0" borderId="0" xfId="0" applyFont="1" applyFill="1" applyBorder="1"/>
    <xf numFmtId="37" fontId="25" fillId="0" borderId="0" xfId="5" applyNumberFormat="1" applyFont="1" applyFill="1" applyBorder="1" applyAlignment="1">
      <alignment horizontal="center"/>
    </xf>
    <xf numFmtId="5" fontId="11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6" xfId="0" applyFont="1" applyBorder="1"/>
    <xf numFmtId="172" fontId="7" fillId="0" borderId="0" xfId="1" applyNumberFormat="1" applyFont="1"/>
    <xf numFmtId="3" fontId="6" fillId="0" borderId="0" xfId="0" applyNumberFormat="1" applyFont="1"/>
    <xf numFmtId="0" fontId="12" fillId="0" borderId="0" xfId="0" applyFont="1" applyFill="1" applyAlignment="1">
      <alignment horizontal="center"/>
    </xf>
    <xf numFmtId="0" fontId="6" fillId="0" borderId="0" xfId="6" applyNumberFormat="1" applyFont="1" applyAlignment="1">
      <alignment horizontal="center"/>
    </xf>
    <xf numFmtId="168" fontId="8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31" fillId="0" borderId="0" xfId="6" applyNumberFormat="1" applyFont="1" applyFill="1"/>
    <xf numFmtId="0" fontId="31" fillId="0" borderId="0" xfId="6" applyNumberFormat="1" applyFont="1" applyAlignment="1">
      <alignment horizontal="left"/>
    </xf>
    <xf numFmtId="0" fontId="31" fillId="0" borderId="0" xfId="6" applyFont="1"/>
    <xf numFmtId="3" fontId="31" fillId="0" borderId="0" xfId="6" applyNumberFormat="1" applyFont="1"/>
    <xf numFmtId="3" fontId="32" fillId="0" borderId="0" xfId="6" applyNumberFormat="1" applyFont="1"/>
    <xf numFmtId="0" fontId="32" fillId="0" borderId="0" xfId="6" applyNumberFormat="1" applyFont="1" applyAlignment="1">
      <alignment horizontal="center"/>
    </xf>
    <xf numFmtId="0" fontId="32" fillId="0" borderId="0" xfId="6" applyFont="1" applyAlignment="1">
      <alignment horizontal="center"/>
    </xf>
    <xf numFmtId="3" fontId="32" fillId="0" borderId="0" xfId="6" applyNumberFormat="1" applyFont="1" applyAlignment="1">
      <alignment horizontal="center"/>
    </xf>
    <xf numFmtId="0" fontId="32" fillId="0" borderId="1" xfId="6" applyNumberFormat="1" applyFont="1" applyBorder="1" applyAlignment="1">
      <alignment horizontal="center"/>
    </xf>
    <xf numFmtId="0" fontId="32" fillId="0" borderId="2" xfId="6" applyFont="1" applyBorder="1" applyAlignment="1">
      <alignment horizontal="center"/>
    </xf>
    <xf numFmtId="0" fontId="32" fillId="0" borderId="3" xfId="6" applyFont="1" applyBorder="1" applyAlignment="1">
      <alignment horizontal="center"/>
    </xf>
    <xf numFmtId="0" fontId="31" fillId="0" borderId="4" xfId="6" applyFont="1" applyBorder="1"/>
    <xf numFmtId="0" fontId="32" fillId="0" borderId="5" xfId="6" applyNumberFormat="1" applyFont="1" applyBorder="1" applyAlignment="1">
      <alignment horizontal="center"/>
    </xf>
    <xf numFmtId="0" fontId="32" fillId="0" borderId="6" xfId="6" applyFont="1" applyBorder="1" applyAlignment="1">
      <alignment horizontal="center"/>
    </xf>
    <xf numFmtId="0" fontId="32" fillId="0" borderId="0" xfId="6" applyFont="1" applyBorder="1" applyAlignment="1">
      <alignment horizontal="center"/>
    </xf>
    <xf numFmtId="0" fontId="31" fillId="0" borderId="7" xfId="6" applyFont="1" applyBorder="1"/>
    <xf numFmtId="3" fontId="32" fillId="0" borderId="5" xfId="6" applyNumberFormat="1" applyFont="1" applyBorder="1" applyAlignment="1">
      <alignment horizontal="center"/>
    </xf>
    <xf numFmtId="0" fontId="32" fillId="0" borderId="8" xfId="6" applyNumberFormat="1" applyFont="1" applyBorder="1" applyAlignment="1">
      <alignment horizontal="center"/>
    </xf>
    <xf numFmtId="0" fontId="32" fillId="0" borderId="9" xfId="6" applyFont="1" applyBorder="1" applyAlignment="1">
      <alignment horizontal="center"/>
    </xf>
    <xf numFmtId="0" fontId="32" fillId="0" borderId="10" xfId="6" applyFont="1" applyBorder="1" applyAlignment="1">
      <alignment horizontal="center"/>
    </xf>
    <xf numFmtId="0" fontId="32" fillId="0" borderId="11" xfId="6" applyFont="1" applyBorder="1" applyAlignment="1">
      <alignment horizontal="center"/>
    </xf>
    <xf numFmtId="3" fontId="32" fillId="0" borderId="8" xfId="6" applyNumberFormat="1" applyFont="1" applyBorder="1" applyAlignment="1">
      <alignment horizontal="center"/>
    </xf>
    <xf numFmtId="0" fontId="31" fillId="0" borderId="0" xfId="6" applyNumberFormat="1" applyFont="1" applyAlignment="1">
      <alignment horizontal="center"/>
    </xf>
    <xf numFmtId="5" fontId="31" fillId="0" borderId="0" xfId="6" applyNumberFormat="1" applyFont="1"/>
    <xf numFmtId="37" fontId="31" fillId="0" borderId="0" xfId="6" applyNumberFormat="1" applyFont="1"/>
    <xf numFmtId="0" fontId="31" fillId="0" borderId="0" xfId="6" applyNumberFormat="1" applyFont="1" applyBorder="1" applyAlignment="1">
      <alignment horizontal="center"/>
    </xf>
    <xf numFmtId="37" fontId="31" fillId="0" borderId="0" xfId="6" applyNumberFormat="1" applyFont="1" applyBorder="1"/>
    <xf numFmtId="0" fontId="31" fillId="0" borderId="0" xfId="6" applyFont="1" applyBorder="1"/>
    <xf numFmtId="0" fontId="31" fillId="0" borderId="0" xfId="6" applyFont="1" applyFill="1"/>
    <xf numFmtId="0" fontId="31" fillId="0" borderId="0" xfId="6" applyNumberFormat="1" applyFont="1" applyFill="1" applyAlignment="1">
      <alignment horizontal="center"/>
    </xf>
    <xf numFmtId="0" fontId="31" fillId="0" borderId="0" xfId="5" applyFont="1" applyFill="1" applyAlignment="1">
      <alignment horizontal="right"/>
    </xf>
    <xf numFmtId="10" fontId="24" fillId="0" borderId="0" xfId="7" applyNumberFormat="1" applyFont="1" applyFill="1" applyBorder="1"/>
    <xf numFmtId="0" fontId="24" fillId="0" borderId="0" xfId="0" applyFont="1" applyFill="1" applyBorder="1"/>
    <xf numFmtId="37" fontId="24" fillId="0" borderId="0" xfId="3" applyNumberFormat="1" applyFont="1" applyFill="1" applyBorder="1"/>
    <xf numFmtId="37" fontId="24" fillId="0" borderId="0" xfId="3" applyNumberFormat="1" applyFont="1" applyFill="1" applyBorder="1" applyAlignment="1">
      <alignment horizontal="center"/>
    </xf>
    <xf numFmtId="0" fontId="31" fillId="0" borderId="0" xfId="6" applyFont="1" applyAlignment="1">
      <alignment horizontal="left"/>
    </xf>
    <xf numFmtId="41" fontId="6" fillId="0" borderId="0" xfId="5" applyNumberFormat="1" applyFont="1" applyFill="1"/>
    <xf numFmtId="3" fontId="11" fillId="0" borderId="0" xfId="13" applyNumberFormat="1" applyFont="1"/>
    <xf numFmtId="4" fontId="11" fillId="0" borderId="0" xfId="13" applyNumberFormat="1" applyFont="1" applyBorder="1" applyAlignment="1">
      <alignment horizontal="centerContinuous"/>
    </xf>
    <xf numFmtId="3" fontId="11" fillId="0" borderId="0" xfId="13" applyNumberFormat="1" applyFont="1" applyBorder="1" applyAlignment="1">
      <alignment horizontal="left"/>
    </xf>
    <xf numFmtId="3" fontId="11" fillId="0" borderId="0" xfId="13" applyNumberFormat="1" applyFont="1" applyBorder="1" applyAlignment="1">
      <alignment horizontal="centerContinuous"/>
    </xf>
    <xf numFmtId="0" fontId="11" fillId="0" borderId="0" xfId="13" applyFont="1" applyBorder="1" applyAlignment="1">
      <alignment horizontal="centerContinuous"/>
    </xf>
    <xf numFmtId="3" fontId="11" fillId="0" borderId="0" xfId="13" applyNumberFormat="1" applyFont="1" applyAlignment="1">
      <alignment horizontal="center"/>
    </xf>
    <xf numFmtId="4" fontId="11" fillId="0" borderId="0" xfId="13" applyNumberFormat="1" applyFont="1" applyAlignment="1">
      <alignment horizontal="center"/>
    </xf>
    <xf numFmtId="3" fontId="11" fillId="0" borderId="0" xfId="13" applyNumberFormat="1" applyFont="1" applyAlignment="1">
      <alignment horizontal="left"/>
    </xf>
    <xf numFmtId="0" fontId="11" fillId="0" borderId="0" xfId="13" applyFont="1"/>
    <xf numFmtId="0" fontId="11" fillId="0" borderId="0" xfId="13" applyFont="1" applyAlignment="1">
      <alignment horizontal="center"/>
    </xf>
    <xf numFmtId="3" fontId="11" fillId="0" borderId="10" xfId="13" applyNumberFormat="1" applyFont="1" applyBorder="1" applyAlignment="1">
      <alignment horizontal="left"/>
    </xf>
    <xf numFmtId="0" fontId="11" fillId="0" borderId="10" xfId="13" applyFont="1" applyBorder="1" applyAlignment="1">
      <alignment horizontal="center"/>
    </xf>
    <xf numFmtId="3" fontId="11" fillId="0" borderId="10" xfId="13" applyNumberFormat="1" applyFont="1" applyBorder="1" applyAlignment="1">
      <alignment horizontal="center"/>
    </xf>
    <xf numFmtId="41" fontId="11" fillId="0" borderId="0" xfId="13" applyNumberFormat="1" applyFont="1" applyAlignment="1">
      <alignment horizontal="right"/>
    </xf>
    <xf numFmtId="4" fontId="11" fillId="0" borderId="0" xfId="13" applyNumberFormat="1" applyFont="1" applyAlignment="1">
      <alignment horizontal="left"/>
    </xf>
    <xf numFmtId="164" fontId="11" fillId="0" borderId="0" xfId="13" applyNumberFormat="1" applyFont="1"/>
    <xf numFmtId="0" fontId="11" fillId="0" borderId="0" xfId="13" applyFont="1" applyBorder="1"/>
    <xf numFmtId="4" fontId="22" fillId="0" borderId="0" xfId="13" applyNumberFormat="1" applyFont="1" applyAlignment="1">
      <alignment horizontal="center"/>
    </xf>
    <xf numFmtId="3" fontId="22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11" fillId="0" borderId="3" xfId="13" applyNumberFormat="1" applyFont="1" applyBorder="1"/>
    <xf numFmtId="164" fontId="11" fillId="0" borderId="0" xfId="13" applyNumberFormat="1" applyFont="1" applyAlignment="1">
      <alignment horizontal="center"/>
    </xf>
    <xf numFmtId="164" fontId="11" fillId="0" borderId="0" xfId="13" applyNumberFormat="1" applyFont="1" applyFill="1"/>
    <xf numFmtId="10" fontId="11" fillId="0" borderId="0" xfId="13" applyNumberFormat="1" applyFont="1" applyFill="1"/>
    <xf numFmtId="0" fontId="22" fillId="0" borderId="0" xfId="13" applyFont="1"/>
    <xf numFmtId="3" fontId="11" fillId="0" borderId="0" xfId="13" applyNumberFormat="1" applyFont="1" applyFill="1" applyBorder="1"/>
    <xf numFmtId="164" fontId="11" fillId="0" borderId="3" xfId="13" applyNumberFormat="1" applyFont="1" applyFill="1" applyBorder="1"/>
    <xf numFmtId="10" fontId="11" fillId="0" borderId="3" xfId="13" applyNumberFormat="1" applyFont="1" applyFill="1" applyBorder="1"/>
    <xf numFmtId="3" fontId="11" fillId="0" borderId="0" xfId="13" applyNumberFormat="1" applyFont="1" applyFill="1"/>
    <xf numFmtId="169" fontId="11" fillId="0" borderId="0" xfId="7" applyNumberFormat="1" applyFont="1" applyFill="1"/>
    <xf numFmtId="169" fontId="11" fillId="0" borderId="0" xfId="13" applyNumberFormat="1" applyFont="1" applyFill="1"/>
    <xf numFmtId="169" fontId="11" fillId="0" borderId="3" xfId="13" applyNumberFormat="1" applyFont="1" applyFill="1" applyBorder="1"/>
    <xf numFmtId="4" fontId="12" fillId="0" borderId="0" xfId="13" applyNumberFormat="1" applyFont="1" applyAlignment="1">
      <alignment horizontal="centerContinuous"/>
    </xf>
    <xf numFmtId="3" fontId="11" fillId="0" borderId="0" xfId="13" applyNumberFormat="1" applyFont="1" applyAlignment="1">
      <alignment horizontal="centerContinuous"/>
    </xf>
    <xf numFmtId="0" fontId="11" fillId="0" borderId="0" xfId="13" applyFont="1" applyAlignment="1">
      <alignment horizontal="centerContinuous"/>
    </xf>
    <xf numFmtId="4" fontId="38" fillId="0" borderId="0" xfId="13" applyNumberFormat="1" applyFont="1" applyBorder="1" applyAlignment="1">
      <alignment horizontal="centerContinuous"/>
    </xf>
    <xf numFmtId="4" fontId="11" fillId="0" borderId="0" xfId="13" applyNumberFormat="1" applyFont="1" applyAlignment="1">
      <alignment horizontal="centerContinuous"/>
    </xf>
    <xf numFmtId="37" fontId="11" fillId="0" borderId="0" xfId="13" applyNumberFormat="1" applyFont="1" applyAlignment="1">
      <alignment horizontal="right"/>
    </xf>
    <xf numFmtId="3" fontId="39" fillId="0" borderId="0" xfId="13" applyNumberFormat="1" applyFont="1"/>
    <xf numFmtId="0" fontId="16" fillId="0" borderId="0" xfId="13" applyFont="1"/>
    <xf numFmtId="10" fontId="16" fillId="0" borderId="0" xfId="13" applyNumberFormat="1" applyFont="1"/>
    <xf numFmtId="10" fontId="22" fillId="0" borderId="10" xfId="13" applyNumberFormat="1" applyFont="1" applyFill="1" applyBorder="1"/>
    <xf numFmtId="3" fontId="39" fillId="0" borderId="0" xfId="13" applyNumberFormat="1" applyFont="1" applyFill="1"/>
    <xf numFmtId="3" fontId="15" fillId="0" borderId="10" xfId="13" applyNumberFormat="1" applyFont="1" applyBorder="1"/>
    <xf numFmtId="3" fontId="12" fillId="0" borderId="0" xfId="13" applyNumberFormat="1" applyFont="1"/>
    <xf numFmtId="170" fontId="11" fillId="0" borderId="0" xfId="13" applyNumberFormat="1" applyFont="1"/>
    <xf numFmtId="171" fontId="11" fillId="0" borderId="10" xfId="13" applyNumberFormat="1" applyFont="1" applyBorder="1"/>
    <xf numFmtId="164" fontId="11" fillId="0" borderId="17" xfId="13" applyNumberFormat="1" applyFont="1" applyBorder="1"/>
    <xf numFmtId="4" fontId="11" fillId="0" borderId="0" xfId="13" applyNumberFormat="1" applyFont="1"/>
    <xf numFmtId="10" fontId="11" fillId="0" borderId="0" xfId="13" applyNumberFormat="1" applyFont="1"/>
    <xf numFmtId="10" fontId="11" fillId="0" borderId="0" xfId="13" applyNumberFormat="1" applyFont="1" applyBorder="1"/>
    <xf numFmtId="3" fontId="11" fillId="0" borderId="0" xfId="13" applyNumberFormat="1" applyFont="1" applyBorder="1"/>
    <xf numFmtId="10" fontId="11" fillId="0" borderId="3" xfId="13" applyNumberFormat="1" applyFont="1" applyBorder="1"/>
    <xf numFmtId="169" fontId="11" fillId="0" borderId="0" xfId="7" applyNumberFormat="1" applyFont="1"/>
    <xf numFmtId="169" fontId="11" fillId="0" borderId="0" xfId="13" applyNumberFormat="1" applyFont="1"/>
    <xf numFmtId="169" fontId="11" fillId="0" borderId="3" xfId="13" applyNumberFormat="1" applyFont="1" applyBorder="1"/>
    <xf numFmtId="41" fontId="11" fillId="0" borderId="0" xfId="13" applyNumberFormat="1" applyFont="1"/>
    <xf numFmtId="41" fontId="11" fillId="0" borderId="0" xfId="1" applyNumberFormat="1" applyFont="1"/>
    <xf numFmtId="41" fontId="11" fillId="0" borderId="10" xfId="1" applyNumberFormat="1" applyFont="1" applyBorder="1"/>
    <xf numFmtId="41" fontId="15" fillId="0" borderId="10" xfId="1" applyNumberFormat="1" applyFont="1" applyFill="1" applyBorder="1"/>
    <xf numFmtId="41" fontId="11" fillId="0" borderId="12" xfId="1" applyNumberFormat="1" applyFont="1" applyBorder="1"/>
    <xf numFmtId="9" fontId="11" fillId="0" borderId="10" xfId="7" applyFont="1" applyBorder="1"/>
    <xf numFmtId="9" fontId="11" fillId="0" borderId="0" xfId="7" applyFont="1"/>
    <xf numFmtId="10" fontId="11" fillId="0" borderId="10" xfId="7" applyNumberFormat="1" applyFont="1" applyBorder="1"/>
    <xf numFmtId="10" fontId="31" fillId="0" borderId="0" xfId="7" applyNumberFormat="1" applyFont="1"/>
    <xf numFmtId="41" fontId="6" fillId="0" borderId="0" xfId="6" applyNumberFormat="1" applyFont="1"/>
    <xf numFmtId="41" fontId="6" fillId="0" borderId="10" xfId="6" applyNumberFormat="1" applyFont="1" applyBorder="1"/>
    <xf numFmtId="41" fontId="6" fillId="0" borderId="10" xfId="6" applyNumberFormat="1" applyFont="1" applyFill="1" applyBorder="1"/>
    <xf numFmtId="41" fontId="6" fillId="0" borderId="15" xfId="6" applyNumberFormat="1" applyFont="1" applyBorder="1"/>
    <xf numFmtId="41" fontId="6" fillId="0" borderId="0" xfId="6" applyNumberFormat="1" applyFont="1" applyBorder="1"/>
    <xf numFmtId="168" fontId="12" fillId="0" borderId="0" xfId="0" applyNumberFormat="1" applyFont="1" applyAlignment="1">
      <alignment horizontal="center"/>
    </xf>
    <xf numFmtId="17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5" fontId="0" fillId="0" borderId="0" xfId="0" applyNumberFormat="1" applyAlignment="1">
      <alignment horizontal="left"/>
    </xf>
    <xf numFmtId="175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4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4" fontId="41" fillId="0" borderId="0" xfId="0" applyNumberFormat="1" applyFont="1"/>
    <xf numFmtId="3" fontId="41" fillId="0" borderId="0" xfId="0" applyNumberFormat="1" applyFont="1"/>
    <xf numFmtId="49" fontId="41" fillId="0" borderId="0" xfId="0" applyNumberFormat="1" applyFont="1" applyFill="1" applyAlignment="1">
      <alignment horizontal="center"/>
    </xf>
    <xf numFmtId="3" fontId="41" fillId="0" borderId="0" xfId="0" applyNumberFormat="1" applyFont="1" applyFill="1"/>
    <xf numFmtId="174" fontId="41" fillId="0" borderId="0" xfId="0" applyNumberFormat="1" applyFont="1" applyAlignment="1">
      <alignment horizontal="center"/>
    </xf>
    <xf numFmtId="175" fontId="41" fillId="0" borderId="0" xfId="0" applyNumberFormat="1" applyFont="1"/>
    <xf numFmtId="175" fontId="41" fillId="0" borderId="0" xfId="0" applyNumberFormat="1" applyFont="1" applyAlignment="1">
      <alignment horizontal="center"/>
    </xf>
    <xf numFmtId="0" fontId="41" fillId="0" borderId="0" xfId="0" applyFont="1"/>
    <xf numFmtId="174" fontId="41" fillId="4" borderId="0" xfId="0" applyNumberFormat="1" applyFont="1" applyFill="1"/>
    <xf numFmtId="3" fontId="41" fillId="4" borderId="0" xfId="0" applyNumberFormat="1" applyFont="1" applyFill="1"/>
    <xf numFmtId="175" fontId="41" fillId="4" borderId="0" xfId="0" applyNumberFormat="1" applyFon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/>
    <xf numFmtId="175" fontId="0" fillId="0" borderId="0" xfId="0" applyNumberFormat="1" applyAlignment="1">
      <alignment horizontal="center"/>
    </xf>
    <xf numFmtId="175" fontId="0" fillId="4" borderId="0" xfId="0" applyNumberFormat="1" applyFill="1" applyAlignment="1">
      <alignment horizontal="center"/>
    </xf>
    <xf numFmtId="3" fontId="0" fillId="4" borderId="0" xfId="0" applyNumberFormat="1" applyFill="1"/>
    <xf numFmtId="174" fontId="0" fillId="0" borderId="0" xfId="0" applyNumberFormat="1"/>
    <xf numFmtId="0" fontId="0" fillId="0" borderId="0" xfId="0" applyFont="1"/>
    <xf numFmtId="174" fontId="0" fillId="0" borderId="0" xfId="0" applyNumberFormat="1" applyFont="1"/>
    <xf numFmtId="0" fontId="6" fillId="0" borderId="0" xfId="6" applyNumberFormat="1" applyFont="1" applyFill="1" applyAlignment="1">
      <alignment horizontal="center"/>
    </xf>
    <xf numFmtId="5" fontId="32" fillId="0" borderId="0" xfId="6" applyNumberFormat="1" applyFont="1"/>
    <xf numFmtId="42" fontId="32" fillId="0" borderId="12" xfId="6" applyNumberFormat="1" applyFont="1" applyBorder="1"/>
    <xf numFmtId="41" fontId="15" fillId="0" borderId="0" xfId="1" applyNumberFormat="1" applyFont="1" applyFill="1" applyBorder="1"/>
    <xf numFmtId="41" fontId="11" fillId="0" borderId="0" xfId="1" applyNumberFormat="1" applyFont="1" applyBorder="1"/>
    <xf numFmtId="0" fontId="11" fillId="0" borderId="0" xfId="13" applyFont="1" applyBorder="1" applyAlignment="1">
      <alignment horizontal="center"/>
    </xf>
    <xf numFmtId="41" fontId="11" fillId="2" borderId="18" xfId="1" applyNumberFormat="1" applyFont="1" applyFill="1" applyBorder="1"/>
    <xf numFmtId="41" fontId="6" fillId="0" borderId="0" xfId="6" applyNumberFormat="1" applyFont="1" applyFill="1"/>
    <xf numFmtId="0" fontId="12" fillId="0" borderId="0" xfId="0" applyFont="1" applyFill="1"/>
    <xf numFmtId="0" fontId="19" fillId="0" borderId="0" xfId="0" applyFont="1" applyFill="1"/>
    <xf numFmtId="5" fontId="11" fillId="0" borderId="0" xfId="1" applyNumberFormat="1" applyFont="1" applyBorder="1"/>
    <xf numFmtId="164" fontId="11" fillId="0" borderId="0" xfId="1" applyNumberFormat="1" applyFont="1" applyBorder="1"/>
    <xf numFmtId="168" fontId="11" fillId="0" borderId="0" xfId="0" applyNumberFormat="1" applyFont="1"/>
    <xf numFmtId="168" fontId="11" fillId="0" borderId="15" xfId="0" applyNumberFormat="1" applyFont="1" applyBorder="1"/>
    <xf numFmtId="166" fontId="43" fillId="0" borderId="0" xfId="0" applyNumberFormat="1" applyFont="1" applyFill="1"/>
    <xf numFmtId="41" fontId="8" fillId="0" borderId="1" xfId="20" applyNumberFormat="1" applyFont="1" applyFill="1" applyBorder="1" applyAlignment="1">
      <alignment horizontal="center"/>
    </xf>
    <xf numFmtId="3" fontId="8" fillId="0" borderId="0" xfId="6" applyNumberFormat="1" applyFont="1"/>
    <xf numFmtId="3" fontId="6" fillId="0" borderId="0" xfId="6" applyNumberFormat="1" applyFont="1" applyFill="1"/>
    <xf numFmtId="0" fontId="6" fillId="0" borderId="0" xfId="6" applyNumberFormat="1" applyFont="1" applyAlignment="1">
      <alignment horizontal="left"/>
    </xf>
    <xf numFmtId="3" fontId="8" fillId="0" borderId="0" xfId="6" applyNumberFormat="1" applyFont="1" applyFill="1" applyAlignment="1">
      <alignment horizontal="center"/>
    </xf>
    <xf numFmtId="41" fontId="6" fillId="0" borderId="0" xfId="5" applyNumberFormat="1" applyFont="1" applyFill="1" applyAlignment="1">
      <alignment horizontal="center"/>
    </xf>
    <xf numFmtId="3" fontId="8" fillId="0" borderId="0" xfId="6" applyNumberFormat="1" applyFont="1" applyAlignment="1">
      <alignment horizontal="center"/>
    </xf>
    <xf numFmtId="0" fontId="6" fillId="0" borderId="0" xfId="6" applyFont="1" applyAlignment="1">
      <alignment horizontal="center"/>
    </xf>
    <xf numFmtId="3" fontId="8" fillId="0" borderId="0" xfId="6" applyNumberFormat="1" applyFont="1" applyFill="1" applyBorder="1" applyAlignment="1">
      <alignment horizontal="center"/>
    </xf>
    <xf numFmtId="0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8" fillId="0" borderId="1" xfId="6" applyNumberFormat="1" applyFont="1" applyBorder="1" applyAlignment="1">
      <alignment horizontal="center"/>
    </xf>
    <xf numFmtId="0" fontId="8" fillId="0" borderId="2" xfId="6" applyFont="1" applyBorder="1" applyAlignment="1">
      <alignment horizontal="center"/>
    </xf>
    <xf numFmtId="0" fontId="8" fillId="0" borderId="3" xfId="6" applyFont="1" applyBorder="1" applyAlignment="1">
      <alignment horizontal="center"/>
    </xf>
    <xf numFmtId="0" fontId="6" fillId="0" borderId="4" xfId="6" applyFont="1" applyBorder="1"/>
    <xf numFmtId="3" fontId="8" fillId="0" borderId="1" xfId="6" applyNumberFormat="1" applyFont="1" applyBorder="1" applyAlignment="1">
      <alignment horizontal="center"/>
    </xf>
    <xf numFmtId="3" fontId="8" fillId="0" borderId="1" xfId="6" applyNumberFormat="1" applyFont="1" applyFill="1" applyBorder="1" applyAlignment="1">
      <alignment horizontal="center"/>
    </xf>
    <xf numFmtId="0" fontId="8" fillId="0" borderId="5" xfId="6" applyNumberFormat="1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8" fillId="0" borderId="0" xfId="6" applyFont="1" applyBorder="1" applyAlignment="1">
      <alignment horizontal="center"/>
    </xf>
    <xf numFmtId="0" fontId="6" fillId="0" borderId="7" xfId="6" applyFont="1" applyBorder="1"/>
    <xf numFmtId="3" fontId="8" fillId="0" borderId="5" xfId="6" applyNumberFormat="1" applyFont="1" applyFill="1" applyBorder="1" applyAlignment="1">
      <alignment horizontal="center"/>
    </xf>
    <xf numFmtId="0" fontId="8" fillId="0" borderId="8" xfId="6" applyNumberFormat="1" applyFont="1" applyBorder="1" applyAlignment="1">
      <alignment horizontal="center"/>
    </xf>
    <xf numFmtId="0" fontId="8" fillId="0" borderId="9" xfId="6" applyFont="1" applyBorder="1" applyAlignment="1">
      <alignment horizontal="center"/>
    </xf>
    <xf numFmtId="0" fontId="8" fillId="0" borderId="10" xfId="6" applyFont="1" applyBorder="1" applyAlignment="1">
      <alignment horizontal="center"/>
    </xf>
    <xf numFmtId="0" fontId="8" fillId="0" borderId="11" xfId="6" applyFont="1" applyBorder="1" applyAlignment="1">
      <alignment horizontal="center"/>
    </xf>
    <xf numFmtId="3" fontId="8" fillId="0" borderId="8" xfId="6" applyNumberFormat="1" applyFont="1" applyFill="1" applyBorder="1" applyAlignment="1">
      <alignment horizontal="center"/>
    </xf>
    <xf numFmtId="3" fontId="8" fillId="0" borderId="8" xfId="6" quotePrefix="1" applyNumberFormat="1" applyFont="1" applyBorder="1" applyAlignment="1">
      <alignment horizontal="center"/>
    </xf>
    <xf numFmtId="0" fontId="6" fillId="0" borderId="0" xfId="6" applyFont="1" applyAlignment="1">
      <alignment horizontal="left"/>
    </xf>
    <xf numFmtId="4" fontId="8" fillId="0" borderId="0" xfId="6" applyNumberFormat="1" applyFont="1" applyFill="1" applyBorder="1" applyAlignment="1">
      <alignment horizontal="center"/>
    </xf>
    <xf numFmtId="3" fontId="6" fillId="0" borderId="0" xfId="6" applyNumberFormat="1" applyFont="1" applyFill="1" applyBorder="1"/>
    <xf numFmtId="42" fontId="8" fillId="0" borderId="0" xfId="6" applyNumberFormat="1" applyFont="1"/>
    <xf numFmtId="41" fontId="8" fillId="0" borderId="0" xfId="6" applyNumberFormat="1" applyFont="1"/>
    <xf numFmtId="41" fontId="6" fillId="0" borderId="0" xfId="4" applyNumberFormat="1" applyFont="1" applyFill="1" applyBorder="1"/>
    <xf numFmtId="41" fontId="6" fillId="0" borderId="10" xfId="4" applyNumberFormat="1" applyFont="1" applyFill="1" applyBorder="1"/>
    <xf numFmtId="41" fontId="8" fillId="0" borderId="10" xfId="6" applyNumberFormat="1" applyFont="1" applyBorder="1"/>
    <xf numFmtId="0" fontId="6" fillId="0" borderId="0" xfId="6" applyFont="1" applyBorder="1"/>
    <xf numFmtId="42" fontId="8" fillId="0" borderId="12" xfId="6" applyNumberFormat="1" applyFont="1" applyBorder="1"/>
    <xf numFmtId="41" fontId="8" fillId="0" borderId="15" xfId="6" applyNumberFormat="1" applyFont="1" applyBorder="1"/>
    <xf numFmtId="41" fontId="8" fillId="0" borderId="0" xfId="6" applyNumberFormat="1" applyFont="1" applyBorder="1"/>
    <xf numFmtId="5" fontId="8" fillId="0" borderId="0" xfId="6" applyNumberFormat="1" applyFont="1"/>
    <xf numFmtId="0" fontId="6" fillId="0" borderId="0" xfId="6" applyNumberFormat="1" applyFont="1" applyFill="1" applyAlignment="1">
      <alignment horizontal="left"/>
    </xf>
    <xf numFmtId="0" fontId="6" fillId="0" borderId="0" xfId="6" applyFont="1" applyFill="1"/>
    <xf numFmtId="0" fontId="6" fillId="0" borderId="0" xfId="5" applyFont="1" applyFill="1"/>
    <xf numFmtId="41" fontId="8" fillId="0" borderId="0" xfId="6" applyNumberFormat="1" applyFont="1" applyFill="1"/>
    <xf numFmtId="41" fontId="8" fillId="0" borderId="0" xfId="5" applyNumberFormat="1" applyFont="1" applyFill="1"/>
    <xf numFmtId="3" fontId="8" fillId="0" borderId="0" xfId="6" applyNumberFormat="1" applyFont="1" applyFill="1"/>
    <xf numFmtId="3" fontId="8" fillId="0" borderId="0" xfId="5" applyNumberFormat="1" applyFont="1" applyFill="1"/>
    <xf numFmtId="10" fontId="8" fillId="0" borderId="0" xfId="7" quotePrefix="1" applyNumberFormat="1" applyFont="1" applyAlignment="1">
      <alignment horizontal="center"/>
    </xf>
    <xf numFmtId="3" fontId="8" fillId="6" borderId="0" xfId="6" applyNumberFormat="1" applyFont="1" applyFill="1"/>
    <xf numFmtId="10" fontId="8" fillId="6" borderId="0" xfId="7" applyNumberFormat="1" applyFont="1" applyFill="1"/>
    <xf numFmtId="3" fontId="8" fillId="0" borderId="0" xfId="5" applyNumberFormat="1" applyFont="1" applyFill="1" applyBorder="1"/>
    <xf numFmtId="3" fontId="8" fillId="0" borderId="0" xfId="6" applyNumberFormat="1" applyFont="1" applyFill="1" applyBorder="1"/>
    <xf numFmtId="0" fontId="6" fillId="0" borderId="0" xfId="0" applyFont="1"/>
    <xf numFmtId="41" fontId="8" fillId="0" borderId="5" xfId="20" applyNumberFormat="1" applyFont="1" applyFill="1" applyBorder="1" applyAlignment="1">
      <alignment horizontal="center"/>
    </xf>
    <xf numFmtId="3" fontId="6" fillId="0" borderId="0" xfId="5" applyNumberFormat="1" applyFont="1" applyFill="1"/>
    <xf numFmtId="42" fontId="6" fillId="0" borderId="0" xfId="4" applyNumberFormat="1" applyFont="1" applyFill="1"/>
    <xf numFmtId="41" fontId="6" fillId="0" borderId="0" xfId="4" applyNumberFormat="1" applyFont="1" applyFill="1"/>
    <xf numFmtId="41" fontId="8" fillId="0" borderId="1" xfId="22" applyNumberFormat="1" applyFont="1" applyFill="1" applyBorder="1" applyAlignment="1">
      <alignment horizontal="center"/>
    </xf>
    <xf numFmtId="41" fontId="8" fillId="0" borderId="5" xfId="22" applyNumberFormat="1" applyFont="1" applyFill="1" applyBorder="1" applyAlignment="1">
      <alignment horizontal="center"/>
    </xf>
    <xf numFmtId="41" fontId="8" fillId="0" borderId="8" xfId="22" applyNumberFormat="1" applyFont="1" applyFill="1" applyBorder="1" applyAlignment="1">
      <alignment horizontal="center"/>
    </xf>
    <xf numFmtId="4" fontId="8" fillId="0" borderId="0" xfId="6" applyNumberFormat="1" applyFont="1" applyAlignment="1">
      <alignment horizontal="center"/>
    </xf>
    <xf numFmtId="42" fontId="6" fillId="0" borderId="12" xfId="6" applyNumberFormat="1" applyFont="1" applyBorder="1"/>
    <xf numFmtId="10" fontId="6" fillId="0" borderId="0" xfId="7" applyNumberFormat="1" applyFont="1" applyFill="1"/>
    <xf numFmtId="10" fontId="24" fillId="0" borderId="16" xfId="7" applyNumberFormat="1" applyFont="1" applyFill="1" applyBorder="1"/>
    <xf numFmtId="0" fontId="45" fillId="0" borderId="0" xfId="0" applyFont="1" applyAlignment="1">
      <alignment horizontal="left"/>
    </xf>
    <xf numFmtId="3" fontId="45" fillId="0" borderId="0" xfId="0" applyNumberFormat="1" applyFont="1" applyAlignment="1">
      <alignment horizontal="left"/>
    </xf>
    <xf numFmtId="3" fontId="45" fillId="0" borderId="0" xfId="0" applyNumberFormat="1" applyFont="1" applyFill="1" applyAlignment="1">
      <alignment horizontal="left"/>
    </xf>
    <xf numFmtId="49" fontId="45" fillId="0" borderId="0" xfId="0" applyNumberFormat="1" applyFont="1" applyAlignment="1">
      <alignment horizontal="left"/>
    </xf>
    <xf numFmtId="3" fontId="45" fillId="0" borderId="0" xfId="0" applyNumberFormat="1" applyFont="1"/>
    <xf numFmtId="3" fontId="45" fillId="0" borderId="0" xfId="0" applyNumberFormat="1" applyFont="1" applyFill="1"/>
    <xf numFmtId="0" fontId="45" fillId="0" borderId="0" xfId="0" applyFont="1"/>
    <xf numFmtId="3" fontId="45" fillId="4" borderId="0" xfId="0" applyNumberFormat="1" applyFont="1" applyFill="1"/>
    <xf numFmtId="174" fontId="45" fillId="0" borderId="0" xfId="0" applyNumberFormat="1" applyFont="1"/>
    <xf numFmtId="0" fontId="11" fillId="0" borderId="0" xfId="0" applyFont="1"/>
    <xf numFmtId="0" fontId="11" fillId="0" borderId="0" xfId="0" applyFont="1" applyFill="1"/>
    <xf numFmtId="41" fontId="8" fillId="0" borderId="0" xfId="20" applyNumberFormat="1" applyFont="1" applyFill="1" applyAlignment="1">
      <alignment horizontal="center"/>
    </xf>
    <xf numFmtId="3" fontId="8" fillId="0" borderId="5" xfId="6" applyNumberFormat="1" applyFont="1" applyBorder="1" applyAlignment="1">
      <alignment horizontal="center"/>
    </xf>
    <xf numFmtId="3" fontId="8" fillId="0" borderId="8" xfId="6" applyNumberFormat="1" applyFont="1" applyBorder="1" applyAlignment="1">
      <alignment horizontal="center"/>
    </xf>
    <xf numFmtId="42" fontId="6" fillId="0" borderId="0" xfId="6" applyNumberFormat="1" applyFont="1"/>
    <xf numFmtId="41" fontId="8" fillId="6" borderId="9" xfId="6" applyNumberFormat="1" applyFont="1" applyFill="1" applyBorder="1"/>
    <xf numFmtId="3" fontId="46" fillId="0" borderId="0" xfId="22" applyNumberFormat="1" applyFont="1"/>
    <xf numFmtId="3" fontId="8" fillId="6" borderId="6" xfId="6" applyNumberFormat="1" applyFont="1" applyFill="1" applyBorder="1" applyAlignment="1">
      <alignment horizontal="center"/>
    </xf>
    <xf numFmtId="3" fontId="8" fillId="6" borderId="6" xfId="6" applyNumberFormat="1" applyFont="1" applyFill="1" applyBorder="1"/>
    <xf numFmtId="42" fontId="8" fillId="6" borderId="6" xfId="6" applyNumberFormat="1" applyFont="1" applyFill="1" applyBorder="1"/>
    <xf numFmtId="41" fontId="8" fillId="6" borderId="6" xfId="6" applyNumberFormat="1" applyFont="1" applyFill="1" applyBorder="1"/>
    <xf numFmtId="42" fontId="8" fillId="6" borderId="32" xfId="6" applyNumberFormat="1" applyFont="1" applyFill="1" applyBorder="1"/>
    <xf numFmtId="41" fontId="8" fillId="6" borderId="13" xfId="6" applyNumberFormat="1" applyFont="1" applyFill="1" applyBorder="1"/>
    <xf numFmtId="3" fontId="6" fillId="0" borderId="0" xfId="6" applyNumberFormat="1" applyFont="1" applyBorder="1"/>
    <xf numFmtId="3" fontId="6" fillId="0" borderId="0" xfId="5" applyNumberFormat="1" applyFont="1" applyFill="1" applyBorder="1"/>
    <xf numFmtId="0" fontId="6" fillId="0" borderId="0" xfId="5" applyFont="1" applyFill="1" applyBorder="1"/>
    <xf numFmtId="0" fontId="6" fillId="0" borderId="0" xfId="6" applyNumberFormat="1" applyFont="1" applyFill="1" applyBorder="1" applyAlignment="1">
      <alignment horizontal="center"/>
    </xf>
    <xf numFmtId="3" fontId="8" fillId="0" borderId="0" xfId="6" applyNumberFormat="1" applyFont="1" applyBorder="1"/>
    <xf numFmtId="41" fontId="8" fillId="0" borderId="0" xfId="4" applyNumberFormat="1" applyFont="1" applyFill="1" applyBorder="1" applyAlignment="1">
      <alignment horizontal="center"/>
    </xf>
    <xf numFmtId="0" fontId="6" fillId="0" borderId="0" xfId="6" applyFont="1" applyFill="1" applyBorder="1"/>
    <xf numFmtId="0" fontId="6" fillId="0" borderId="0" xfId="5" applyFont="1" applyFill="1" applyBorder="1" applyAlignment="1">
      <alignment horizontal="right"/>
    </xf>
    <xf numFmtId="42" fontId="6" fillId="0" borderId="12" xfId="6" applyNumberFormat="1" applyFont="1" applyFill="1" applyBorder="1"/>
    <xf numFmtId="41" fontId="6" fillId="0" borderId="15" xfId="6" applyNumberFormat="1" applyFont="1" applyFill="1" applyBorder="1"/>
    <xf numFmtId="41" fontId="6" fillId="0" borderId="0" xfId="6" applyNumberFormat="1" applyFont="1" applyFill="1" applyBorder="1"/>
    <xf numFmtId="42" fontId="8" fillId="0" borderId="12" xfId="6" applyNumberFormat="1" applyFont="1" applyFill="1" applyBorder="1"/>
    <xf numFmtId="41" fontId="8" fillId="0" borderId="7" xfId="20" applyNumberFormat="1" applyFont="1" applyFill="1" applyBorder="1" applyAlignment="1">
      <alignment horizontal="center"/>
    </xf>
    <xf numFmtId="41" fontId="8" fillId="0" borderId="11" xfId="20" applyNumberFormat="1" applyFont="1" applyFill="1" applyBorder="1" applyAlignment="1">
      <alignment horizontal="center"/>
    </xf>
    <xf numFmtId="176" fontId="6" fillId="0" borderId="0" xfId="5" applyNumberFormat="1" applyFont="1" applyFill="1"/>
    <xf numFmtId="168" fontId="9" fillId="0" borderId="0" xfId="0" applyNumberFormat="1" applyFont="1"/>
    <xf numFmtId="3" fontId="12" fillId="0" borderId="0" xfId="0" applyNumberFormat="1" applyFont="1" applyFill="1" applyAlignment="1"/>
    <xf numFmtId="41" fontId="8" fillId="0" borderId="0" xfId="20" applyNumberFormat="1" applyFont="1" applyFill="1"/>
    <xf numFmtId="3" fontId="8" fillId="0" borderId="0" xfId="22" applyNumberFormat="1" applyFont="1" applyFill="1" applyAlignment="1">
      <alignment horizontal="center"/>
    </xf>
    <xf numFmtId="41" fontId="8" fillId="0" borderId="0" xfId="22" applyNumberFormat="1" applyFont="1" applyFill="1" applyAlignment="1">
      <alignment horizontal="center"/>
    </xf>
    <xf numFmtId="175" fontId="45" fillId="4" borderId="0" xfId="0" applyNumberFormat="1" applyFont="1" applyFill="1" applyAlignment="1">
      <alignment horizontal="center"/>
    </xf>
    <xf numFmtId="0" fontId="0" fillId="0" borderId="0" xfId="0" applyAlignment="1">
      <alignment shrinkToFit="1"/>
    </xf>
    <xf numFmtId="5" fontId="27" fillId="0" borderId="0" xfId="0" applyNumberFormat="1" applyFont="1" applyFill="1" applyBorder="1" applyAlignment="1">
      <alignment vertical="top"/>
    </xf>
    <xf numFmtId="3" fontId="46" fillId="0" borderId="5" xfId="22" applyNumberFormat="1" applyFont="1" applyBorder="1" applyAlignment="1">
      <alignment horizontal="center" vertical="center"/>
    </xf>
    <xf numFmtId="0" fontId="6" fillId="0" borderId="0" xfId="20" applyFont="1"/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167" fontId="11" fillId="4" borderId="0" xfId="7" applyNumberFormat="1" applyFont="1" applyFill="1" applyBorder="1"/>
    <xf numFmtId="10" fontId="11" fillId="0" borderId="0" xfId="7" applyNumberFormat="1" applyFont="1" applyFill="1" applyBorder="1"/>
    <xf numFmtId="10" fontId="11" fillId="4" borderId="7" xfId="7" applyNumberFormat="1" applyFont="1" applyFill="1" applyBorder="1"/>
    <xf numFmtId="37" fontId="6" fillId="0" borderId="0" xfId="20" applyNumberFormat="1" applyFont="1"/>
    <xf numFmtId="10" fontId="11" fillId="4" borderId="0" xfId="7" applyNumberFormat="1" applyFont="1" applyFill="1" applyBorder="1"/>
    <xf numFmtId="10" fontId="11" fillId="4" borderId="15" xfId="7" applyNumberFormat="1" applyFont="1" applyFill="1" applyBorder="1"/>
    <xf numFmtId="169" fontId="15" fillId="4" borderId="10" xfId="7" applyNumberFormat="1" applyFont="1" applyFill="1" applyBorder="1"/>
    <xf numFmtId="10" fontId="12" fillId="4" borderId="14" xfId="7" applyNumberFormat="1" applyFont="1" applyFill="1" applyBorder="1"/>
    <xf numFmtId="10" fontId="8" fillId="0" borderId="15" xfId="20" applyNumberFormat="1" applyFont="1" applyBorder="1" applyAlignment="1">
      <alignment horizontal="right"/>
    </xf>
    <xf numFmtId="0" fontId="6" fillId="0" borderId="10" xfId="20" applyFont="1" applyBorder="1" applyAlignment="1">
      <alignment horizontal="center"/>
    </xf>
    <xf numFmtId="41" fontId="8" fillId="6" borderId="1" xfId="20" applyNumberFormat="1" applyFont="1" applyFill="1" applyBorder="1" applyAlignment="1">
      <alignment horizontal="center"/>
    </xf>
    <xf numFmtId="41" fontId="8" fillId="6" borderId="5" xfId="20" applyNumberFormat="1" applyFont="1" applyFill="1" applyBorder="1" applyAlignment="1">
      <alignment horizontal="center"/>
    </xf>
    <xf numFmtId="3" fontId="23" fillId="0" borderId="0" xfId="17" applyNumberFormat="1" applyFont="1" applyFill="1" applyBorder="1" applyAlignment="1"/>
    <xf numFmtId="0" fontId="50" fillId="0" borderId="0" xfId="6" applyNumberFormat="1" applyFont="1" applyAlignment="1">
      <alignment horizontal="left"/>
    </xf>
    <xf numFmtId="0" fontId="34" fillId="0" borderId="0" xfId="6" applyFont="1"/>
    <xf numFmtId="0" fontId="34" fillId="0" borderId="0" xfId="6" applyNumberFormat="1" applyFont="1" applyAlignment="1">
      <alignment horizontal="left"/>
    </xf>
    <xf numFmtId="0" fontId="32" fillId="0" borderId="0" xfId="6" applyFont="1" applyFill="1" applyAlignment="1">
      <alignment horizontal="center"/>
    </xf>
    <xf numFmtId="1" fontId="32" fillId="0" borderId="1" xfId="6" applyNumberFormat="1" applyFont="1" applyBorder="1" applyAlignment="1">
      <alignment horizontal="center"/>
    </xf>
    <xf numFmtId="177" fontId="32" fillId="0" borderId="2" xfId="6" quotePrefix="1" applyNumberFormat="1" applyFont="1" applyFill="1" applyBorder="1" applyAlignment="1">
      <alignment horizontal="center"/>
    </xf>
    <xf numFmtId="3" fontId="32" fillId="0" borderId="6" xfId="6" applyNumberFormat="1" applyFont="1" applyFill="1" applyBorder="1" applyAlignment="1">
      <alignment horizontal="center"/>
    </xf>
    <xf numFmtId="3" fontId="32" fillId="0" borderId="9" xfId="6" applyNumberFormat="1" applyFont="1" applyFill="1" applyBorder="1" applyAlignment="1">
      <alignment horizontal="center"/>
    </xf>
    <xf numFmtId="3" fontId="32" fillId="0" borderId="0" xfId="6" applyNumberFormat="1" applyFont="1" applyFill="1"/>
    <xf numFmtId="42" fontId="32" fillId="0" borderId="0" xfId="6" applyNumberFormat="1" applyFont="1"/>
    <xf numFmtId="42" fontId="32" fillId="0" borderId="0" xfId="6" applyNumberFormat="1" applyFont="1" applyFill="1"/>
    <xf numFmtId="41" fontId="32" fillId="0" borderId="0" xfId="6" applyNumberFormat="1" applyFont="1"/>
    <xf numFmtId="41" fontId="32" fillId="0" borderId="0" xfId="6" applyNumberFormat="1" applyFont="1" applyFill="1"/>
    <xf numFmtId="41" fontId="32" fillId="0" borderId="10" xfId="6" applyNumberFormat="1" applyFont="1" applyBorder="1"/>
    <xf numFmtId="41" fontId="32" fillId="0" borderId="10" xfId="6" applyNumberFormat="1" applyFont="1" applyFill="1" applyBorder="1"/>
    <xf numFmtId="37" fontId="11" fillId="0" borderId="0" xfId="6" applyNumberFormat="1" applyFont="1"/>
    <xf numFmtId="0" fontId="6" fillId="0" borderId="0" xfId="17" applyFont="1"/>
    <xf numFmtId="42" fontId="32" fillId="0" borderId="12" xfId="6" applyNumberFormat="1" applyFont="1" applyFill="1" applyBorder="1"/>
    <xf numFmtId="3" fontId="6" fillId="0" borderId="0" xfId="17" applyNumberFormat="1" applyFont="1" applyFill="1" applyAlignment="1">
      <alignment vertical="top"/>
    </xf>
    <xf numFmtId="0" fontId="33" fillId="0" borderId="0" xfId="6" applyNumberFormat="1" applyFont="1" applyAlignment="1">
      <alignment horizontal="left"/>
    </xf>
    <xf numFmtId="0" fontId="33" fillId="0" borderId="0" xfId="6" applyFont="1"/>
    <xf numFmtId="177" fontId="32" fillId="0" borderId="2" xfId="6" applyNumberFormat="1" applyFont="1" applyFill="1" applyBorder="1" applyAlignment="1">
      <alignment horizontal="center"/>
    </xf>
    <xf numFmtId="41" fontId="32" fillId="0" borderId="15" xfId="6" applyNumberFormat="1" applyFont="1" applyFill="1" applyBorder="1"/>
    <xf numFmtId="41" fontId="32" fillId="0" borderId="0" xfId="6" applyNumberFormat="1" applyFont="1" applyBorder="1"/>
    <xf numFmtId="41" fontId="32" fillId="0" borderId="0" xfId="6" applyNumberFormat="1" applyFont="1" applyFill="1" applyBorder="1"/>
    <xf numFmtId="0" fontId="51" fillId="0" borderId="0" xfId="6" applyNumberFormat="1" applyFont="1" applyAlignment="1">
      <alignment horizontal="left"/>
    </xf>
    <xf numFmtId="10" fontId="25" fillId="0" borderId="0" xfId="19" applyNumberFormat="1" applyFont="1" applyFill="1" applyBorder="1" applyAlignment="1"/>
    <xf numFmtId="0" fontId="31" fillId="0" borderId="0" xfId="6" applyNumberFormat="1" applyFont="1" applyFill="1" applyAlignment="1">
      <alignment horizontal="center" wrapText="1"/>
    </xf>
    <xf numFmtId="3" fontId="6" fillId="0" borderId="0" xfId="17" applyNumberFormat="1" applyFont="1" applyFill="1" applyAlignment="1"/>
    <xf numFmtId="0" fontId="31" fillId="0" borderId="0" xfId="6" applyFont="1" applyFill="1" applyAlignment="1">
      <alignment horizontal="right"/>
    </xf>
    <xf numFmtId="3" fontId="31" fillId="0" borderId="3" xfId="6" applyNumberFormat="1" applyFont="1" applyFill="1" applyBorder="1"/>
    <xf numFmtId="0" fontId="31" fillId="0" borderId="0" xfId="6" applyFont="1" applyFill="1" applyBorder="1"/>
    <xf numFmtId="3" fontId="6" fillId="0" borderId="0" xfId="17" applyNumberFormat="1" applyFont="1" applyFill="1" applyBorder="1" applyAlignment="1"/>
    <xf numFmtId="3" fontId="31" fillId="0" borderId="10" xfId="6" applyNumberFormat="1" applyFont="1" applyFill="1" applyBorder="1"/>
    <xf numFmtId="3" fontId="8" fillId="0" borderId="0" xfId="17" quotePrefix="1" applyNumberFormat="1" applyFont="1" applyFill="1" applyBorder="1" applyAlignment="1">
      <alignment horizontal="center"/>
    </xf>
    <xf numFmtId="0" fontId="32" fillId="0" borderId="0" xfId="6" applyFont="1" applyFill="1"/>
    <xf numFmtId="3" fontId="32" fillId="0" borderId="16" xfId="6" applyNumberFormat="1" applyFont="1" applyFill="1" applyBorder="1"/>
    <xf numFmtId="172" fontId="31" fillId="0" borderId="0" xfId="1" applyNumberFormat="1" applyFont="1" applyFill="1" applyBorder="1"/>
    <xf numFmtId="10" fontId="31" fillId="0" borderId="0" xfId="19" applyNumberFormat="1" applyFont="1"/>
    <xf numFmtId="10" fontId="31" fillId="0" borderId="0" xfId="19" applyNumberFormat="1" applyFont="1" applyFill="1"/>
    <xf numFmtId="10" fontId="31" fillId="0" borderId="0" xfId="19" applyNumberFormat="1" applyFont="1" applyFill="1" applyBorder="1"/>
    <xf numFmtId="0" fontId="32" fillId="0" borderId="0" xfId="6" applyFont="1" applyAlignment="1">
      <alignment horizontal="left"/>
    </xf>
    <xf numFmtId="3" fontId="32" fillId="0" borderId="16" xfId="6" applyNumberFormat="1" applyFont="1" applyBorder="1"/>
    <xf numFmtId="3" fontId="32" fillId="0" borderId="0" xfId="6" applyNumberFormat="1" applyFont="1" applyFill="1" applyBorder="1"/>
    <xf numFmtId="3" fontId="32" fillId="0" borderId="0" xfId="6" applyNumberFormat="1" applyFont="1" applyBorder="1"/>
    <xf numFmtId="0" fontId="31" fillId="0" borderId="0" xfId="6" applyFont="1" applyBorder="1" applyAlignment="1">
      <alignment horizontal="center"/>
    </xf>
    <xf numFmtId="0" fontId="32" fillId="0" borderId="0" xfId="6" applyFont="1"/>
    <xf numFmtId="3" fontId="31" fillId="0" borderId="3" xfId="6" applyNumberFormat="1" applyFont="1" applyBorder="1"/>
    <xf numFmtId="3" fontId="31" fillId="0" borderId="10" xfId="6" applyNumberFormat="1" applyFont="1" applyBorder="1"/>
    <xf numFmtId="0" fontId="32" fillId="0" borderId="0" xfId="6" applyNumberFormat="1" applyFont="1" applyFill="1" applyAlignment="1">
      <alignment horizontal="center"/>
    </xf>
    <xf numFmtId="0" fontId="4" fillId="0" borderId="0" xfId="17"/>
    <xf numFmtId="0" fontId="52" fillId="0" borderId="0" xfId="17" applyFont="1"/>
    <xf numFmtId="0" fontId="53" fillId="0" borderId="0" xfId="6" applyNumberFormat="1" applyFont="1" applyAlignment="1">
      <alignment horizontal="center"/>
    </xf>
    <xf numFmtId="0" fontId="12" fillId="0" borderId="10" xfId="17" applyFont="1" applyBorder="1"/>
    <xf numFmtId="0" fontId="31" fillId="0" borderId="10" xfId="6" applyFont="1" applyBorder="1"/>
    <xf numFmtId="0" fontId="8" fillId="0" borderId="0" xfId="17" applyFont="1" applyFill="1" applyBorder="1" applyAlignment="1">
      <alignment horizontal="center"/>
    </xf>
    <xf numFmtId="0" fontId="8" fillId="0" borderId="10" xfId="17" applyFont="1" applyFill="1" applyBorder="1" applyAlignment="1">
      <alignment horizontal="center"/>
    </xf>
    <xf numFmtId="0" fontId="4" fillId="0" borderId="0" xfId="17" applyFill="1" applyBorder="1"/>
    <xf numFmtId="10" fontId="4" fillId="0" borderId="0" xfId="17" applyNumberFormat="1" applyFill="1" applyBorder="1"/>
    <xf numFmtId="10" fontId="4" fillId="0" borderId="0" xfId="17" applyNumberFormat="1" applyFill="1"/>
    <xf numFmtId="0" fontId="8" fillId="0" borderId="0" xfId="17" applyFont="1"/>
    <xf numFmtId="172" fontId="32" fillId="0" borderId="0" xfId="6" applyNumberFormat="1" applyFont="1"/>
    <xf numFmtId="0" fontId="4" fillId="0" borderId="0" xfId="17" applyFont="1"/>
    <xf numFmtId="10" fontId="31" fillId="0" borderId="0" xfId="6" applyNumberFormat="1" applyFont="1" applyFill="1" applyBorder="1"/>
    <xf numFmtId="10" fontId="48" fillId="0" borderId="0" xfId="6" applyNumberFormat="1" applyFont="1" applyFill="1" applyBorder="1"/>
    <xf numFmtId="0" fontId="54" fillId="0" borderId="10" xfId="6" applyFont="1" applyBorder="1"/>
    <xf numFmtId="0" fontId="54" fillId="0" borderId="0" xfId="6" applyFont="1"/>
    <xf numFmtId="0" fontId="51" fillId="0" borderId="0" xfId="6" applyFont="1" applyFill="1"/>
    <xf numFmtId="0" fontId="51" fillId="0" borderId="0" xfId="24" applyFont="1" applyFill="1"/>
    <xf numFmtId="0" fontId="51" fillId="0" borderId="0" xfId="6" applyFont="1"/>
    <xf numFmtId="172" fontId="31" fillId="0" borderId="0" xfId="6" applyNumberFormat="1" applyFont="1" applyBorder="1"/>
    <xf numFmtId="10" fontId="31" fillId="0" borderId="0" xfId="25" applyNumberFormat="1" applyFont="1" applyBorder="1"/>
    <xf numFmtId="0" fontId="12" fillId="0" borderId="0" xfId="17" applyFont="1"/>
    <xf numFmtId="0" fontId="8" fillId="0" borderId="33" xfId="17" applyFont="1" applyBorder="1" applyAlignment="1">
      <alignment horizontal="center"/>
    </xf>
    <xf numFmtId="10" fontId="4" fillId="0" borderId="0" xfId="7" applyNumberFormat="1" applyFont="1" applyFill="1" applyBorder="1"/>
    <xf numFmtId="10" fontId="6" fillId="0" borderId="0" xfId="7" applyNumberFormat="1" applyFont="1" applyFill="1" applyBorder="1"/>
    <xf numFmtId="0" fontId="4" fillId="0" borderId="0" xfId="17" applyFill="1"/>
    <xf numFmtId="0" fontId="4" fillId="0" borderId="0" xfId="17" applyBorder="1"/>
    <xf numFmtId="0" fontId="4" fillId="0" borderId="6" xfId="17" applyBorder="1"/>
    <xf numFmtId="0" fontId="32" fillId="6" borderId="0" xfId="6" applyFont="1" applyFill="1" applyAlignment="1">
      <alignment horizontal="center"/>
    </xf>
    <xf numFmtId="0" fontId="4" fillId="0" borderId="6" xfId="17" applyFill="1" applyBorder="1"/>
    <xf numFmtId="0" fontId="4" fillId="0" borderId="6" xfId="17" applyBorder="1" applyAlignment="1">
      <alignment horizontal="center"/>
    </xf>
    <xf numFmtId="0" fontId="4" fillId="0" borderId="0" xfId="17" applyFont="1" applyBorder="1" applyAlignment="1">
      <alignment horizontal="center"/>
    </xf>
    <xf numFmtId="0" fontId="4" fillId="0" borderId="7" xfId="17" applyFill="1" applyBorder="1"/>
    <xf numFmtId="0" fontId="4" fillId="0" borderId="6" xfId="17" applyFill="1" applyBorder="1" applyAlignment="1">
      <alignment horizontal="center"/>
    </xf>
    <xf numFmtId="0" fontId="4" fillId="0" borderId="0" xfId="17" applyFont="1" applyFill="1" applyBorder="1" applyAlignment="1">
      <alignment horizontal="center"/>
    </xf>
    <xf numFmtId="0" fontId="4" fillId="0" borderId="6" xfId="17" applyFont="1" applyBorder="1" applyAlignment="1">
      <alignment horizontal="center"/>
    </xf>
    <xf numFmtId="0" fontId="4" fillId="0" borderId="7" xfId="17" applyFont="1" applyFill="1" applyBorder="1" applyAlignment="1">
      <alignment horizontal="center"/>
    </xf>
    <xf numFmtId="0" fontId="4" fillId="0" borderId="6" xfId="17" applyFont="1" applyFill="1" applyBorder="1" applyAlignment="1">
      <alignment horizontal="center"/>
    </xf>
    <xf numFmtId="0" fontId="4" fillId="0" borderId="0" xfId="17" applyFill="1" applyAlignment="1">
      <alignment horizontal="center"/>
    </xf>
    <xf numFmtId="0" fontId="55" fillId="0" borderId="6" xfId="17" applyFont="1" applyBorder="1" applyAlignment="1">
      <alignment horizontal="center"/>
    </xf>
    <xf numFmtId="0" fontId="55" fillId="0" borderId="0" xfId="17" applyFont="1" applyBorder="1" applyAlignment="1">
      <alignment horizontal="center"/>
    </xf>
    <xf numFmtId="0" fontId="55" fillId="0" borderId="7" xfId="17" applyFont="1" applyFill="1" applyBorder="1" applyAlignment="1">
      <alignment horizontal="center"/>
    </xf>
    <xf numFmtId="0" fontId="55" fillId="0" borderId="6" xfId="17" applyFont="1" applyFill="1" applyBorder="1" applyAlignment="1">
      <alignment horizontal="center"/>
    </xf>
    <xf numFmtId="0" fontId="55" fillId="0" borderId="0" xfId="17" applyFont="1" applyFill="1" applyBorder="1" applyAlignment="1">
      <alignment horizontal="center"/>
    </xf>
    <xf numFmtId="178" fontId="4" fillId="0" borderId="0" xfId="17" applyNumberFormat="1" applyFill="1"/>
    <xf numFmtId="3" fontId="4" fillId="0" borderId="6" xfId="17" applyNumberFormat="1" applyBorder="1"/>
    <xf numFmtId="3" fontId="4" fillId="0" borderId="0" xfId="17" applyNumberFormat="1" applyBorder="1"/>
    <xf numFmtId="3" fontId="4" fillId="0" borderId="7" xfId="17" applyNumberFormat="1" applyFill="1" applyBorder="1"/>
    <xf numFmtId="3" fontId="4" fillId="0" borderId="6" xfId="17" applyNumberFormat="1" applyFill="1" applyBorder="1"/>
    <xf numFmtId="3" fontId="4" fillId="0" borderId="0" xfId="17" applyNumberFormat="1" applyFill="1" applyBorder="1"/>
    <xf numFmtId="3" fontId="4" fillId="0" borderId="9" xfId="17" applyNumberFormat="1" applyBorder="1"/>
    <xf numFmtId="3" fontId="4" fillId="0" borderId="10" xfId="17" applyNumberFormat="1" applyBorder="1"/>
    <xf numFmtId="3" fontId="4" fillId="0" borderId="11" xfId="17" applyNumberFormat="1" applyFill="1" applyBorder="1"/>
    <xf numFmtId="3" fontId="4" fillId="0" borderId="9" xfId="17" applyNumberFormat="1" applyFill="1" applyBorder="1"/>
    <xf numFmtId="3" fontId="4" fillId="0" borderId="10" xfId="17" applyNumberFormat="1" applyFill="1" applyBorder="1"/>
    <xf numFmtId="3" fontId="4" fillId="0" borderId="4" xfId="17" applyNumberFormat="1" applyFill="1" applyBorder="1"/>
    <xf numFmtId="3" fontId="4" fillId="0" borderId="13" xfId="17" applyNumberFormat="1" applyBorder="1"/>
    <xf numFmtId="3" fontId="4" fillId="0" borderId="15" xfId="17" applyNumberFormat="1" applyBorder="1"/>
    <xf numFmtId="3" fontId="4" fillId="0" borderId="14" xfId="17" applyNumberFormat="1" applyFill="1" applyBorder="1"/>
    <xf numFmtId="3" fontId="4" fillId="0" borderId="13" xfId="17" applyNumberFormat="1" applyFill="1" applyBorder="1"/>
    <xf numFmtId="3" fontId="4" fillId="0" borderId="15" xfId="17" applyNumberForma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0" fontId="48" fillId="0" borderId="0" xfId="28"/>
    <xf numFmtId="0" fontId="48" fillId="0" borderId="10" xfId="28" applyFill="1" applyBorder="1" applyAlignment="1">
      <alignment horizontal="center"/>
    </xf>
    <xf numFmtId="0" fontId="48" fillId="0" borderId="10" xfId="28" quotePrefix="1" applyFill="1" applyBorder="1" applyAlignment="1">
      <alignment horizontal="center"/>
    </xf>
    <xf numFmtId="172" fontId="4" fillId="0" borderId="0" xfId="17" applyNumberFormat="1" applyFill="1"/>
    <xf numFmtId="172" fontId="0" fillId="0" borderId="3" xfId="1" applyNumberFormat="1" applyFont="1" applyBorder="1"/>
    <xf numFmtId="172" fontId="0" fillId="0" borderId="3" xfId="1" applyNumberFormat="1" applyFont="1" applyFill="1" applyBorder="1"/>
    <xf numFmtId="172" fontId="4" fillId="0" borderId="0" xfId="1" applyNumberFormat="1" applyFont="1" applyFill="1" applyBorder="1"/>
    <xf numFmtId="0" fontId="4" fillId="2" borderId="0" xfId="17" applyFill="1"/>
    <xf numFmtId="172" fontId="4" fillId="0" borderId="3" xfId="17" applyNumberFormat="1" applyFill="1" applyBorder="1"/>
    <xf numFmtId="3" fontId="6" fillId="0" borderId="0" xfId="17" applyNumberFormat="1" applyFont="1" applyFill="1" applyAlignment="1">
      <alignment horizontal="center"/>
    </xf>
    <xf numFmtId="3" fontId="6" fillId="0" borderId="0" xfId="17" applyNumberFormat="1" applyFont="1" applyFill="1"/>
    <xf numFmtId="0" fontId="4" fillId="0" borderId="0" xfId="17" applyFont="1" applyAlignment="1">
      <alignment horizontal="right"/>
    </xf>
    <xf numFmtId="37" fontId="6" fillId="0" borderId="0" xfId="20" applyNumberFormat="1" applyFont="1" applyBorder="1"/>
    <xf numFmtId="0" fontId="6" fillId="0" borderId="0" xfId="20" applyFont="1" applyBorder="1"/>
    <xf numFmtId="37" fontId="6" fillId="0" borderId="0" xfId="20" applyNumberFormat="1" applyFont="1" applyFill="1" applyBorder="1"/>
    <xf numFmtId="0" fontId="47" fillId="0" borderId="0" xfId="26" applyFont="1" applyFill="1" applyBorder="1" applyAlignment="1">
      <alignment horizontal="center"/>
    </xf>
    <xf numFmtId="0" fontId="3" fillId="0" borderId="0" xfId="26" quotePrefix="1" applyFont="1" applyFill="1" applyBorder="1" applyAlignment="1">
      <alignment horizontal="center"/>
    </xf>
    <xf numFmtId="41" fontId="6" fillId="0" borderId="0" xfId="20" applyNumberFormat="1" applyFont="1" applyBorder="1"/>
    <xf numFmtId="10" fontId="31" fillId="0" borderId="0" xfId="7" applyNumberFormat="1" applyFont="1" applyBorder="1"/>
    <xf numFmtId="10" fontId="4" fillId="0" borderId="0" xfId="17" applyNumberFormat="1" applyBorder="1"/>
    <xf numFmtId="0" fontId="48" fillId="0" borderId="0" xfId="6" applyFont="1" applyFill="1" applyBorder="1"/>
    <xf numFmtId="3" fontId="6" fillId="0" borderId="22" xfId="26" applyNumberFormat="1" applyFont="1" applyFill="1" applyBorder="1"/>
    <xf numFmtId="3" fontId="6" fillId="0" borderId="22" xfId="17" applyNumberFormat="1" applyFont="1" applyFill="1" applyBorder="1"/>
    <xf numFmtId="3" fontId="6" fillId="0" borderId="0" xfId="17" applyNumberFormat="1" applyFont="1" applyFill="1" applyBorder="1"/>
    <xf numFmtId="10" fontId="25" fillId="0" borderId="0" xfId="7" applyNumberFormat="1" applyFont="1" applyFill="1" applyBorder="1" applyAlignment="1"/>
    <xf numFmtId="0" fontId="8" fillId="0" borderId="0" xfId="20" applyFont="1" applyBorder="1" applyAlignment="1">
      <alignment horizontal="right"/>
    </xf>
    <xf numFmtId="0" fontId="8" fillId="6" borderId="26" xfId="20" applyFont="1" applyFill="1" applyBorder="1" applyAlignment="1">
      <alignment horizontal="right"/>
    </xf>
    <xf numFmtId="0" fontId="8" fillId="0" borderId="19" xfId="20" applyFont="1" applyBorder="1" applyAlignment="1">
      <alignment horizontal="left"/>
    </xf>
    <xf numFmtId="0" fontId="6" fillId="0" borderId="20" xfId="20" applyFont="1" applyBorder="1"/>
    <xf numFmtId="0" fontId="6" fillId="0" borderId="21" xfId="20" applyFont="1" applyBorder="1"/>
    <xf numFmtId="0" fontId="11" fillId="4" borderId="37" xfId="0" applyFont="1" applyFill="1" applyBorder="1"/>
    <xf numFmtId="0" fontId="11" fillId="4" borderId="24" xfId="0" applyFont="1" applyFill="1" applyBorder="1" applyAlignment="1">
      <alignment horizontal="center"/>
    </xf>
    <xf numFmtId="0" fontId="11" fillId="4" borderId="22" xfId="0" applyFont="1" applyFill="1" applyBorder="1"/>
    <xf numFmtId="0" fontId="6" fillId="0" borderId="0" xfId="20" applyFont="1" applyBorder="1" applyAlignment="1">
      <alignment horizontal="center"/>
    </xf>
    <xf numFmtId="10" fontId="8" fillId="0" borderId="0" xfId="20" applyNumberFormat="1" applyFont="1" applyBorder="1" applyAlignment="1">
      <alignment horizontal="center"/>
    </xf>
    <xf numFmtId="10" fontId="8" fillId="0" borderId="23" xfId="7" applyNumberFormat="1" applyFont="1" applyBorder="1" applyAlignment="1">
      <alignment horizontal="center"/>
    </xf>
    <xf numFmtId="0" fontId="11" fillId="4" borderId="24" xfId="0" applyFont="1" applyFill="1" applyBorder="1"/>
    <xf numFmtId="0" fontId="8" fillId="0" borderId="23" xfId="20" applyFont="1" applyBorder="1" applyAlignment="1">
      <alignment horizontal="center"/>
    </xf>
    <xf numFmtId="0" fontId="8" fillId="0" borderId="22" xfId="20" applyFont="1" applyBorder="1" applyAlignment="1">
      <alignment horizontal="center"/>
    </xf>
    <xf numFmtId="0" fontId="8" fillId="0" borderId="0" xfId="20" applyFont="1" applyBorder="1" applyAlignment="1">
      <alignment horizontal="center"/>
    </xf>
    <xf numFmtId="169" fontId="24" fillId="4" borderId="23" xfId="7" applyNumberFormat="1" applyFont="1" applyFill="1" applyBorder="1"/>
    <xf numFmtId="0" fontId="8" fillId="0" borderId="25" xfId="20" applyFont="1" applyBorder="1" applyAlignment="1">
      <alignment horizontal="center"/>
    </xf>
    <xf numFmtId="0" fontId="8" fillId="0" borderId="26" xfId="20" applyFont="1" applyBorder="1" applyAlignment="1">
      <alignment horizontal="center"/>
    </xf>
    <xf numFmtId="0" fontId="8" fillId="0" borderId="27" xfId="20" applyFont="1" applyBorder="1" applyAlignment="1">
      <alignment horizontal="center"/>
    </xf>
    <xf numFmtId="0" fontId="8" fillId="6" borderId="26" xfId="20" applyFont="1" applyFill="1" applyBorder="1" applyAlignment="1">
      <alignment horizontal="center"/>
    </xf>
    <xf numFmtId="10" fontId="8" fillId="6" borderId="26" xfId="20" applyNumberFormat="1" applyFont="1" applyFill="1" applyBorder="1" applyAlignment="1">
      <alignment horizontal="right"/>
    </xf>
    <xf numFmtId="37" fontId="6" fillId="0" borderId="20" xfId="20" applyNumberFormat="1" applyFont="1" applyBorder="1"/>
    <xf numFmtId="0" fontId="6" fillId="0" borderId="21" xfId="6" applyFont="1" applyBorder="1"/>
    <xf numFmtId="0" fontId="6" fillId="0" borderId="23" xfId="6" applyFont="1" applyBorder="1"/>
    <xf numFmtId="37" fontId="6" fillId="0" borderId="26" xfId="20" applyNumberFormat="1" applyFont="1" applyBorder="1"/>
    <xf numFmtId="0" fontId="6" fillId="0" borderId="27" xfId="6" applyFont="1" applyBorder="1"/>
    <xf numFmtId="37" fontId="12" fillId="7" borderId="29" xfId="20" applyNumberFormat="1" applyFont="1" applyFill="1" applyBorder="1"/>
    <xf numFmtId="10" fontId="6" fillId="7" borderId="30" xfId="20" applyNumberFormat="1" applyFont="1" applyFill="1" applyBorder="1"/>
    <xf numFmtId="173" fontId="8" fillId="7" borderId="28" xfId="2" applyNumberFormat="1" applyFont="1" applyFill="1" applyBorder="1"/>
    <xf numFmtId="0" fontId="6" fillId="0" borderId="19" xfId="6" applyFont="1" applyBorder="1"/>
    <xf numFmtId="2" fontId="8" fillId="0" borderId="20" xfId="20" applyNumberFormat="1" applyFont="1" applyBorder="1" applyAlignment="1">
      <alignment horizontal="center"/>
    </xf>
    <xf numFmtId="0" fontId="6" fillId="0" borderId="20" xfId="6" applyFont="1" applyBorder="1"/>
    <xf numFmtId="0" fontId="6" fillId="0" borderId="22" xfId="6" applyFont="1" applyBorder="1"/>
    <xf numFmtId="5" fontId="8" fillId="0" borderId="0" xfId="20" applyNumberFormat="1" applyFont="1" applyBorder="1" applyAlignment="1">
      <alignment horizontal="right"/>
    </xf>
    <xf numFmtId="10" fontId="6" fillId="0" borderId="0" xfId="7" applyNumberFormat="1" applyFont="1" applyBorder="1"/>
    <xf numFmtId="10" fontId="6" fillId="0" borderId="0" xfId="20" applyNumberFormat="1" applyFont="1" applyBorder="1"/>
    <xf numFmtId="37" fontId="8" fillId="0" borderId="0" xfId="20" applyNumberFormat="1" applyFont="1" applyBorder="1" applyAlignment="1">
      <alignment horizontal="right"/>
    </xf>
    <xf numFmtId="37" fontId="8" fillId="0" borderId="0" xfId="20" applyNumberFormat="1" applyFont="1" applyBorder="1"/>
    <xf numFmtId="0" fontId="6" fillId="0" borderId="25" xfId="6" applyFont="1" applyBorder="1"/>
    <xf numFmtId="0" fontId="6" fillId="0" borderId="26" xfId="6" applyFont="1" applyBorder="1"/>
    <xf numFmtId="10" fontId="6" fillId="0" borderId="34" xfId="7" applyNumberFormat="1" applyFont="1" applyBorder="1"/>
    <xf numFmtId="5" fontId="6" fillId="0" borderId="22" xfId="6" applyNumberFormat="1" applyFont="1" applyBorder="1"/>
    <xf numFmtId="5" fontId="6" fillId="0" borderId="0" xfId="20" applyNumberFormat="1" applyFont="1" applyBorder="1" applyAlignment="1">
      <alignment horizontal="right"/>
    </xf>
    <xf numFmtId="37" fontId="6" fillId="0" borderId="0" xfId="20" applyNumberFormat="1" applyFont="1" applyBorder="1" applyAlignment="1">
      <alignment horizontal="right"/>
    </xf>
    <xf numFmtId="10" fontId="6" fillId="7" borderId="39" xfId="7" applyNumberFormat="1" applyFont="1" applyFill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25" fillId="4" borderId="24" xfId="17" applyFont="1" applyFill="1" applyBorder="1" applyAlignment="1">
      <alignment wrapText="1"/>
    </xf>
    <xf numFmtId="0" fontId="25" fillId="4" borderId="10" xfId="17" applyFont="1" applyFill="1" applyBorder="1" applyAlignment="1">
      <alignment horizontal="center" wrapText="1"/>
    </xf>
    <xf numFmtId="0" fontId="25" fillId="4" borderId="31" xfId="17" applyFont="1" applyFill="1" applyBorder="1" applyAlignment="1">
      <alignment horizontal="center" wrapText="1"/>
    </xf>
    <xf numFmtId="0" fontId="50" fillId="4" borderId="22" xfId="24" applyFont="1" applyFill="1" applyBorder="1"/>
    <xf numFmtId="10" fontId="34" fillId="4" borderId="0" xfId="7" applyNumberFormat="1" applyFont="1" applyFill="1" applyBorder="1"/>
    <xf numFmtId="10" fontId="34" fillId="4" borderId="23" xfId="7" applyNumberFormat="1" applyFont="1" applyFill="1" applyBorder="1"/>
    <xf numFmtId="0" fontId="25" fillId="4" borderId="22" xfId="17" applyFont="1" applyFill="1" applyBorder="1"/>
    <xf numFmtId="10" fontId="34" fillId="4" borderId="10" xfId="7" applyNumberFormat="1" applyFont="1" applyFill="1" applyBorder="1"/>
    <xf numFmtId="0" fontId="24" fillId="4" borderId="0" xfId="0" applyFont="1" applyFill="1" applyBorder="1"/>
    <xf numFmtId="10" fontId="11" fillId="4" borderId="0" xfId="0" applyNumberFormat="1" applyFont="1" applyFill="1" applyBorder="1"/>
    <xf numFmtId="10" fontId="34" fillId="4" borderId="31" xfId="7" applyNumberFormat="1" applyFont="1" applyFill="1" applyBorder="1"/>
    <xf numFmtId="0" fontId="25" fillId="4" borderId="25" xfId="17" applyFont="1" applyFill="1" applyBorder="1" applyAlignment="1">
      <alignment horizontal="right"/>
    </xf>
    <xf numFmtId="0" fontId="11" fillId="4" borderId="26" xfId="0" applyFont="1" applyFill="1" applyBorder="1"/>
    <xf numFmtId="10" fontId="50" fillId="6" borderId="36" xfId="7" applyNumberFormat="1" applyFont="1" applyFill="1" applyBorder="1"/>
    <xf numFmtId="0" fontId="6" fillId="0" borderId="0" xfId="0" applyFont="1" applyAlignment="1">
      <alignment horizontal="center"/>
    </xf>
    <xf numFmtId="165" fontId="6" fillId="0" borderId="0" xfId="0" applyNumberFormat="1" applyFont="1"/>
    <xf numFmtId="166" fontId="6" fillId="0" borderId="0" xfId="0" applyNumberFormat="1" applyFont="1"/>
    <xf numFmtId="165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165" fontId="6" fillId="0" borderId="10" xfId="0" applyNumberFormat="1" applyFont="1" applyBorder="1" applyAlignment="1">
      <alignment horizontal="right"/>
    </xf>
    <xf numFmtId="166" fontId="8" fillId="0" borderId="10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Continuous"/>
    </xf>
    <xf numFmtId="165" fontId="6" fillId="0" borderId="10" xfId="0" applyNumberFormat="1" applyFont="1" applyBorder="1" applyAlignment="1">
      <alignment horizontal="center"/>
    </xf>
    <xf numFmtId="166" fontId="6" fillId="0" borderId="10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72" fontId="6" fillId="0" borderId="0" xfId="1" applyNumberFormat="1" applyFont="1"/>
    <xf numFmtId="172" fontId="6" fillId="0" borderId="0" xfId="1" applyNumberFormat="1" applyFont="1" applyAlignment="1">
      <alignment horizontal="center"/>
    </xf>
    <xf numFmtId="5" fontId="6" fillId="0" borderId="0" xfId="0" applyNumberFormat="1" applyFont="1"/>
    <xf numFmtId="5" fontId="6" fillId="0" borderId="0" xfId="0" applyNumberFormat="1" applyFont="1" applyFill="1"/>
    <xf numFmtId="164" fontId="6" fillId="0" borderId="0" xfId="0" applyNumberFormat="1" applyFont="1"/>
    <xf numFmtId="37" fontId="6" fillId="0" borderId="0" xfId="0" applyNumberFormat="1" applyFont="1" applyFill="1"/>
    <xf numFmtId="37" fontId="6" fillId="0" borderId="10" xfId="0" applyNumberFormat="1" applyFont="1" applyBorder="1"/>
    <xf numFmtId="37" fontId="6" fillId="0" borderId="10" xfId="0" applyNumberFormat="1" applyFont="1" applyFill="1" applyBorder="1"/>
    <xf numFmtId="164" fontId="6" fillId="0" borderId="0" xfId="0" applyNumberFormat="1" applyFont="1" applyFill="1"/>
    <xf numFmtId="3" fontId="6" fillId="0" borderId="0" xfId="0" applyNumberFormat="1" applyFont="1" applyAlignment="1">
      <alignment horizontal="left"/>
    </xf>
    <xf numFmtId="167" fontId="6" fillId="0" borderId="0" xfId="0" applyNumberFormat="1" applyFont="1"/>
    <xf numFmtId="164" fontId="6" fillId="0" borderId="0" xfId="0" applyNumberFormat="1" applyFont="1" applyAlignment="1">
      <alignment horizontal="left"/>
    </xf>
    <xf numFmtId="37" fontId="6" fillId="0" borderId="15" xfId="0" applyNumberFormat="1" applyFont="1" applyBorder="1"/>
    <xf numFmtId="41" fontId="6" fillId="0" borderId="10" xfId="0" applyNumberFormat="1" applyFont="1" applyBorder="1"/>
    <xf numFmtId="5" fontId="6" fillId="0" borderId="12" xfId="0" applyNumberFormat="1" applyFont="1" applyBorder="1"/>
    <xf numFmtId="175" fontId="45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6" fillId="2" borderId="0" xfId="0" applyFont="1" applyFill="1"/>
    <xf numFmtId="165" fontId="6" fillId="2" borderId="0" xfId="0" applyNumberFormat="1" applyFont="1" applyFill="1"/>
    <xf numFmtId="166" fontId="6" fillId="2" borderId="0" xfId="0" applyNumberFormat="1" applyFont="1" applyFill="1"/>
    <xf numFmtId="172" fontId="6" fillId="2" borderId="0" xfId="1" applyNumberFormat="1" applyFont="1" applyFill="1"/>
    <xf numFmtId="168" fontId="11" fillId="0" borderId="0" xfId="0" applyNumberFormat="1" applyFont="1" applyFill="1"/>
    <xf numFmtId="168" fontId="11" fillId="0" borderId="0" xfId="17" applyNumberFormat="1" applyFont="1" applyFill="1"/>
    <xf numFmtId="167" fontId="24" fillId="0" borderId="0" xfId="7" applyNumberFormat="1" applyFont="1" applyFill="1" applyBorder="1"/>
    <xf numFmtId="167" fontId="24" fillId="0" borderId="0" xfId="7" applyNumberFormat="1" applyFont="1" applyFill="1" applyBorder="1" applyAlignment="1">
      <alignment vertical="top"/>
    </xf>
    <xf numFmtId="10" fontId="24" fillId="0" borderId="0" xfId="7" applyNumberFormat="1" applyFont="1" applyFill="1" applyBorder="1" applyAlignment="1">
      <alignment vertical="top"/>
    </xf>
    <xf numFmtId="0" fontId="25" fillId="0" borderId="0" xfId="0" applyFont="1" applyAlignment="1">
      <alignment horizontal="centerContinuous"/>
    </xf>
    <xf numFmtId="0" fontId="25" fillId="0" borderId="0" xfId="0" applyFont="1"/>
    <xf numFmtId="0" fontId="25" fillId="0" borderId="0" xfId="0" applyFont="1" applyAlignment="1"/>
    <xf numFmtId="3" fontId="25" fillId="0" borderId="0" xfId="0" applyNumberFormat="1" applyFont="1" applyFill="1" applyAlignment="1"/>
    <xf numFmtId="0" fontId="59" fillId="0" borderId="0" xfId="0" applyFont="1" applyAlignment="1"/>
    <xf numFmtId="0" fontId="25" fillId="5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14" fontId="25" fillId="5" borderId="10" xfId="0" quotePrefix="1" applyNumberFormat="1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37" fontId="24" fillId="0" borderId="0" xfId="20" applyNumberFormat="1" applyFont="1" applyFill="1"/>
    <xf numFmtId="0" fontId="25" fillId="0" borderId="0" xfId="0" applyFont="1" applyFill="1" applyBorder="1" applyAlignment="1"/>
    <xf numFmtId="0" fontId="24" fillId="0" borderId="0" xfId="0" applyFont="1" applyBorder="1"/>
    <xf numFmtId="0" fontId="25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40" fillId="0" borderId="0" xfId="0" applyFont="1" applyAlignment="1">
      <alignment horizontal="right"/>
    </xf>
    <xf numFmtId="5" fontId="25" fillId="0" borderId="18" xfId="0" applyNumberFormat="1" applyFont="1" applyFill="1" applyBorder="1"/>
    <xf numFmtId="173" fontId="25" fillId="0" borderId="0" xfId="2" applyNumberFormat="1" applyFont="1" applyFill="1" applyBorder="1"/>
    <xf numFmtId="173" fontId="25" fillId="0" borderId="18" xfId="2" applyNumberFormat="1" applyFont="1" applyFill="1" applyBorder="1"/>
    <xf numFmtId="0" fontId="25" fillId="0" borderId="0" xfId="0" quotePrefix="1" applyFont="1" applyFill="1" applyAlignment="1">
      <alignment horizontal="center"/>
    </xf>
    <xf numFmtId="0" fontId="25" fillId="0" borderId="0" xfId="20" quotePrefix="1" applyFont="1" applyFill="1" applyBorder="1" applyAlignment="1">
      <alignment horizontal="right"/>
    </xf>
    <xf numFmtId="42" fontId="24" fillId="0" borderId="0" xfId="0" applyNumberFormat="1" applyFont="1" applyBorder="1"/>
    <xf numFmtId="42" fontId="24" fillId="0" borderId="0" xfId="0" quotePrefix="1" applyNumberFormat="1" applyFont="1" applyAlignment="1">
      <alignment horizontal="center"/>
    </xf>
    <xf numFmtId="42" fontId="24" fillId="0" borderId="0" xfId="20" quotePrefix="1" applyNumberFormat="1" applyFont="1" applyFill="1" applyBorder="1" applyAlignment="1">
      <alignment horizontal="right"/>
    </xf>
    <xf numFmtId="10" fontId="25" fillId="0" borderId="16" xfId="7" applyNumberFormat="1" applyFont="1" applyBorder="1"/>
    <xf numFmtId="42" fontId="24" fillId="0" borderId="0" xfId="0" applyNumberFormat="1" applyFont="1" applyFill="1" applyBorder="1"/>
    <xf numFmtId="0" fontId="25" fillId="0" borderId="0" xfId="0" applyFont="1" applyFill="1" applyAlignment="1">
      <alignment horizontal="right"/>
    </xf>
    <xf numFmtId="173" fontId="25" fillId="0" borderId="12" xfId="0" applyNumberFormat="1" applyFont="1" applyFill="1" applyBorder="1"/>
    <xf numFmtId="0" fontId="24" fillId="0" borderId="0" xfId="0" applyFont="1" applyFill="1" applyAlignment="1">
      <alignment horizontal="right"/>
    </xf>
    <xf numFmtId="10" fontId="24" fillId="0" borderId="0" xfId="7" applyNumberFormat="1" applyFont="1" applyFill="1"/>
    <xf numFmtId="41" fontId="31" fillId="0" borderId="0" xfId="5" applyNumberFormat="1" applyFont="1" applyFill="1"/>
    <xf numFmtId="3" fontId="32" fillId="0" borderId="0" xfId="22" applyNumberFormat="1" applyFont="1" applyFill="1" applyAlignment="1">
      <alignment horizontal="center"/>
    </xf>
    <xf numFmtId="41" fontId="31" fillId="0" borderId="0" xfId="5" applyNumberFormat="1" applyFont="1" applyFill="1" applyAlignment="1">
      <alignment horizontal="center"/>
    </xf>
    <xf numFmtId="3" fontId="32" fillId="0" borderId="0" xfId="6" applyNumberFormat="1" applyFont="1" applyFill="1" applyAlignment="1">
      <alignment horizontal="center"/>
    </xf>
    <xf numFmtId="3" fontId="32" fillId="0" borderId="1" xfId="6" applyNumberFormat="1" applyFont="1" applyFill="1" applyBorder="1" applyAlignment="1">
      <alignment horizontal="center"/>
    </xf>
    <xf numFmtId="41" fontId="8" fillId="0" borderId="4" xfId="20" applyNumberFormat="1" applyFont="1" applyFill="1" applyBorder="1" applyAlignment="1">
      <alignment horizontal="center"/>
    </xf>
    <xf numFmtId="3" fontId="32" fillId="0" borderId="5" xfId="6" applyNumberFormat="1" applyFont="1" applyFill="1" applyBorder="1" applyAlignment="1">
      <alignment horizontal="center"/>
    </xf>
    <xf numFmtId="3" fontId="32" fillId="0" borderId="8" xfId="6" applyNumberFormat="1" applyFont="1" applyFill="1" applyBorder="1" applyAlignment="1">
      <alignment horizontal="center"/>
    </xf>
    <xf numFmtId="4" fontId="32" fillId="0" borderId="0" xfId="6" applyNumberFormat="1" applyFont="1" applyAlignment="1">
      <alignment horizontal="center"/>
    </xf>
    <xf numFmtId="4" fontId="8" fillId="0" borderId="0" xfId="6" applyNumberFormat="1" applyFont="1" applyFill="1" applyAlignment="1">
      <alignment horizontal="center"/>
    </xf>
    <xf numFmtId="2" fontId="8" fillId="0" borderId="0" xfId="10" applyNumberFormat="1" applyFont="1" applyFill="1" applyAlignment="1" applyProtection="1">
      <alignment horizontal="center"/>
    </xf>
    <xf numFmtId="4" fontId="32" fillId="0" borderId="0" xfId="6" applyNumberFormat="1" applyFont="1" applyFill="1" applyAlignment="1">
      <alignment horizontal="center"/>
    </xf>
    <xf numFmtId="42" fontId="31" fillId="0" borderId="0" xfId="4" applyNumberFormat="1" applyFont="1" applyFill="1"/>
    <xf numFmtId="41" fontId="31" fillId="0" borderId="0" xfId="4" applyNumberFormat="1" applyFont="1" applyFill="1"/>
    <xf numFmtId="41" fontId="31" fillId="0" borderId="10" xfId="4" applyNumberFormat="1" applyFont="1" applyFill="1" applyBorder="1"/>
    <xf numFmtId="41" fontId="31" fillId="0" borderId="0" xfId="6" applyNumberFormat="1" applyFont="1"/>
    <xf numFmtId="41" fontId="31" fillId="0" borderId="0" xfId="6" applyNumberFormat="1" applyFont="1" applyFill="1"/>
    <xf numFmtId="41" fontId="31" fillId="0" borderId="0" xfId="4" applyNumberFormat="1" applyFont="1" applyFill="1" applyBorder="1"/>
    <xf numFmtId="41" fontId="31" fillId="0" borderId="10" xfId="6" applyNumberFormat="1" applyFont="1" applyBorder="1"/>
    <xf numFmtId="42" fontId="31" fillId="0" borderId="12" xfId="6" applyNumberFormat="1" applyFont="1" applyBorder="1"/>
    <xf numFmtId="41" fontId="31" fillId="0" borderId="15" xfId="6" applyNumberFormat="1" applyFont="1" applyBorder="1"/>
    <xf numFmtId="41" fontId="31" fillId="0" borderId="0" xfId="6" applyNumberFormat="1" applyFont="1" applyBorder="1"/>
    <xf numFmtId="3" fontId="31" fillId="0" borderId="0" xfId="5" applyNumberFormat="1" applyFont="1" applyFill="1"/>
    <xf numFmtId="3" fontId="31" fillId="0" borderId="0" xfId="5" applyNumberFormat="1" applyFont="1" applyFill="1" applyBorder="1"/>
    <xf numFmtId="3" fontId="31" fillId="0" borderId="0" xfId="6" applyNumberFormat="1" applyFont="1" applyFill="1" applyBorder="1"/>
    <xf numFmtId="3" fontId="31" fillId="0" borderId="0" xfId="6" applyNumberFormat="1" applyFont="1" applyBorder="1"/>
    <xf numFmtId="0" fontId="54" fillId="0" borderId="0" xfId="0" applyFont="1"/>
    <xf numFmtId="0" fontId="54" fillId="0" borderId="0" xfId="0" applyFont="1" applyFill="1"/>
    <xf numFmtId="41" fontId="32" fillId="0" borderId="0" xfId="20" applyNumberFormat="1" applyFont="1" applyFill="1"/>
    <xf numFmtId="41" fontId="32" fillId="0" borderId="0" xfId="22" applyNumberFormat="1" applyFont="1" applyFill="1" applyAlignment="1">
      <alignment horizontal="center"/>
    </xf>
    <xf numFmtId="41" fontId="32" fillId="0" borderId="1" xfId="22" applyNumberFormat="1" applyFont="1" applyFill="1" applyBorder="1" applyAlignment="1">
      <alignment horizontal="center"/>
    </xf>
    <xf numFmtId="41" fontId="32" fillId="0" borderId="5" xfId="22" applyNumberFormat="1" applyFont="1" applyFill="1" applyBorder="1" applyAlignment="1">
      <alignment horizontal="center"/>
    </xf>
    <xf numFmtId="41" fontId="32" fillId="0" borderId="8" xfId="22" applyNumberFormat="1" applyFont="1" applyFill="1" applyBorder="1" applyAlignment="1">
      <alignment horizontal="center"/>
    </xf>
    <xf numFmtId="4" fontId="32" fillId="0" borderId="0" xfId="6" applyNumberFormat="1" applyFont="1" applyFill="1" applyBorder="1" applyAlignment="1">
      <alignment horizontal="center"/>
    </xf>
    <xf numFmtId="41" fontId="8" fillId="0" borderId="0" xfId="20" applyNumberFormat="1" applyFont="1" applyFill="1" applyBorder="1" applyAlignment="1">
      <alignment wrapText="1"/>
    </xf>
    <xf numFmtId="41" fontId="32" fillId="0" borderId="0" xfId="20" applyNumberFormat="1" applyFont="1" applyFill="1" applyBorder="1" applyAlignment="1">
      <alignment horizontal="center" vertical="center"/>
    </xf>
    <xf numFmtId="41" fontId="32" fillId="0" borderId="0" xfId="20" applyNumberFormat="1" applyFont="1" applyFill="1" applyAlignment="1">
      <alignment horizontal="center"/>
    </xf>
    <xf numFmtId="3" fontId="32" fillId="0" borderId="10" xfId="6" applyNumberFormat="1" applyFont="1" applyFill="1" applyBorder="1" applyAlignment="1">
      <alignment vertical="top" wrapText="1"/>
    </xf>
    <xf numFmtId="41" fontId="8" fillId="0" borderId="10" xfId="20" applyNumberFormat="1" applyFont="1" applyFill="1" applyBorder="1" applyAlignment="1">
      <alignment wrapText="1"/>
    </xf>
    <xf numFmtId="3" fontId="32" fillId="0" borderId="5" xfId="5" applyNumberFormat="1" applyFont="1" applyFill="1" applyBorder="1" applyAlignment="1">
      <alignment horizontal="center"/>
    </xf>
    <xf numFmtId="3" fontId="32" fillId="0" borderId="8" xfId="5" applyNumberFormat="1" applyFont="1" applyFill="1" applyBorder="1" applyAlignment="1">
      <alignment horizontal="center"/>
    </xf>
    <xf numFmtId="41" fontId="31" fillId="0" borderId="10" xfId="6" applyNumberFormat="1" applyFont="1" applyFill="1" applyBorder="1"/>
    <xf numFmtId="42" fontId="31" fillId="0" borderId="12" xfId="6" applyNumberFormat="1" applyFont="1" applyFill="1" applyBorder="1"/>
    <xf numFmtId="41" fontId="32" fillId="0" borderId="0" xfId="4" applyNumberFormat="1" applyFont="1" applyFill="1"/>
    <xf numFmtId="42" fontId="32" fillId="0" borderId="0" xfId="4" applyNumberFormat="1" applyFont="1" applyFill="1"/>
    <xf numFmtId="41" fontId="32" fillId="0" borderId="10" xfId="4" applyNumberFormat="1" applyFont="1" applyFill="1" applyBorder="1"/>
    <xf numFmtId="41" fontId="31" fillId="0" borderId="15" xfId="6" applyNumberFormat="1" applyFont="1" applyFill="1" applyBorder="1"/>
    <xf numFmtId="41" fontId="31" fillId="0" borderId="0" xfId="6" applyNumberFormat="1" applyFont="1" applyFill="1" applyBorder="1"/>
    <xf numFmtId="0" fontId="12" fillId="0" borderId="0" xfId="20" applyFont="1" applyFill="1" applyBorder="1" applyAlignment="1"/>
    <xf numFmtId="0" fontId="32" fillId="0" borderId="0" xfId="6" applyFont="1" applyFill="1" applyBorder="1" applyAlignment="1">
      <alignment horizontal="center"/>
    </xf>
    <xf numFmtId="10" fontId="0" fillId="0" borderId="0" xfId="7" applyNumberFormat="1" applyFont="1" applyFill="1"/>
    <xf numFmtId="0" fontId="4" fillId="2" borderId="0" xfId="17" applyFill="1" applyBorder="1"/>
    <xf numFmtId="0" fontId="4" fillId="2" borderId="0" xfId="17" applyFont="1" applyFill="1" applyBorder="1" applyAlignment="1">
      <alignment horizontal="center"/>
    </xf>
    <xf numFmtId="0" fontId="55" fillId="2" borderId="0" xfId="17" applyFont="1" applyFill="1" applyBorder="1" applyAlignment="1">
      <alignment horizontal="center"/>
    </xf>
    <xf numFmtId="3" fontId="4" fillId="2" borderId="0" xfId="17" applyNumberFormat="1" applyFill="1" applyBorder="1"/>
    <xf numFmtId="3" fontId="4" fillId="2" borderId="10" xfId="17" applyNumberFormat="1" applyFill="1" applyBorder="1"/>
    <xf numFmtId="3" fontId="4" fillId="2" borderId="15" xfId="17" applyNumberFormat="1" applyFill="1" applyBorder="1"/>
    <xf numFmtId="172" fontId="0" fillId="2" borderId="0" xfId="1" applyNumberFormat="1" applyFont="1" applyFill="1"/>
    <xf numFmtId="0" fontId="4" fillId="0" borderId="0" xfId="17" applyFont="1" applyFill="1"/>
    <xf numFmtId="1" fontId="8" fillId="0" borderId="26" xfId="23" applyNumberFormat="1" applyFont="1" applyFill="1" applyBorder="1" applyAlignment="1">
      <alignment horizontal="center"/>
    </xf>
    <xf numFmtId="177" fontId="8" fillId="0" borderId="26" xfId="23" applyNumberFormat="1" applyFont="1" applyFill="1" applyBorder="1" applyAlignment="1">
      <alignment horizontal="center"/>
    </xf>
    <xf numFmtId="172" fontId="0" fillId="0" borderId="0" xfId="1" applyNumberFormat="1" applyFont="1" applyFill="1" applyBorder="1"/>
    <xf numFmtId="172" fontId="0" fillId="2" borderId="0" xfId="1" applyNumberFormat="1" applyFont="1" applyFill="1" applyBorder="1"/>
    <xf numFmtId="172" fontId="0" fillId="0" borderId="7" xfId="1" applyNumberFormat="1" applyFont="1" applyFill="1" applyBorder="1"/>
    <xf numFmtId="41" fontId="4" fillId="0" borderId="7" xfId="17" applyNumberFormat="1" applyFill="1" applyBorder="1"/>
    <xf numFmtId="0" fontId="4" fillId="7" borderId="0" xfId="17" applyFill="1" applyAlignment="1">
      <alignment horizontal="center"/>
    </xf>
    <xf numFmtId="178" fontId="4" fillId="7" borderId="0" xfId="17" applyNumberFormat="1" applyFill="1"/>
    <xf numFmtId="0" fontId="4" fillId="7" borderId="0" xfId="17" applyFill="1"/>
    <xf numFmtId="3" fontId="32" fillId="7" borderId="0" xfId="6" applyNumberFormat="1" applyFont="1" applyFill="1"/>
    <xf numFmtId="3" fontId="42" fillId="0" borderId="0" xfId="13" applyNumberFormat="1" applyFont="1" applyFill="1"/>
    <xf numFmtId="5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11" fillId="0" borderId="10" xfId="0" applyFont="1" applyFill="1" applyBorder="1" applyAlignment="1">
      <alignment horizontal="center"/>
    </xf>
    <xf numFmtId="6" fontId="11" fillId="0" borderId="0" xfId="2" applyNumberFormat="1" applyFont="1" applyFill="1" applyBorder="1"/>
    <xf numFmtId="0" fontId="11" fillId="0" borderId="1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3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" fontId="11" fillId="0" borderId="0" xfId="0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left"/>
    </xf>
    <xf numFmtId="3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/>
    <xf numFmtId="37" fontId="11" fillId="0" borderId="0" xfId="0" applyNumberFormat="1" applyFont="1" applyFill="1"/>
    <xf numFmtId="5" fontId="11" fillId="0" borderId="16" xfId="0" applyNumberFormat="1" applyFont="1" applyFill="1" applyBorder="1"/>
    <xf numFmtId="10" fontId="12" fillId="0" borderId="0" xfId="0" applyNumberFormat="1" applyFont="1" applyFill="1" applyBorder="1" applyAlignment="1">
      <alignment horizontal="center"/>
    </xf>
    <xf numFmtId="10" fontId="16" fillId="0" borderId="0" xfId="0" applyNumberFormat="1" applyFont="1" applyFill="1" applyAlignment="1">
      <alignment horizontal="center"/>
    </xf>
    <xf numFmtId="10" fontId="11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42" fontId="11" fillId="0" borderId="16" xfId="0" applyNumberFormat="1" applyFont="1" applyFill="1" applyBorder="1"/>
    <xf numFmtId="177" fontId="32" fillId="0" borderId="0" xfId="6" quotePrefix="1" applyNumberFormat="1" applyFont="1" applyFill="1" applyBorder="1" applyAlignment="1">
      <alignment horizontal="center"/>
    </xf>
    <xf numFmtId="3" fontId="32" fillId="0" borderId="0" xfId="6" applyNumberFormat="1" applyFont="1" applyFill="1" applyBorder="1" applyAlignment="1">
      <alignment horizontal="center"/>
    </xf>
    <xf numFmtId="42" fontId="32" fillId="0" borderId="0" xfId="6" applyNumberFormat="1" applyFont="1" applyFill="1" applyBorder="1"/>
    <xf numFmtId="177" fontId="32" fillId="0" borderId="0" xfId="6" applyNumberFormat="1" applyFont="1" applyFill="1" applyBorder="1" applyAlignment="1">
      <alignment horizontal="center"/>
    </xf>
    <xf numFmtId="177" fontId="8" fillId="0" borderId="0" xfId="23" applyNumberFormat="1" applyFont="1" applyFill="1" applyBorder="1" applyAlignment="1">
      <alignment horizontal="center"/>
    </xf>
    <xf numFmtId="10" fontId="31" fillId="0" borderId="0" xfId="6" applyNumberFormat="1" applyFont="1" applyFill="1"/>
    <xf numFmtId="10" fontId="4" fillId="0" borderId="23" xfId="7" applyNumberFormat="1" applyFont="1" applyFill="1" applyBorder="1"/>
    <xf numFmtId="0" fontId="48" fillId="0" borderId="31" xfId="6" applyFont="1" applyFill="1" applyBorder="1"/>
    <xf numFmtId="0" fontId="8" fillId="0" borderId="0" xfId="17" applyFont="1" applyBorder="1" applyAlignment="1">
      <alignment horizontal="center"/>
    </xf>
    <xf numFmtId="10" fontId="4" fillId="8" borderId="0" xfId="17" applyNumberFormat="1" applyFill="1"/>
    <xf numFmtId="0" fontId="8" fillId="7" borderId="10" xfId="17" applyFont="1" applyFill="1" applyBorder="1" applyAlignment="1">
      <alignment horizontal="center"/>
    </xf>
    <xf numFmtId="3" fontId="9" fillId="0" borderId="0" xfId="17" applyNumberFormat="1" applyFont="1" applyFill="1"/>
    <xf numFmtId="0" fontId="31" fillId="8" borderId="0" xfId="6" applyFont="1" applyFill="1"/>
    <xf numFmtId="10" fontId="48" fillId="0" borderId="35" xfId="7" applyNumberFormat="1" applyFont="1" applyFill="1" applyBorder="1"/>
    <xf numFmtId="10" fontId="31" fillId="0" borderId="0" xfId="7" applyNumberFormat="1" applyFont="1" applyFill="1"/>
    <xf numFmtId="3" fontId="8" fillId="0" borderId="0" xfId="17" applyNumberFormat="1" applyFont="1" applyFill="1" applyBorder="1" applyAlignment="1">
      <alignment horizontal="center"/>
    </xf>
    <xf numFmtId="3" fontId="46" fillId="0" borderId="0" xfId="17" applyNumberFormat="1" applyFont="1" applyFill="1" applyBorder="1" applyAlignment="1">
      <alignment horizontal="center"/>
    </xf>
    <xf numFmtId="0" fontId="8" fillId="0" borderId="30" xfId="17" applyFont="1" applyFill="1" applyBorder="1" applyAlignment="1">
      <alignment horizontal="center"/>
    </xf>
    <xf numFmtId="0" fontId="56" fillId="0" borderId="0" xfId="6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34" fillId="0" borderId="0" xfId="29" applyFont="1"/>
    <xf numFmtId="179" fontId="34" fillId="0" borderId="0" xfId="29" applyNumberFormat="1" applyFont="1"/>
    <xf numFmtId="3" fontId="34" fillId="0" borderId="0" xfId="29" applyNumberFormat="1" applyFont="1"/>
    <xf numFmtId="0" fontId="24" fillId="0" borderId="0" xfId="29" applyFont="1" applyAlignment="1">
      <alignment horizontal="center"/>
    </xf>
    <xf numFmtId="0" fontId="43" fillId="4" borderId="0" xfId="29" applyFont="1" applyFill="1" applyBorder="1" applyAlignment="1">
      <alignment horizontal="center"/>
    </xf>
    <xf numFmtId="0" fontId="43" fillId="4" borderId="40" xfId="29" applyFont="1" applyFill="1" applyBorder="1" applyAlignment="1">
      <alignment horizontal="center"/>
    </xf>
    <xf numFmtId="0" fontId="1" fillId="0" borderId="0" xfId="29"/>
    <xf numFmtId="0" fontId="24" fillId="0" borderId="10" xfId="29" applyFont="1" applyBorder="1" applyAlignment="1">
      <alignment horizontal="center"/>
    </xf>
    <xf numFmtId="0" fontId="43" fillId="4" borderId="10" xfId="29" applyFont="1" applyFill="1" applyBorder="1" applyAlignment="1">
      <alignment horizontal="center"/>
    </xf>
    <xf numFmtId="0" fontId="43" fillId="4" borderId="41" xfId="29" applyFont="1" applyFill="1" applyBorder="1" applyAlignment="1">
      <alignment horizontal="center"/>
    </xf>
    <xf numFmtId="0" fontId="34" fillId="0" borderId="42" xfId="29" applyFont="1" applyBorder="1"/>
    <xf numFmtId="5" fontId="34" fillId="0" borderId="0" xfId="29" applyNumberFormat="1" applyFont="1"/>
    <xf numFmtId="5" fontId="34" fillId="0" borderId="0" xfId="30" applyNumberFormat="1" applyFont="1"/>
    <xf numFmtId="5" fontId="34" fillId="0" borderId="40" xfId="30" applyNumberFormat="1" applyFont="1" applyBorder="1"/>
    <xf numFmtId="172" fontId="34" fillId="0" borderId="0" xfId="29" applyNumberFormat="1" applyFont="1"/>
    <xf numFmtId="172" fontId="34" fillId="0" borderId="0" xfId="30" applyNumberFormat="1" applyFont="1"/>
    <xf numFmtId="172" fontId="34" fillId="0" borderId="40" xfId="30" applyNumberFormat="1" applyFont="1" applyBorder="1"/>
    <xf numFmtId="0" fontId="34" fillId="0" borderId="0" xfId="29" applyFont="1" applyAlignment="1">
      <alignment horizontal="right"/>
    </xf>
    <xf numFmtId="180" fontId="34" fillId="0" borderId="0" xfId="31" applyNumberFormat="1" applyFont="1"/>
    <xf numFmtId="180" fontId="34" fillId="0" borderId="40" xfId="31" applyNumberFormat="1" applyFont="1" applyBorder="1"/>
    <xf numFmtId="164" fontId="34" fillId="0" borderId="0" xfId="31" applyNumberFormat="1" applyFont="1"/>
    <xf numFmtId="181" fontId="34" fillId="4" borderId="0" xfId="29" applyNumberFormat="1" applyFont="1" applyFill="1"/>
    <xf numFmtId="182" fontId="34" fillId="0" borderId="0" xfId="29" applyNumberFormat="1" applyFont="1"/>
    <xf numFmtId="5" fontId="34" fillId="0" borderId="3" xfId="29" applyNumberFormat="1" applyFont="1" applyBorder="1"/>
    <xf numFmtId="5" fontId="34" fillId="0" borderId="3" xfId="30" applyNumberFormat="1" applyFont="1" applyBorder="1"/>
    <xf numFmtId="5" fontId="34" fillId="0" borderId="42" xfId="30" applyNumberFormat="1" applyFont="1" applyBorder="1"/>
    <xf numFmtId="5" fontId="34" fillId="0" borderId="0" xfId="29" applyNumberFormat="1" applyFont="1" applyBorder="1"/>
    <xf numFmtId="5" fontId="34" fillId="0" borderId="0" xfId="30" applyNumberFormat="1" applyFont="1" applyBorder="1"/>
    <xf numFmtId="7" fontId="34" fillId="0" borderId="0" xfId="30" applyNumberFormat="1" applyFont="1"/>
    <xf numFmtId="5" fontId="50" fillId="0" borderId="0" xfId="30" applyNumberFormat="1" applyFont="1" applyAlignment="1">
      <alignment horizontal="right"/>
    </xf>
    <xf numFmtId="5" fontId="34" fillId="0" borderId="0" xfId="30" applyNumberFormat="1" applyFont="1" applyAlignment="1">
      <alignment horizontal="center"/>
    </xf>
    <xf numFmtId="5" fontId="50" fillId="0" borderId="0" xfId="30" applyNumberFormat="1" applyFont="1" applyAlignment="1">
      <alignment horizontal="center"/>
    </xf>
    <xf numFmtId="183" fontId="34" fillId="0" borderId="0" xfId="31" applyNumberFormat="1" applyFont="1"/>
    <xf numFmtId="0" fontId="34" fillId="0" borderId="0" xfId="29" applyFont="1" applyFill="1"/>
    <xf numFmtId="3" fontId="34" fillId="0" borderId="0" xfId="29" applyNumberFormat="1" applyFont="1" applyFill="1"/>
    <xf numFmtId="0" fontId="50" fillId="0" borderId="0" xfId="29" applyFont="1"/>
    <xf numFmtId="0" fontId="34" fillId="0" borderId="0" xfId="29" applyFont="1" applyAlignment="1">
      <alignment horizontal="center"/>
    </xf>
    <xf numFmtId="173" fontId="61" fillId="0" borderId="0" xfId="29" applyNumberFormat="1" applyFont="1" applyFill="1" applyBorder="1"/>
    <xf numFmtId="173" fontId="61" fillId="0" borderId="40" xfId="29" applyNumberFormat="1" applyFont="1" applyFill="1" applyBorder="1"/>
    <xf numFmtId="3" fontId="63" fillId="0" borderId="0" xfId="32" applyNumberFormat="1" applyFont="1" applyAlignment="1">
      <alignment horizontal="left" indent="1"/>
    </xf>
    <xf numFmtId="172" fontId="61" fillId="0" borderId="0" xfId="30" applyNumberFormat="1" applyFont="1" applyFill="1" applyBorder="1"/>
    <xf numFmtId="172" fontId="61" fillId="0" borderId="40" xfId="30" applyNumberFormat="1" applyFont="1" applyFill="1" applyBorder="1"/>
    <xf numFmtId="37" fontId="61" fillId="0" borderId="0" xfId="29" applyNumberFormat="1" applyFont="1" applyFill="1" applyBorder="1"/>
    <xf numFmtId="180" fontId="34" fillId="0" borderId="0" xfId="31" applyNumberFormat="1" applyFont="1" applyFill="1"/>
    <xf numFmtId="180" fontId="34" fillId="0" borderId="40" xfId="31" applyNumberFormat="1" applyFont="1" applyFill="1" applyBorder="1"/>
    <xf numFmtId="164" fontId="34" fillId="0" borderId="0" xfId="31" applyNumberFormat="1" applyFont="1" applyFill="1"/>
    <xf numFmtId="5" fontId="34" fillId="0" borderId="0" xfId="30" applyNumberFormat="1" applyFont="1" applyFill="1"/>
    <xf numFmtId="5" fontId="34" fillId="0" borderId="40" xfId="30" applyNumberFormat="1" applyFont="1" applyFill="1" applyBorder="1"/>
    <xf numFmtId="0" fontId="63" fillId="0" borderId="0" xfId="29" applyFont="1" applyAlignment="1">
      <alignment horizontal="left" indent="1" readingOrder="1"/>
    </xf>
    <xf numFmtId="172" fontId="34" fillId="0" borderId="3" xfId="30" applyNumberFormat="1" applyFont="1" applyBorder="1"/>
    <xf numFmtId="5" fontId="34" fillId="0" borderId="3" xfId="30" applyNumberFormat="1" applyFont="1" applyFill="1" applyBorder="1"/>
    <xf numFmtId="5" fontId="34" fillId="0" borderId="42" xfId="30" applyNumberFormat="1" applyFont="1" applyFill="1" applyBorder="1"/>
    <xf numFmtId="44" fontId="34" fillId="0" borderId="0" xfId="31" applyFont="1"/>
    <xf numFmtId="0" fontId="52" fillId="0" borderId="0" xfId="29" applyFont="1"/>
    <xf numFmtId="173" fontId="34" fillId="0" borderId="0" xfId="31" applyNumberFormat="1" applyFont="1"/>
    <xf numFmtId="183" fontId="34" fillId="0" borderId="0" xfId="29" applyNumberFormat="1" applyFont="1"/>
    <xf numFmtId="183" fontId="1" fillId="0" borderId="0" xfId="29" applyNumberFormat="1"/>
    <xf numFmtId="41" fontId="64" fillId="0" borderId="0" xfId="20" applyNumberFormat="1" applyFont="1" applyFill="1"/>
    <xf numFmtId="10" fontId="31" fillId="0" borderId="0" xfId="19" quotePrefix="1" applyNumberFormat="1" applyFont="1" applyFill="1" applyBorder="1" applyAlignment="1">
      <alignment horizontal="center" vertical="center"/>
    </xf>
    <xf numFmtId="10" fontId="31" fillId="0" borderId="0" xfId="6" applyNumberFormat="1" applyFont="1" applyBorder="1"/>
    <xf numFmtId="0" fontId="31" fillId="0" borderId="19" xfId="6" applyFont="1" applyBorder="1"/>
    <xf numFmtId="3" fontId="8" fillId="7" borderId="20" xfId="17" applyNumberFormat="1" applyFont="1" applyFill="1" applyBorder="1" applyAlignment="1">
      <alignment horizontal="center"/>
    </xf>
    <xf numFmtId="10" fontId="8" fillId="7" borderId="0" xfId="27" applyNumberFormat="1" applyFont="1" applyFill="1" applyBorder="1"/>
    <xf numFmtId="10" fontId="52" fillId="7" borderId="0" xfId="17" applyNumberFormat="1" applyFont="1" applyFill="1"/>
    <xf numFmtId="10" fontId="32" fillId="7" borderId="0" xfId="6" applyNumberFormat="1" applyFont="1" applyFill="1"/>
    <xf numFmtId="10" fontId="52" fillId="0" borderId="34" xfId="7" applyNumberFormat="1" applyFont="1" applyFill="1" applyBorder="1"/>
    <xf numFmtId="10" fontId="52" fillId="7" borderId="18" xfId="7" applyNumberFormat="1" applyFont="1" applyFill="1" applyBorder="1"/>
    <xf numFmtId="10" fontId="65" fillId="0" borderId="34" xfId="7" applyNumberFormat="1" applyFont="1" applyBorder="1"/>
    <xf numFmtId="10" fontId="6" fillId="0" borderId="35" xfId="7" applyNumberFormat="1" applyFont="1" applyBorder="1"/>
    <xf numFmtId="10" fontId="52" fillId="7" borderId="28" xfId="7" applyNumberFormat="1" applyFont="1" applyFill="1" applyBorder="1"/>
    <xf numFmtId="10" fontId="4" fillId="0" borderId="0" xfId="17" applyNumberFormat="1" applyFont="1" applyFill="1"/>
    <xf numFmtId="3" fontId="8" fillId="0" borderId="0" xfId="17" quotePrefix="1" applyNumberFormat="1" applyFont="1" applyFill="1" applyAlignment="1">
      <alignment vertical="top"/>
    </xf>
    <xf numFmtId="0" fontId="60" fillId="0" borderId="0" xfId="6" applyFont="1" applyFill="1" applyBorder="1"/>
    <xf numFmtId="5" fontId="6" fillId="0" borderId="0" xfId="20" applyNumberFormat="1" applyFont="1" applyFill="1" applyBorder="1"/>
    <xf numFmtId="0" fontId="6" fillId="0" borderId="0" xfId="20" applyFont="1" applyFill="1" applyBorder="1"/>
    <xf numFmtId="5" fontId="10" fillId="0" borderId="0" xfId="20" applyNumberFormat="1" applyFont="1" applyFill="1" applyBorder="1" applyAlignment="1">
      <alignment vertical="top"/>
    </xf>
    <xf numFmtId="0" fontId="3" fillId="0" borderId="0" xfId="26" applyFont="1" applyFill="1" applyBorder="1"/>
    <xf numFmtId="5" fontId="8" fillId="0" borderId="0" xfId="6" applyNumberFormat="1" applyFont="1" applyFill="1" applyBorder="1"/>
    <xf numFmtId="0" fontId="3" fillId="0" borderId="0" xfId="26" applyFont="1" applyFill="1" applyBorder="1" applyAlignment="1">
      <alignment horizontal="center"/>
    </xf>
    <xf numFmtId="0" fontId="2" fillId="0" borderId="0" xfId="26" applyFont="1" applyFill="1" applyBorder="1" applyAlignment="1">
      <alignment horizontal="center"/>
    </xf>
    <xf numFmtId="14" fontId="47" fillId="0" borderId="0" xfId="26" applyNumberFormat="1" applyFont="1" applyFill="1" applyBorder="1" applyAlignment="1">
      <alignment horizontal="center"/>
    </xf>
    <xf numFmtId="41" fontId="6" fillId="0" borderId="0" xfId="20" applyNumberFormat="1" applyFont="1" applyFill="1" applyBorder="1"/>
    <xf numFmtId="37" fontId="8" fillId="0" borderId="0" xfId="20" applyNumberFormat="1" applyFont="1" applyFill="1" applyBorder="1"/>
    <xf numFmtId="37" fontId="6" fillId="0" borderId="25" xfId="20" applyNumberFormat="1" applyFont="1" applyBorder="1"/>
    <xf numFmtId="37" fontId="8" fillId="0" borderId="19" xfId="20" applyNumberFormat="1" applyFont="1" applyFill="1" applyBorder="1"/>
    <xf numFmtId="37" fontId="6" fillId="0" borderId="20" xfId="20" applyNumberFormat="1" applyFont="1" applyFill="1" applyBorder="1"/>
    <xf numFmtId="0" fontId="6" fillId="0" borderId="21" xfId="6" applyFont="1" applyFill="1" applyBorder="1"/>
    <xf numFmtId="37" fontId="6" fillId="0" borderId="22" xfId="20" applyNumberFormat="1" applyFont="1" applyFill="1" applyBorder="1"/>
    <xf numFmtId="37" fontId="8" fillId="0" borderId="10" xfId="20" applyNumberFormat="1" applyFont="1" applyFill="1" applyBorder="1" applyAlignment="1">
      <alignment horizontal="center"/>
    </xf>
    <xf numFmtId="0" fontId="6" fillId="0" borderId="23" xfId="6" applyFont="1" applyFill="1" applyBorder="1"/>
    <xf numFmtId="37" fontId="6" fillId="0" borderId="25" xfId="20" applyNumberFormat="1" applyFont="1" applyFill="1" applyBorder="1"/>
    <xf numFmtId="173" fontId="6" fillId="0" borderId="26" xfId="2" applyNumberFormat="1" applyFont="1" applyFill="1" applyBorder="1"/>
    <xf numFmtId="173" fontId="8" fillId="0" borderId="26" xfId="2" applyNumberFormat="1" applyFont="1" applyFill="1" applyBorder="1"/>
    <xf numFmtId="37" fontId="6" fillId="0" borderId="26" xfId="20" applyNumberFormat="1" applyFont="1" applyFill="1" applyBorder="1"/>
    <xf numFmtId="0" fontId="6" fillId="0" borderId="27" xfId="6" applyFont="1" applyFill="1" applyBorder="1"/>
    <xf numFmtId="10" fontId="8" fillId="7" borderId="26" xfId="7" applyNumberFormat="1" applyFont="1" applyFill="1" applyBorder="1"/>
    <xf numFmtId="167" fontId="6" fillId="0" borderId="0" xfId="7" applyNumberFormat="1" applyFont="1" applyBorder="1"/>
    <xf numFmtId="0" fontId="25" fillId="0" borderId="0" xfId="0" applyFont="1" applyFill="1" applyAlignment="1"/>
    <xf numFmtId="0" fontId="25" fillId="4" borderId="2" xfId="0" applyFont="1" applyFill="1" applyBorder="1" applyAlignment="1">
      <alignment horizontal="left"/>
    </xf>
    <xf numFmtId="0" fontId="24" fillId="0" borderId="3" xfId="0" applyFont="1" applyFill="1" applyBorder="1"/>
    <xf numFmtId="0" fontId="24" fillId="0" borderId="4" xfId="0" applyFont="1" applyFill="1" applyBorder="1"/>
    <xf numFmtId="37" fontId="24" fillId="0" borderId="6" xfId="5" applyNumberFormat="1" applyFont="1" applyFill="1" applyBorder="1"/>
    <xf numFmtId="0" fontId="25" fillId="0" borderId="7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37" fontId="24" fillId="0" borderId="7" xfId="5" applyNumberFormat="1" applyFont="1" applyFill="1" applyBorder="1"/>
    <xf numFmtId="0" fontId="24" fillId="0" borderId="6" xfId="0" applyFont="1" applyFill="1" applyBorder="1"/>
    <xf numFmtId="0" fontId="24" fillId="0" borderId="7" xfId="0" applyFont="1" applyFill="1" applyBorder="1"/>
    <xf numFmtId="10" fontId="24" fillId="0" borderId="7" xfId="7" applyNumberFormat="1" applyFont="1" applyFill="1" applyBorder="1"/>
    <xf numFmtId="0" fontId="24" fillId="0" borderId="6" xfId="0" applyFont="1" applyFill="1" applyBorder="1" applyAlignment="1">
      <alignment vertical="top"/>
    </xf>
    <xf numFmtId="10" fontId="24" fillId="0" borderId="7" xfId="7" applyNumberFormat="1" applyFont="1" applyFill="1" applyBorder="1" applyAlignment="1">
      <alignment vertical="top"/>
    </xf>
    <xf numFmtId="10" fontId="24" fillId="0" borderId="43" xfId="7" applyNumberFormat="1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4" fillId="0" borderId="11" xfId="0" applyFont="1" applyFill="1" applyBorder="1"/>
    <xf numFmtId="0" fontId="12" fillId="4" borderId="0" xfId="0" applyFont="1" applyFill="1" applyBorder="1" applyAlignment="1">
      <alignment vertical="top" wrapText="1"/>
    </xf>
    <xf numFmtId="0" fontId="0" fillId="0" borderId="0" xfId="0" applyBorder="1"/>
    <xf numFmtId="10" fontId="8" fillId="7" borderId="44" xfId="20" applyNumberFormat="1" applyFont="1" applyFill="1" applyBorder="1"/>
    <xf numFmtId="0" fontId="8" fillId="0" borderId="0" xfId="6" applyFont="1"/>
    <xf numFmtId="0" fontId="8" fillId="0" borderId="10" xfId="20" applyFont="1" applyBorder="1" applyAlignment="1">
      <alignment horizontal="center"/>
    </xf>
    <xf numFmtId="37" fontId="8" fillId="0" borderId="22" xfId="20" applyNumberFormat="1" applyFont="1" applyBorder="1"/>
    <xf numFmtId="37" fontId="8" fillId="0" borderId="26" xfId="20" applyNumberFormat="1" applyFont="1" applyBorder="1" applyAlignment="1">
      <alignment horizontal="right"/>
    </xf>
    <xf numFmtId="0" fontId="25" fillId="4" borderId="19" xfId="0" applyFont="1" applyFill="1" applyBorder="1" applyAlignment="1">
      <alignment horizontal="left" vertical="top" wrapText="1"/>
    </xf>
    <xf numFmtId="41" fontId="11" fillId="0" borderId="10" xfId="13" applyNumberFormat="1" applyFont="1" applyBorder="1"/>
    <xf numFmtId="41" fontId="11" fillId="0" borderId="10" xfId="13" applyNumberFormat="1" applyFont="1" applyBorder="1" applyAlignment="1">
      <alignment horizontal="right"/>
    </xf>
    <xf numFmtId="37" fontId="8" fillId="6" borderId="35" xfId="20" applyNumberFormat="1" applyFont="1" applyFill="1" applyBorder="1" applyAlignment="1">
      <alignment horizontal="center"/>
    </xf>
    <xf numFmtId="37" fontId="8" fillId="6" borderId="48" xfId="20" applyNumberFormat="1" applyFont="1" applyFill="1" applyBorder="1" applyAlignment="1">
      <alignment horizontal="center"/>
    </xf>
    <xf numFmtId="10" fontId="6" fillId="7" borderId="34" xfId="7" applyNumberFormat="1" applyFont="1" applyFill="1" applyBorder="1"/>
    <xf numFmtId="10" fontId="8" fillId="0" borderId="0" xfId="7" applyNumberFormat="1" applyFont="1" applyFill="1" applyAlignment="1">
      <alignment vertical="top" wrapText="1"/>
    </xf>
    <xf numFmtId="10" fontId="8" fillId="0" borderId="0" xfId="7" quotePrefix="1" applyNumberFormat="1" applyFont="1" applyFill="1" applyAlignment="1">
      <alignment vertical="top" wrapText="1"/>
    </xf>
    <xf numFmtId="184" fontId="31" fillId="0" borderId="0" xfId="7" applyNumberFormat="1" applyFont="1"/>
    <xf numFmtId="0" fontId="8" fillId="6" borderId="38" xfId="2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4" fillId="6" borderId="19" xfId="29" applyFont="1" applyFill="1" applyBorder="1"/>
    <xf numFmtId="0" fontId="1" fillId="6" borderId="20" xfId="29" applyFill="1" applyBorder="1"/>
    <xf numFmtId="0" fontId="34" fillId="6" borderId="25" xfId="29" applyFont="1" applyFill="1" applyBorder="1"/>
    <xf numFmtId="0" fontId="1" fillId="6" borderId="26" xfId="29" applyFill="1" applyBorder="1"/>
    <xf numFmtId="0" fontId="34" fillId="6" borderId="26" xfId="29" applyFont="1" applyFill="1" applyBorder="1"/>
    <xf numFmtId="5" fontId="67" fillId="6" borderId="21" xfId="29" applyNumberFormat="1" applyFont="1" applyFill="1" applyBorder="1"/>
    <xf numFmtId="5" fontId="67" fillId="6" borderId="27" xfId="29" applyNumberFormat="1" applyFont="1" applyFill="1" applyBorder="1"/>
    <xf numFmtId="3" fontId="11" fillId="0" borderId="0" xfId="17" applyNumberFormat="1" applyFont="1" applyFill="1" applyBorder="1" applyAlignment="1">
      <alignment vertical="top"/>
    </xf>
    <xf numFmtId="3" fontId="8" fillId="0" borderId="0" xfId="17" quotePrefix="1" applyNumberFormat="1" applyFont="1" applyFill="1" applyBorder="1" applyAlignment="1">
      <alignment vertical="top"/>
    </xf>
    <xf numFmtId="3" fontId="6" fillId="0" borderId="25" xfId="17" applyNumberFormat="1" applyFont="1" applyFill="1" applyBorder="1"/>
    <xf numFmtId="3" fontId="32" fillId="0" borderId="26" xfId="6" applyNumberFormat="1" applyFont="1" applyFill="1" applyBorder="1"/>
    <xf numFmtId="10" fontId="48" fillId="0" borderId="36" xfId="6" applyNumberFormat="1" applyFont="1" applyFill="1" applyBorder="1"/>
    <xf numFmtId="10" fontId="65" fillId="7" borderId="49" xfId="7" applyNumberFormat="1" applyFont="1" applyFill="1" applyBorder="1"/>
    <xf numFmtId="4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25" xfId="0" applyFont="1" applyFill="1" applyBorder="1" applyAlignment="1">
      <alignment horizontal="left" vertical="top" wrapText="1"/>
    </xf>
    <xf numFmtId="0" fontId="12" fillId="0" borderId="26" xfId="0" applyFont="1" applyFill="1" applyBorder="1" applyAlignment="1">
      <alignment horizontal="left" vertical="top" wrapText="1"/>
    </xf>
    <xf numFmtId="0" fontId="12" fillId="0" borderId="27" xfId="0" applyFont="1" applyFill="1" applyBorder="1" applyAlignment="1">
      <alignment horizontal="left" vertical="top" wrapText="1"/>
    </xf>
    <xf numFmtId="0" fontId="12" fillId="4" borderId="25" xfId="0" quotePrefix="1" applyFont="1" applyFill="1" applyBorder="1" applyAlignment="1">
      <alignment horizontal="left" vertical="top" wrapText="1"/>
    </xf>
    <xf numFmtId="0" fontId="12" fillId="4" borderId="26" xfId="0" applyFont="1" applyFill="1" applyBorder="1" applyAlignment="1">
      <alignment horizontal="left" vertical="top" wrapText="1"/>
    </xf>
    <xf numFmtId="0" fontId="12" fillId="4" borderId="27" xfId="0" applyFont="1" applyFill="1" applyBorder="1" applyAlignment="1">
      <alignment horizontal="left" vertical="top" wrapText="1"/>
    </xf>
    <xf numFmtId="0" fontId="12" fillId="4" borderId="28" xfId="0" applyFont="1" applyFill="1" applyBorder="1" applyAlignment="1">
      <alignment horizontal="left" vertical="top" wrapText="1"/>
    </xf>
    <xf numFmtId="0" fontId="12" fillId="4" borderId="29" xfId="0" applyFont="1" applyFill="1" applyBorder="1" applyAlignment="1">
      <alignment horizontal="left" vertical="top" wrapText="1"/>
    </xf>
    <xf numFmtId="0" fontId="12" fillId="4" borderId="30" xfId="0" applyFont="1" applyFill="1" applyBorder="1" applyAlignment="1">
      <alignment horizontal="left" vertical="top" wrapText="1"/>
    </xf>
    <xf numFmtId="37" fontId="46" fillId="7" borderId="22" xfId="20" applyNumberFormat="1" applyFont="1" applyFill="1" applyBorder="1" applyAlignment="1">
      <alignment horizontal="left" vertical="top"/>
    </xf>
    <xf numFmtId="37" fontId="46" fillId="7" borderId="0" xfId="20" applyNumberFormat="1" applyFont="1" applyFill="1" applyBorder="1" applyAlignment="1">
      <alignment horizontal="left" vertical="top"/>
    </xf>
    <xf numFmtId="0" fontId="6" fillId="0" borderId="23" xfId="20" applyFont="1" applyBorder="1" applyAlignment="1">
      <alignment horizontal="center" wrapText="1"/>
    </xf>
    <xf numFmtId="0" fontId="6" fillId="0" borderId="31" xfId="20" applyFont="1" applyBorder="1" applyAlignment="1">
      <alignment horizontal="center" wrapText="1"/>
    </xf>
    <xf numFmtId="41" fontId="8" fillId="6" borderId="2" xfId="20" applyNumberFormat="1" applyFont="1" applyFill="1" applyBorder="1" applyAlignment="1">
      <alignment horizontal="center" wrapText="1"/>
    </xf>
    <xf numFmtId="41" fontId="8" fillId="6" borderId="6" xfId="20" applyNumberFormat="1" applyFont="1" applyFill="1" applyBorder="1" applyAlignment="1">
      <alignment horizontal="center" wrapText="1"/>
    </xf>
    <xf numFmtId="0" fontId="12" fillId="7" borderId="28" xfId="20" applyFont="1" applyFill="1" applyBorder="1" applyAlignment="1">
      <alignment horizontal="center" vertical="center" wrapText="1"/>
    </xf>
    <xf numFmtId="0" fontId="12" fillId="7" borderId="29" xfId="20" applyFont="1" applyFill="1" applyBorder="1" applyAlignment="1">
      <alignment horizontal="center" vertical="center" wrapText="1"/>
    </xf>
    <xf numFmtId="0" fontId="12" fillId="7" borderId="30" xfId="20" applyFont="1" applyFill="1" applyBorder="1" applyAlignment="1">
      <alignment horizontal="center" vertical="center" wrapText="1"/>
    </xf>
    <xf numFmtId="0" fontId="6" fillId="0" borderId="20" xfId="20" applyFont="1" applyBorder="1" applyAlignment="1">
      <alignment horizontal="center" vertical="center" wrapText="1"/>
    </xf>
    <xf numFmtId="0" fontId="6" fillId="0" borderId="10" xfId="20" applyFont="1" applyBorder="1" applyAlignment="1">
      <alignment horizontal="center" vertical="center" wrapText="1"/>
    </xf>
    <xf numFmtId="37" fontId="66" fillId="7" borderId="45" xfId="20" applyNumberFormat="1" applyFont="1" applyFill="1" applyBorder="1" applyAlignment="1">
      <alignment horizontal="center" vertical="center" wrapText="1"/>
    </xf>
    <xf numFmtId="37" fontId="66" fillId="7" borderId="46" xfId="20" applyNumberFormat="1" applyFont="1" applyFill="1" applyBorder="1" applyAlignment="1">
      <alignment horizontal="center" vertical="center" wrapText="1"/>
    </xf>
    <xf numFmtId="37" fontId="66" fillId="7" borderId="47" xfId="20" applyNumberFormat="1" applyFont="1" applyFill="1" applyBorder="1" applyAlignment="1">
      <alignment horizontal="center" vertical="center" wrapText="1"/>
    </xf>
    <xf numFmtId="3" fontId="49" fillId="0" borderId="0" xfId="18" applyNumberFormat="1" applyFont="1" applyFill="1" applyBorder="1" applyAlignment="1">
      <alignment horizontal="center"/>
    </xf>
    <xf numFmtId="3" fontId="25" fillId="0" borderId="0" xfId="17" applyNumberFormat="1" applyFont="1" applyFill="1" applyBorder="1" applyAlignment="1">
      <alignment horizontal="left"/>
    </xf>
    <xf numFmtId="3" fontId="49" fillId="0" borderId="0" xfId="17" applyNumberFormat="1" applyFont="1" applyFill="1" applyBorder="1" applyAlignment="1">
      <alignment horizontal="center"/>
    </xf>
    <xf numFmtId="3" fontId="28" fillId="0" borderId="0" xfId="17" applyNumberFormat="1" applyFont="1" applyFill="1" applyBorder="1" applyAlignment="1">
      <alignment horizontal="left"/>
    </xf>
    <xf numFmtId="3" fontId="6" fillId="0" borderId="0" xfId="17" applyNumberFormat="1" applyFont="1" applyFill="1" applyBorder="1" applyAlignment="1">
      <alignment horizontal="center"/>
    </xf>
    <xf numFmtId="10" fontId="6" fillId="0" borderId="0" xfId="7" applyNumberFormat="1" applyFont="1" applyFill="1" applyAlignment="1">
      <alignment horizontal="center" vertical="center" wrapText="1"/>
    </xf>
    <xf numFmtId="10" fontId="8" fillId="7" borderId="38" xfId="7" applyNumberFormat="1" applyFont="1" applyFill="1" applyBorder="1" applyAlignment="1">
      <alignment horizontal="center" vertical="center" wrapText="1"/>
    </xf>
    <xf numFmtId="10" fontId="8" fillId="7" borderId="34" xfId="7" applyNumberFormat="1" applyFont="1" applyFill="1" applyBorder="1" applyAlignment="1">
      <alignment horizontal="center" vertical="center" wrapText="1"/>
    </xf>
    <xf numFmtId="10" fontId="8" fillId="7" borderId="39" xfId="7" applyNumberFormat="1" applyFont="1" applyFill="1" applyBorder="1" applyAlignment="1">
      <alignment horizontal="center" vertical="center" wrapText="1"/>
    </xf>
    <xf numFmtId="3" fontId="8" fillId="7" borderId="38" xfId="17" applyNumberFormat="1" applyFont="1" applyFill="1" applyBorder="1" applyAlignment="1">
      <alignment horizontal="center" vertical="center" wrapText="1"/>
    </xf>
    <xf numFmtId="3" fontId="8" fillId="7" borderId="39" xfId="17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0" xfId="5" applyNumberFormat="1" applyFont="1" applyAlignment="1">
      <alignment horizontal="center"/>
    </xf>
    <xf numFmtId="0" fontId="25" fillId="0" borderId="0" xfId="0" applyFont="1" applyAlignment="1">
      <alignment horizontal="center"/>
    </xf>
    <xf numFmtId="15" fontId="25" fillId="0" borderId="9" xfId="0" quotePrefix="1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25" fillId="6" borderId="0" xfId="0" applyFont="1" applyFill="1" applyAlignment="1">
      <alignment horizontal="left" vertical="center" wrapText="1"/>
    </xf>
    <xf numFmtId="0" fontId="25" fillId="0" borderId="15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55" fillId="0" borderId="6" xfId="17" quotePrefix="1" applyFont="1" applyBorder="1" applyAlignment="1">
      <alignment horizontal="center"/>
    </xf>
    <xf numFmtId="0" fontId="55" fillId="0" borderId="0" xfId="17" quotePrefix="1" applyFont="1" applyBorder="1" applyAlignment="1">
      <alignment horizontal="center"/>
    </xf>
    <xf numFmtId="0" fontId="55" fillId="0" borderId="7" xfId="17" quotePrefix="1" applyFont="1" applyBorder="1" applyAlignment="1">
      <alignment horizontal="center"/>
    </xf>
    <xf numFmtId="0" fontId="55" fillId="0" borderId="6" xfId="17" quotePrefix="1" applyFont="1" applyFill="1" applyBorder="1" applyAlignment="1">
      <alignment horizontal="center"/>
    </xf>
    <xf numFmtId="0" fontId="55" fillId="0" borderId="0" xfId="17" quotePrefix="1" applyFont="1" applyFill="1" applyBorder="1" applyAlignment="1">
      <alignment horizontal="center"/>
    </xf>
    <xf numFmtId="0" fontId="55" fillId="0" borderId="7" xfId="17" quotePrefix="1" applyFont="1" applyFill="1" applyBorder="1" applyAlignment="1">
      <alignment horizontal="center"/>
    </xf>
    <xf numFmtId="0" fontId="11" fillId="0" borderId="28" xfId="13" applyFont="1" applyBorder="1" applyAlignment="1">
      <alignment horizontal="center"/>
    </xf>
    <xf numFmtId="0" fontId="11" fillId="0" borderId="29" xfId="13" applyFont="1" applyBorder="1" applyAlignment="1">
      <alignment horizontal="center"/>
    </xf>
    <xf numFmtId="0" fontId="11" fillId="0" borderId="30" xfId="13" applyFont="1" applyBorder="1" applyAlignment="1">
      <alignment horizontal="center"/>
    </xf>
    <xf numFmtId="4" fontId="36" fillId="0" borderId="0" xfId="13" applyNumberFormat="1" applyFont="1" applyBorder="1" applyAlignment="1">
      <alignment horizontal="center"/>
    </xf>
    <xf numFmtId="4" fontId="12" fillId="0" borderId="0" xfId="13" applyNumberFormat="1" applyFont="1" applyBorder="1" applyAlignment="1">
      <alignment horizontal="center"/>
    </xf>
    <xf numFmtId="4" fontId="37" fillId="0" borderId="0" xfId="13" applyNumberFormat="1" applyFont="1" applyBorder="1" applyAlignment="1">
      <alignment horizontal="center"/>
    </xf>
    <xf numFmtId="4" fontId="11" fillId="0" borderId="0" xfId="13" applyNumberFormat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33">
    <cellStyle name="Comma" xfId="1" builtinId="3"/>
    <cellStyle name="Comma 16" xfId="23"/>
    <cellStyle name="Comma 2" xfId="21"/>
    <cellStyle name="Comma 3" xfId="30"/>
    <cellStyle name="Currency" xfId="2" builtinId="4"/>
    <cellStyle name="Currency 2" xfId="14"/>
    <cellStyle name="Currency 3" xfId="31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10 3 8 2" xfId="26"/>
    <cellStyle name="Normal 2 2" xfId="17"/>
    <cellStyle name="Normal 2 3" xfId="18"/>
    <cellStyle name="Normal 2 4" xfId="32"/>
    <cellStyle name="Normal 3" xfId="29"/>
    <cellStyle name="Normal 6" xfId="12"/>
    <cellStyle name="Normal 8" xfId="28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Normal_WAGas6_97 2 2" xfId="24"/>
    <cellStyle name="Percent" xfId="7" builtinId="5"/>
    <cellStyle name="Percent 10" xfId="25"/>
    <cellStyle name="Percent 2" xfId="19"/>
    <cellStyle name="Percent 2 2" xf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TARA\2013%20Misc\2014%20WA%20GRC%20prelim\EREV%20v1%2007%2003%20July%20Load%20Update%20(unadjusted)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Liz/2017%20GRC%20INFO/K%20Factor/2013-2016%20K%20Factor-WA%202018%20Nat%20G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_WA_Elec_and_Gas_GRC\Data%20Requests\Drafts\Karen\Staff%20DR%2012-Settlement%20Update\Do%20Not%20Send\TTP%20Model%20-%202016%20-%206.29.2016%20(Q2%20TTP%20Updat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v16%20Electric%20Revenue%202012-2016%20-%20Res%20Exchang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WA%20Elec%20Revenue%20-%20wo%20schedule%20shif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sites/ue-150204/Staff%20Work%20Papers/Attrition%20Adj%20Workpapers/Transmission%20Wheeling%20Revenue%2012ME%2009.2014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WP%20CBR/WWP%202018-12%20CBR/2018%20CBR%20WA%20Natural%20Gas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Tables"/>
      <sheetName val="Cust Load"/>
      <sheetName val="Unbilled"/>
      <sheetName val="Cal Load"/>
      <sheetName val="Rate Entry"/>
      <sheetName val="Rate Tables"/>
      <sheetName val="Manual Rev"/>
      <sheetName val="GRC"/>
      <sheetName val="Rev"/>
      <sheetName val="V2V"/>
      <sheetName val="EREV v1 07 03 July Load Update "/>
    </sheetNames>
    <sheetDataSet>
      <sheetData sheetId="0" refreshError="1"/>
      <sheetData sheetId="1">
        <row r="13">
          <cell r="B13">
            <v>41426</v>
          </cell>
        </row>
        <row r="16">
          <cell r="B16">
            <v>43435</v>
          </cell>
        </row>
        <row r="19">
          <cell r="B19">
            <v>41395</v>
          </cell>
        </row>
      </sheetData>
      <sheetData sheetId="2">
        <row r="3">
          <cell r="D3">
            <v>41426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2">
          <cell r="C2">
            <v>41426</v>
          </cell>
        </row>
        <row r="5">
          <cell r="B5">
            <v>1</v>
          </cell>
        </row>
      </sheetData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 factor (2)"/>
      <sheetName val="K factor"/>
      <sheetName val="Cost Trends"/>
      <sheetName val="Summary"/>
      <sheetName val="ROR"/>
      <sheetName val="Attrition 12.2016 to 04.2019"/>
      <sheetName val="Weighted Revenue Growth"/>
      <sheetName val="12.2016 Revenue Model"/>
      <sheetName val="Forecast Bill Determinants"/>
      <sheetName val="Riders and Gas Cost Revenue"/>
      <sheetName val="Reg Amort and Other RB"/>
    </sheetNames>
    <sheetDataSet>
      <sheetData sheetId="0"/>
      <sheetData sheetId="1"/>
      <sheetData sheetId="2"/>
      <sheetData sheetId="3"/>
      <sheetData sheetId="4">
        <row r="12">
          <cell r="N12">
            <v>4.8269999999999997E-3</v>
          </cell>
        </row>
        <row r="14">
          <cell r="N14">
            <v>2E-3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Actual</v>
          </cell>
        </row>
      </sheetData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6 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ADJ DETAIL INPUT"/>
      <sheetName val="RR SUMMARY"/>
      <sheetName val="CF"/>
      <sheetName val="Acerno_Cache_XXXXX"/>
      <sheetName val="DEBT CALC"/>
      <sheetName val="ROO INPUT"/>
      <sheetName val="LEAD SHEETS-DO NOT ENTER"/>
    </sheetNames>
    <sheetDataSet>
      <sheetData sheetId="0" refreshError="1"/>
      <sheetData sheetId="1" refreshError="1"/>
      <sheetData sheetId="2">
        <row r="12">
          <cell r="P12">
            <v>2.8299999999999999E-2</v>
          </cell>
        </row>
      </sheetData>
      <sheetData sheetId="3">
        <row r="15">
          <cell r="E15">
            <v>3.7810000000000001E-3</v>
          </cell>
        </row>
        <row r="17">
          <cell r="E17">
            <v>2E-3</v>
          </cell>
        </row>
        <row r="19">
          <cell r="E19">
            <v>3.8373999999999998E-2</v>
          </cell>
        </row>
      </sheetData>
      <sheetData sheetId="4" refreshError="1"/>
      <sheetData sheetId="5">
        <row r="36">
          <cell r="E36">
            <v>9867.0213999999996</v>
          </cell>
        </row>
        <row r="43">
          <cell r="E43">
            <v>59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</sheetPr>
  <dimension ref="B1:G12"/>
  <sheetViews>
    <sheetView tabSelected="1" zoomScaleNormal="100" zoomScaleSheetLayoutView="115" workbookViewId="0">
      <selection activeCell="E23" sqref="E23"/>
    </sheetView>
  </sheetViews>
  <sheetFormatPr defaultRowHeight="12.75"/>
  <cols>
    <col min="1" max="1" width="1.5703125" customWidth="1"/>
    <col min="2" max="2" width="48" customWidth="1"/>
    <col min="3" max="3" width="13.28515625" customWidth="1"/>
    <col min="4" max="4" width="13.5703125" customWidth="1"/>
    <col min="5" max="5" width="12" customWidth="1"/>
    <col min="6" max="6" width="13.42578125" customWidth="1"/>
  </cols>
  <sheetData>
    <row r="1" spans="2:7" ht="13.5" thickBot="1">
      <c r="C1" s="527"/>
      <c r="D1" s="527"/>
      <c r="E1" s="527"/>
      <c r="F1" s="528"/>
    </row>
    <row r="2" spans="2:7" ht="32.25" customHeight="1">
      <c r="B2" s="854" t="s">
        <v>674</v>
      </c>
      <c r="C2" s="529" t="s">
        <v>553</v>
      </c>
      <c r="D2" s="529" t="s">
        <v>554</v>
      </c>
      <c r="E2" s="530" t="s">
        <v>555</v>
      </c>
      <c r="F2" s="528"/>
    </row>
    <row r="3" spans="2:7" ht="47.25">
      <c r="B3" s="531" t="s">
        <v>560</v>
      </c>
      <c r="C3" s="532" t="s">
        <v>664</v>
      </c>
      <c r="D3" s="532" t="s">
        <v>561</v>
      </c>
      <c r="E3" s="533" t="s">
        <v>668</v>
      </c>
    </row>
    <row r="4" spans="2:7" ht="18.75">
      <c r="B4" s="534" t="s">
        <v>665</v>
      </c>
      <c r="C4" s="535">
        <f>'2007-2018 data'!H174</f>
        <v>3.9944159625122176E-2</v>
      </c>
      <c r="D4" s="535">
        <f>'2007-2018 data'!E203</f>
        <v>0.39527900672865707</v>
      </c>
      <c r="E4" s="536">
        <f>C4*D4</f>
        <v>1.5789087741229221E-2</v>
      </c>
    </row>
    <row r="5" spans="2:7" ht="18.75">
      <c r="B5" s="534" t="s">
        <v>562</v>
      </c>
      <c r="C5" s="535">
        <f>'2007-2018 data'!F177</f>
        <v>0.11033773145266572</v>
      </c>
      <c r="D5" s="535">
        <f>'2007-2018 data'!E202</f>
        <v>0.22376603180284788</v>
      </c>
      <c r="E5" s="536">
        <f>C5*D5</f>
        <v>2.4689836325291287E-2</v>
      </c>
    </row>
    <row r="6" spans="2:7" ht="15.75">
      <c r="B6" s="534" t="s">
        <v>563</v>
      </c>
      <c r="C6" s="535">
        <f>'2007-2018 data'!F179</f>
        <v>8.3576199563390324E-2</v>
      </c>
      <c r="D6" s="535">
        <f>'2007-2018 data'!E204</f>
        <v>7.9700741036391257E-2</v>
      </c>
      <c r="E6" s="536">
        <f>C6*D6</f>
        <v>6.661085038207528E-3</v>
      </c>
    </row>
    <row r="7" spans="2:7" ht="15.75">
      <c r="B7" s="537" t="s">
        <v>446</v>
      </c>
      <c r="C7" s="535">
        <f>'2007-2018 data'!F181</f>
        <v>9.1069446928775888E-2</v>
      </c>
      <c r="D7" s="538">
        <f>'2007-2018 data'!E205</f>
        <v>0.30125422043210381</v>
      </c>
      <c r="E7" s="536">
        <f>C7*D7</f>
        <v>2.743505523971123E-2</v>
      </c>
    </row>
    <row r="8" spans="2:7" ht="15.75">
      <c r="B8" s="537" t="s">
        <v>564</v>
      </c>
      <c r="C8" s="539"/>
      <c r="D8" s="540">
        <f>SUM(D4:D7)</f>
        <v>1</v>
      </c>
      <c r="E8" s="541">
        <f>'2007-2018 data'!I206</f>
        <v>-1.3439700268445284E-2</v>
      </c>
    </row>
    <row r="9" spans="2:7" ht="16.5" thickBot="1">
      <c r="B9" s="542" t="s">
        <v>673</v>
      </c>
      <c r="C9" s="543"/>
      <c r="D9" s="543"/>
      <c r="E9" s="544">
        <f>SUM(E4:E8)</f>
        <v>6.1135364075993993E-2</v>
      </c>
    </row>
    <row r="10" spans="2:7" ht="13.5" thickBot="1">
      <c r="B10" s="881" t="s">
        <v>672</v>
      </c>
      <c r="C10" s="882"/>
      <c r="D10" s="882"/>
      <c r="E10" s="883"/>
    </row>
    <row r="11" spans="2:7" ht="18.75" customHeight="1" thickBot="1">
      <c r="B11" s="887" t="s">
        <v>666</v>
      </c>
      <c r="C11" s="888"/>
      <c r="D11" s="888"/>
      <c r="E11" s="889"/>
      <c r="F11" s="847"/>
      <c r="G11" s="848"/>
    </row>
    <row r="12" spans="2:7" ht="37.5" customHeight="1" thickBot="1">
      <c r="B12" s="884" t="s">
        <v>667</v>
      </c>
      <c r="C12" s="885"/>
      <c r="D12" s="885"/>
      <c r="E12" s="886"/>
    </row>
  </sheetData>
  <mergeCells count="3">
    <mergeCell ref="B10:E10"/>
    <mergeCell ref="B12:E12"/>
    <mergeCell ref="B11:E11"/>
  </mergeCells>
  <pageMargins left="0.7" right="0.7" top="1.25" bottom="0.75" header="0.3" footer="0.3"/>
  <pageSetup scale="95" orientation="portrait" r:id="rId1"/>
  <headerFooter scaleWithDoc="0">
    <oddHeader>&amp;RExh. EMA-5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65"/>
  <sheetViews>
    <sheetView view="pageBreakPreview" zoomScaleNormal="100" zoomScaleSheetLayoutView="100" workbookViewId="0">
      <pane xSplit="6" ySplit="9" topLeftCell="I10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.140625" defaultRowHeight="12.75"/>
  <cols>
    <col min="1" max="1" width="5.7109375" style="84" customWidth="1"/>
    <col min="2" max="3" width="1.7109375" style="64" customWidth="1"/>
    <col min="4" max="4" width="23.28515625" style="64" customWidth="1"/>
    <col min="5" max="5" width="9" style="419" customWidth="1"/>
    <col min="6" max="6" width="1.7109375" style="419" customWidth="1"/>
    <col min="7" max="7" width="10.28515625" style="393" hidden="1" customWidth="1"/>
    <col min="8" max="8" width="9.5703125" style="393" hidden="1" customWidth="1"/>
    <col min="9" max="9" width="9.5703125" style="419" customWidth="1"/>
    <col min="10" max="11" width="9.5703125" style="393" hidden="1" customWidth="1"/>
    <col min="12" max="12" width="9.140625" style="419" customWidth="1"/>
    <col min="13" max="13" width="9.5703125" style="419" hidden="1" customWidth="1"/>
    <col min="14" max="14" width="7.85546875" style="419" hidden="1" customWidth="1"/>
    <col min="15" max="15" width="8.85546875" style="419" customWidth="1"/>
    <col min="16" max="16" width="0.28515625" style="419" customWidth="1"/>
    <col min="17" max="17" width="8.5703125" style="419" customWidth="1"/>
    <col min="18" max="18" width="7.85546875" style="464" hidden="1" customWidth="1"/>
    <col min="19" max="19" width="8.85546875" style="419" bestFit="1" customWidth="1"/>
    <col min="20" max="16384" width="9.140625" style="393"/>
  </cols>
  <sheetData>
    <row r="1" spans="1:19">
      <c r="A1" s="63" t="s">
        <v>102</v>
      </c>
    </row>
    <row r="2" spans="1:19">
      <c r="A2" s="63" t="s">
        <v>172</v>
      </c>
    </row>
    <row r="3" spans="1:19">
      <c r="A3" s="63" t="s">
        <v>509</v>
      </c>
    </row>
    <row r="4" spans="1:19">
      <c r="A4" s="63" t="s">
        <v>68</v>
      </c>
      <c r="B4" s="63"/>
      <c r="C4" s="63"/>
      <c r="D4" s="63"/>
      <c r="E4" s="684" t="s">
        <v>593</v>
      </c>
      <c r="F4" s="684"/>
    </row>
    <row r="5" spans="1:19">
      <c r="A5" s="63"/>
      <c r="G5" s="421"/>
      <c r="H5" s="420"/>
      <c r="I5" s="422"/>
      <c r="J5" s="423"/>
      <c r="K5" s="400"/>
      <c r="L5" s="346"/>
      <c r="M5" s="423"/>
      <c r="N5" s="400"/>
      <c r="O5" s="346"/>
      <c r="P5" s="400"/>
      <c r="Q5" s="346"/>
      <c r="R5" s="668"/>
      <c r="S5" s="346"/>
    </row>
    <row r="6" spans="1:19">
      <c r="A6" s="67"/>
      <c r="B6" s="68"/>
      <c r="C6" s="68"/>
      <c r="D6" s="68"/>
      <c r="G6" s="938" t="s">
        <v>510</v>
      </c>
      <c r="H6" s="939"/>
      <c r="I6" s="940"/>
      <c r="J6" s="941" t="s">
        <v>511</v>
      </c>
      <c r="K6" s="942"/>
      <c r="L6" s="943"/>
      <c r="M6" s="941" t="s">
        <v>512</v>
      </c>
      <c r="N6" s="942"/>
      <c r="O6" s="943"/>
      <c r="Q6" s="432">
        <v>2017</v>
      </c>
      <c r="S6" s="432">
        <v>2018</v>
      </c>
    </row>
    <row r="7" spans="1:19">
      <c r="A7" s="70"/>
      <c r="B7" s="71"/>
      <c r="C7" s="72"/>
      <c r="D7" s="73"/>
      <c r="G7" s="424"/>
      <c r="H7" s="425" t="s">
        <v>513</v>
      </c>
      <c r="I7" s="426"/>
      <c r="J7" s="427"/>
      <c r="K7" s="428" t="s">
        <v>513</v>
      </c>
      <c r="L7" s="426"/>
      <c r="M7" s="427"/>
      <c r="N7" s="428" t="s">
        <v>513</v>
      </c>
      <c r="O7" s="428"/>
      <c r="P7" s="428" t="s">
        <v>513</v>
      </c>
      <c r="Q7" s="428"/>
      <c r="R7" s="669" t="s">
        <v>513</v>
      </c>
      <c r="S7" s="428"/>
    </row>
    <row r="8" spans="1:19">
      <c r="A8" s="74" t="s">
        <v>7</v>
      </c>
      <c r="B8" s="75"/>
      <c r="C8" s="76"/>
      <c r="D8" s="77"/>
      <c r="G8" s="429" t="s">
        <v>513</v>
      </c>
      <c r="H8" s="425" t="s">
        <v>514</v>
      </c>
      <c r="I8" s="430" t="s">
        <v>513</v>
      </c>
      <c r="J8" s="431" t="s">
        <v>513</v>
      </c>
      <c r="K8" s="428" t="s">
        <v>514</v>
      </c>
      <c r="L8" s="430" t="s">
        <v>513</v>
      </c>
      <c r="M8" s="431" t="s">
        <v>513</v>
      </c>
      <c r="N8" s="428" t="s">
        <v>514</v>
      </c>
      <c r="O8" s="430" t="s">
        <v>513</v>
      </c>
      <c r="P8" s="428" t="s">
        <v>514</v>
      </c>
      <c r="Q8" s="430" t="s">
        <v>513</v>
      </c>
      <c r="R8" s="669" t="s">
        <v>514</v>
      </c>
      <c r="S8" s="430" t="s">
        <v>513</v>
      </c>
    </row>
    <row r="9" spans="1:19">
      <c r="A9" s="79" t="s">
        <v>15</v>
      </c>
      <c r="B9" s="80"/>
      <c r="C9" s="81"/>
      <c r="D9" s="82" t="s">
        <v>16</v>
      </c>
      <c r="E9" s="682" t="s">
        <v>515</v>
      </c>
      <c r="F9" s="432"/>
      <c r="G9" s="433" t="s">
        <v>516</v>
      </c>
      <c r="H9" s="434" t="s">
        <v>518</v>
      </c>
      <c r="I9" s="435" t="s">
        <v>517</v>
      </c>
      <c r="J9" s="436" t="s">
        <v>516</v>
      </c>
      <c r="K9" s="437" t="s">
        <v>518</v>
      </c>
      <c r="L9" s="435" t="s">
        <v>517</v>
      </c>
      <c r="M9" s="436" t="s">
        <v>516</v>
      </c>
      <c r="N9" s="437" t="s">
        <v>518</v>
      </c>
      <c r="O9" s="435" t="s">
        <v>517</v>
      </c>
      <c r="P9" s="437" t="s">
        <v>518</v>
      </c>
      <c r="Q9" s="435" t="s">
        <v>517</v>
      </c>
      <c r="R9" s="670" t="s">
        <v>518</v>
      </c>
      <c r="S9" s="435" t="s">
        <v>517</v>
      </c>
    </row>
    <row r="10" spans="1:19">
      <c r="B10" s="64" t="s">
        <v>25</v>
      </c>
      <c r="G10" s="421"/>
      <c r="H10" s="420"/>
      <c r="I10" s="426"/>
      <c r="J10" s="423"/>
      <c r="K10" s="400"/>
      <c r="L10" s="426"/>
      <c r="M10" s="423"/>
      <c r="N10" s="400"/>
      <c r="O10" s="426"/>
      <c r="P10" s="400"/>
      <c r="Q10" s="426"/>
      <c r="R10" s="668"/>
      <c r="S10" s="426"/>
    </row>
    <row r="11" spans="1:19">
      <c r="A11" s="84">
        <v>1</v>
      </c>
      <c r="B11" s="85" t="s">
        <v>26</v>
      </c>
      <c r="C11" s="85"/>
      <c r="D11" s="85"/>
      <c r="E11" s="683">
        <f>CF!E23</f>
        <v>0.95584500000000006</v>
      </c>
      <c r="F11" s="438"/>
      <c r="G11" s="439">
        <v>0</v>
      </c>
      <c r="H11" s="440">
        <v>0</v>
      </c>
      <c r="I11" s="441">
        <v>-88169</v>
      </c>
      <c r="J11" s="442">
        <v>0</v>
      </c>
      <c r="K11" s="443">
        <v>0</v>
      </c>
      <c r="L11" s="441">
        <v>-83400</v>
      </c>
      <c r="M11" s="442">
        <v>0</v>
      </c>
      <c r="N11" s="443">
        <v>0</v>
      </c>
      <c r="O11" s="441">
        <v>-66463</v>
      </c>
      <c r="P11" s="443">
        <f>ROUND(P41/$E11,0)</f>
        <v>0</v>
      </c>
      <c r="Q11" s="441">
        <v>-67461</v>
      </c>
      <c r="R11" s="671">
        <f>ROUND(R41/$E11,0)</f>
        <v>0</v>
      </c>
      <c r="S11" s="441">
        <f>ROUND((S21-S13)/$E11,0)</f>
        <v>-53899</v>
      </c>
    </row>
    <row r="12" spans="1:19">
      <c r="A12" s="84">
        <v>2</v>
      </c>
      <c r="B12" s="86" t="s">
        <v>27</v>
      </c>
      <c r="D12" s="86"/>
      <c r="E12" s="438"/>
      <c r="F12" s="438"/>
      <c r="G12" s="439"/>
      <c r="H12" s="440"/>
      <c r="I12" s="441"/>
      <c r="J12" s="442"/>
      <c r="K12" s="443"/>
      <c r="L12" s="441"/>
      <c r="M12" s="442"/>
      <c r="N12" s="443"/>
      <c r="O12" s="441"/>
      <c r="P12" s="443"/>
      <c r="Q12" s="441"/>
      <c r="R12" s="671"/>
      <c r="S12" s="441"/>
    </row>
    <row r="13" spans="1:19">
      <c r="A13" s="84">
        <v>3</v>
      </c>
      <c r="B13" s="86" t="s">
        <v>28</v>
      </c>
      <c r="D13" s="86"/>
      <c r="E13" s="438"/>
      <c r="F13" s="438"/>
      <c r="G13" s="444"/>
      <c r="H13" s="445"/>
      <c r="I13" s="446">
        <f>-I61</f>
        <v>0</v>
      </c>
      <c r="J13" s="447"/>
      <c r="K13" s="448"/>
      <c r="L13" s="446">
        <f>-L61</f>
        <v>0</v>
      </c>
      <c r="M13" s="447"/>
      <c r="N13" s="448"/>
      <c r="O13" s="446">
        <f>-O61</f>
        <v>0</v>
      </c>
      <c r="P13" s="448"/>
      <c r="Q13" s="446">
        <f>-Q61</f>
        <v>0</v>
      </c>
      <c r="R13" s="672"/>
      <c r="S13" s="446">
        <f>-S61</f>
        <v>0</v>
      </c>
    </row>
    <row r="14" spans="1:19">
      <c r="A14" s="84">
        <v>4</v>
      </c>
      <c r="B14" s="64" t="s">
        <v>29</v>
      </c>
      <c r="C14" s="86"/>
      <c r="D14" s="86"/>
      <c r="E14" s="438"/>
      <c r="F14" s="438"/>
      <c r="G14" s="439">
        <f t="shared" ref="G14:O14" si="0">SUM(G11:G13)</f>
        <v>0</v>
      </c>
      <c r="H14" s="440">
        <f t="shared" si="0"/>
        <v>0</v>
      </c>
      <c r="I14" s="441">
        <f t="shared" si="0"/>
        <v>-88169</v>
      </c>
      <c r="J14" s="442">
        <f t="shared" si="0"/>
        <v>0</v>
      </c>
      <c r="K14" s="443">
        <f t="shared" si="0"/>
        <v>0</v>
      </c>
      <c r="L14" s="441">
        <f t="shared" si="0"/>
        <v>-83400</v>
      </c>
      <c r="M14" s="442">
        <f t="shared" si="0"/>
        <v>0</v>
      </c>
      <c r="N14" s="443">
        <f t="shared" si="0"/>
        <v>0</v>
      </c>
      <c r="O14" s="441">
        <f t="shared" si="0"/>
        <v>-66463</v>
      </c>
      <c r="P14" s="443">
        <f t="shared" ref="P14:S14" si="1">SUM(P11:P13)</f>
        <v>0</v>
      </c>
      <c r="Q14" s="441">
        <f t="shared" si="1"/>
        <v>-67461</v>
      </c>
      <c r="R14" s="671">
        <f t="shared" si="1"/>
        <v>0</v>
      </c>
      <c r="S14" s="441">
        <f t="shared" si="1"/>
        <v>-53899</v>
      </c>
    </row>
    <row r="15" spans="1:19">
      <c r="C15" s="86"/>
      <c r="D15" s="86"/>
      <c r="E15" s="438"/>
      <c r="F15" s="438"/>
      <c r="G15" s="439"/>
      <c r="H15" s="440"/>
      <c r="I15" s="441"/>
      <c r="J15" s="442"/>
      <c r="K15" s="443"/>
      <c r="L15" s="441"/>
      <c r="M15" s="442"/>
      <c r="N15" s="443"/>
      <c r="O15" s="441"/>
      <c r="P15" s="443"/>
      <c r="Q15" s="441"/>
      <c r="R15" s="671"/>
      <c r="S15" s="441"/>
    </row>
    <row r="16" spans="1:19">
      <c r="B16" s="64" t="s">
        <v>30</v>
      </c>
      <c r="C16" s="86"/>
      <c r="D16" s="86"/>
      <c r="E16" s="438"/>
      <c r="F16" s="438"/>
      <c r="G16" s="439"/>
      <c r="H16" s="440"/>
      <c r="I16" s="441"/>
      <c r="J16" s="442"/>
      <c r="K16" s="443"/>
      <c r="L16" s="441"/>
      <c r="M16" s="442"/>
      <c r="N16" s="443"/>
      <c r="O16" s="441"/>
      <c r="P16" s="443"/>
      <c r="Q16" s="441"/>
      <c r="R16" s="671"/>
      <c r="S16" s="441"/>
    </row>
    <row r="17" spans="1:19">
      <c r="B17" s="86" t="s">
        <v>175</v>
      </c>
      <c r="D17" s="86"/>
      <c r="E17" s="438"/>
      <c r="F17" s="438"/>
      <c r="G17" s="439"/>
      <c r="H17" s="440"/>
      <c r="I17" s="441"/>
      <c r="J17" s="442"/>
      <c r="K17" s="443"/>
      <c r="L17" s="441"/>
      <c r="M17" s="442"/>
      <c r="N17" s="443"/>
      <c r="O17" s="441"/>
      <c r="P17" s="443"/>
      <c r="Q17" s="441"/>
      <c r="R17" s="671"/>
      <c r="S17" s="441"/>
    </row>
    <row r="18" spans="1:19">
      <c r="A18" s="84">
        <v>5</v>
      </c>
      <c r="C18" s="86" t="s">
        <v>31</v>
      </c>
      <c r="D18" s="86"/>
      <c r="E18" s="438"/>
      <c r="F18" s="438"/>
      <c r="G18" s="439"/>
      <c r="H18" s="440"/>
      <c r="I18" s="441">
        <f>-'2007-2018 data'!F19</f>
        <v>-84187</v>
      </c>
      <c r="J18" s="442"/>
      <c r="K18" s="443"/>
      <c r="L18" s="441">
        <f>-'2007-2018 data'!G19</f>
        <v>-79634</v>
      </c>
      <c r="M18" s="442"/>
      <c r="N18" s="443"/>
      <c r="O18" s="441">
        <f>-'2007-2018 data'!H19</f>
        <v>-63460</v>
      </c>
      <c r="P18" s="443"/>
      <c r="Q18" s="441">
        <f>-'2007-2018 data'!I19</f>
        <v>-64414</v>
      </c>
      <c r="R18" s="671"/>
      <c r="S18" s="441">
        <f>-'2007-2018 data'!J19</f>
        <v>-51519</v>
      </c>
    </row>
    <row r="19" spans="1:19">
      <c r="A19" s="84">
        <v>6</v>
      </c>
      <c r="C19" s="86" t="s">
        <v>32</v>
      </c>
      <c r="D19" s="86"/>
      <c r="E19" s="438"/>
      <c r="F19" s="438"/>
      <c r="G19" s="439"/>
      <c r="H19" s="440"/>
      <c r="I19" s="441">
        <f>-'2007-2018 data'!F20+I63</f>
        <v>0</v>
      </c>
      <c r="J19" s="442"/>
      <c r="K19" s="443"/>
      <c r="L19" s="441">
        <f>-'2007-2018 data'!G20+L63</f>
        <v>0</v>
      </c>
      <c r="M19" s="442"/>
      <c r="N19" s="443"/>
      <c r="O19" s="441">
        <f>-'2007-2018 data'!H20+O63</f>
        <v>0</v>
      </c>
      <c r="P19" s="443"/>
      <c r="Q19" s="441">
        <f>-'2007-2018 data'!I20+Q63</f>
        <v>0</v>
      </c>
      <c r="R19" s="671"/>
      <c r="S19" s="441">
        <f>-'2007-2018 data'!J20+S63</f>
        <v>0</v>
      </c>
    </row>
    <row r="20" spans="1:19">
      <c r="A20" s="84">
        <v>7</v>
      </c>
      <c r="C20" s="86" t="s">
        <v>33</v>
      </c>
      <c r="D20" s="86"/>
      <c r="E20" s="438"/>
      <c r="F20" s="438"/>
      <c r="G20" s="444"/>
      <c r="H20" s="445"/>
      <c r="I20" s="441">
        <f>-'2007-2018 data'!F21</f>
        <v>0</v>
      </c>
      <c r="J20" s="447"/>
      <c r="K20" s="448"/>
      <c r="L20" s="441">
        <f>-'2007-2018 data'!G21</f>
        <v>0</v>
      </c>
      <c r="M20" s="447"/>
      <c r="N20" s="448"/>
      <c r="O20" s="441">
        <f>-'2007-2018 data'!H21</f>
        <v>-1</v>
      </c>
      <c r="P20" s="448"/>
      <c r="Q20" s="441">
        <f>-'2007-2018 data'!I21</f>
        <v>0</v>
      </c>
      <c r="R20" s="672"/>
      <c r="S20" s="441">
        <f>-'2007-2018 data'!J21</f>
        <v>0</v>
      </c>
    </row>
    <row r="21" spans="1:19">
      <c r="A21" s="84">
        <v>8</v>
      </c>
      <c r="B21" s="86" t="s">
        <v>34</v>
      </c>
      <c r="C21" s="86"/>
      <c r="E21" s="438"/>
      <c r="F21" s="438"/>
      <c r="G21" s="439">
        <f t="shared" ref="G21:O21" si="2">SUM(G18:G20)</f>
        <v>0</v>
      </c>
      <c r="H21" s="440">
        <f t="shared" si="2"/>
        <v>0</v>
      </c>
      <c r="I21" s="449">
        <f t="shared" si="2"/>
        <v>-84187</v>
      </c>
      <c r="J21" s="442">
        <f t="shared" si="2"/>
        <v>0</v>
      </c>
      <c r="K21" s="443">
        <f t="shared" si="2"/>
        <v>0</v>
      </c>
      <c r="L21" s="449">
        <f t="shared" si="2"/>
        <v>-79634</v>
      </c>
      <c r="M21" s="442">
        <f t="shared" si="2"/>
        <v>0</v>
      </c>
      <c r="N21" s="443">
        <f t="shared" si="2"/>
        <v>0</v>
      </c>
      <c r="O21" s="449">
        <f t="shared" si="2"/>
        <v>-63461</v>
      </c>
      <c r="P21" s="443">
        <f t="shared" ref="P21:S21" si="3">SUM(P18:P20)</f>
        <v>0</v>
      </c>
      <c r="Q21" s="449">
        <f t="shared" si="3"/>
        <v>-64414</v>
      </c>
      <c r="R21" s="671">
        <f t="shared" si="3"/>
        <v>0</v>
      </c>
      <c r="S21" s="449">
        <f t="shared" si="3"/>
        <v>-51519</v>
      </c>
    </row>
    <row r="22" spans="1:19">
      <c r="B22" s="86"/>
      <c r="C22" s="86"/>
      <c r="E22" s="438"/>
      <c r="F22" s="438"/>
      <c r="G22" s="439"/>
      <c r="H22" s="440"/>
      <c r="I22" s="441"/>
      <c r="J22" s="442"/>
      <c r="K22" s="443"/>
      <c r="L22" s="441"/>
      <c r="M22" s="442"/>
      <c r="N22" s="443"/>
      <c r="O22" s="441"/>
      <c r="P22" s="443"/>
      <c r="Q22" s="441"/>
      <c r="R22" s="671"/>
      <c r="S22" s="441"/>
    </row>
    <row r="23" spans="1:19">
      <c r="B23" s="86" t="s">
        <v>35</v>
      </c>
      <c r="D23" s="86"/>
      <c r="E23" s="438"/>
      <c r="F23" s="438"/>
      <c r="G23" s="439"/>
      <c r="H23" s="440"/>
      <c r="I23" s="441"/>
      <c r="J23" s="442"/>
      <c r="K23" s="443"/>
      <c r="L23" s="441"/>
      <c r="M23" s="442"/>
      <c r="N23" s="443"/>
      <c r="O23" s="441"/>
      <c r="P23" s="443"/>
      <c r="Q23" s="441"/>
      <c r="R23" s="671"/>
      <c r="S23" s="441"/>
    </row>
    <row r="24" spans="1:19">
      <c r="A24" s="84">
        <v>9</v>
      </c>
      <c r="C24" s="86" t="s">
        <v>36</v>
      </c>
      <c r="D24" s="86"/>
      <c r="E24" s="438"/>
      <c r="F24" s="438"/>
      <c r="G24" s="439"/>
      <c r="H24" s="440"/>
      <c r="I24" s="441"/>
      <c r="J24" s="442"/>
      <c r="K24" s="443"/>
      <c r="L24" s="441"/>
      <c r="M24" s="442"/>
      <c r="N24" s="443"/>
      <c r="O24" s="441"/>
      <c r="P24" s="443"/>
      <c r="Q24" s="441"/>
      <c r="R24" s="671"/>
      <c r="S24" s="441"/>
    </row>
    <row r="25" spans="1:19">
      <c r="A25" s="84">
        <v>10</v>
      </c>
      <c r="C25" s="86" t="s">
        <v>171</v>
      </c>
      <c r="D25" s="86"/>
      <c r="E25" s="438"/>
      <c r="F25" s="438"/>
      <c r="G25" s="439"/>
      <c r="H25" s="440"/>
      <c r="I25" s="441"/>
      <c r="J25" s="442"/>
      <c r="K25" s="443"/>
      <c r="L25" s="441"/>
      <c r="M25" s="442"/>
      <c r="N25" s="443"/>
      <c r="O25" s="441"/>
      <c r="P25" s="443"/>
      <c r="Q25" s="441"/>
      <c r="R25" s="671"/>
      <c r="S25" s="441"/>
    </row>
    <row r="26" spans="1:19">
      <c r="A26" s="84">
        <v>11</v>
      </c>
      <c r="C26" s="86" t="s">
        <v>20</v>
      </c>
      <c r="D26" s="86"/>
      <c r="E26" s="438"/>
      <c r="F26" s="438"/>
      <c r="G26" s="444"/>
      <c r="H26" s="445"/>
      <c r="I26" s="446"/>
      <c r="J26" s="447"/>
      <c r="K26" s="448"/>
      <c r="L26" s="446"/>
      <c r="M26" s="447"/>
      <c r="N26" s="448"/>
      <c r="O26" s="446"/>
      <c r="P26" s="448"/>
      <c r="Q26" s="446"/>
      <c r="R26" s="672"/>
      <c r="S26" s="446"/>
    </row>
    <row r="27" spans="1:19">
      <c r="A27" s="84">
        <v>12</v>
      </c>
      <c r="B27" s="86" t="s">
        <v>38</v>
      </c>
      <c r="C27" s="86"/>
      <c r="E27" s="438"/>
      <c r="F27" s="438"/>
      <c r="G27" s="439">
        <f t="shared" ref="G27:O27" si="4">SUM(G24:G26)</f>
        <v>0</v>
      </c>
      <c r="H27" s="440">
        <f t="shared" si="4"/>
        <v>0</v>
      </c>
      <c r="I27" s="441">
        <f t="shared" si="4"/>
        <v>0</v>
      </c>
      <c r="J27" s="442">
        <f t="shared" si="4"/>
        <v>0</v>
      </c>
      <c r="K27" s="443">
        <f t="shared" si="4"/>
        <v>0</v>
      </c>
      <c r="L27" s="441">
        <f t="shared" si="4"/>
        <v>0</v>
      </c>
      <c r="M27" s="442">
        <f t="shared" si="4"/>
        <v>0</v>
      </c>
      <c r="N27" s="443">
        <f t="shared" si="4"/>
        <v>0</v>
      </c>
      <c r="O27" s="441">
        <f t="shared" si="4"/>
        <v>0</v>
      </c>
      <c r="P27" s="443">
        <f t="shared" ref="P27:S27" si="5">SUM(P24:P26)</f>
        <v>0</v>
      </c>
      <c r="Q27" s="441">
        <f t="shared" si="5"/>
        <v>0</v>
      </c>
      <c r="R27" s="671">
        <f t="shared" si="5"/>
        <v>0</v>
      </c>
      <c r="S27" s="441">
        <f t="shared" si="5"/>
        <v>0</v>
      </c>
    </row>
    <row r="28" spans="1:19">
      <c r="B28" s="86"/>
      <c r="C28" s="86"/>
      <c r="E28" s="438"/>
      <c r="F28" s="438"/>
      <c r="G28" s="439"/>
      <c r="H28" s="440"/>
      <c r="I28" s="441"/>
      <c r="J28" s="442"/>
      <c r="K28" s="443"/>
      <c r="L28" s="441"/>
      <c r="M28" s="442"/>
      <c r="N28" s="443"/>
      <c r="O28" s="441"/>
      <c r="P28" s="443"/>
      <c r="Q28" s="441"/>
      <c r="R28" s="671"/>
      <c r="S28" s="441"/>
    </row>
    <row r="29" spans="1:19">
      <c r="B29" s="86" t="s">
        <v>39</v>
      </c>
      <c r="D29" s="86"/>
      <c r="E29" s="438"/>
      <c r="F29" s="438"/>
      <c r="G29" s="439"/>
      <c r="H29" s="440"/>
      <c r="I29" s="441"/>
      <c r="J29" s="442"/>
      <c r="K29" s="443"/>
      <c r="L29" s="441"/>
      <c r="M29" s="442"/>
      <c r="N29" s="443"/>
      <c r="O29" s="441"/>
      <c r="P29" s="443"/>
      <c r="Q29" s="441"/>
      <c r="R29" s="671"/>
      <c r="S29" s="441"/>
    </row>
    <row r="30" spans="1:19">
      <c r="A30" s="84">
        <v>13</v>
      </c>
      <c r="C30" s="86" t="s">
        <v>36</v>
      </c>
      <c r="D30" s="86"/>
      <c r="E30" s="438"/>
      <c r="F30" s="438"/>
      <c r="G30" s="439"/>
      <c r="H30" s="440"/>
      <c r="I30" s="441"/>
      <c r="J30" s="442"/>
      <c r="K30" s="443"/>
      <c r="L30" s="441"/>
      <c r="M30" s="442"/>
      <c r="N30" s="443"/>
      <c r="O30" s="441"/>
      <c r="P30" s="443"/>
      <c r="Q30" s="441"/>
      <c r="R30" s="671"/>
      <c r="S30" s="441"/>
    </row>
    <row r="31" spans="1:19">
      <c r="A31" s="84">
        <v>14</v>
      </c>
      <c r="C31" s="86" t="s">
        <v>171</v>
      </c>
      <c r="D31" s="86"/>
      <c r="E31" s="438"/>
      <c r="F31" s="438"/>
      <c r="G31" s="439"/>
      <c r="H31" s="440"/>
      <c r="I31" s="441"/>
      <c r="J31" s="442"/>
      <c r="K31" s="443"/>
      <c r="L31" s="441"/>
      <c r="M31" s="442"/>
      <c r="N31" s="443"/>
      <c r="O31" s="441"/>
      <c r="P31" s="443"/>
      <c r="Q31" s="441"/>
      <c r="R31" s="671"/>
      <c r="S31" s="441"/>
    </row>
    <row r="32" spans="1:19">
      <c r="A32" s="84">
        <v>15</v>
      </c>
      <c r="C32" s="86" t="s">
        <v>20</v>
      </c>
      <c r="D32" s="86"/>
      <c r="E32" s="683">
        <f>CF!E19</f>
        <v>3.8373999999999998E-2</v>
      </c>
      <c r="F32" s="438"/>
      <c r="G32" s="444">
        <v>0</v>
      </c>
      <c r="H32" s="445">
        <v>0</v>
      </c>
      <c r="I32" s="446">
        <v>-3380</v>
      </c>
      <c r="J32" s="447">
        <v>0</v>
      </c>
      <c r="K32" s="448">
        <v>0</v>
      </c>
      <c r="L32" s="446">
        <v>-3197</v>
      </c>
      <c r="M32" s="447">
        <v>0</v>
      </c>
      <c r="N32" s="448">
        <v>0</v>
      </c>
      <c r="O32" s="446">
        <v>-2548</v>
      </c>
      <c r="P32" s="448">
        <f t="shared" ref="P32:S32" si="6">ROUND(P11*$E32,0)</f>
        <v>0</v>
      </c>
      <c r="Q32" s="446">
        <v>-2586</v>
      </c>
      <c r="R32" s="672">
        <f t="shared" si="6"/>
        <v>0</v>
      </c>
      <c r="S32" s="446">
        <f t="shared" si="6"/>
        <v>-2068</v>
      </c>
    </row>
    <row r="33" spans="1:19">
      <c r="A33" s="84">
        <v>16</v>
      </c>
      <c r="B33" s="86" t="s">
        <v>40</v>
      </c>
      <c r="C33" s="86"/>
      <c r="E33" s="438"/>
      <c r="F33" s="438"/>
      <c r="G33" s="439">
        <f t="shared" ref="G33:O33" si="7">SUM(G30:G32)</f>
        <v>0</v>
      </c>
      <c r="H33" s="440">
        <f t="shared" si="7"/>
        <v>0</v>
      </c>
      <c r="I33" s="441">
        <f t="shared" si="7"/>
        <v>-3380</v>
      </c>
      <c r="J33" s="442">
        <f t="shared" si="7"/>
        <v>0</v>
      </c>
      <c r="K33" s="443">
        <f t="shared" si="7"/>
        <v>0</v>
      </c>
      <c r="L33" s="441">
        <f t="shared" si="7"/>
        <v>-3197</v>
      </c>
      <c r="M33" s="442">
        <f t="shared" si="7"/>
        <v>0</v>
      </c>
      <c r="N33" s="443">
        <f t="shared" si="7"/>
        <v>0</v>
      </c>
      <c r="O33" s="441">
        <f t="shared" si="7"/>
        <v>-2548</v>
      </c>
      <c r="P33" s="443">
        <f t="shared" ref="P33:S33" si="8">SUM(P30:P32)</f>
        <v>0</v>
      </c>
      <c r="Q33" s="441">
        <f t="shared" si="8"/>
        <v>-2586</v>
      </c>
      <c r="R33" s="671">
        <f t="shared" si="8"/>
        <v>0</v>
      </c>
      <c r="S33" s="441">
        <f t="shared" si="8"/>
        <v>-2068</v>
      </c>
    </row>
    <row r="34" spans="1:19">
      <c r="C34" s="86"/>
      <c r="D34" s="86"/>
      <c r="E34" s="438"/>
      <c r="F34" s="438"/>
      <c r="G34" s="439"/>
      <c r="H34" s="440"/>
      <c r="I34" s="441"/>
      <c r="J34" s="442"/>
      <c r="K34" s="443"/>
      <c r="L34" s="441"/>
      <c r="M34" s="442"/>
      <c r="N34" s="443"/>
      <c r="O34" s="441"/>
      <c r="P34" s="443"/>
      <c r="Q34" s="441"/>
      <c r="R34" s="671"/>
      <c r="S34" s="441"/>
    </row>
    <row r="35" spans="1:19">
      <c r="A35" s="84">
        <v>17</v>
      </c>
      <c r="B35" s="64" t="s">
        <v>41</v>
      </c>
      <c r="C35" s="86"/>
      <c r="D35" s="86"/>
      <c r="E35" s="683">
        <f>CF!E15</f>
        <v>3.7810000000000001E-3</v>
      </c>
      <c r="F35" s="438"/>
      <c r="G35" s="439">
        <v>0</v>
      </c>
      <c r="H35" s="440">
        <v>0</v>
      </c>
      <c r="I35" s="441">
        <v>-426</v>
      </c>
      <c r="J35" s="442">
        <v>0</v>
      </c>
      <c r="K35" s="443">
        <v>0</v>
      </c>
      <c r="L35" s="441">
        <v>-403</v>
      </c>
      <c r="M35" s="442">
        <v>0</v>
      </c>
      <c r="N35" s="443">
        <v>0</v>
      </c>
      <c r="O35" s="441">
        <v>-321</v>
      </c>
      <c r="P35" s="443">
        <f t="shared" ref="P35" si="9">ROUND(P11*$E35,0)</f>
        <v>0</v>
      </c>
      <c r="Q35" s="441">
        <v>-326</v>
      </c>
      <c r="R35" s="671">
        <f t="shared" ref="R35" si="10">ROUND(R11*$E35,0)</f>
        <v>0</v>
      </c>
      <c r="S35" s="441">
        <f>ROUND(S11*$E35,0)</f>
        <v>-204</v>
      </c>
    </row>
    <row r="36" spans="1:19">
      <c r="A36" s="84">
        <v>18</v>
      </c>
      <c r="B36" s="64" t="s">
        <v>42</v>
      </c>
      <c r="C36" s="86"/>
      <c r="D36" s="86"/>
      <c r="E36" s="438"/>
      <c r="F36" s="438"/>
      <c r="G36" s="439">
        <v>0</v>
      </c>
      <c r="H36" s="440"/>
      <c r="I36" s="441"/>
      <c r="J36" s="442">
        <v>0</v>
      </c>
      <c r="K36" s="443"/>
      <c r="L36" s="441"/>
      <c r="M36" s="442">
        <v>0</v>
      </c>
      <c r="N36" s="443"/>
      <c r="O36" s="441"/>
      <c r="P36" s="443"/>
      <c r="Q36" s="441"/>
      <c r="R36" s="671"/>
      <c r="S36" s="441"/>
    </row>
    <row r="37" spans="1:19">
      <c r="A37" s="84">
        <v>19</v>
      </c>
      <c r="B37" s="64" t="s">
        <v>43</v>
      </c>
      <c r="C37" s="86"/>
      <c r="D37" s="86"/>
      <c r="E37" s="438"/>
      <c r="F37" s="438"/>
      <c r="G37" s="439"/>
      <c r="H37" s="440"/>
      <c r="I37" s="441"/>
      <c r="J37" s="442"/>
      <c r="K37" s="443"/>
      <c r="L37" s="441"/>
      <c r="M37" s="442"/>
      <c r="N37" s="443"/>
      <c r="O37" s="441"/>
      <c r="P37" s="443"/>
      <c r="Q37" s="441"/>
      <c r="R37" s="671"/>
      <c r="S37" s="441"/>
    </row>
    <row r="38" spans="1:19">
      <c r="C38" s="86"/>
      <c r="D38" s="86"/>
      <c r="E38" s="438"/>
      <c r="F38" s="438"/>
      <c r="G38" s="439"/>
      <c r="H38" s="440"/>
      <c r="I38" s="441"/>
      <c r="J38" s="442"/>
      <c r="K38" s="443"/>
      <c r="L38" s="441"/>
      <c r="M38" s="442"/>
      <c r="N38" s="443"/>
      <c r="O38" s="441"/>
      <c r="P38" s="443"/>
      <c r="Q38" s="441"/>
      <c r="R38" s="671"/>
      <c r="S38" s="441"/>
    </row>
    <row r="39" spans="1:19">
      <c r="B39" s="64" t="s">
        <v>44</v>
      </c>
      <c r="C39" s="86"/>
      <c r="D39" s="86"/>
      <c r="E39" s="438"/>
      <c r="F39" s="438"/>
      <c r="G39" s="439"/>
      <c r="H39" s="440"/>
      <c r="I39" s="441"/>
      <c r="J39" s="442"/>
      <c r="K39" s="443"/>
      <c r="L39" s="441"/>
      <c r="M39" s="442"/>
      <c r="N39" s="443"/>
      <c r="O39" s="441"/>
      <c r="P39" s="443"/>
      <c r="Q39" s="441"/>
      <c r="R39" s="671"/>
      <c r="S39" s="441"/>
    </row>
    <row r="40" spans="1:19">
      <c r="A40" s="84">
        <v>20</v>
      </c>
      <c r="C40" s="86" t="s">
        <v>36</v>
      </c>
      <c r="D40" s="86"/>
      <c r="E40" s="683">
        <f>[10]ROR!N14</f>
        <v>2E-3</v>
      </c>
      <c r="F40" s="438"/>
      <c r="G40" s="439">
        <v>0</v>
      </c>
      <c r="H40" s="440">
        <v>0</v>
      </c>
      <c r="I40" s="441">
        <v>-176</v>
      </c>
      <c r="J40" s="442">
        <v>0</v>
      </c>
      <c r="K40" s="443">
        <v>0</v>
      </c>
      <c r="L40" s="441">
        <v>-167</v>
      </c>
      <c r="M40" s="442">
        <v>0</v>
      </c>
      <c r="N40" s="443">
        <v>0</v>
      </c>
      <c r="O40" s="441">
        <v>-133</v>
      </c>
      <c r="P40" s="443">
        <f t="shared" ref="P40:S40" si="11">ROUND(P11*$E40,0)</f>
        <v>0</v>
      </c>
      <c r="Q40" s="441">
        <v>-135</v>
      </c>
      <c r="R40" s="671">
        <f t="shared" si="11"/>
        <v>0</v>
      </c>
      <c r="S40" s="441">
        <f t="shared" si="11"/>
        <v>-108</v>
      </c>
    </row>
    <row r="41" spans="1:19">
      <c r="A41" s="84">
        <v>21</v>
      </c>
      <c r="C41" s="86" t="s">
        <v>171</v>
      </c>
      <c r="D41" s="86"/>
      <c r="G41" s="439"/>
      <c r="H41" s="440">
        <v>0</v>
      </c>
      <c r="I41" s="441"/>
      <c r="J41" s="442"/>
      <c r="K41" s="443">
        <v>0</v>
      </c>
      <c r="L41" s="441"/>
      <c r="M41" s="442"/>
      <c r="N41" s="443">
        <v>0</v>
      </c>
      <c r="O41" s="441"/>
      <c r="P41" s="443">
        <v>0</v>
      </c>
      <c r="Q41" s="441"/>
      <c r="R41" s="671">
        <v>0</v>
      </c>
      <c r="S41" s="441"/>
    </row>
    <row r="42" spans="1:19">
      <c r="A42" s="84">
        <v>22</v>
      </c>
      <c r="C42" s="359" t="s">
        <v>379</v>
      </c>
      <c r="D42" s="86"/>
      <c r="G42" s="439"/>
      <c r="H42" s="440"/>
      <c r="I42" s="441"/>
      <c r="J42" s="442"/>
      <c r="K42" s="443"/>
      <c r="L42" s="441"/>
      <c r="M42" s="442"/>
      <c r="N42" s="443"/>
      <c r="O42" s="441"/>
      <c r="P42" s="443"/>
      <c r="Q42" s="441"/>
      <c r="R42" s="671"/>
      <c r="S42" s="441"/>
    </row>
    <row r="43" spans="1:19">
      <c r="A43" s="84">
        <v>23</v>
      </c>
      <c r="C43" s="86" t="s">
        <v>20</v>
      </c>
      <c r="D43" s="86"/>
      <c r="G43" s="444"/>
      <c r="H43" s="445"/>
      <c r="I43" s="446"/>
      <c r="J43" s="447"/>
      <c r="K43" s="448"/>
      <c r="L43" s="446"/>
      <c r="M43" s="447"/>
      <c r="N43" s="448"/>
      <c r="O43" s="446"/>
      <c r="P43" s="448"/>
      <c r="Q43" s="446"/>
      <c r="R43" s="672"/>
      <c r="S43" s="446"/>
    </row>
    <row r="44" spans="1:19">
      <c r="A44" s="84">
        <v>24</v>
      </c>
      <c r="B44" s="86" t="s">
        <v>45</v>
      </c>
      <c r="C44" s="86"/>
      <c r="G44" s="450">
        <f t="shared" ref="G44:O44" si="12">SUM(G40:G43)</f>
        <v>0</v>
      </c>
      <c r="H44" s="451">
        <f t="shared" si="12"/>
        <v>0</v>
      </c>
      <c r="I44" s="452">
        <f t="shared" si="12"/>
        <v>-176</v>
      </c>
      <c r="J44" s="453">
        <f t="shared" si="12"/>
        <v>0</v>
      </c>
      <c r="K44" s="454">
        <f t="shared" si="12"/>
        <v>0</v>
      </c>
      <c r="L44" s="452">
        <f t="shared" si="12"/>
        <v>-167</v>
      </c>
      <c r="M44" s="453">
        <f t="shared" si="12"/>
        <v>0</v>
      </c>
      <c r="N44" s="454">
        <f t="shared" si="12"/>
        <v>0</v>
      </c>
      <c r="O44" s="452">
        <f t="shared" si="12"/>
        <v>-133</v>
      </c>
      <c r="P44" s="454">
        <f t="shared" ref="P44:S44" si="13">SUM(P40:P43)</f>
        <v>0</v>
      </c>
      <c r="Q44" s="452">
        <f t="shared" si="13"/>
        <v>-135</v>
      </c>
      <c r="R44" s="673">
        <f t="shared" si="13"/>
        <v>0</v>
      </c>
      <c r="S44" s="452">
        <f t="shared" si="13"/>
        <v>-108</v>
      </c>
    </row>
    <row r="45" spans="1:19">
      <c r="A45" s="84">
        <v>25</v>
      </c>
      <c r="B45" s="64" t="s">
        <v>46</v>
      </c>
      <c r="C45" s="86"/>
      <c r="D45" s="86"/>
      <c r="G45" s="450">
        <f t="shared" ref="G45:K45" si="14">G21+G27+G33+G35+G36+G37+G44</f>
        <v>0</v>
      </c>
      <c r="H45" s="451">
        <f t="shared" si="14"/>
        <v>0</v>
      </c>
      <c r="I45" s="452">
        <f t="shared" si="14"/>
        <v>-88169</v>
      </c>
      <c r="J45" s="453">
        <f t="shared" si="14"/>
        <v>0</v>
      </c>
      <c r="K45" s="454">
        <f t="shared" si="14"/>
        <v>0</v>
      </c>
      <c r="L45" s="452">
        <f t="shared" ref="L45:S45" si="15">L21+L27+L33+L35+L36+L37+L44</f>
        <v>-83401</v>
      </c>
      <c r="M45" s="453">
        <f t="shared" si="15"/>
        <v>0</v>
      </c>
      <c r="N45" s="454">
        <f t="shared" si="15"/>
        <v>0</v>
      </c>
      <c r="O45" s="452">
        <f t="shared" si="15"/>
        <v>-66463</v>
      </c>
      <c r="P45" s="454">
        <f t="shared" si="15"/>
        <v>0</v>
      </c>
      <c r="Q45" s="452">
        <f t="shared" si="15"/>
        <v>-67461</v>
      </c>
      <c r="R45" s="673">
        <f t="shared" si="15"/>
        <v>0</v>
      </c>
      <c r="S45" s="452">
        <f t="shared" si="15"/>
        <v>-53899</v>
      </c>
    </row>
    <row r="46" spans="1:19">
      <c r="C46" s="86"/>
      <c r="D46" s="86"/>
      <c r="G46" s="439"/>
      <c r="H46" s="440"/>
      <c r="I46" s="441"/>
      <c r="J46" s="442"/>
      <c r="K46" s="443"/>
      <c r="L46" s="441"/>
      <c r="M46" s="442"/>
      <c r="N46" s="443"/>
      <c r="O46" s="441"/>
      <c r="P46" s="443"/>
      <c r="Q46" s="441"/>
      <c r="R46" s="671"/>
      <c r="S46" s="441"/>
    </row>
    <row r="47" spans="1:19">
      <c r="A47" s="84">
        <v>26</v>
      </c>
      <c r="B47" s="64" t="s">
        <v>47</v>
      </c>
      <c r="C47" s="86"/>
      <c r="D47" s="86"/>
      <c r="G47" s="439">
        <f t="shared" ref="G47:O47" si="16">G14-G45</f>
        <v>0</v>
      </c>
      <c r="H47" s="440">
        <f t="shared" si="16"/>
        <v>0</v>
      </c>
      <c r="I47" s="441">
        <f t="shared" si="16"/>
        <v>0</v>
      </c>
      <c r="J47" s="442">
        <f t="shared" si="16"/>
        <v>0</v>
      </c>
      <c r="K47" s="443">
        <f t="shared" si="16"/>
        <v>0</v>
      </c>
      <c r="L47" s="441">
        <f t="shared" si="16"/>
        <v>1</v>
      </c>
      <c r="M47" s="442">
        <f t="shared" si="16"/>
        <v>0</v>
      </c>
      <c r="N47" s="443">
        <f t="shared" si="16"/>
        <v>0</v>
      </c>
      <c r="O47" s="441">
        <f t="shared" si="16"/>
        <v>0</v>
      </c>
      <c r="P47" s="443">
        <f t="shared" ref="P47:S47" si="17">P14-P45</f>
        <v>0</v>
      </c>
      <c r="Q47" s="441">
        <f t="shared" si="17"/>
        <v>0</v>
      </c>
      <c r="R47" s="671">
        <f t="shared" si="17"/>
        <v>0</v>
      </c>
      <c r="S47" s="441">
        <f t="shared" si="17"/>
        <v>0</v>
      </c>
    </row>
    <row r="48" spans="1:19">
      <c r="C48" s="86"/>
      <c r="D48" s="86"/>
      <c r="G48" s="439"/>
      <c r="H48" s="440"/>
      <c r="I48" s="441"/>
      <c r="J48" s="442"/>
      <c r="K48" s="443"/>
      <c r="L48" s="441"/>
      <c r="M48" s="442"/>
      <c r="N48" s="443"/>
      <c r="O48" s="441"/>
      <c r="P48" s="443"/>
      <c r="Q48" s="441"/>
      <c r="R48" s="671"/>
      <c r="S48" s="441"/>
    </row>
    <row r="49" spans="1:20">
      <c r="B49" s="64" t="s">
        <v>48</v>
      </c>
      <c r="C49" s="86"/>
      <c r="D49" s="86"/>
      <c r="G49" s="439"/>
      <c r="H49" s="440"/>
      <c r="I49" s="441"/>
      <c r="J49" s="442"/>
      <c r="K49" s="443"/>
      <c r="L49" s="441"/>
      <c r="M49" s="442"/>
      <c r="N49" s="443"/>
      <c r="O49" s="441"/>
      <c r="P49" s="443"/>
      <c r="Q49" s="441"/>
      <c r="R49" s="671"/>
      <c r="S49" s="441"/>
    </row>
    <row r="50" spans="1:20">
      <c r="A50" s="84">
        <v>27</v>
      </c>
      <c r="B50" s="86" t="s">
        <v>49</v>
      </c>
      <c r="D50" s="86"/>
      <c r="G50" s="439"/>
      <c r="H50" s="440"/>
      <c r="I50" s="441"/>
      <c r="J50" s="442"/>
      <c r="K50" s="443"/>
      <c r="L50" s="441"/>
      <c r="M50" s="442"/>
      <c r="N50" s="443"/>
      <c r="O50" s="441"/>
      <c r="P50" s="443"/>
      <c r="Q50" s="441"/>
      <c r="R50" s="671"/>
      <c r="S50" s="441"/>
    </row>
    <row r="51" spans="1:20">
      <c r="A51" s="84">
        <v>28</v>
      </c>
      <c r="B51" s="86" t="s">
        <v>155</v>
      </c>
      <c r="D51" s="86"/>
      <c r="G51" s="439"/>
      <c r="H51" s="440"/>
      <c r="I51" s="441"/>
      <c r="J51" s="442"/>
      <c r="K51" s="443"/>
      <c r="L51" s="441"/>
      <c r="M51" s="442"/>
      <c r="N51" s="443"/>
      <c r="O51" s="441"/>
      <c r="P51" s="443"/>
      <c r="Q51" s="441"/>
      <c r="R51" s="671"/>
      <c r="S51" s="441"/>
    </row>
    <row r="52" spans="1:20">
      <c r="A52" s="84">
        <v>29</v>
      </c>
      <c r="B52" s="86" t="s">
        <v>50</v>
      </c>
      <c r="D52" s="86"/>
      <c r="G52" s="439"/>
      <c r="H52" s="440"/>
      <c r="I52" s="441"/>
      <c r="J52" s="442"/>
      <c r="K52" s="443"/>
      <c r="L52" s="441"/>
      <c r="M52" s="442"/>
      <c r="N52" s="443"/>
      <c r="O52" s="441"/>
      <c r="P52" s="443"/>
      <c r="Q52" s="441"/>
      <c r="R52" s="671"/>
      <c r="S52" s="441"/>
    </row>
    <row r="53" spans="1:20">
      <c r="A53" s="84">
        <v>30</v>
      </c>
      <c r="B53" s="86" t="s">
        <v>51</v>
      </c>
      <c r="D53" s="86"/>
      <c r="G53" s="444"/>
      <c r="H53" s="445"/>
      <c r="I53" s="446"/>
      <c r="J53" s="447"/>
      <c r="K53" s="448"/>
      <c r="L53" s="446"/>
      <c r="M53" s="447"/>
      <c r="N53" s="448"/>
      <c r="O53" s="446"/>
      <c r="P53" s="448"/>
      <c r="Q53" s="446"/>
      <c r="R53" s="672"/>
      <c r="S53" s="446"/>
    </row>
    <row r="54" spans="1:20">
      <c r="G54" s="440"/>
      <c r="H54" s="440"/>
      <c r="I54" s="449"/>
      <c r="J54" s="443"/>
      <c r="K54" s="443"/>
      <c r="L54" s="449"/>
      <c r="M54" s="443"/>
      <c r="N54" s="443"/>
      <c r="O54" s="449"/>
      <c r="P54" s="443"/>
      <c r="Q54" s="449"/>
      <c r="R54" s="671"/>
      <c r="S54" s="449"/>
    </row>
    <row r="55" spans="1:20">
      <c r="A55" s="84">
        <v>31</v>
      </c>
      <c r="B55" s="85" t="s">
        <v>52</v>
      </c>
      <c r="C55" s="85"/>
      <c r="D55" s="85"/>
      <c r="G55" s="440">
        <f t="shared" ref="G55:K55" si="18">G47-G50-G51-G52-G53</f>
        <v>0</v>
      </c>
      <c r="H55" s="440">
        <f t="shared" si="18"/>
        <v>0</v>
      </c>
      <c r="I55" s="441">
        <f t="shared" si="18"/>
        <v>0</v>
      </c>
      <c r="J55" s="443">
        <f t="shared" si="18"/>
        <v>0</v>
      </c>
      <c r="K55" s="443">
        <f t="shared" si="18"/>
        <v>0</v>
      </c>
      <c r="L55" s="441">
        <f t="shared" ref="L55:S55" si="19">L47-L50-L51-L52-L53</f>
        <v>1</v>
      </c>
      <c r="M55" s="443">
        <f t="shared" si="19"/>
        <v>0</v>
      </c>
      <c r="N55" s="443">
        <f t="shared" si="19"/>
        <v>0</v>
      </c>
      <c r="O55" s="441">
        <f t="shared" si="19"/>
        <v>0</v>
      </c>
      <c r="P55" s="443">
        <f t="shared" si="19"/>
        <v>0</v>
      </c>
      <c r="Q55" s="441">
        <f t="shared" si="19"/>
        <v>0</v>
      </c>
      <c r="R55" s="671">
        <f t="shared" si="19"/>
        <v>0</v>
      </c>
      <c r="S55" s="441">
        <f t="shared" si="19"/>
        <v>0</v>
      </c>
    </row>
    <row r="56" spans="1:20">
      <c r="G56" s="420"/>
      <c r="H56" s="420"/>
      <c r="I56" s="426"/>
      <c r="J56" s="400"/>
      <c r="K56" s="400"/>
      <c r="L56" s="426"/>
      <c r="M56" s="400"/>
      <c r="N56" s="400"/>
      <c r="O56" s="426"/>
      <c r="P56" s="400"/>
      <c r="Q56" s="426"/>
      <c r="R56" s="668"/>
      <c r="S56" s="426"/>
    </row>
    <row r="57" spans="1:20">
      <c r="B57" s="90"/>
      <c r="C57" s="90"/>
      <c r="D57" s="90"/>
      <c r="I57" s="426"/>
      <c r="J57" s="419"/>
      <c r="K57" s="419"/>
      <c r="L57" s="426"/>
      <c r="O57" s="426"/>
      <c r="Q57" s="426"/>
      <c r="S57" s="426"/>
    </row>
    <row r="58" spans="1:20">
      <c r="I58" s="426"/>
      <c r="J58" s="419"/>
      <c r="K58" s="419"/>
      <c r="L58" s="426"/>
      <c r="O58" s="426"/>
      <c r="Q58" s="426"/>
      <c r="S58" s="426"/>
    </row>
    <row r="59" spans="1:20">
      <c r="I59" s="426"/>
      <c r="J59" s="419"/>
      <c r="K59" s="419"/>
      <c r="L59" s="426"/>
      <c r="O59" s="426"/>
      <c r="Q59" s="426"/>
      <c r="S59" s="426"/>
    </row>
    <row r="60" spans="1:20" ht="6" customHeight="1">
      <c r="I60" s="426"/>
      <c r="J60" s="419"/>
      <c r="K60" s="419"/>
      <c r="L60" s="426"/>
      <c r="O60" s="426"/>
      <c r="Q60" s="426"/>
      <c r="S60" s="426"/>
    </row>
    <row r="61" spans="1:20">
      <c r="D61" s="64" t="s">
        <v>519</v>
      </c>
      <c r="G61" s="455"/>
      <c r="H61" s="455"/>
      <c r="I61" s="680">
        <v>0</v>
      </c>
      <c r="J61" s="456"/>
      <c r="K61" s="456"/>
      <c r="L61" s="680">
        <v>0</v>
      </c>
      <c r="M61" s="456"/>
      <c r="N61" s="456"/>
      <c r="O61" s="680">
        <v>0</v>
      </c>
      <c r="P61" s="456"/>
      <c r="Q61" s="680">
        <v>0</v>
      </c>
      <c r="R61" s="674"/>
      <c r="S61" s="680">
        <v>0</v>
      </c>
    </row>
    <row r="62" spans="1:20">
      <c r="G62" s="455"/>
      <c r="H62" s="455"/>
      <c r="I62" s="680"/>
      <c r="J62" s="456"/>
      <c r="K62" s="456"/>
      <c r="L62" s="680"/>
      <c r="M62" s="456"/>
      <c r="N62" s="456"/>
      <c r="O62" s="680"/>
      <c r="P62" s="456"/>
      <c r="Q62" s="680"/>
      <c r="R62" s="674"/>
      <c r="S62" s="680"/>
    </row>
    <row r="63" spans="1:20">
      <c r="D63" s="64" t="s">
        <v>520</v>
      </c>
      <c r="G63" s="455"/>
      <c r="H63" s="455"/>
      <c r="I63" s="680">
        <v>779</v>
      </c>
      <c r="J63" s="456"/>
      <c r="K63" s="456"/>
      <c r="L63" s="441">
        <f>'2007-2018 data'!G20</f>
        <v>840</v>
      </c>
      <c r="M63" s="678"/>
      <c r="N63" s="678"/>
      <c r="O63" s="441">
        <f>'2007-2018 data'!H20</f>
        <v>994</v>
      </c>
      <c r="P63" s="678"/>
      <c r="Q63" s="441">
        <f>'2007-2018 data'!I20</f>
        <v>944</v>
      </c>
      <c r="R63" s="679"/>
      <c r="S63" s="441">
        <f>'2007-2018 data'!J20</f>
        <v>959</v>
      </c>
      <c r="T63" s="420"/>
    </row>
    <row r="64" spans="1:20">
      <c r="G64" s="455"/>
      <c r="H64" s="455"/>
      <c r="I64" s="680"/>
      <c r="J64" s="456"/>
      <c r="K64" s="456"/>
      <c r="L64" s="680"/>
      <c r="M64" s="456"/>
      <c r="N64" s="456"/>
      <c r="O64" s="680"/>
      <c r="P64" s="456"/>
      <c r="Q64" s="680"/>
      <c r="R64" s="674"/>
      <c r="S64" s="680"/>
    </row>
    <row r="65" spans="4:19">
      <c r="D65" s="64" t="s">
        <v>521</v>
      </c>
      <c r="I65" s="681">
        <f>'2007-2018 data'!F22+I21</f>
        <v>779</v>
      </c>
      <c r="J65" s="419"/>
      <c r="K65" s="419"/>
      <c r="L65" s="681">
        <f>'2007-2018 data'!G22+L21</f>
        <v>840</v>
      </c>
      <c r="O65" s="681">
        <f>'2007-2018 data'!H22+O21</f>
        <v>994</v>
      </c>
      <c r="Q65" s="681">
        <f>'2007-2018 data'!I22+Q21</f>
        <v>944</v>
      </c>
      <c r="S65" s="681">
        <f>'2007-2018 data'!J22+S21</f>
        <v>959</v>
      </c>
    </row>
  </sheetData>
  <mergeCells count="3">
    <mergeCell ref="G6:I6"/>
    <mergeCell ref="J6:L6"/>
    <mergeCell ref="M6:O6"/>
  </mergeCells>
  <pageMargins left="0.32" right="0.4" top="0.3" bottom="0.36" header="0.3" footer="0.27"/>
  <pageSetup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K140"/>
  <sheetViews>
    <sheetView zoomScaleNormal="100" workbookViewId="0">
      <selection activeCell="M25" sqref="M25"/>
    </sheetView>
  </sheetViews>
  <sheetFormatPr defaultColWidth="10.7109375" defaultRowHeight="12.75"/>
  <cols>
    <col min="1" max="1" width="8.28515625" style="105" customWidth="1"/>
    <col min="2" max="2" width="18.7109375" style="106" customWidth="1"/>
    <col min="3" max="4" width="10.7109375" style="99" customWidth="1"/>
    <col min="5" max="5" width="10.140625" style="99" customWidth="1"/>
    <col min="6" max="6" width="14.7109375" style="107" customWidth="1"/>
    <col min="7" max="7" width="11.140625" style="99" bestFit="1" customWidth="1"/>
    <col min="8" max="8" width="2.140625" style="99" customWidth="1"/>
    <col min="9" max="9" width="14.140625" style="99" customWidth="1"/>
    <col min="10" max="10" width="11.42578125" style="99" bestFit="1" customWidth="1"/>
    <col min="11" max="16384" width="10.7109375" style="99"/>
  </cols>
  <sheetData>
    <row r="1" spans="1:9">
      <c r="A1" s="947" t="s">
        <v>102</v>
      </c>
      <c r="B1" s="947"/>
      <c r="C1" s="947"/>
      <c r="D1" s="947"/>
      <c r="E1" s="947"/>
      <c r="F1" s="947"/>
      <c r="G1" s="947"/>
      <c r="H1" s="947"/>
    </row>
    <row r="2" spans="1:9">
      <c r="A2" s="948" t="s">
        <v>116</v>
      </c>
      <c r="B2" s="948"/>
      <c r="C2" s="948"/>
      <c r="D2" s="948"/>
      <c r="E2" s="948"/>
      <c r="F2" s="948"/>
      <c r="G2" s="948"/>
      <c r="H2" s="948"/>
    </row>
    <row r="3" spans="1:9">
      <c r="A3" s="948" t="s">
        <v>205</v>
      </c>
      <c r="B3" s="948"/>
      <c r="C3" s="948"/>
      <c r="D3" s="948"/>
      <c r="E3" s="948"/>
      <c r="F3" s="948"/>
      <c r="G3" s="948"/>
      <c r="H3" s="948"/>
    </row>
    <row r="4" spans="1:9">
      <c r="A4" s="949" t="str">
        <f>'ROO INPUT'!A5:C5</f>
        <v>TWELVE MONTHS ENDED DECEMBER 31, 2018</v>
      </c>
      <c r="B4" s="949"/>
      <c r="C4" s="949"/>
      <c r="D4" s="949"/>
      <c r="E4" s="949"/>
      <c r="F4" s="949"/>
      <c r="G4" s="949"/>
      <c r="H4" s="949"/>
    </row>
    <row r="5" spans="1:9">
      <c r="A5" s="950" t="s">
        <v>105</v>
      </c>
      <c r="B5" s="950"/>
      <c r="C5" s="950"/>
      <c r="D5" s="950"/>
      <c r="E5" s="950"/>
      <c r="F5" s="950"/>
      <c r="G5" s="950"/>
      <c r="H5" s="950"/>
    </row>
    <row r="6" spans="1:9" ht="13.5" thickBot="1">
      <c r="A6" s="100"/>
      <c r="B6" s="101"/>
      <c r="C6" s="102"/>
      <c r="D6" s="103"/>
      <c r="E6" s="103"/>
      <c r="F6" s="103"/>
      <c r="I6" s="104" t="s">
        <v>176</v>
      </c>
    </row>
    <row r="7" spans="1:9" ht="13.5" thickBot="1">
      <c r="C7" s="107"/>
      <c r="D7" s="107"/>
      <c r="E7" s="944" t="s">
        <v>116</v>
      </c>
      <c r="F7" s="945"/>
      <c r="G7" s="946"/>
      <c r="I7" s="104" t="s">
        <v>177</v>
      </c>
    </row>
    <row r="8" spans="1:9">
      <c r="C8" s="107"/>
      <c r="D8" s="107"/>
      <c r="E8" s="105" t="e">
        <f>#REF!</f>
        <v>#REF!</v>
      </c>
      <c r="F8" s="203"/>
      <c r="G8" s="203"/>
      <c r="I8" s="104"/>
    </row>
    <row r="9" spans="1:9">
      <c r="C9" s="107"/>
      <c r="D9" s="107"/>
      <c r="E9" s="108" t="s">
        <v>19</v>
      </c>
      <c r="F9" s="104" t="s">
        <v>386</v>
      </c>
      <c r="G9" s="104" t="s">
        <v>387</v>
      </c>
      <c r="I9" s="104" t="s">
        <v>178</v>
      </c>
    </row>
    <row r="10" spans="1:9">
      <c r="B10" s="109" t="s">
        <v>106</v>
      </c>
      <c r="C10" s="107"/>
      <c r="D10" s="107"/>
      <c r="E10" s="110" t="s">
        <v>179</v>
      </c>
      <c r="F10" s="111" t="s">
        <v>107</v>
      </c>
      <c r="G10" s="111" t="s">
        <v>180</v>
      </c>
      <c r="I10" s="111" t="str">
        <f>F10</f>
        <v>Adjustments</v>
      </c>
    </row>
    <row r="11" spans="1:9">
      <c r="A11" s="105">
        <f>'ADJ SUMMARY'!A8</f>
        <v>1</v>
      </c>
      <c r="B11" s="106" t="str">
        <f>'ADJ SUMMARY'!C8</f>
        <v>Per Results Report</v>
      </c>
      <c r="C11" s="107"/>
      <c r="D11" s="107"/>
      <c r="E11" s="112">
        <f>'ADJ SUMMARY'!E8</f>
        <v>348658</v>
      </c>
      <c r="F11" s="112"/>
      <c r="G11" s="156">
        <f>SUM(E11:F11)</f>
        <v>348658</v>
      </c>
      <c r="H11" s="156"/>
      <c r="I11" s="156">
        <f>ROUND(E11*$E$32*-$E$39,0)-(E36*-E39)</f>
        <v>58.659999999999854</v>
      </c>
    </row>
    <row r="12" spans="1:9">
      <c r="A12" s="105">
        <f>'ADJ SUMMARY'!A9</f>
        <v>1.01</v>
      </c>
      <c r="B12" s="106" t="str">
        <f>'ADJ SUMMARY'!C9</f>
        <v>Deferred FIT Rate Base</v>
      </c>
      <c r="C12" s="107"/>
      <c r="D12" s="107"/>
      <c r="E12" s="156"/>
      <c r="F12" s="112">
        <f>'ADJ SUMMARY'!E9</f>
        <v>-1247</v>
      </c>
      <c r="G12" s="156">
        <f>SUM(E12:F12)</f>
        <v>-1247</v>
      </c>
      <c r="H12" s="156"/>
      <c r="I12" s="156">
        <f>ROUND(F12*$E$32*-$E$39,0)</f>
        <v>7</v>
      </c>
    </row>
    <row r="13" spans="1:9">
      <c r="A13" s="105">
        <f>'ADJ SUMMARY'!A10</f>
        <v>1.02</v>
      </c>
      <c r="B13" s="106" t="str">
        <f>'ADJ SUMMARY'!C10</f>
        <v>Deferred Debits and Credits</v>
      </c>
      <c r="C13" s="107"/>
      <c r="D13" s="107"/>
      <c r="E13" s="156"/>
      <c r="F13" s="112">
        <f>'ADJ SUMMARY'!E10</f>
        <v>-7</v>
      </c>
      <c r="G13" s="156">
        <f>SUM(E13:F13)</f>
        <v>-7</v>
      </c>
      <c r="H13" s="156"/>
      <c r="I13" s="156">
        <f>ROUND(F13*$E$32*-$E$39,0)</f>
        <v>0</v>
      </c>
    </row>
    <row r="14" spans="1:9">
      <c r="A14" s="105">
        <f>'ADJ SUMMARY'!A11</f>
        <v>1.03</v>
      </c>
      <c r="B14" s="106" t="str">
        <f>'ADJ SUMMARY'!C11</f>
        <v>Working Capital</v>
      </c>
      <c r="C14" s="107"/>
      <c r="D14" s="107"/>
      <c r="E14" s="156"/>
      <c r="F14" s="112">
        <f>'ADJ SUMMARY'!E11</f>
        <v>0</v>
      </c>
      <c r="G14" s="156">
        <f>SUM(E14:F14)</f>
        <v>0</v>
      </c>
      <c r="H14" s="156"/>
      <c r="I14" s="156">
        <f>ROUND(F14*$E$32*-$E$39,0)</f>
        <v>0</v>
      </c>
    </row>
    <row r="15" spans="1:9">
      <c r="A15" s="105">
        <f>'ADJ SUMMARY'!A12</f>
        <v>1.04</v>
      </c>
      <c r="B15" s="106" t="str">
        <f>'ADJ SUMMARY'!C12</f>
        <v>Remove AMI Rate Base</v>
      </c>
      <c r="C15" s="107"/>
      <c r="D15" s="107"/>
      <c r="E15" s="156"/>
      <c r="F15" s="112">
        <f>'ADJ SUMMARY'!E12</f>
        <v>-6038</v>
      </c>
      <c r="G15" s="156">
        <f>SUM(E15:F15)</f>
        <v>-6038</v>
      </c>
      <c r="H15" s="156"/>
      <c r="I15" s="156">
        <f>ROUND(F15*$E$32*-$E$39,0)</f>
        <v>36</v>
      </c>
    </row>
    <row r="16" spans="1:9">
      <c r="A16" s="105">
        <f>'ADJ SUMMARY'!A13</f>
        <v>2.0099999999999998</v>
      </c>
      <c r="B16" s="106" t="str">
        <f>'ADJ SUMMARY'!C13</f>
        <v>Eliminate B &amp; O Taxes</v>
      </c>
      <c r="C16" s="107"/>
      <c r="D16" s="107"/>
      <c r="E16" s="156"/>
      <c r="F16" s="112">
        <f>'ADJ SUMMARY'!E13</f>
        <v>0</v>
      </c>
      <c r="G16" s="156">
        <f t="shared" ref="G16:G29" si="0">SUM(E16:F16)</f>
        <v>0</v>
      </c>
      <c r="H16" s="156"/>
      <c r="I16" s="156">
        <f t="shared" ref="I16:I29" si="1">ROUND(F16*$E$32*-$E$39,0)</f>
        <v>0</v>
      </c>
    </row>
    <row r="17" spans="1:9">
      <c r="A17" s="105">
        <f>'ADJ SUMMARY'!A14</f>
        <v>2.0199999999999996</v>
      </c>
      <c r="B17" s="106" t="str">
        <f>'ADJ SUMMARY'!C14</f>
        <v>Restate Property Tax</v>
      </c>
      <c r="C17" s="107"/>
      <c r="D17" s="107"/>
      <c r="E17" s="156"/>
      <c r="F17" s="112">
        <f>'ADJ SUMMARY'!E14</f>
        <v>0</v>
      </c>
      <c r="G17" s="156">
        <f t="shared" si="0"/>
        <v>0</v>
      </c>
      <c r="H17" s="156"/>
      <c r="I17" s="156">
        <f t="shared" si="1"/>
        <v>0</v>
      </c>
    </row>
    <row r="18" spans="1:9">
      <c r="A18" s="105">
        <f>'ADJ SUMMARY'!A15</f>
        <v>2.0299999999999994</v>
      </c>
      <c r="B18" s="106" t="str">
        <f>'ADJ SUMMARY'!C15</f>
        <v>Uncollectible Expense</v>
      </c>
      <c r="C18" s="107"/>
      <c r="D18" s="107"/>
      <c r="E18" s="156"/>
      <c r="F18" s="112">
        <f>'ADJ SUMMARY'!E15</f>
        <v>0</v>
      </c>
      <c r="G18" s="156">
        <f t="shared" si="0"/>
        <v>0</v>
      </c>
      <c r="H18" s="156"/>
      <c r="I18" s="156">
        <f t="shared" si="1"/>
        <v>0</v>
      </c>
    </row>
    <row r="19" spans="1:9">
      <c r="A19" s="105">
        <f>'ADJ SUMMARY'!A16</f>
        <v>2.0399999999999991</v>
      </c>
      <c r="B19" s="106" t="str">
        <f>'ADJ SUMMARY'!C16</f>
        <v>Regulatory Expense</v>
      </c>
      <c r="C19" s="107"/>
      <c r="D19" s="107"/>
      <c r="E19" s="156"/>
      <c r="F19" s="112">
        <f>'ADJ SUMMARY'!E16</f>
        <v>0</v>
      </c>
      <c r="G19" s="156">
        <f t="shared" si="0"/>
        <v>0</v>
      </c>
      <c r="H19" s="156"/>
      <c r="I19" s="156">
        <f t="shared" si="1"/>
        <v>0</v>
      </c>
    </row>
    <row r="20" spans="1:9">
      <c r="A20" s="105">
        <f>'ADJ SUMMARY'!A17</f>
        <v>2.0499999999999989</v>
      </c>
      <c r="B20" s="106" t="str">
        <f>'ADJ SUMMARY'!C17</f>
        <v>Injuries &amp; Damages</v>
      </c>
      <c r="C20" s="107"/>
      <c r="D20" s="107"/>
      <c r="E20" s="156"/>
      <c r="F20" s="112">
        <f>'ADJ SUMMARY'!E17</f>
        <v>0</v>
      </c>
      <c r="G20" s="156">
        <f t="shared" si="0"/>
        <v>0</v>
      </c>
      <c r="H20" s="156"/>
      <c r="I20" s="156">
        <f t="shared" si="1"/>
        <v>0</v>
      </c>
    </row>
    <row r="21" spans="1:9">
      <c r="A21" s="105">
        <f>'ADJ SUMMARY'!A18</f>
        <v>2.0599999999999987</v>
      </c>
      <c r="B21" s="106" t="str">
        <f>'ADJ SUMMARY'!C18</f>
        <v>FIT / DFIT Expense</v>
      </c>
      <c r="C21" s="107"/>
      <c r="D21" s="107"/>
      <c r="E21" s="156"/>
      <c r="F21" s="112">
        <f>'ADJ SUMMARY'!E18</f>
        <v>0</v>
      </c>
      <c r="G21" s="156">
        <f t="shared" si="0"/>
        <v>0</v>
      </c>
      <c r="H21" s="156"/>
      <c r="I21" s="156">
        <f t="shared" si="1"/>
        <v>0</v>
      </c>
    </row>
    <row r="22" spans="1:9">
      <c r="A22" s="105">
        <f>'ADJ SUMMARY'!A19</f>
        <v>2.0699999999999985</v>
      </c>
      <c r="B22" s="106" t="str">
        <f>'ADJ SUMMARY'!C19</f>
        <v>Office Space Charges to Non-Utility</v>
      </c>
      <c r="C22" s="107"/>
      <c r="D22" s="107"/>
      <c r="E22" s="156"/>
      <c r="F22" s="112">
        <f>'ADJ SUMMARY'!E19</f>
        <v>0</v>
      </c>
      <c r="G22" s="156">
        <f t="shared" si="0"/>
        <v>0</v>
      </c>
      <c r="H22" s="156"/>
      <c r="I22" s="156">
        <f t="shared" si="1"/>
        <v>0</v>
      </c>
    </row>
    <row r="23" spans="1:9">
      <c r="A23" s="105">
        <f>'ADJ SUMMARY'!A20</f>
        <v>2.0799999999999983</v>
      </c>
      <c r="B23" s="106" t="str">
        <f>'ADJ SUMMARY'!C20</f>
        <v>Restate Excise Taxes</v>
      </c>
      <c r="C23" s="107"/>
      <c r="D23" s="107"/>
      <c r="E23" s="156"/>
      <c r="F23" s="112">
        <f>'ADJ SUMMARY'!E20</f>
        <v>0</v>
      </c>
      <c r="G23" s="156">
        <f t="shared" si="0"/>
        <v>0</v>
      </c>
      <c r="H23" s="156"/>
      <c r="I23" s="156">
        <f t="shared" si="1"/>
        <v>0</v>
      </c>
    </row>
    <row r="24" spans="1:9">
      <c r="A24" s="105">
        <f>'ADJ SUMMARY'!A21</f>
        <v>2.0899999999999981</v>
      </c>
      <c r="B24" s="106" t="str">
        <f>'ADJ SUMMARY'!C21</f>
        <v>Net Gains &amp; Losses</v>
      </c>
      <c r="C24" s="107"/>
      <c r="D24" s="107"/>
      <c r="E24" s="156"/>
      <c r="F24" s="112">
        <f>'ADJ SUMMARY'!E21</f>
        <v>0</v>
      </c>
      <c r="G24" s="156">
        <f t="shared" si="0"/>
        <v>0</v>
      </c>
      <c r="H24" s="156"/>
      <c r="I24" s="156">
        <f t="shared" si="1"/>
        <v>0</v>
      </c>
    </row>
    <row r="25" spans="1:9">
      <c r="A25" s="105">
        <f>'ADJ SUMMARY'!A22</f>
        <v>2.0999999999999979</v>
      </c>
      <c r="B25" s="106" t="str">
        <f>'ADJ SUMMARY'!C22</f>
        <v>Weather Normalization / Gas Cost Adjust</v>
      </c>
      <c r="C25" s="107"/>
      <c r="D25" s="107"/>
      <c r="E25" s="156"/>
      <c r="F25" s="112">
        <f>'ADJ SUMMARY'!E22</f>
        <v>0</v>
      </c>
      <c r="G25" s="156">
        <f t="shared" si="0"/>
        <v>0</v>
      </c>
      <c r="H25" s="156"/>
      <c r="I25" s="156">
        <f t="shared" si="1"/>
        <v>0</v>
      </c>
    </row>
    <row r="26" spans="1:9">
      <c r="A26" s="105">
        <f>'ADJ SUMMARY'!A23</f>
        <v>2.1099999999999977</v>
      </c>
      <c r="B26" s="106" t="str">
        <f>'ADJ SUMMARY'!C23</f>
        <v>Eliminate Adder Schedules</v>
      </c>
      <c r="C26" s="107"/>
      <c r="D26" s="107"/>
      <c r="E26" s="156"/>
      <c r="F26" s="112">
        <f>'ADJ SUMMARY'!E23</f>
        <v>0</v>
      </c>
      <c r="G26" s="156">
        <f t="shared" si="0"/>
        <v>0</v>
      </c>
      <c r="H26" s="156"/>
      <c r="I26" s="156">
        <f t="shared" si="1"/>
        <v>0</v>
      </c>
    </row>
    <row r="27" spans="1:9">
      <c r="A27" s="105">
        <f>'ADJ SUMMARY'!A24</f>
        <v>2.1199999999999974</v>
      </c>
      <c r="B27" s="106" t="str">
        <f>'ADJ SUMMARY'!C24</f>
        <v>Misc. Restating Non-Util / Non- Recurring Expense</v>
      </c>
      <c r="C27" s="107"/>
      <c r="D27" s="107"/>
      <c r="E27" s="156"/>
      <c r="F27" s="112">
        <f>'ADJ SUMMARY'!E24</f>
        <v>0</v>
      </c>
      <c r="G27" s="156">
        <f t="shared" si="0"/>
        <v>0</v>
      </c>
      <c r="H27" s="156"/>
      <c r="I27" s="156">
        <f t="shared" si="1"/>
        <v>0</v>
      </c>
    </row>
    <row r="28" spans="1:9">
      <c r="A28" s="105">
        <f>'ADJ SUMMARY'!A25</f>
        <v>2.1299999999999972</v>
      </c>
      <c r="B28" s="106" t="str">
        <f>'ADJ SUMMARY'!C25</f>
        <v>Restating Incentives Expense</v>
      </c>
      <c r="C28" s="107"/>
      <c r="D28" s="107"/>
      <c r="E28" s="156"/>
      <c r="F28" s="112">
        <f>'ADJ SUMMARY'!E25</f>
        <v>0</v>
      </c>
      <c r="G28" s="156">
        <f t="shared" si="0"/>
        <v>0</v>
      </c>
      <c r="H28" s="156"/>
      <c r="I28" s="156">
        <f t="shared" si="1"/>
        <v>0</v>
      </c>
    </row>
    <row r="29" spans="1:9">
      <c r="A29" s="105">
        <f>'ADJ SUMMARY'!A26</f>
        <v>2.139999999999997</v>
      </c>
      <c r="B29" s="106" t="str">
        <f>'ADJ SUMMARY'!C26</f>
        <v>Restate Debt Interest</v>
      </c>
      <c r="C29" s="107"/>
      <c r="D29" s="107"/>
      <c r="E29" s="855"/>
      <c r="F29" s="856">
        <f>'ADJ SUMMARY'!E26</f>
        <v>0</v>
      </c>
      <c r="G29" s="855">
        <f t="shared" si="0"/>
        <v>0</v>
      </c>
      <c r="H29" s="855"/>
      <c r="I29" s="855">
        <f t="shared" si="1"/>
        <v>0</v>
      </c>
    </row>
    <row r="30" spans="1:9">
      <c r="B30" s="113"/>
      <c r="C30" s="107"/>
      <c r="D30" s="107"/>
      <c r="E30" s="157">
        <f>SUM(E11:E29)</f>
        <v>348658</v>
      </c>
      <c r="F30" s="157">
        <f>SUM(F11:F29)</f>
        <v>-7292</v>
      </c>
      <c r="G30" s="157">
        <f>SUM(G11:G29)</f>
        <v>341366</v>
      </c>
      <c r="H30" s="157"/>
      <c r="I30" s="157"/>
    </row>
    <row r="31" spans="1:9" ht="5.25" customHeight="1">
      <c r="C31" s="107"/>
      <c r="D31" s="107"/>
      <c r="E31" s="157"/>
      <c r="F31" s="157"/>
      <c r="G31" s="157"/>
      <c r="H31" s="156"/>
      <c r="I31" s="156"/>
    </row>
    <row r="32" spans="1:9">
      <c r="B32" s="106" t="s">
        <v>115</v>
      </c>
      <c r="C32" s="107"/>
      <c r="D32" s="107"/>
      <c r="E32" s="163">
        <f>'RR SUMMARY'!P13</f>
        <v>2.8299999999999999E-2</v>
      </c>
      <c r="F32" s="163">
        <f>E32-I32</f>
        <v>2.8299999999999999E-2</v>
      </c>
      <c r="G32" s="163"/>
      <c r="H32" s="162"/>
      <c r="I32" s="163"/>
    </row>
    <row r="33" spans="1:11" ht="6" customHeight="1">
      <c r="C33" s="107"/>
      <c r="D33" s="107"/>
      <c r="E33" s="157"/>
      <c r="F33" s="157"/>
      <c r="G33" s="157"/>
      <c r="H33" s="156"/>
      <c r="I33" s="156"/>
    </row>
    <row r="34" spans="1:11">
      <c r="B34" s="106" t="s">
        <v>108</v>
      </c>
      <c r="C34" s="107"/>
      <c r="D34" s="107"/>
      <c r="E34" s="157">
        <f>E30*E32</f>
        <v>9867.0213999999996</v>
      </c>
      <c r="F34" s="157">
        <f>F30*F32</f>
        <v>-206.36359999999999</v>
      </c>
      <c r="G34" s="157">
        <f>SUM(E34:F34)</f>
        <v>9660.657799999999</v>
      </c>
      <c r="H34" s="156"/>
      <c r="I34" s="157">
        <f>SUM(I11:I29)</f>
        <v>101.65999999999985</v>
      </c>
    </row>
    <row r="35" spans="1:11">
      <c r="C35" s="107"/>
      <c r="D35" s="107"/>
      <c r="E35" s="157"/>
      <c r="F35" s="157"/>
      <c r="G35" s="157"/>
      <c r="H35" s="156"/>
      <c r="I35" s="157"/>
    </row>
    <row r="36" spans="1:11">
      <c r="B36" s="106" t="s">
        <v>206</v>
      </c>
      <c r="C36" s="107"/>
      <c r="D36" s="107"/>
      <c r="E36" s="159">
        <v>10146</v>
      </c>
      <c r="F36" s="159"/>
      <c r="G36" s="158">
        <f>SUM(E36:F36)</f>
        <v>10146</v>
      </c>
      <c r="H36" s="156"/>
      <c r="I36" s="201"/>
    </row>
    <row r="37" spans="1:11" ht="5.25" customHeight="1">
      <c r="C37" s="107"/>
      <c r="D37" s="107"/>
      <c r="E37" s="157"/>
      <c r="F37" s="157"/>
      <c r="G37" s="157"/>
      <c r="H37" s="156"/>
      <c r="I37" s="202"/>
    </row>
    <row r="38" spans="1:11">
      <c r="B38" s="106" t="s">
        <v>109</v>
      </c>
      <c r="C38" s="107"/>
      <c r="D38" s="107"/>
      <c r="E38" s="157">
        <f>E34-E36</f>
        <v>-278.97860000000037</v>
      </c>
      <c r="F38" s="157">
        <f>F34-F36</f>
        <v>-206.36359999999999</v>
      </c>
      <c r="G38" s="157">
        <f>SUM(E38:F38)</f>
        <v>-485.34220000000039</v>
      </c>
      <c r="H38" s="156"/>
      <c r="I38" s="202"/>
    </row>
    <row r="39" spans="1:11" ht="18" customHeight="1">
      <c r="B39" s="106" t="s">
        <v>110</v>
      </c>
      <c r="D39" s="107"/>
      <c r="E39" s="161">
        <v>0.21</v>
      </c>
      <c r="F39" s="161">
        <v>0.21</v>
      </c>
      <c r="G39" s="161"/>
      <c r="H39" s="162"/>
      <c r="I39" s="161"/>
    </row>
    <row r="40" spans="1:11" ht="5.25" customHeight="1" thickBot="1">
      <c r="D40" s="107"/>
      <c r="E40" s="157"/>
      <c r="F40" s="157"/>
      <c r="G40" s="157"/>
      <c r="H40" s="156"/>
      <c r="I40" s="157"/>
    </row>
    <row r="41" spans="1:11" ht="13.5" thickBot="1">
      <c r="B41" s="106" t="s">
        <v>111</v>
      </c>
      <c r="D41" s="107"/>
      <c r="E41" s="204">
        <f>ROUND(E38*-E39,0)</f>
        <v>59</v>
      </c>
      <c r="F41" s="160">
        <f>ROUND(F38*-F39,0)</f>
        <v>43</v>
      </c>
      <c r="G41" s="160">
        <f>SUM(E41:F41)</f>
        <v>102</v>
      </c>
      <c r="H41" s="156"/>
      <c r="I41" s="160">
        <f>I34</f>
        <v>101.65999999999985</v>
      </c>
      <c r="J41" s="686" t="s">
        <v>596</v>
      </c>
    </row>
    <row r="42" spans="1:11">
      <c r="F42" s="115"/>
      <c r="J42" s="128">
        <f>'ADJ DETAIL INPUT-Restated CB'!X54+'ADJ DETAIL INPUT-Restated CB'!W53-I41</f>
        <v>0.67635600000014051</v>
      </c>
      <c r="K42" s="99" t="s">
        <v>521</v>
      </c>
    </row>
    <row r="43" spans="1:11" hidden="1">
      <c r="A43" s="116" t="s">
        <v>181</v>
      </c>
      <c r="B43" s="117" t="s">
        <v>182</v>
      </c>
    </row>
    <row r="44" spans="1:11" hidden="1">
      <c r="B44" s="109" t="s">
        <v>183</v>
      </c>
    </row>
    <row r="45" spans="1:11" hidden="1">
      <c r="B45" s="106" t="s">
        <v>184</v>
      </c>
      <c r="C45" s="118">
        <v>2430</v>
      </c>
      <c r="H45" s="99" t="s">
        <v>185</v>
      </c>
    </row>
    <row r="46" spans="1:11" hidden="1">
      <c r="B46" s="106" t="s">
        <v>186</v>
      </c>
      <c r="C46" s="119">
        <v>2935</v>
      </c>
      <c r="H46" s="99" t="s">
        <v>185</v>
      </c>
    </row>
    <row r="47" spans="1:11" hidden="1">
      <c r="B47" s="106" t="s">
        <v>187</v>
      </c>
      <c r="C47" s="120">
        <f>C45+C46</f>
        <v>5365</v>
      </c>
    </row>
    <row r="48" spans="1:11" hidden="1">
      <c r="C48" s="114"/>
    </row>
    <row r="49" spans="1:6" hidden="1">
      <c r="C49" s="121"/>
      <c r="D49" s="104"/>
      <c r="E49" s="104" t="s">
        <v>188</v>
      </c>
    </row>
    <row r="50" spans="1:6" hidden="1">
      <c r="C50" s="111" t="s">
        <v>189</v>
      </c>
      <c r="D50" s="111" t="s">
        <v>190</v>
      </c>
      <c r="E50" s="111" t="s">
        <v>23</v>
      </c>
    </row>
    <row r="51" spans="1:6" hidden="1">
      <c r="B51" s="106" t="s">
        <v>191</v>
      </c>
      <c r="C51" s="122" t="e">
        <f>#REF!</f>
        <v>#REF!</v>
      </c>
      <c r="D51" s="123" t="e">
        <f>ROUND(C51/$C$54,4)</f>
        <v>#REF!</v>
      </c>
      <c r="E51" s="122" t="e">
        <f>D51*E54</f>
        <v>#REF!</v>
      </c>
      <c r="F51" s="124"/>
    </row>
    <row r="52" spans="1:6" hidden="1">
      <c r="B52" s="106" t="s">
        <v>192</v>
      </c>
      <c r="C52" s="125" t="e">
        <f>#REF!</f>
        <v>#REF!</v>
      </c>
      <c r="D52" s="123" t="e">
        <f>ROUND(C52/$C$54,4)</f>
        <v>#REF!</v>
      </c>
      <c r="E52" s="125" t="e">
        <f>D52*E54</f>
        <v>#REF!</v>
      </c>
    </row>
    <row r="53" spans="1:6" hidden="1">
      <c r="B53" s="106" t="s">
        <v>193</v>
      </c>
      <c r="C53" s="125" t="e">
        <f>#REF!</f>
        <v>#REF!</v>
      </c>
      <c r="D53" s="123" t="e">
        <f>ROUND(C53/$C$54,4)-0.0001</f>
        <v>#REF!</v>
      </c>
      <c r="E53" s="125" t="e">
        <f>E54*D53</f>
        <v>#REF!</v>
      </c>
    </row>
    <row r="54" spans="1:6" hidden="1">
      <c r="B54" s="106" t="s">
        <v>194</v>
      </c>
      <c r="C54" s="126" t="e">
        <f>C51+C52+C53</f>
        <v>#REF!</v>
      </c>
      <c r="D54" s="127" t="e">
        <f>D51+D52+D53</f>
        <v>#REF!</v>
      </c>
      <c r="E54" s="126">
        <f>C47</f>
        <v>5365</v>
      </c>
    </row>
    <row r="55" spans="1:6" hidden="1">
      <c r="C55" s="128"/>
      <c r="D55" s="128"/>
      <c r="E55" s="128"/>
    </row>
    <row r="56" spans="1:6" hidden="1">
      <c r="B56" s="106" t="s">
        <v>195</v>
      </c>
      <c r="C56" s="122" t="e">
        <f>#REF!</f>
        <v>#REF!</v>
      </c>
      <c r="D56" s="123" t="e">
        <f>C56/C58</f>
        <v>#REF!</v>
      </c>
      <c r="E56" s="122" t="e">
        <f>D56*E58</f>
        <v>#REF!</v>
      </c>
    </row>
    <row r="57" spans="1:6" hidden="1">
      <c r="B57" s="106" t="s">
        <v>196</v>
      </c>
      <c r="C57" s="128" t="e">
        <f>#REF!</f>
        <v>#REF!</v>
      </c>
      <c r="D57" s="123" t="e">
        <f>C57/C58</f>
        <v>#REF!</v>
      </c>
      <c r="E57" s="128" t="e">
        <f>D57*E58</f>
        <v>#REF!</v>
      </c>
    </row>
    <row r="58" spans="1:6" hidden="1">
      <c r="B58" s="106" t="s">
        <v>194</v>
      </c>
      <c r="C58" s="126" t="e">
        <f>C56+C57</f>
        <v>#REF!</v>
      </c>
      <c r="D58" s="127" t="e">
        <f>D56+D57</f>
        <v>#REF!</v>
      </c>
      <c r="E58" s="126" t="e">
        <f>E51</f>
        <v>#REF!</v>
      </c>
    </row>
    <row r="59" spans="1:6" hidden="1">
      <c r="C59" s="128"/>
      <c r="D59" s="128"/>
      <c r="E59" s="128"/>
    </row>
    <row r="60" spans="1:6" hidden="1">
      <c r="B60" s="106" t="s">
        <v>197</v>
      </c>
      <c r="C60" s="122" t="e">
        <f>#REF!</f>
        <v>#REF!</v>
      </c>
      <c r="D60" s="129" t="e">
        <f>C60/C62</f>
        <v>#REF!</v>
      </c>
      <c r="E60" s="122" t="e">
        <f>E62*D60</f>
        <v>#REF!</v>
      </c>
    </row>
    <row r="61" spans="1:6" hidden="1">
      <c r="B61" s="106" t="s">
        <v>198</v>
      </c>
      <c r="C61" s="128" t="e">
        <f>#REF!</f>
        <v>#REF!</v>
      </c>
      <c r="D61" s="130" t="e">
        <f>C61/C62</f>
        <v>#REF!</v>
      </c>
      <c r="E61" s="128" t="e">
        <f>E62*D61</f>
        <v>#REF!</v>
      </c>
    </row>
    <row r="62" spans="1:6" hidden="1">
      <c r="B62" s="106" t="s">
        <v>194</v>
      </c>
      <c r="C62" s="126" t="e">
        <f>SUM(C60:C61)</f>
        <v>#REF!</v>
      </c>
      <c r="D62" s="131" t="e">
        <f>SUM(D60:D61)</f>
        <v>#REF!</v>
      </c>
      <c r="E62" s="126" t="e">
        <f>E52</f>
        <v>#REF!</v>
      </c>
    </row>
    <row r="63" spans="1:6" hidden="1">
      <c r="A63" s="132" t="str">
        <f>A1</f>
        <v>AVISTA UTILITIES</v>
      </c>
      <c r="C63" s="133"/>
      <c r="D63" s="134"/>
      <c r="E63" s="133"/>
      <c r="F63" s="134"/>
    </row>
    <row r="64" spans="1:6" hidden="1">
      <c r="A64" s="132" t="str">
        <f>A2</f>
        <v>Restate Debt Interest</v>
      </c>
      <c r="C64" s="133"/>
      <c r="D64" s="134"/>
      <c r="E64" s="133"/>
      <c r="F64" s="134"/>
    </row>
    <row r="65" spans="1:6" hidden="1">
      <c r="A65" s="132" t="s">
        <v>199</v>
      </c>
      <c r="C65" s="133"/>
      <c r="D65" s="134"/>
      <c r="E65" s="133"/>
      <c r="F65" s="134"/>
    </row>
    <row r="66" spans="1:6" hidden="1">
      <c r="A66" s="135" t="str">
        <f>A4</f>
        <v>TWELVE MONTHS ENDED DECEMBER 31, 2018</v>
      </c>
      <c r="C66" s="102"/>
      <c r="D66" s="134"/>
      <c r="E66" s="102"/>
      <c r="F66" s="134"/>
    </row>
    <row r="67" spans="1:6" hidden="1">
      <c r="A67" s="136" t="s">
        <v>105</v>
      </c>
      <c r="C67" s="133"/>
      <c r="D67" s="134"/>
      <c r="E67" s="134"/>
      <c r="F67" s="134"/>
    </row>
    <row r="68" spans="1:6" hidden="1">
      <c r="C68" s="107"/>
      <c r="D68" s="107"/>
      <c r="E68" s="108"/>
      <c r="F68" s="104" t="s">
        <v>18</v>
      </c>
    </row>
    <row r="69" spans="1:6" hidden="1">
      <c r="B69" s="109" t="s">
        <v>106</v>
      </c>
      <c r="C69" s="107"/>
      <c r="D69" s="107"/>
      <c r="E69" s="108"/>
      <c r="F69" s="111" t="s">
        <v>107</v>
      </c>
    </row>
    <row r="70" spans="1:6" hidden="1">
      <c r="A70" s="105" t="e">
        <f>'[7]ADJ SUMMARY'!#REF!</f>
        <v>#REF!</v>
      </c>
      <c r="B70" s="106" t="e">
        <f>'[7]ADJ SUMMARY'!#REF!</f>
        <v>#REF!</v>
      </c>
      <c r="C70" s="107"/>
      <c r="D70" s="107"/>
      <c r="E70" s="114"/>
      <c r="F70" s="137" t="e">
        <f>'[7]ADJ SUMMARY'!#REF!</f>
        <v>#REF!</v>
      </c>
    </row>
    <row r="71" spans="1:6" hidden="1">
      <c r="A71" s="105" t="e">
        <f>'[7]ADJ SUMMARY'!#REF!</f>
        <v>#REF!</v>
      </c>
      <c r="B71" s="106" t="e">
        <f>'[7]ADJ SUMMARY'!#REF!</f>
        <v>#REF!</v>
      </c>
      <c r="C71" s="107"/>
      <c r="D71" s="107"/>
      <c r="E71" s="114"/>
      <c r="F71" s="137" t="e">
        <f>'[7]ADJ SUMMARY'!#REF!</f>
        <v>#REF!</v>
      </c>
    </row>
    <row r="72" spans="1:6" hidden="1">
      <c r="A72" s="105" t="e">
        <f>'[7]ADJ SUMMARY'!#REF!</f>
        <v>#REF!</v>
      </c>
      <c r="B72" s="106" t="e">
        <f>'[7]ADJ SUMMARY'!#REF!</f>
        <v>#REF!</v>
      </c>
      <c r="C72" s="107"/>
      <c r="D72" s="107"/>
      <c r="E72" s="114"/>
      <c r="F72" s="137" t="e">
        <f>'[7]ADJ SUMMARY'!#REF!</f>
        <v>#REF!</v>
      </c>
    </row>
    <row r="73" spans="1:6" hidden="1">
      <c r="A73" s="105" t="e">
        <f>'[7]ADJ SUMMARY'!#REF!</f>
        <v>#REF!</v>
      </c>
      <c r="B73" s="106" t="e">
        <f>'[7]ADJ SUMMARY'!#REF!</f>
        <v>#REF!</v>
      </c>
      <c r="C73" s="107"/>
      <c r="D73" s="107"/>
      <c r="E73" s="114"/>
      <c r="F73" s="137" t="e">
        <f>'[7]ADJ SUMMARY'!#REF!</f>
        <v>#REF!</v>
      </c>
    </row>
    <row r="74" spans="1:6" hidden="1">
      <c r="A74" s="105" t="e">
        <f>'[7]ADJ SUMMARY'!#REF!</f>
        <v>#REF!</v>
      </c>
      <c r="B74" s="106" t="e">
        <f>'[7]ADJ SUMMARY'!#REF!</f>
        <v>#REF!</v>
      </c>
      <c r="C74" s="107"/>
      <c r="D74" s="107"/>
      <c r="E74" s="114"/>
      <c r="F74" s="137" t="e">
        <f>'[7]ADJ SUMMARY'!#REF!</f>
        <v>#REF!</v>
      </c>
    </row>
    <row r="75" spans="1:6" hidden="1">
      <c r="A75" s="105" t="e">
        <f>'[7]ADJ SUMMARY'!#REF!</f>
        <v>#REF!</v>
      </c>
      <c r="B75" s="106" t="e">
        <f>'[7]ADJ SUMMARY'!#REF!</f>
        <v>#REF!</v>
      </c>
      <c r="C75" s="107"/>
      <c r="D75" s="107"/>
      <c r="E75" s="114"/>
      <c r="F75" s="137" t="e">
        <f>'[7]ADJ SUMMARY'!#REF!</f>
        <v>#REF!</v>
      </c>
    </row>
    <row r="76" spans="1:6" hidden="1">
      <c r="A76" s="105" t="e">
        <f>'[7]ADJ SUMMARY'!#REF!</f>
        <v>#REF!</v>
      </c>
      <c r="B76" s="106" t="e">
        <f>'[7]ADJ SUMMARY'!#REF!</f>
        <v>#REF!</v>
      </c>
      <c r="C76" s="107"/>
      <c r="D76" s="107"/>
      <c r="E76" s="114"/>
      <c r="F76" s="137" t="e">
        <f>'[7]ADJ SUMMARY'!#REF!</f>
        <v>#REF!</v>
      </c>
    </row>
    <row r="77" spans="1:6" hidden="1">
      <c r="A77" s="105" t="e">
        <f>'[7]ADJ SUMMARY'!#REF!</f>
        <v>#REF!</v>
      </c>
      <c r="B77" s="106" t="e">
        <f>'[7]ADJ SUMMARY'!#REF!</f>
        <v>#REF!</v>
      </c>
      <c r="C77" s="107"/>
      <c r="D77" s="107"/>
      <c r="E77" s="114"/>
      <c r="F77" s="137" t="e">
        <f>'[7]ADJ SUMMARY'!#REF!</f>
        <v>#REF!</v>
      </c>
    </row>
    <row r="78" spans="1:6" hidden="1">
      <c r="A78" s="105" t="e">
        <f>'[7]ADJ SUMMARY'!#REF!</f>
        <v>#REF!</v>
      </c>
      <c r="B78" s="106" t="e">
        <f>'[7]ADJ SUMMARY'!#REF!</f>
        <v>#REF!</v>
      </c>
      <c r="C78" s="107"/>
      <c r="D78" s="107"/>
      <c r="E78" s="114"/>
      <c r="F78" s="137" t="e">
        <f>'[7]ADJ SUMMARY'!#REF!</f>
        <v>#REF!</v>
      </c>
    </row>
    <row r="79" spans="1:6" hidden="1">
      <c r="A79" s="105" t="e">
        <f>'[7]ADJ SUMMARY'!#REF!</f>
        <v>#REF!</v>
      </c>
      <c r="B79" s="106" t="e">
        <f>'[7]ADJ SUMMARY'!#REF!</f>
        <v>#REF!</v>
      </c>
      <c r="C79" s="107"/>
      <c r="D79" s="107"/>
      <c r="E79" s="114"/>
      <c r="F79" s="137" t="e">
        <f>'[7]ADJ SUMMARY'!#REF!</f>
        <v>#REF!</v>
      </c>
    </row>
    <row r="80" spans="1:6" hidden="1">
      <c r="A80" s="105" t="e">
        <f>'[7]ADJ SUMMARY'!#REF!</f>
        <v>#REF!</v>
      </c>
      <c r="B80" s="106" t="e">
        <f>'[7]ADJ SUMMARY'!#REF!</f>
        <v>#REF!</v>
      </c>
      <c r="C80" s="107"/>
      <c r="D80" s="107"/>
      <c r="E80" s="114"/>
      <c r="F80" s="137" t="e">
        <f>'[7]ADJ SUMMARY'!#REF!</f>
        <v>#REF!</v>
      </c>
    </row>
    <row r="81" spans="1:6" hidden="1">
      <c r="A81" s="105" t="e">
        <f>'[7]ADJ SUMMARY'!#REF!</f>
        <v>#REF!</v>
      </c>
      <c r="B81" s="106" t="e">
        <f>'[7]ADJ SUMMARY'!#REF!</f>
        <v>#REF!</v>
      </c>
      <c r="C81" s="107"/>
      <c r="D81" s="107"/>
      <c r="E81" s="114"/>
      <c r="F81" s="137" t="e">
        <f>'[7]ADJ SUMMARY'!#REF!</f>
        <v>#REF!</v>
      </c>
    </row>
    <row r="82" spans="1:6" hidden="1">
      <c r="A82" s="105" t="e">
        <f>'[7]ADJ SUMMARY'!#REF!</f>
        <v>#REF!</v>
      </c>
      <c r="B82" s="106" t="e">
        <f>'[7]ADJ SUMMARY'!#REF!</f>
        <v>#REF!</v>
      </c>
      <c r="C82" s="107"/>
      <c r="D82" s="107"/>
      <c r="E82" s="114"/>
      <c r="F82" s="137" t="e">
        <f>'[7]ADJ SUMMARY'!#REF!</f>
        <v>#REF!</v>
      </c>
    </row>
    <row r="83" spans="1:6" hidden="1">
      <c r="A83" s="105" t="e">
        <f>'[7]ADJ SUMMARY'!#REF!</f>
        <v>#REF!</v>
      </c>
      <c r="B83" s="106" t="e">
        <f>'[7]ADJ SUMMARY'!#REF!</f>
        <v>#REF!</v>
      </c>
      <c r="C83" s="107"/>
      <c r="D83" s="107"/>
      <c r="E83" s="114"/>
      <c r="F83" s="137" t="e">
        <f>'[7]ADJ SUMMARY'!#REF!</f>
        <v>#REF!</v>
      </c>
    </row>
    <row r="84" spans="1:6" hidden="1">
      <c r="A84" s="105" t="e">
        <f>'[7]ADJ SUMMARY'!#REF!</f>
        <v>#REF!</v>
      </c>
      <c r="B84" s="106" t="e">
        <f>'[7]ADJ SUMMARY'!#REF!</f>
        <v>#REF!</v>
      </c>
      <c r="C84" s="107"/>
      <c r="D84" s="107"/>
      <c r="E84" s="114"/>
      <c r="F84" s="137" t="e">
        <f>'[7]ADJ SUMMARY'!#REF!</f>
        <v>#REF!</v>
      </c>
    </row>
    <row r="85" spans="1:6" hidden="1">
      <c r="A85" s="105" t="e">
        <f>'[7]ADJ SUMMARY'!#REF!</f>
        <v>#REF!</v>
      </c>
      <c r="B85" s="106" t="e">
        <f>'[7]ADJ SUMMARY'!#REF!</f>
        <v>#REF!</v>
      </c>
      <c r="C85" s="107"/>
      <c r="D85" s="107"/>
      <c r="E85" s="114"/>
      <c r="F85" s="137" t="e">
        <f>'[7]ADJ SUMMARY'!#REF!</f>
        <v>#REF!</v>
      </c>
    </row>
    <row r="86" spans="1:6" hidden="1">
      <c r="A86" s="105" t="e">
        <f>'[7]ADJ SUMMARY'!#REF!</f>
        <v>#REF!</v>
      </c>
      <c r="B86" s="106" t="e">
        <f>'[7]ADJ SUMMARY'!#REF!</f>
        <v>#REF!</v>
      </c>
      <c r="C86" s="107"/>
      <c r="D86" s="107"/>
      <c r="E86" s="114"/>
      <c r="F86" s="137" t="e">
        <f>'[7]ADJ SUMMARY'!#REF!</f>
        <v>#REF!</v>
      </c>
    </row>
    <row r="87" spans="1:6" hidden="1">
      <c r="A87" s="105" t="e">
        <f>'[7]ADJ SUMMARY'!#REF!</f>
        <v>#REF!</v>
      </c>
      <c r="B87" s="106" t="e">
        <f>'[7]ADJ SUMMARY'!#REF!</f>
        <v>#REF!</v>
      </c>
      <c r="C87" s="107"/>
      <c r="D87" s="107"/>
      <c r="E87" s="114"/>
      <c r="F87" s="137" t="e">
        <f>'[7]ADJ SUMMARY'!#REF!</f>
        <v>#REF!</v>
      </c>
    </row>
    <row r="88" spans="1:6" hidden="1">
      <c r="A88" s="105" t="e">
        <f>'[7]ADJ SUMMARY'!#REF!</f>
        <v>#REF!</v>
      </c>
      <c r="B88" s="106" t="e">
        <f>'[7]ADJ SUMMARY'!#REF!</f>
        <v>#REF!</v>
      </c>
      <c r="C88" s="107"/>
      <c r="D88" s="107"/>
      <c r="E88" s="114"/>
      <c r="F88" s="137" t="e">
        <f>'[7]ADJ SUMMARY'!#REF!</f>
        <v>#REF!</v>
      </c>
    </row>
    <row r="89" spans="1:6" hidden="1">
      <c r="A89" s="105" t="e">
        <f>'[7]ADJ SUMMARY'!#REF!</f>
        <v>#REF!</v>
      </c>
      <c r="B89" s="106" t="e">
        <f>'[7]ADJ SUMMARY'!#REF!</f>
        <v>#REF!</v>
      </c>
      <c r="C89" s="107"/>
      <c r="D89" s="107"/>
      <c r="E89" s="114"/>
      <c r="F89" s="137" t="e">
        <f>'[7]ADJ SUMMARY'!#REF!</f>
        <v>#REF!</v>
      </c>
    </row>
    <row r="90" spans="1:6" hidden="1">
      <c r="A90" s="105" t="e">
        <f>'[7]ADJ SUMMARY'!#REF!</f>
        <v>#REF!</v>
      </c>
      <c r="B90" s="106" t="e">
        <f>'[7]ADJ SUMMARY'!#REF!</f>
        <v>#REF!</v>
      </c>
      <c r="C90" s="107"/>
      <c r="D90" s="107"/>
      <c r="E90" s="114"/>
      <c r="F90" s="137" t="e">
        <f>'[7]ADJ SUMMARY'!#REF!</f>
        <v>#REF!</v>
      </c>
    </row>
    <row r="91" spans="1:6" ht="5.25" hidden="1" customHeight="1">
      <c r="C91" s="107"/>
      <c r="D91" s="107"/>
      <c r="E91" s="114"/>
      <c r="F91" s="137"/>
    </row>
    <row r="92" spans="1:6" ht="13.5" hidden="1" customHeight="1">
      <c r="A92" s="105" t="e">
        <f>'[7]ADJ SUMMARY'!#REF!</f>
        <v>#REF!</v>
      </c>
      <c r="B92" s="106" t="e">
        <f>'[7]ADJ SUMMARY'!#REF!</f>
        <v>#REF!</v>
      </c>
      <c r="C92" s="107"/>
      <c r="D92" s="107"/>
      <c r="E92" s="114"/>
      <c r="F92" s="137" t="e">
        <f>'[7]ADJ SUMMARY'!#REF!</f>
        <v>#REF!</v>
      </c>
    </row>
    <row r="93" spans="1:6" hidden="1">
      <c r="A93" s="105" t="e">
        <f>'[7]ADJ SUMMARY'!#REF!</f>
        <v>#REF!</v>
      </c>
      <c r="B93" s="106" t="e">
        <f>'[7]ADJ SUMMARY'!#REF!</f>
        <v>#REF!</v>
      </c>
      <c r="C93" s="107"/>
      <c r="D93" s="107"/>
      <c r="E93" s="114"/>
      <c r="F93" s="137" t="e">
        <f>'[7]ADJ SUMMARY'!#REF!</f>
        <v>#REF!</v>
      </c>
    </row>
    <row r="94" spans="1:6" hidden="1">
      <c r="A94" s="105" t="e">
        <f>'[7]ADJ SUMMARY'!#REF!</f>
        <v>#REF!</v>
      </c>
      <c r="B94" s="106" t="e">
        <f>'[7]ADJ SUMMARY'!#REF!</f>
        <v>#REF!</v>
      </c>
      <c r="C94" s="107"/>
      <c r="D94" s="107"/>
      <c r="E94" s="114"/>
      <c r="F94" s="137" t="e">
        <f>'[7]ADJ SUMMARY'!#REF!</f>
        <v>#REF!</v>
      </c>
    </row>
    <row r="95" spans="1:6" hidden="1">
      <c r="A95" s="105" t="e">
        <f>'[7]ADJ SUMMARY'!#REF!</f>
        <v>#REF!</v>
      </c>
      <c r="B95" s="106" t="e">
        <f>'[7]ADJ SUMMARY'!#REF!</f>
        <v>#REF!</v>
      </c>
      <c r="C95" s="107"/>
      <c r="D95" s="107"/>
      <c r="E95" s="114"/>
      <c r="F95" s="137" t="e">
        <f>'[7]ADJ SUMMARY'!#REF!</f>
        <v>#REF!</v>
      </c>
    </row>
    <row r="96" spans="1:6" hidden="1">
      <c r="A96" s="105" t="e">
        <f>'[7]ADJ SUMMARY'!#REF!</f>
        <v>#REF!</v>
      </c>
      <c r="B96" s="106" t="e">
        <f>'[7]ADJ SUMMARY'!#REF!</f>
        <v>#REF!</v>
      </c>
      <c r="C96" s="107"/>
      <c r="D96" s="107"/>
      <c r="E96" s="114"/>
      <c r="F96" s="137" t="e">
        <f>'[7]ADJ SUMMARY'!#REF!</f>
        <v>#REF!</v>
      </c>
    </row>
    <row r="97" spans="1:9" hidden="1">
      <c r="A97" s="105" t="e">
        <f>'[7]ADJ SUMMARY'!#REF!</f>
        <v>#REF!</v>
      </c>
      <c r="B97" s="106" t="e">
        <f>'[7]ADJ SUMMARY'!#REF!</f>
        <v>#REF!</v>
      </c>
      <c r="C97" s="107"/>
      <c r="D97" s="107"/>
      <c r="E97" s="114"/>
      <c r="F97" s="137" t="e">
        <f>'[7]ADJ SUMMARY'!#REF!</f>
        <v>#REF!</v>
      </c>
    </row>
    <row r="98" spans="1:9" hidden="1">
      <c r="A98" s="105" t="e">
        <f>'[7]ADJ SUMMARY'!#REF!</f>
        <v>#REF!</v>
      </c>
      <c r="B98" s="106" t="e">
        <f>'[7]ADJ SUMMARY'!#REF!</f>
        <v>#REF!</v>
      </c>
      <c r="C98" s="107"/>
      <c r="D98" s="107"/>
      <c r="E98" s="114"/>
      <c r="F98" s="137" t="e">
        <f>'[7]ADJ SUMMARY'!#REF!</f>
        <v>#REF!</v>
      </c>
    </row>
    <row r="99" spans="1:9" hidden="1">
      <c r="A99" s="105" t="e">
        <f>'[7]ADJ SUMMARY'!#REF!</f>
        <v>#REF!</v>
      </c>
      <c r="B99" s="106" t="e">
        <f>'[7]ADJ SUMMARY'!#REF!</f>
        <v>#REF!</v>
      </c>
      <c r="C99" s="107"/>
      <c r="D99" s="107"/>
      <c r="E99" s="114"/>
      <c r="F99" s="137" t="e">
        <f>'[7]ADJ SUMMARY'!#REF!</f>
        <v>#REF!</v>
      </c>
    </row>
    <row r="100" spans="1:9" hidden="1">
      <c r="A100" s="105" t="e">
        <f>'[7]ADJ SUMMARY'!#REF!</f>
        <v>#REF!</v>
      </c>
      <c r="B100" s="106" t="e">
        <f>'[7]ADJ SUMMARY'!#REF!</f>
        <v>#REF!</v>
      </c>
      <c r="C100" s="107"/>
      <c r="D100" s="107"/>
      <c r="E100" s="114"/>
      <c r="F100" s="137" t="e">
        <f>'[7]ADJ SUMMARY'!#REF!</f>
        <v>#REF!</v>
      </c>
    </row>
    <row r="101" spans="1:9" hidden="1">
      <c r="A101" s="105" t="e">
        <f>'[7]ADJ SUMMARY'!#REF!</f>
        <v>#REF!</v>
      </c>
      <c r="B101" s="106" t="e">
        <f>'[7]ADJ SUMMARY'!#REF!</f>
        <v>#REF!</v>
      </c>
      <c r="C101" s="107"/>
      <c r="D101" s="107"/>
      <c r="E101" s="114"/>
      <c r="F101" s="137" t="e">
        <f>'[7]ADJ SUMMARY'!#REF!</f>
        <v>#REF!</v>
      </c>
    </row>
    <row r="102" spans="1:9" hidden="1">
      <c r="A102" s="105" t="e">
        <f>'[7]ADJ SUMMARY'!#REF!</f>
        <v>#REF!</v>
      </c>
      <c r="B102" s="106" t="e">
        <f>'[7]ADJ SUMMARY'!#REF!</f>
        <v>#REF!</v>
      </c>
      <c r="C102" s="107"/>
      <c r="D102" s="107"/>
      <c r="E102" s="114"/>
      <c r="F102" s="137" t="e">
        <f>'[7]ADJ SUMMARY'!#REF!</f>
        <v>#REF!</v>
      </c>
    </row>
    <row r="103" spans="1:9" hidden="1">
      <c r="A103" s="105" t="e">
        <f>'[7]ADJ SUMMARY'!#REF!</f>
        <v>#REF!</v>
      </c>
      <c r="B103" s="106" t="e">
        <f>'[7]ADJ SUMMARY'!#REF!</f>
        <v>#REF!</v>
      </c>
      <c r="C103" s="107"/>
      <c r="D103" s="107"/>
      <c r="E103" s="114"/>
      <c r="F103" s="137" t="e">
        <f>'[7]ADJ SUMMARY'!#REF!</f>
        <v>#REF!</v>
      </c>
    </row>
    <row r="104" spans="1:9" hidden="1">
      <c r="A104" s="105" t="e">
        <f>'[7]ADJ SUMMARY'!#REF!</f>
        <v>#REF!</v>
      </c>
      <c r="B104" s="106" t="e">
        <f>'[7]ADJ SUMMARY'!#REF!</f>
        <v>#REF!</v>
      </c>
      <c r="C104" s="107"/>
      <c r="D104" s="107"/>
      <c r="E104" s="114"/>
      <c r="F104" s="137" t="e">
        <f>'[7]ADJ SUMMARY'!#REF!</f>
        <v>#REF!</v>
      </c>
    </row>
    <row r="105" spans="1:9" hidden="1">
      <c r="A105" s="105" t="e">
        <f>'[7]ADJ SUMMARY'!#REF!</f>
        <v>#REF!</v>
      </c>
      <c r="B105" s="106" t="e">
        <f>'[7]ADJ SUMMARY'!#REF!</f>
        <v>#REF!</v>
      </c>
      <c r="C105" s="107"/>
      <c r="D105" s="107"/>
      <c r="E105" s="114"/>
      <c r="F105" s="137" t="e">
        <f>'[7]ADJ SUMMARY'!#REF!</f>
        <v>#REF!</v>
      </c>
    </row>
    <row r="106" spans="1:9" ht="13.5" hidden="1" customHeight="1">
      <c r="A106" s="105" t="e">
        <f>'[7]ADJ SUMMARY'!#REF!</f>
        <v>#REF!</v>
      </c>
      <c r="B106" s="106" t="e">
        <f>'[7]ADJ SUMMARY'!#REF!</f>
        <v>#REF!</v>
      </c>
      <c r="C106" s="107"/>
      <c r="D106" s="107"/>
      <c r="E106" s="114"/>
      <c r="F106" s="137" t="e">
        <f>'[7]ADJ SUMMARY'!#REF!</f>
        <v>#REF!</v>
      </c>
    </row>
    <row r="107" spans="1:9" ht="0.75" hidden="1" customHeight="1">
      <c r="A107" s="105" t="e">
        <f>'[7]ADJ SUMMARY'!#REF!</f>
        <v>#REF!</v>
      </c>
      <c r="B107" s="106" t="e">
        <f>'[7]ADJ SUMMARY'!#REF!</f>
        <v>#REF!</v>
      </c>
      <c r="C107" s="107"/>
      <c r="D107" s="107"/>
      <c r="E107" s="114"/>
      <c r="F107" s="137" t="e">
        <f>'[7]ADJ SUMMARY'!#REF!</f>
        <v>#REF!</v>
      </c>
    </row>
    <row r="108" spans="1:9" ht="13.5" hidden="1" customHeight="1">
      <c r="B108" s="106" t="s">
        <v>200</v>
      </c>
      <c r="C108" s="107"/>
      <c r="D108" s="107"/>
      <c r="E108" s="114"/>
      <c r="F108" s="120" t="e">
        <f>SUM(F70:F107)</f>
        <v>#REF!</v>
      </c>
    </row>
    <row r="109" spans="1:9" hidden="1">
      <c r="C109" s="107"/>
      <c r="D109" s="107"/>
      <c r="E109" s="107"/>
      <c r="F109" s="99"/>
      <c r="G109" s="138"/>
    </row>
    <row r="110" spans="1:9" hidden="1">
      <c r="B110" s="106" t="str">
        <f>B32</f>
        <v>Weighted Average Cost of Debt</v>
      </c>
      <c r="C110" s="139"/>
      <c r="D110" s="139"/>
      <c r="E110" s="140"/>
      <c r="F110" s="141" t="e">
        <f>'[7]RR SUMMARY'!#REF!</f>
        <v>#REF!</v>
      </c>
      <c r="H110" s="142" t="s">
        <v>201</v>
      </c>
      <c r="I110" s="128"/>
    </row>
    <row r="111" spans="1:9" hidden="1">
      <c r="C111" s="107"/>
      <c r="D111" s="107"/>
      <c r="F111" s="99"/>
    </row>
    <row r="112" spans="1:9" hidden="1">
      <c r="B112" s="106" t="s">
        <v>108</v>
      </c>
      <c r="C112" s="107"/>
      <c r="D112" s="107"/>
      <c r="E112" s="114"/>
      <c r="F112" s="114" t="e">
        <f>F108*F110</f>
        <v>#REF!</v>
      </c>
    </row>
    <row r="113" spans="1:8" hidden="1">
      <c r="C113" s="107"/>
      <c r="D113" s="107"/>
      <c r="E113" s="107"/>
      <c r="F113" s="99"/>
    </row>
    <row r="114" spans="1:8" hidden="1">
      <c r="B114" s="106" t="s">
        <v>202</v>
      </c>
      <c r="C114" s="107"/>
      <c r="D114" s="107"/>
      <c r="F114" s="143">
        <v>21469</v>
      </c>
      <c r="H114" s="144" t="s">
        <v>203</v>
      </c>
    </row>
    <row r="115" spans="1:8" hidden="1">
      <c r="C115" s="107"/>
      <c r="D115" s="107"/>
      <c r="E115" s="107"/>
      <c r="F115" s="99"/>
    </row>
    <row r="116" spans="1:8" hidden="1">
      <c r="B116" s="106" t="s">
        <v>109</v>
      </c>
      <c r="C116" s="107"/>
      <c r="D116" s="107"/>
      <c r="E116" s="114"/>
      <c r="F116" s="114" t="e">
        <f>F112-F114</f>
        <v>#REF!</v>
      </c>
    </row>
    <row r="117" spans="1:8" hidden="1">
      <c r="B117" s="106" t="s">
        <v>110</v>
      </c>
      <c r="D117" s="107"/>
      <c r="E117" s="145"/>
      <c r="F117" s="146">
        <v>0.35</v>
      </c>
    </row>
    <row r="118" spans="1:8" hidden="1">
      <c r="D118" s="107"/>
      <c r="E118" s="107"/>
      <c r="F118" s="99"/>
    </row>
    <row r="119" spans="1:8" hidden="1">
      <c r="B119" s="106" t="s">
        <v>111</v>
      </c>
      <c r="D119" s="107"/>
      <c r="E119" s="114"/>
      <c r="F119" s="114" t="e">
        <f>F116*-F117</f>
        <v>#REF!</v>
      </c>
      <c r="G119" s="114"/>
    </row>
    <row r="120" spans="1:8" ht="13.5" hidden="1" thickTop="1">
      <c r="D120" s="107"/>
      <c r="E120" s="114"/>
      <c r="F120" s="147"/>
    </row>
    <row r="121" spans="1:8" hidden="1">
      <c r="A121" s="148"/>
      <c r="F121" s="99"/>
    </row>
    <row r="122" spans="1:8" hidden="1">
      <c r="A122" s="148"/>
      <c r="B122" s="109" t="s">
        <v>183</v>
      </c>
      <c r="F122" s="99"/>
    </row>
    <row r="123" spans="1:8" hidden="1">
      <c r="A123" s="148"/>
      <c r="B123" s="106" t="s">
        <v>184</v>
      </c>
      <c r="C123" s="114">
        <f>C45</f>
        <v>2430</v>
      </c>
      <c r="F123" s="99"/>
    </row>
    <row r="124" spans="1:8" hidden="1">
      <c r="A124" s="148"/>
      <c r="B124" s="106" t="s">
        <v>186</v>
      </c>
      <c r="C124" s="99">
        <f>C46</f>
        <v>2935</v>
      </c>
      <c r="F124" s="99"/>
    </row>
    <row r="125" spans="1:8" hidden="1">
      <c r="A125" s="148"/>
      <c r="B125" s="106" t="s">
        <v>187</v>
      </c>
      <c r="C125" s="120">
        <f>C123+C124</f>
        <v>5365</v>
      </c>
      <c r="F125" s="99"/>
    </row>
    <row r="126" spans="1:8" hidden="1">
      <c r="A126" s="148"/>
      <c r="C126" s="114"/>
      <c r="F126" s="99"/>
    </row>
    <row r="127" spans="1:8" hidden="1">
      <c r="A127" s="148"/>
      <c r="C127" s="121"/>
      <c r="D127" s="104"/>
      <c r="E127" s="104" t="s">
        <v>188</v>
      </c>
      <c r="F127" s="99"/>
    </row>
    <row r="128" spans="1:8" hidden="1">
      <c r="A128" s="148"/>
      <c r="C128" s="111" t="s">
        <v>189</v>
      </c>
      <c r="D128" s="111" t="s">
        <v>190</v>
      </c>
      <c r="E128" s="111" t="s">
        <v>23</v>
      </c>
      <c r="F128" s="99"/>
    </row>
    <row r="129" spans="1:6" hidden="1">
      <c r="A129" s="148"/>
      <c r="B129" s="106" t="s">
        <v>191</v>
      </c>
      <c r="C129" s="114" t="e">
        <f>$C$51</f>
        <v>#REF!</v>
      </c>
      <c r="D129" s="149" t="e">
        <f>C129/C132</f>
        <v>#REF!</v>
      </c>
      <c r="E129" s="114" t="e">
        <f>D129*E132</f>
        <v>#REF!</v>
      </c>
      <c r="F129" s="99"/>
    </row>
    <row r="130" spans="1:6" hidden="1">
      <c r="A130" s="148"/>
      <c r="B130" s="106" t="s">
        <v>192</v>
      </c>
      <c r="C130" s="99" t="e">
        <f>$C$52</f>
        <v>#REF!</v>
      </c>
      <c r="D130" s="150" t="e">
        <f>C130/C132</f>
        <v>#REF!</v>
      </c>
      <c r="E130" s="151" t="e">
        <f>D130*E132</f>
        <v>#REF!</v>
      </c>
      <c r="F130" s="99"/>
    </row>
    <row r="131" spans="1:6" hidden="1">
      <c r="A131" s="148"/>
      <c r="B131" s="106" t="s">
        <v>193</v>
      </c>
      <c r="C131" s="99" t="e">
        <f>$C$53</f>
        <v>#REF!</v>
      </c>
      <c r="D131" s="150" t="e">
        <f>C131/C132</f>
        <v>#REF!</v>
      </c>
      <c r="E131" s="151" t="e">
        <f>E132*D131</f>
        <v>#REF!</v>
      </c>
      <c r="F131" s="99"/>
    </row>
    <row r="132" spans="1:6" hidden="1">
      <c r="A132" s="148"/>
      <c r="B132" s="106" t="s">
        <v>194</v>
      </c>
      <c r="C132" s="120" t="e">
        <f>C129+C130+C131</f>
        <v>#REF!</v>
      </c>
      <c r="D132" s="152" t="e">
        <f>D129+D130+D131</f>
        <v>#REF!</v>
      </c>
      <c r="E132" s="120">
        <f>C125</f>
        <v>5365</v>
      </c>
      <c r="F132" s="99"/>
    </row>
    <row r="133" spans="1:6" hidden="1">
      <c r="A133" s="148"/>
      <c r="F133" s="99"/>
    </row>
    <row r="134" spans="1:6" hidden="1">
      <c r="A134" s="148"/>
      <c r="B134" s="106" t="s">
        <v>195</v>
      </c>
      <c r="C134" s="114" t="e">
        <f>$C$56</f>
        <v>#REF!</v>
      </c>
      <c r="D134" s="149" t="e">
        <f>C134/C136</f>
        <v>#REF!</v>
      </c>
      <c r="E134" s="114" t="e">
        <f>D134*E136</f>
        <v>#REF!</v>
      </c>
      <c r="F134" s="99"/>
    </row>
    <row r="135" spans="1:6" hidden="1">
      <c r="A135" s="148"/>
      <c r="B135" s="106" t="s">
        <v>196</v>
      </c>
      <c r="C135" s="99" t="e">
        <f>$C$57</f>
        <v>#REF!</v>
      </c>
      <c r="D135" s="149" t="e">
        <f>C135/C136</f>
        <v>#REF!</v>
      </c>
      <c r="E135" s="99" t="e">
        <f>D135*E136</f>
        <v>#REF!</v>
      </c>
      <c r="F135" s="99"/>
    </row>
    <row r="136" spans="1:6" hidden="1">
      <c r="A136" s="148"/>
      <c r="B136" s="106" t="s">
        <v>194</v>
      </c>
      <c r="C136" s="120" t="e">
        <f>C134+C135</f>
        <v>#REF!</v>
      </c>
      <c r="D136" s="152" t="e">
        <f>D134+D135</f>
        <v>#REF!</v>
      </c>
      <c r="E136" s="120" t="e">
        <f>E129</f>
        <v>#REF!</v>
      </c>
      <c r="F136" s="99"/>
    </row>
    <row r="137" spans="1:6" hidden="1">
      <c r="A137" s="148"/>
      <c r="F137" s="99"/>
    </row>
    <row r="138" spans="1:6" hidden="1">
      <c r="A138" s="148"/>
      <c r="B138" s="106" t="s">
        <v>197</v>
      </c>
      <c r="C138" s="114" t="e">
        <f>$C$60</f>
        <v>#REF!</v>
      </c>
      <c r="D138" s="153" t="e">
        <f>C138/C140</f>
        <v>#REF!</v>
      </c>
      <c r="E138" s="114" t="e">
        <f>E140*D138</f>
        <v>#REF!</v>
      </c>
      <c r="F138" s="99"/>
    </row>
    <row r="139" spans="1:6" hidden="1">
      <c r="A139" s="148"/>
      <c r="B139" s="106" t="s">
        <v>198</v>
      </c>
      <c r="C139" s="99" t="e">
        <f>C$61</f>
        <v>#REF!</v>
      </c>
      <c r="D139" s="154" t="e">
        <f>C139/C140</f>
        <v>#REF!</v>
      </c>
      <c r="E139" s="99" t="e">
        <f>E140*D139</f>
        <v>#REF!</v>
      </c>
      <c r="F139" s="99"/>
    </row>
    <row r="140" spans="1:6" hidden="1">
      <c r="A140" s="148"/>
      <c r="B140" s="106" t="s">
        <v>194</v>
      </c>
      <c r="C140" s="120" t="e">
        <f>SUM(C138:C139)</f>
        <v>#REF!</v>
      </c>
      <c r="D140" s="155" t="e">
        <f>SUM(D138:D139)</f>
        <v>#REF!</v>
      </c>
      <c r="E140" s="120" t="e">
        <f>E130</f>
        <v>#REF!</v>
      </c>
      <c r="F140" s="9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62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12"/>
  <sheetViews>
    <sheetView zoomScaleNormal="100" zoomScaleSheetLayoutView="100" workbookViewId="0">
      <pane xSplit="1" ySplit="9" topLeftCell="B10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.140625" defaultRowHeight="11.1" customHeight="1"/>
  <cols>
    <col min="1" max="1" width="8.28515625" style="266" customWidth="1"/>
    <col min="2" max="2" width="26.140625" style="266" customWidth="1"/>
    <col min="3" max="3" width="12.42578125" style="266" customWidth="1"/>
    <col min="4" max="4" width="6.7109375" style="266" customWidth="1"/>
    <col min="5" max="5" width="12.42578125" style="546" customWidth="1"/>
    <col min="6" max="6" width="12.42578125" style="547" customWidth="1"/>
    <col min="7" max="7" width="12.42578125" style="546" customWidth="1"/>
    <col min="8" max="8" width="12.85546875" style="266" bestFit="1" customWidth="1"/>
    <col min="9" max="9" width="12.140625" style="7" bestFit="1" customWidth="1"/>
    <col min="10" max="16384" width="9.140625" style="7"/>
  </cols>
  <sheetData>
    <row r="1" spans="1:8" ht="16.5" customHeight="1">
      <c r="F1" s="212"/>
    </row>
    <row r="2" spans="1:8" ht="4.5" customHeight="1"/>
    <row r="3" spans="1:8" ht="12">
      <c r="A3" s="951" t="s">
        <v>102</v>
      </c>
      <c r="B3" s="951"/>
      <c r="C3" s="951"/>
      <c r="E3" s="548"/>
      <c r="F3" s="549"/>
      <c r="G3" s="548"/>
    </row>
    <row r="4" spans="1:8" ht="12">
      <c r="A4" s="550" t="s">
        <v>172</v>
      </c>
      <c r="B4" s="550"/>
      <c r="C4" s="550"/>
      <c r="E4" s="551" t="s">
        <v>66</v>
      </c>
      <c r="F4" s="551"/>
      <c r="G4" s="551"/>
    </row>
    <row r="5" spans="1:8" ht="12">
      <c r="A5" s="951" t="s">
        <v>567</v>
      </c>
      <c r="B5" s="951"/>
      <c r="C5" s="951"/>
      <c r="E5" s="551" t="s">
        <v>67</v>
      </c>
      <c r="F5" s="551"/>
      <c r="G5" s="551"/>
    </row>
    <row r="6" spans="1:8" ht="12">
      <c r="A6" s="550" t="s">
        <v>68</v>
      </c>
      <c r="B6" s="550"/>
      <c r="C6" s="550"/>
      <c r="E6" s="552"/>
      <c r="F6" s="553" t="s">
        <v>69</v>
      </c>
      <c r="G6" s="552"/>
    </row>
    <row r="7" spans="1:8" ht="12">
      <c r="A7" s="545" t="s">
        <v>7</v>
      </c>
      <c r="E7" s="548"/>
      <c r="F7" s="554"/>
      <c r="G7" s="548"/>
    </row>
    <row r="8" spans="1:8" ht="12">
      <c r="A8" s="555" t="s">
        <v>15</v>
      </c>
      <c r="B8" s="556" t="s">
        <v>62</v>
      </c>
      <c r="C8" s="556"/>
      <c r="E8" s="557" t="s">
        <v>70</v>
      </c>
      <c r="F8" s="558" t="s">
        <v>71</v>
      </c>
      <c r="G8" s="557" t="s">
        <v>72</v>
      </c>
      <c r="H8" s="8" t="s">
        <v>73</v>
      </c>
    </row>
    <row r="9" spans="1:8" ht="12">
      <c r="A9" s="545"/>
      <c r="B9" s="266" t="s">
        <v>25</v>
      </c>
      <c r="E9" s="559"/>
      <c r="F9" s="554"/>
      <c r="G9" s="559"/>
    </row>
    <row r="10" spans="1:8" ht="12">
      <c r="A10" s="545"/>
      <c r="B10" s="57"/>
      <c r="E10" s="560"/>
      <c r="F10" s="561"/>
      <c r="G10" s="561"/>
    </row>
    <row r="11" spans="1:8" ht="12">
      <c r="A11" s="545"/>
      <c r="B11" s="57"/>
      <c r="E11" s="560"/>
      <c r="F11" s="561"/>
      <c r="G11" s="561"/>
    </row>
    <row r="12" spans="1:8" ht="12">
      <c r="A12" s="545"/>
      <c r="E12" s="559"/>
      <c r="F12" s="554"/>
      <c r="G12" s="554"/>
    </row>
    <row r="13" spans="1:8" ht="5.25" customHeight="1">
      <c r="A13" s="545"/>
      <c r="E13" s="559"/>
      <c r="F13" s="554"/>
      <c r="G13" s="554"/>
    </row>
    <row r="14" spans="1:8" ht="12">
      <c r="A14" s="545"/>
      <c r="E14" s="559"/>
      <c r="F14" s="554"/>
      <c r="G14" s="554"/>
    </row>
    <row r="15" spans="1:8" ht="12">
      <c r="A15" s="545">
        <v>1</v>
      </c>
      <c r="B15" s="266" t="s">
        <v>74</v>
      </c>
      <c r="E15" s="562">
        <f>F15+G15</f>
        <v>140625</v>
      </c>
      <c r="F15" s="563">
        <f>F94</f>
        <v>140625</v>
      </c>
      <c r="G15" s="563">
        <f>G94</f>
        <v>0</v>
      </c>
      <c r="H15" s="564" t="str">
        <f>IF(E15=F15+G15," ","ERROR")</f>
        <v xml:space="preserve"> </v>
      </c>
    </row>
    <row r="16" spans="1:8" ht="12">
      <c r="A16" s="545">
        <v>2</v>
      </c>
      <c r="B16" s="266" t="s">
        <v>75</v>
      </c>
      <c r="E16" s="10">
        <f>F16+G16</f>
        <v>5088</v>
      </c>
      <c r="F16" s="565">
        <f>F99</f>
        <v>5088</v>
      </c>
      <c r="G16" s="565">
        <f>G99</f>
        <v>0</v>
      </c>
      <c r="H16" s="564" t="str">
        <f>IF(E16=F16+G16," ","ERROR")</f>
        <v xml:space="preserve"> </v>
      </c>
    </row>
    <row r="17" spans="1:8" ht="12">
      <c r="A17" s="545">
        <v>3</v>
      </c>
      <c r="B17" s="266" t="s">
        <v>28</v>
      </c>
      <c r="E17" s="566">
        <f>F17+G17</f>
        <v>50681</v>
      </c>
      <c r="F17" s="567">
        <f>F104-F99</f>
        <v>50681</v>
      </c>
      <c r="G17" s="567">
        <f>G104-G99</f>
        <v>0</v>
      </c>
      <c r="H17" s="564" t="str">
        <f>IF(E17=F17+G17," ","ERROR")</f>
        <v xml:space="preserve"> </v>
      </c>
    </row>
    <row r="18" spans="1:8" ht="12">
      <c r="A18" s="545">
        <v>4</v>
      </c>
      <c r="B18" s="266" t="s">
        <v>76</v>
      </c>
      <c r="E18" s="10">
        <f>SUM(E15:E17)</f>
        <v>196394</v>
      </c>
      <c r="F18" s="10">
        <f>SUM(F15:F17)</f>
        <v>196394</v>
      </c>
      <c r="G18" s="10">
        <f>SUM(G15:G17)</f>
        <v>0</v>
      </c>
      <c r="H18" s="564" t="str">
        <f>IF(E18=F18+G18," ","ERROR")</f>
        <v xml:space="preserve"> </v>
      </c>
    </row>
    <row r="19" spans="1:8" ht="12">
      <c r="A19" s="545"/>
      <c r="E19" s="10"/>
      <c r="F19" s="10"/>
      <c r="G19" s="10"/>
      <c r="H19" s="564"/>
    </row>
    <row r="20" spans="1:8" ht="12">
      <c r="A20" s="545"/>
      <c r="B20" s="266" t="s">
        <v>30</v>
      </c>
      <c r="E20" s="10"/>
      <c r="F20" s="10"/>
      <c r="G20" s="10"/>
      <c r="H20" s="564"/>
    </row>
    <row r="21" spans="1:8" ht="12">
      <c r="A21" s="545"/>
      <c r="B21" s="266" t="s">
        <v>175</v>
      </c>
      <c r="E21" s="10"/>
      <c r="F21" s="565"/>
      <c r="G21" s="565"/>
      <c r="H21" s="568" t="str">
        <f>IF(E21=F21+G21," ","ERROR")</f>
        <v xml:space="preserve"> </v>
      </c>
    </row>
    <row r="22" spans="1:8" ht="12">
      <c r="A22" s="545">
        <v>5</v>
      </c>
      <c r="B22" s="266" t="s">
        <v>77</v>
      </c>
      <c r="E22" s="10">
        <f>F22+G22</f>
        <v>90669</v>
      </c>
      <c r="F22" s="565">
        <f>F108</f>
        <v>90669</v>
      </c>
      <c r="G22" s="565">
        <f>G108</f>
        <v>0</v>
      </c>
      <c r="H22" s="564" t="str">
        <f>IF(E22=F22+G22," ","ERROR")</f>
        <v xml:space="preserve"> </v>
      </c>
    </row>
    <row r="23" spans="1:8" ht="12">
      <c r="A23" s="545">
        <v>6</v>
      </c>
      <c r="B23" s="266" t="s">
        <v>78</v>
      </c>
      <c r="E23" s="10">
        <f>F23+G23</f>
        <v>955</v>
      </c>
      <c r="F23" s="565">
        <f>F111+F112</f>
        <v>955</v>
      </c>
      <c r="G23" s="565">
        <f>G110+G111+G112</f>
        <v>0</v>
      </c>
      <c r="H23" s="564" t="str">
        <f>IF(E23=F23+G23," ","ERROR")</f>
        <v xml:space="preserve"> </v>
      </c>
    </row>
    <row r="24" spans="1:8" ht="12">
      <c r="A24" s="545">
        <v>7</v>
      </c>
      <c r="B24" s="266" t="s">
        <v>79</v>
      </c>
      <c r="E24" s="566">
        <f>F24+G24</f>
        <v>-292</v>
      </c>
      <c r="F24" s="567">
        <f>F109+F110</f>
        <v>-292</v>
      </c>
      <c r="G24" s="567">
        <f>G109</f>
        <v>0</v>
      </c>
      <c r="H24" s="564" t="str">
        <f>IF(E24=F24+G24," ","ERROR")</f>
        <v xml:space="preserve"> </v>
      </c>
    </row>
    <row r="25" spans="1:8" ht="12">
      <c r="A25" s="545">
        <v>8</v>
      </c>
      <c r="B25" s="266" t="s">
        <v>80</v>
      </c>
      <c r="E25" s="10">
        <f>SUM(E22:E24)</f>
        <v>91332</v>
      </c>
      <c r="F25" s="10">
        <f>SUM(F22:F24)</f>
        <v>91332</v>
      </c>
      <c r="G25" s="10">
        <f>SUM(G22:G24)</f>
        <v>0</v>
      </c>
      <c r="H25" s="564" t="str">
        <f>IF(E25=F25+G25," ","ERROR")</f>
        <v xml:space="preserve"> </v>
      </c>
    </row>
    <row r="26" spans="1:8" ht="12">
      <c r="A26" s="545"/>
      <c r="E26" s="10"/>
      <c r="F26" s="10"/>
      <c r="G26" s="10"/>
      <c r="H26" s="564"/>
    </row>
    <row r="27" spans="1:8" ht="12">
      <c r="A27" s="545"/>
      <c r="B27" s="266" t="s">
        <v>35</v>
      </c>
      <c r="E27" s="10"/>
      <c r="F27" s="10"/>
      <c r="G27" s="10"/>
      <c r="H27" s="564"/>
    </row>
    <row r="28" spans="1:8" ht="12">
      <c r="A28" s="545">
        <v>9</v>
      </c>
      <c r="B28" s="266" t="s">
        <v>81</v>
      </c>
      <c r="E28" s="10">
        <f>F28+G28</f>
        <v>1532</v>
      </c>
      <c r="F28" s="565">
        <f>F119-1</f>
        <v>1532</v>
      </c>
      <c r="G28" s="565">
        <f>G119</f>
        <v>0</v>
      </c>
      <c r="H28" s="564" t="str">
        <f>IF(E28=F28+G28," ","ERROR")</f>
        <v xml:space="preserve"> </v>
      </c>
    </row>
    <row r="29" spans="1:8" ht="12">
      <c r="A29" s="545">
        <v>10</v>
      </c>
      <c r="B29" s="266" t="s">
        <v>82</v>
      </c>
      <c r="E29" s="10">
        <f>F29+G29</f>
        <v>627</v>
      </c>
      <c r="F29" s="565">
        <f>F121+F122</f>
        <v>627</v>
      </c>
      <c r="G29" s="565">
        <f>G121+G122</f>
        <v>0</v>
      </c>
      <c r="H29" s="564" t="str">
        <f>IF(E29=F29+G29," ","ERROR")</f>
        <v xml:space="preserve"> </v>
      </c>
    </row>
    <row r="30" spans="1:8" ht="12">
      <c r="A30" s="545">
        <v>11</v>
      </c>
      <c r="B30" s="266" t="s">
        <v>83</v>
      </c>
      <c r="E30" s="566">
        <f>F30+G30</f>
        <v>302</v>
      </c>
      <c r="F30" s="567">
        <f>F123</f>
        <v>302</v>
      </c>
      <c r="G30" s="567">
        <f>G123</f>
        <v>0</v>
      </c>
      <c r="H30" s="564" t="str">
        <f>IF(E30=F30+G30," ","ERROR")</f>
        <v xml:space="preserve"> </v>
      </c>
    </row>
    <row r="31" spans="1:8" ht="12">
      <c r="A31" s="61">
        <v>12</v>
      </c>
      <c r="B31" s="266" t="s">
        <v>84</v>
      </c>
      <c r="E31" s="10">
        <f>SUM(E28:E30)</f>
        <v>2461</v>
      </c>
      <c r="F31" s="565">
        <f>SUM(F28:F30)</f>
        <v>2461</v>
      </c>
      <c r="G31" s="565">
        <f>SUM(G28:G30)</f>
        <v>0</v>
      </c>
      <c r="H31" s="564" t="str">
        <f>IF(E31=F31+G31," ","ERROR")</f>
        <v xml:space="preserve"> </v>
      </c>
    </row>
    <row r="32" spans="1:8" ht="12">
      <c r="A32" s="545"/>
      <c r="E32" s="10"/>
      <c r="F32" s="565"/>
      <c r="G32" s="565"/>
      <c r="H32" s="564"/>
    </row>
    <row r="33" spans="1:10" ht="12">
      <c r="A33" s="545"/>
      <c r="B33" s="266" t="s">
        <v>39</v>
      </c>
      <c r="E33" s="10"/>
      <c r="F33" s="565"/>
      <c r="G33" s="565"/>
      <c r="H33" s="564"/>
    </row>
    <row r="34" spans="1:10" ht="12">
      <c r="A34" s="545">
        <v>13</v>
      </c>
      <c r="B34" s="266" t="s">
        <v>81</v>
      </c>
      <c r="E34" s="10">
        <f>F34+G34</f>
        <v>12316</v>
      </c>
      <c r="F34" s="565">
        <f>F150</f>
        <v>12316</v>
      </c>
      <c r="G34" s="565">
        <f>G150</f>
        <v>0</v>
      </c>
      <c r="H34" s="564" t="str">
        <f t="shared" ref="H34:H41" si="0">IF(E34=F34+G34," ","ERROR")</f>
        <v xml:space="preserve"> </v>
      </c>
    </row>
    <row r="35" spans="1:10" ht="12">
      <c r="A35" s="545">
        <v>14</v>
      </c>
      <c r="B35" s="266" t="s">
        <v>82</v>
      </c>
      <c r="E35" s="10">
        <f>F35+G35</f>
        <v>11642</v>
      </c>
      <c r="F35" s="565">
        <f>F152</f>
        <v>11642</v>
      </c>
      <c r="G35" s="565">
        <f>G152</f>
        <v>0</v>
      </c>
      <c r="H35" s="564" t="str">
        <f t="shared" si="0"/>
        <v xml:space="preserve"> </v>
      </c>
    </row>
    <row r="36" spans="1:10" ht="12">
      <c r="A36" s="545">
        <v>15</v>
      </c>
      <c r="B36" s="266" t="s">
        <v>83</v>
      </c>
      <c r="E36" s="566">
        <f>F36+G36</f>
        <v>14128</v>
      </c>
      <c r="F36" s="567">
        <f>F153-1</f>
        <v>14128</v>
      </c>
      <c r="G36" s="567">
        <f>G153</f>
        <v>0</v>
      </c>
      <c r="H36" s="564" t="str">
        <f t="shared" si="0"/>
        <v xml:space="preserve"> </v>
      </c>
    </row>
    <row r="37" spans="1:10" ht="12" customHeight="1">
      <c r="A37" s="545">
        <v>16</v>
      </c>
      <c r="B37" s="266" t="s">
        <v>85</v>
      </c>
      <c r="E37" s="10">
        <f>SUM(E34:E36)</f>
        <v>38086</v>
      </c>
      <c r="F37" s="10">
        <f>SUM(F34:F36)</f>
        <v>38086</v>
      </c>
      <c r="G37" s="10">
        <f>SUM(G34:G36)</f>
        <v>0</v>
      </c>
      <c r="H37" s="564" t="str">
        <f t="shared" si="0"/>
        <v xml:space="preserve"> </v>
      </c>
    </row>
    <row r="38" spans="1:10" ht="12" customHeight="1">
      <c r="A38" s="545"/>
      <c r="E38" s="10"/>
      <c r="F38" s="10"/>
      <c r="G38" s="10"/>
      <c r="H38" s="564"/>
    </row>
    <row r="39" spans="1:10" ht="12" customHeight="1">
      <c r="A39" s="545">
        <v>17</v>
      </c>
      <c r="B39" s="266" t="s">
        <v>41</v>
      </c>
      <c r="E39" s="10">
        <f>F39+G39</f>
        <v>7234</v>
      </c>
      <c r="F39" s="565">
        <f>F164</f>
        <v>7234</v>
      </c>
      <c r="G39" s="565">
        <f>G164</f>
        <v>0</v>
      </c>
      <c r="H39" s="564" t="str">
        <f t="shared" si="0"/>
        <v xml:space="preserve"> </v>
      </c>
    </row>
    <row r="40" spans="1:10" ht="12">
      <c r="A40" s="545">
        <v>18</v>
      </c>
      <c r="B40" s="266" t="s">
        <v>42</v>
      </c>
      <c r="E40" s="10">
        <f>F40+G40</f>
        <v>8093</v>
      </c>
      <c r="F40" s="565">
        <f>F170</f>
        <v>8093</v>
      </c>
      <c r="G40" s="565">
        <f>G170</f>
        <v>0</v>
      </c>
      <c r="H40" s="564" t="str">
        <f t="shared" si="0"/>
        <v xml:space="preserve"> </v>
      </c>
    </row>
    <row r="41" spans="1:10" ht="12">
      <c r="A41" s="545">
        <v>19</v>
      </c>
      <c r="B41" s="266" t="s">
        <v>86</v>
      </c>
      <c r="E41" s="10">
        <f>F41+G41</f>
        <v>0</v>
      </c>
      <c r="F41" s="565">
        <f>F176</f>
        <v>0</v>
      </c>
      <c r="G41" s="565">
        <f>G176</f>
        <v>0</v>
      </c>
      <c r="H41" s="564" t="str">
        <f t="shared" si="0"/>
        <v xml:space="preserve"> </v>
      </c>
    </row>
    <row r="42" spans="1:10" ht="12">
      <c r="A42" s="545"/>
      <c r="E42" s="10"/>
      <c r="F42" s="565"/>
      <c r="G42" s="565"/>
      <c r="H42" s="564"/>
    </row>
    <row r="43" spans="1:10" ht="12">
      <c r="A43" s="545"/>
      <c r="B43" s="266" t="s">
        <v>87</v>
      </c>
      <c r="E43" s="10"/>
      <c r="F43" s="565"/>
      <c r="G43" s="565"/>
      <c r="H43" s="564"/>
    </row>
    <row r="44" spans="1:10" ht="12">
      <c r="A44" s="545">
        <v>20</v>
      </c>
      <c r="B44" s="266" t="s">
        <v>81</v>
      </c>
      <c r="E44" s="10">
        <f>F44+G44</f>
        <v>15045</v>
      </c>
      <c r="F44" s="565">
        <f>F190-1</f>
        <v>15045</v>
      </c>
      <c r="G44" s="565">
        <f>G190</f>
        <v>0</v>
      </c>
      <c r="H44" s="564" t="str">
        <f>IF(E44=F44+G44," ","ERROR")</f>
        <v xml:space="preserve"> </v>
      </c>
    </row>
    <row r="45" spans="1:10" ht="12">
      <c r="A45" s="545">
        <v>21</v>
      </c>
      <c r="B45" s="266" t="s">
        <v>380</v>
      </c>
      <c r="E45" s="10">
        <f>F45+G45</f>
        <v>8492</v>
      </c>
      <c r="F45" s="565">
        <f>F192+F193+F194+F195</f>
        <v>8492</v>
      </c>
      <c r="G45" s="565">
        <f>G192+G193+G194+G195</f>
        <v>0</v>
      </c>
      <c r="H45" s="564" t="str">
        <f>IF(E45=F45+G45," ","ERROR")</f>
        <v xml:space="preserve"> </v>
      </c>
      <c r="J45" s="9"/>
    </row>
    <row r="46" spans="1:10" ht="12">
      <c r="A46" s="545">
        <v>22</v>
      </c>
      <c r="B46" s="266" t="s">
        <v>378</v>
      </c>
      <c r="E46" s="10">
        <f>F46+G46</f>
        <v>-1559</v>
      </c>
      <c r="F46" s="565">
        <f>SUM(F196:F208)</f>
        <v>-1559</v>
      </c>
      <c r="G46" s="565">
        <f>SUM(G196:G208)</f>
        <v>0</v>
      </c>
      <c r="H46" s="564"/>
      <c r="J46" s="9"/>
    </row>
    <row r="47" spans="1:10" ht="12">
      <c r="A47" s="545">
        <v>23</v>
      </c>
      <c r="B47" s="266" t="s">
        <v>83</v>
      </c>
      <c r="E47" s="566">
        <f>F47+G47</f>
        <v>0</v>
      </c>
      <c r="F47" s="567">
        <v>0</v>
      </c>
      <c r="G47" s="567">
        <v>0</v>
      </c>
      <c r="H47" s="564" t="str">
        <f>IF(E47=F47+G47," ","ERROR")</f>
        <v xml:space="preserve"> </v>
      </c>
    </row>
    <row r="48" spans="1:10" ht="12">
      <c r="A48" s="545">
        <v>24</v>
      </c>
      <c r="B48" s="266" t="s">
        <v>88</v>
      </c>
      <c r="E48" s="566">
        <f>SUM(E44:E47)</f>
        <v>21978</v>
      </c>
      <c r="F48" s="566">
        <f>SUM(F44:F47)</f>
        <v>21978</v>
      </c>
      <c r="G48" s="566">
        <f>SUM(G44:G47)</f>
        <v>0</v>
      </c>
      <c r="H48" s="564" t="str">
        <f>IF(E48=F48+G48," ","ERROR")</f>
        <v xml:space="preserve"> </v>
      </c>
    </row>
    <row r="49" spans="1:8" ht="12">
      <c r="A49" s="545">
        <v>25</v>
      </c>
      <c r="B49" s="266" t="s">
        <v>46</v>
      </c>
      <c r="E49" s="566">
        <f>E25+E31+E37+E39+E40+E41+E48+E21</f>
        <v>169184</v>
      </c>
      <c r="F49" s="566">
        <f>F25+F31+F37+F39+F40+F41+F48+F21</f>
        <v>169184</v>
      </c>
      <c r="G49" s="566">
        <f>G25+G31+G37+G39+G40+G41+G48+G21</f>
        <v>0</v>
      </c>
      <c r="H49" s="564" t="str">
        <f>IF(E49=F49+G49," ","ERROR")</f>
        <v xml:space="preserve"> </v>
      </c>
    </row>
    <row r="50" spans="1:8" ht="12">
      <c r="A50" s="545"/>
      <c r="E50" s="10"/>
      <c r="F50" s="10"/>
      <c r="G50" s="10"/>
      <c r="H50" s="564"/>
    </row>
    <row r="51" spans="1:8" ht="12">
      <c r="A51" s="545">
        <v>26</v>
      </c>
      <c r="B51" s="266" t="s">
        <v>89</v>
      </c>
      <c r="E51" s="10">
        <f>E18-E49</f>
        <v>27210</v>
      </c>
      <c r="F51" s="10">
        <f>F18-F49</f>
        <v>27210</v>
      </c>
      <c r="G51" s="10">
        <f>G18-G49</f>
        <v>0</v>
      </c>
      <c r="H51" s="564" t="str">
        <f>IF(E51=F51+G51," ","ERROR")</f>
        <v xml:space="preserve"> </v>
      </c>
    </row>
    <row r="52" spans="1:8" ht="12" customHeight="1">
      <c r="A52" s="545"/>
      <c r="E52" s="10"/>
      <c r="F52" s="10"/>
      <c r="G52" s="10"/>
      <c r="H52" s="564"/>
    </row>
    <row r="53" spans="1:8" ht="12" customHeight="1">
      <c r="A53" s="545"/>
      <c r="B53" s="266" t="s">
        <v>90</v>
      </c>
      <c r="E53" s="10"/>
      <c r="F53" s="10"/>
      <c r="G53" s="10"/>
      <c r="H53" s="564"/>
    </row>
    <row r="54" spans="1:8" ht="12">
      <c r="A54" s="545">
        <v>27</v>
      </c>
      <c r="B54" s="569" t="s">
        <v>91</v>
      </c>
      <c r="D54" s="570">
        <v>0.21</v>
      </c>
      <c r="E54" s="10">
        <f>F54+G54</f>
        <v>2557</v>
      </c>
      <c r="F54" s="565">
        <f>F217</f>
        <v>2557</v>
      </c>
      <c r="G54" s="565">
        <f>G217</f>
        <v>0</v>
      </c>
      <c r="H54" s="564" t="str">
        <f>IF(E54=F54+G54," ","ERROR")</f>
        <v xml:space="preserve"> </v>
      </c>
    </row>
    <row r="55" spans="1:8" ht="12">
      <c r="A55" s="545">
        <v>28</v>
      </c>
      <c r="B55" s="569" t="s">
        <v>209</v>
      </c>
      <c r="D55" s="570"/>
      <c r="E55" s="10"/>
      <c r="F55" s="565"/>
      <c r="G55" s="565"/>
      <c r="H55" s="564"/>
    </row>
    <row r="56" spans="1:8" ht="12">
      <c r="A56" s="545">
        <v>29</v>
      </c>
      <c r="B56" s="266" t="s">
        <v>92</v>
      </c>
      <c r="E56" s="10">
        <f>F56+G56</f>
        <v>54</v>
      </c>
      <c r="F56" s="565">
        <f>F218</f>
        <v>54</v>
      </c>
      <c r="G56" s="565">
        <f>G218</f>
        <v>0</v>
      </c>
      <c r="H56" s="564" t="str">
        <f>IF(E56=F56+G56," ","ERROR")</f>
        <v xml:space="preserve"> </v>
      </c>
    </row>
    <row r="57" spans="1:8" ht="12">
      <c r="A57" s="545">
        <v>30</v>
      </c>
      <c r="B57" s="266" t="s">
        <v>93</v>
      </c>
      <c r="E57" s="566">
        <f>F57+G57</f>
        <v>-15</v>
      </c>
      <c r="F57" s="567">
        <f>F219</f>
        <v>-15</v>
      </c>
      <c r="G57" s="567">
        <f>G219</f>
        <v>0</v>
      </c>
      <c r="H57" s="564" t="str">
        <f>IF(E57=F57+G57," ","ERROR")</f>
        <v xml:space="preserve"> </v>
      </c>
    </row>
    <row r="58" spans="1:8" ht="12">
      <c r="A58" s="545"/>
      <c r="G58" s="547"/>
      <c r="H58" s="564"/>
    </row>
    <row r="59" spans="1:8" ht="12.75" thickBot="1">
      <c r="A59" s="545">
        <v>31</v>
      </c>
      <c r="B59" s="571" t="s">
        <v>52</v>
      </c>
      <c r="E59" s="11">
        <f>E51-(+E54+E56+E57)</f>
        <v>24614</v>
      </c>
      <c r="F59" s="11">
        <f>F51-(F54+F56+F57)</f>
        <v>24614</v>
      </c>
      <c r="G59" s="11">
        <f>G51-(G54+G56+G57)</f>
        <v>0</v>
      </c>
      <c r="H59" s="564" t="str">
        <f>IF(E59=F59+G59," ","ERROR")</f>
        <v xml:space="preserve"> </v>
      </c>
    </row>
    <row r="60" spans="1:8" ht="12.75" thickTop="1">
      <c r="A60" s="545"/>
      <c r="E60" s="554"/>
      <c r="F60" s="554"/>
      <c r="G60" s="554"/>
      <c r="H60" s="564"/>
    </row>
    <row r="61" spans="1:8" ht="12">
      <c r="A61" s="545"/>
      <c r="B61" s="569" t="s">
        <v>94</v>
      </c>
      <c r="G61" s="547"/>
      <c r="H61" s="564"/>
    </row>
    <row r="62" spans="1:8" ht="12">
      <c r="A62" s="545"/>
      <c r="B62" s="569" t="s">
        <v>95</v>
      </c>
      <c r="G62" s="547"/>
      <c r="H62" s="564"/>
    </row>
    <row r="63" spans="1:8" ht="12">
      <c r="A63" s="545">
        <v>32</v>
      </c>
      <c r="B63" s="266" t="s">
        <v>96</v>
      </c>
      <c r="E63" s="562">
        <f>F63+G63</f>
        <v>28442</v>
      </c>
      <c r="F63" s="563">
        <f>F237</f>
        <v>28442</v>
      </c>
      <c r="G63" s="563">
        <f>G237</f>
        <v>0</v>
      </c>
      <c r="H63" s="564" t="str">
        <f t="shared" ref="H63:H76" si="1">IF(E63=F63+G63," ","ERROR")</f>
        <v xml:space="preserve"> </v>
      </c>
    </row>
    <row r="64" spans="1:8" ht="12">
      <c r="A64" s="545">
        <v>33</v>
      </c>
      <c r="B64" s="266" t="s">
        <v>97</v>
      </c>
      <c r="E64" s="10">
        <f>F64+G64</f>
        <v>462636</v>
      </c>
      <c r="F64" s="565">
        <f>F253</f>
        <v>462636</v>
      </c>
      <c r="G64" s="565">
        <f>G253</f>
        <v>0</v>
      </c>
      <c r="H64" s="564" t="str">
        <f t="shared" si="1"/>
        <v xml:space="preserve"> </v>
      </c>
    </row>
    <row r="65" spans="1:8" ht="12">
      <c r="A65" s="545">
        <v>34</v>
      </c>
      <c r="B65" s="266" t="s">
        <v>98</v>
      </c>
      <c r="E65" s="566">
        <f>F65+G65</f>
        <v>114053</v>
      </c>
      <c r="F65" s="567">
        <f>F266+F226</f>
        <v>114053</v>
      </c>
      <c r="G65" s="567">
        <f>G266+G226</f>
        <v>0</v>
      </c>
      <c r="H65" s="564" t="str">
        <f t="shared" si="1"/>
        <v xml:space="preserve"> </v>
      </c>
    </row>
    <row r="66" spans="1:8" ht="12">
      <c r="A66" s="545">
        <v>35</v>
      </c>
      <c r="B66" s="266" t="s">
        <v>99</v>
      </c>
      <c r="E66" s="10">
        <f>SUM(E63:E65)</f>
        <v>605131</v>
      </c>
      <c r="F66" s="565">
        <f>SUM(F63:F65)</f>
        <v>605131</v>
      </c>
      <c r="G66" s="565">
        <f>SUM(G63:G65)</f>
        <v>0</v>
      </c>
      <c r="H66" s="564" t="str">
        <f t="shared" si="1"/>
        <v xml:space="preserve"> </v>
      </c>
    </row>
    <row r="67" spans="1:8" ht="12">
      <c r="A67" s="545"/>
      <c r="E67" s="10"/>
      <c r="F67" s="565"/>
      <c r="G67" s="565"/>
      <c r="H67" s="564"/>
    </row>
    <row r="68" spans="1:8" ht="12">
      <c r="A68" s="545"/>
      <c r="B68" s="266" t="s">
        <v>381</v>
      </c>
      <c r="E68" s="10"/>
      <c r="F68" s="565"/>
      <c r="G68" s="565"/>
      <c r="H68" s="564" t="str">
        <f t="shared" si="1"/>
        <v xml:space="preserve"> </v>
      </c>
    </row>
    <row r="69" spans="1:8" ht="12">
      <c r="A69" s="545">
        <v>36</v>
      </c>
      <c r="B69" s="266" t="s">
        <v>96</v>
      </c>
      <c r="E69" s="10">
        <f>F69+G69</f>
        <v>-11051</v>
      </c>
      <c r="F69" s="565">
        <f>F272+F280</f>
        <v>-11051</v>
      </c>
      <c r="G69" s="565">
        <f>G272+G280</f>
        <v>0</v>
      </c>
      <c r="H69" s="564" t="str">
        <f t="shared" si="1"/>
        <v xml:space="preserve"> </v>
      </c>
    </row>
    <row r="70" spans="1:8" ht="12">
      <c r="A70" s="545">
        <v>37</v>
      </c>
      <c r="B70" s="266" t="s">
        <v>97</v>
      </c>
      <c r="E70" s="10">
        <f>F70+G70</f>
        <v>-145402</v>
      </c>
      <c r="F70" s="565">
        <f>F273</f>
        <v>-145402</v>
      </c>
      <c r="G70" s="565">
        <f>G273</f>
        <v>0</v>
      </c>
      <c r="H70" s="564" t="str">
        <f t="shared" si="1"/>
        <v xml:space="preserve"> </v>
      </c>
    </row>
    <row r="71" spans="1:8" ht="12">
      <c r="A71" s="545">
        <v>38</v>
      </c>
      <c r="B71" s="266" t="s">
        <v>98</v>
      </c>
      <c r="E71" s="566">
        <f>F71+G71</f>
        <v>-32354</v>
      </c>
      <c r="F71" s="567">
        <f>F274+F278+F279+F281</f>
        <v>-32354</v>
      </c>
      <c r="G71" s="567">
        <f>G274+G278+G279+G281</f>
        <v>0</v>
      </c>
      <c r="H71" s="564" t="str">
        <f t="shared" si="1"/>
        <v xml:space="preserve"> </v>
      </c>
    </row>
    <row r="72" spans="1:8" ht="12">
      <c r="A72" s="545">
        <v>39</v>
      </c>
      <c r="B72" s="266" t="s">
        <v>382</v>
      </c>
      <c r="E72" s="572">
        <f>SUM(E69:E71)</f>
        <v>-188807</v>
      </c>
      <c r="F72" s="572">
        <f>SUM(F69:F71)</f>
        <v>-188807</v>
      </c>
      <c r="G72" s="572">
        <f>SUM(G69:G71)</f>
        <v>0</v>
      </c>
      <c r="H72" s="564" t="str">
        <f t="shared" si="1"/>
        <v xml:space="preserve"> </v>
      </c>
    </row>
    <row r="73" spans="1:8" ht="12">
      <c r="A73" s="545">
        <v>40</v>
      </c>
      <c r="B73" s="266" t="s">
        <v>148</v>
      </c>
      <c r="E73" s="10">
        <f>E66+E72</f>
        <v>416324</v>
      </c>
      <c r="F73" s="10">
        <f>F66+F72</f>
        <v>416324</v>
      </c>
      <c r="G73" s="10">
        <f>G66+G72</f>
        <v>0</v>
      </c>
      <c r="H73" s="564"/>
    </row>
    <row r="74" spans="1:8" ht="12">
      <c r="A74" s="545">
        <v>41</v>
      </c>
      <c r="B74" s="569" t="s">
        <v>100</v>
      </c>
      <c r="E74" s="573">
        <f>F74+G74</f>
        <v>-88908</v>
      </c>
      <c r="F74" s="573">
        <f>F294</f>
        <v>-88908</v>
      </c>
      <c r="G74" s="573">
        <f>G294</f>
        <v>0</v>
      </c>
      <c r="H74" s="564" t="str">
        <f t="shared" si="1"/>
        <v xml:space="preserve"> </v>
      </c>
    </row>
    <row r="75" spans="1:8" ht="12">
      <c r="A75" s="545">
        <v>42</v>
      </c>
      <c r="B75" s="88" t="s">
        <v>174</v>
      </c>
      <c r="E75" s="10">
        <f>E73+E74</f>
        <v>327416</v>
      </c>
      <c r="F75" s="10">
        <f>F73+F74</f>
        <v>327416</v>
      </c>
      <c r="G75" s="10">
        <f>G73+G74</f>
        <v>0</v>
      </c>
      <c r="H75" s="564"/>
    </row>
    <row r="76" spans="1:8" ht="12">
      <c r="A76" s="545">
        <v>43</v>
      </c>
      <c r="B76" s="266" t="s">
        <v>57</v>
      </c>
      <c r="E76" s="10">
        <f t="shared" ref="E76:E79" si="2">F76+G76</f>
        <v>8355</v>
      </c>
      <c r="F76" s="10">
        <f>F301+F302</f>
        <v>8355</v>
      </c>
      <c r="G76" s="10">
        <f>G301+G302</f>
        <v>0</v>
      </c>
      <c r="H76" s="564" t="str">
        <f t="shared" si="1"/>
        <v xml:space="preserve"> </v>
      </c>
    </row>
    <row r="77" spans="1:8" ht="12">
      <c r="A77" s="545">
        <v>44</v>
      </c>
      <c r="B77" s="569" t="s">
        <v>58</v>
      </c>
      <c r="E77" s="10">
        <f t="shared" si="2"/>
        <v>0</v>
      </c>
      <c r="F77" s="547">
        <v>0</v>
      </c>
      <c r="G77" s="547">
        <f>G299+G300</f>
        <v>0</v>
      </c>
      <c r="H77" s="564" t="str">
        <f>IF(E79=F79+G79," ","ERROR")</f>
        <v xml:space="preserve"> </v>
      </c>
    </row>
    <row r="78" spans="1:8" ht="12">
      <c r="A78" s="545">
        <v>45</v>
      </c>
      <c r="B78" s="569" t="s">
        <v>384</v>
      </c>
      <c r="E78" s="10">
        <f t="shared" si="2"/>
        <v>5338</v>
      </c>
      <c r="F78" s="547">
        <f>F303+F304+F306+F307+F299+F300+F305</f>
        <v>5338</v>
      </c>
      <c r="G78" s="547">
        <f>G303+G304</f>
        <v>0</v>
      </c>
      <c r="H78" s="564"/>
    </row>
    <row r="79" spans="1:8" ht="12">
      <c r="A79" s="545">
        <v>46</v>
      </c>
      <c r="B79" s="266" t="s">
        <v>152</v>
      </c>
      <c r="E79" s="566">
        <f t="shared" si="2"/>
        <v>7549</v>
      </c>
      <c r="F79" s="566">
        <f>F308</f>
        <v>7549</v>
      </c>
      <c r="G79" s="566">
        <f>G308</f>
        <v>0</v>
      </c>
      <c r="H79" s="564"/>
    </row>
    <row r="80" spans="1:8" ht="11.1" customHeight="1">
      <c r="G80" s="547"/>
    </row>
    <row r="81" spans="1:10" ht="9" customHeight="1">
      <c r="A81" s="545"/>
      <c r="B81" s="266" t="s">
        <v>101</v>
      </c>
      <c r="G81" s="547"/>
      <c r="H81" s="564"/>
    </row>
    <row r="82" spans="1:10" ht="12.75" thickBot="1">
      <c r="A82" s="545">
        <v>47</v>
      </c>
      <c r="B82" s="571" t="s">
        <v>59</v>
      </c>
      <c r="E82" s="574">
        <f>E75+E76+E79+E77+E78</f>
        <v>348658</v>
      </c>
      <c r="F82" s="574">
        <f>F75+F76+F79+F77+F78</f>
        <v>348658</v>
      </c>
      <c r="G82" s="574">
        <f>G75+G76+G79+G77+G78</f>
        <v>0</v>
      </c>
      <c r="H82" s="564" t="str">
        <f>IF(E82=F82+G82," ","ERROR")</f>
        <v xml:space="preserve"> </v>
      </c>
    </row>
    <row r="83" spans="1:10" ht="11.1" customHeight="1" thickTop="1">
      <c r="E83" s="554"/>
      <c r="F83" s="554"/>
      <c r="G83" s="554"/>
    </row>
    <row r="84" spans="1:10" ht="11.1" customHeight="1">
      <c r="E84" s="6">
        <f>E59/E82</f>
        <v>7.0596401057770083E-2</v>
      </c>
      <c r="F84" s="6">
        <f>F59/F82</f>
        <v>7.0596401057770083E-2</v>
      </c>
      <c r="G84" s="6"/>
    </row>
    <row r="86" spans="1:10" ht="11.1" customHeight="1">
      <c r="A86" s="171"/>
      <c r="B86" s="172" t="s">
        <v>25</v>
      </c>
      <c r="J86" s="278"/>
    </row>
    <row r="87" spans="1:10" ht="11.1" customHeight="1">
      <c r="A87" s="171"/>
      <c r="B87" s="173" t="s">
        <v>210</v>
      </c>
      <c r="J87" s="279"/>
    </row>
    <row r="88" spans="1:10" ht="11.1" customHeight="1">
      <c r="A88" s="174">
        <v>480000</v>
      </c>
      <c r="B88" s="173" t="s">
        <v>211</v>
      </c>
      <c r="F88" s="547">
        <f>ROUND(H88/1000,0)</f>
        <v>96667</v>
      </c>
      <c r="H88" s="560">
        <v>96666957</v>
      </c>
      <c r="I88" s="56"/>
      <c r="J88" s="279"/>
    </row>
    <row r="89" spans="1:10" ht="11.1" customHeight="1">
      <c r="A89" s="174" t="s">
        <v>212</v>
      </c>
      <c r="B89" s="173" t="s">
        <v>213</v>
      </c>
      <c r="F89" s="547">
        <f t="shared" ref="F89:F154" si="3">ROUND(H89/1000,0)</f>
        <v>44092</v>
      </c>
      <c r="H89" s="560">
        <v>44091898</v>
      </c>
      <c r="I89" s="56"/>
      <c r="J89" s="279"/>
    </row>
    <row r="90" spans="1:10" ht="11.1" customHeight="1">
      <c r="A90" s="174" t="s">
        <v>214</v>
      </c>
      <c r="B90" s="173" t="s">
        <v>215</v>
      </c>
      <c r="F90" s="547">
        <f t="shared" si="3"/>
        <v>1517</v>
      </c>
      <c r="H90" s="560">
        <v>1517194</v>
      </c>
      <c r="I90" s="56"/>
      <c r="J90" s="279"/>
    </row>
    <row r="91" spans="1:10" ht="11.1" customHeight="1">
      <c r="A91" s="174">
        <v>481400</v>
      </c>
      <c r="B91" s="173" t="s">
        <v>216</v>
      </c>
      <c r="F91" s="547">
        <f t="shared" si="3"/>
        <v>0</v>
      </c>
      <c r="H91" s="560">
        <v>0</v>
      </c>
      <c r="I91" s="56"/>
      <c r="J91" s="279"/>
    </row>
    <row r="92" spans="1:10" ht="11.1" customHeight="1">
      <c r="A92" s="174">
        <v>484000</v>
      </c>
      <c r="B92" s="173" t="s">
        <v>219</v>
      </c>
      <c r="F92" s="547">
        <f t="shared" si="3"/>
        <v>225</v>
      </c>
      <c r="H92" s="560">
        <v>225194</v>
      </c>
      <c r="I92" s="56"/>
      <c r="J92" s="279"/>
    </row>
    <row r="93" spans="1:10" ht="11.1" customHeight="1">
      <c r="A93" s="171" t="s">
        <v>217</v>
      </c>
      <c r="B93" s="173" t="s">
        <v>218</v>
      </c>
      <c r="F93" s="547">
        <f t="shared" si="3"/>
        <v>-1876</v>
      </c>
      <c r="H93" s="560">
        <v>-1876069</v>
      </c>
      <c r="I93" s="56"/>
      <c r="J93" s="279"/>
    </row>
    <row r="94" spans="1:10" ht="11.1" customHeight="1">
      <c r="A94" s="171"/>
      <c r="B94" s="173" t="s">
        <v>220</v>
      </c>
      <c r="F94" s="547">
        <f t="shared" si="3"/>
        <v>140625</v>
      </c>
      <c r="H94" s="560">
        <v>140625174</v>
      </c>
      <c r="I94" s="56"/>
      <c r="J94" s="279"/>
    </row>
    <row r="95" spans="1:10" ht="11.1" customHeight="1">
      <c r="A95" s="171"/>
      <c r="B95" s="173"/>
      <c r="F95" s="547">
        <f t="shared" si="3"/>
        <v>0</v>
      </c>
      <c r="H95" s="560"/>
      <c r="I95" s="56"/>
      <c r="J95" s="279"/>
    </row>
    <row r="96" spans="1:10" ht="11.1" customHeight="1">
      <c r="A96" s="171"/>
      <c r="B96" s="173" t="s">
        <v>221</v>
      </c>
      <c r="F96" s="547">
        <f t="shared" si="3"/>
        <v>0</v>
      </c>
      <c r="H96" s="560"/>
      <c r="I96" s="56"/>
      <c r="J96" s="279"/>
    </row>
    <row r="97" spans="1:10" ht="11.1" customHeight="1">
      <c r="A97" s="175">
        <v>483000</v>
      </c>
      <c r="B97" s="176" t="s">
        <v>222</v>
      </c>
      <c r="F97" s="547">
        <f t="shared" si="3"/>
        <v>53967</v>
      </c>
      <c r="H97" s="560">
        <v>53967269</v>
      </c>
      <c r="I97" s="56"/>
      <c r="J97" s="280"/>
    </row>
    <row r="98" spans="1:10" ht="11.1" customHeight="1">
      <c r="A98" s="174">
        <v>488000</v>
      </c>
      <c r="B98" s="173" t="s">
        <v>223</v>
      </c>
      <c r="F98" s="547">
        <f t="shared" si="3"/>
        <v>7</v>
      </c>
      <c r="H98" s="560">
        <v>7344</v>
      </c>
      <c r="I98" s="56"/>
      <c r="J98" s="279"/>
    </row>
    <row r="99" spans="1:10" ht="11.1" customHeight="1">
      <c r="A99" s="174">
        <v>489300</v>
      </c>
      <c r="B99" s="173" t="s">
        <v>224</v>
      </c>
      <c r="F99" s="547">
        <f t="shared" si="3"/>
        <v>5088</v>
      </c>
      <c r="H99" s="560">
        <v>5088149</v>
      </c>
      <c r="I99" s="56"/>
      <c r="J99" s="279"/>
    </row>
    <row r="100" spans="1:10" ht="11.1" customHeight="1">
      <c r="A100" s="174">
        <v>493000</v>
      </c>
      <c r="B100" s="173" t="s">
        <v>225</v>
      </c>
      <c r="F100" s="547">
        <f t="shared" si="3"/>
        <v>3</v>
      </c>
      <c r="H100" s="560">
        <v>2678</v>
      </c>
      <c r="I100" s="56"/>
      <c r="J100" s="279"/>
    </row>
    <row r="101" spans="1:10" ht="11.1" customHeight="1">
      <c r="A101" s="174">
        <v>495000</v>
      </c>
      <c r="B101" s="173" t="s">
        <v>226</v>
      </c>
      <c r="F101" s="547">
        <f t="shared" si="3"/>
        <v>-309</v>
      </c>
      <c r="H101" s="560">
        <v>-308857</v>
      </c>
      <c r="I101" s="56"/>
      <c r="J101" s="279"/>
    </row>
    <row r="102" spans="1:10" ht="11.1" customHeight="1">
      <c r="A102" s="174">
        <v>496100</v>
      </c>
      <c r="B102" s="173" t="s">
        <v>413</v>
      </c>
      <c r="F102" s="547">
        <f>ROUND(H102/1000,0)</f>
        <v>-807</v>
      </c>
      <c r="H102" s="560">
        <v>-806740</v>
      </c>
      <c r="I102" s="56"/>
      <c r="J102" s="279"/>
    </row>
    <row r="103" spans="1:10" ht="11.1" customHeight="1">
      <c r="A103" s="575">
        <v>496110</v>
      </c>
      <c r="B103" s="279" t="s">
        <v>568</v>
      </c>
      <c r="F103" s="547">
        <f t="shared" si="3"/>
        <v>-2181</v>
      </c>
      <c r="H103" s="560">
        <v>-2180561</v>
      </c>
      <c r="I103" s="56"/>
      <c r="J103" s="279"/>
    </row>
    <row r="104" spans="1:10" ht="11.1" customHeight="1">
      <c r="A104" s="171"/>
      <c r="B104" s="173" t="s">
        <v>227</v>
      </c>
      <c r="F104" s="547">
        <f t="shared" si="3"/>
        <v>55769</v>
      </c>
      <c r="H104" s="560">
        <v>55769282</v>
      </c>
      <c r="I104" s="56"/>
      <c r="J104" s="279"/>
    </row>
    <row r="105" spans="1:10" ht="11.1" customHeight="1">
      <c r="A105" s="171"/>
      <c r="B105" s="173" t="s">
        <v>228</v>
      </c>
      <c r="F105" s="547">
        <f t="shared" si="3"/>
        <v>196394</v>
      </c>
      <c r="H105" s="560">
        <v>196394456</v>
      </c>
      <c r="I105" s="56"/>
      <c r="J105" s="279"/>
    </row>
    <row r="106" spans="1:10" ht="11.1" customHeight="1">
      <c r="A106" s="171"/>
      <c r="B106" s="173"/>
      <c r="F106" s="547">
        <f t="shared" si="3"/>
        <v>0</v>
      </c>
      <c r="H106" s="560"/>
      <c r="I106" s="56"/>
      <c r="J106" s="279"/>
    </row>
    <row r="107" spans="1:10" ht="11.1" customHeight="1">
      <c r="A107" s="171"/>
      <c r="B107" s="173" t="s">
        <v>229</v>
      </c>
      <c r="F107" s="547">
        <f t="shared" si="3"/>
        <v>0</v>
      </c>
      <c r="H107" s="560"/>
      <c r="I107" s="56"/>
      <c r="J107" s="279"/>
    </row>
    <row r="108" spans="1:10" ht="11.1" customHeight="1">
      <c r="A108" s="177" t="s">
        <v>230</v>
      </c>
      <c r="B108" s="173" t="s">
        <v>31</v>
      </c>
      <c r="F108" s="547">
        <f t="shared" si="3"/>
        <v>90669</v>
      </c>
      <c r="H108" s="560">
        <v>90668635</v>
      </c>
      <c r="I108" s="56"/>
      <c r="J108" s="279"/>
    </row>
    <row r="109" spans="1:10" ht="11.1" customHeight="1">
      <c r="A109" s="174" t="s">
        <v>231</v>
      </c>
      <c r="B109" s="173" t="s">
        <v>232</v>
      </c>
      <c r="F109" s="547">
        <f t="shared" si="3"/>
        <v>376</v>
      </c>
      <c r="H109" s="560">
        <v>376490</v>
      </c>
      <c r="I109" s="56"/>
      <c r="J109" s="279"/>
    </row>
    <row r="110" spans="1:10" ht="11.1" customHeight="1">
      <c r="A110" s="175">
        <v>811000</v>
      </c>
      <c r="B110" s="176" t="s">
        <v>233</v>
      </c>
      <c r="F110" s="547">
        <f t="shared" si="3"/>
        <v>-668</v>
      </c>
      <c r="H110" s="560">
        <v>-668386</v>
      </c>
      <c r="I110" s="56"/>
      <c r="J110" s="280"/>
    </row>
    <row r="111" spans="1:10" ht="11.1" customHeight="1">
      <c r="A111" s="174">
        <v>813000</v>
      </c>
      <c r="B111" s="173" t="s">
        <v>234</v>
      </c>
      <c r="F111" s="547">
        <f t="shared" si="3"/>
        <v>876</v>
      </c>
      <c r="H111" s="560">
        <v>876238</v>
      </c>
      <c r="I111" s="56"/>
      <c r="J111" s="279"/>
    </row>
    <row r="112" spans="1:10" ht="11.1" customHeight="1">
      <c r="A112" s="174">
        <v>813010</v>
      </c>
      <c r="B112" s="173" t="s">
        <v>235</v>
      </c>
      <c r="F112" s="547">
        <f t="shared" si="3"/>
        <v>79</v>
      </c>
      <c r="H112" s="560">
        <v>78555</v>
      </c>
      <c r="I112" s="56"/>
      <c r="J112" s="279"/>
    </row>
    <row r="113" spans="1:10" ht="11.1" customHeight="1">
      <c r="A113" s="171"/>
      <c r="B113" s="173" t="s">
        <v>236</v>
      </c>
      <c r="F113" s="547">
        <f t="shared" si="3"/>
        <v>91332</v>
      </c>
      <c r="H113" s="560">
        <v>91331532</v>
      </c>
      <c r="I113" s="56"/>
      <c r="J113" s="279"/>
    </row>
    <row r="114" spans="1:10" ht="11.1" customHeight="1">
      <c r="A114" s="171"/>
      <c r="B114" s="173"/>
      <c r="F114" s="547">
        <f t="shared" si="3"/>
        <v>0</v>
      </c>
      <c r="H114" s="560"/>
      <c r="I114" s="56"/>
      <c r="J114" s="279"/>
    </row>
    <row r="115" spans="1:10" ht="11.1" customHeight="1">
      <c r="A115" s="171"/>
      <c r="B115" s="173" t="s">
        <v>237</v>
      </c>
      <c r="F115" s="547">
        <f t="shared" si="3"/>
        <v>0</v>
      </c>
      <c r="H115" s="560"/>
      <c r="I115" s="56"/>
      <c r="J115" s="279"/>
    </row>
    <row r="116" spans="1:10" ht="11.1" customHeight="1">
      <c r="A116" s="174">
        <v>814000</v>
      </c>
      <c r="B116" s="173" t="s">
        <v>238</v>
      </c>
      <c r="F116" s="547">
        <f t="shared" si="3"/>
        <v>14</v>
      </c>
      <c r="H116" s="560">
        <v>13870</v>
      </c>
      <c r="I116" s="56"/>
      <c r="J116" s="279"/>
    </row>
    <row r="117" spans="1:10" ht="11.1" customHeight="1">
      <c r="A117" s="174">
        <v>824000</v>
      </c>
      <c r="B117" s="173" t="s">
        <v>239</v>
      </c>
      <c r="F117" s="547">
        <f t="shared" si="3"/>
        <v>548</v>
      </c>
      <c r="H117" s="560">
        <v>548121</v>
      </c>
      <c r="I117" s="56"/>
      <c r="J117" s="279"/>
    </row>
    <row r="118" spans="1:10" ht="11.1" customHeight="1">
      <c r="A118" s="174">
        <v>837000</v>
      </c>
      <c r="B118" s="173" t="s">
        <v>240</v>
      </c>
      <c r="F118" s="547">
        <f t="shared" si="3"/>
        <v>971</v>
      </c>
      <c r="H118" s="560">
        <v>970574</v>
      </c>
      <c r="I118" s="56"/>
      <c r="J118" s="279"/>
    </row>
    <row r="119" spans="1:10" ht="11.1" customHeight="1">
      <c r="A119" s="171"/>
      <c r="B119" s="173" t="s">
        <v>241</v>
      </c>
      <c r="F119" s="547">
        <f t="shared" si="3"/>
        <v>1533</v>
      </c>
      <c r="H119" s="560">
        <v>1532565</v>
      </c>
      <c r="I119" s="56"/>
      <c r="J119" s="279"/>
    </row>
    <row r="120" spans="1:10" ht="11.1" customHeight="1">
      <c r="A120" s="171"/>
      <c r="B120" s="173"/>
      <c r="F120" s="547">
        <f t="shared" si="3"/>
        <v>0</v>
      </c>
      <c r="H120" s="560"/>
      <c r="I120" s="56"/>
      <c r="J120" s="279"/>
    </row>
    <row r="121" spans="1:10" ht="11.1" customHeight="1">
      <c r="A121" s="172"/>
      <c r="B121" s="173" t="s">
        <v>242</v>
      </c>
      <c r="F121" s="547">
        <f t="shared" si="3"/>
        <v>627</v>
      </c>
      <c r="H121" s="560">
        <v>626554</v>
      </c>
      <c r="I121" s="56"/>
      <c r="J121" s="279"/>
    </row>
    <row r="122" spans="1:10" ht="11.1" customHeight="1">
      <c r="A122" s="172"/>
      <c r="B122" s="173" t="s">
        <v>243</v>
      </c>
      <c r="F122" s="547">
        <f t="shared" si="3"/>
        <v>0</v>
      </c>
      <c r="H122" s="560">
        <v>105</v>
      </c>
      <c r="I122" s="56"/>
      <c r="J122" s="279"/>
    </row>
    <row r="123" spans="1:10" ht="11.1" customHeight="1">
      <c r="A123" s="171"/>
      <c r="B123" s="173" t="s">
        <v>244</v>
      </c>
      <c r="F123" s="547">
        <f t="shared" si="3"/>
        <v>302</v>
      </c>
      <c r="H123" s="560">
        <v>301792</v>
      </c>
      <c r="I123" s="56"/>
      <c r="J123" s="279"/>
    </row>
    <row r="124" spans="1:10" ht="11.1" customHeight="1">
      <c r="A124" s="171"/>
      <c r="B124" s="173" t="s">
        <v>245</v>
      </c>
      <c r="F124" s="547">
        <f t="shared" si="3"/>
        <v>928</v>
      </c>
      <c r="H124" s="560">
        <v>928451</v>
      </c>
      <c r="I124" s="56"/>
      <c r="J124" s="279"/>
    </row>
    <row r="125" spans="1:10" ht="11.1" customHeight="1">
      <c r="A125" s="171"/>
      <c r="B125" s="173"/>
      <c r="F125" s="547">
        <f t="shared" si="3"/>
        <v>0</v>
      </c>
      <c r="H125" s="560"/>
      <c r="I125" s="56"/>
      <c r="J125" s="279"/>
    </row>
    <row r="126" spans="1:10" ht="11.1" customHeight="1">
      <c r="A126" s="171"/>
      <c r="B126" s="173" t="s">
        <v>246</v>
      </c>
      <c r="F126" s="547">
        <f t="shared" si="3"/>
        <v>2461</v>
      </c>
      <c r="H126" s="560">
        <v>2461016</v>
      </c>
      <c r="I126" s="56"/>
      <c r="J126" s="279"/>
    </row>
    <row r="127" spans="1:10" ht="11.1" customHeight="1">
      <c r="A127" s="171"/>
      <c r="B127" s="173"/>
      <c r="F127" s="547">
        <f t="shared" si="3"/>
        <v>0</v>
      </c>
      <c r="H127" s="560"/>
      <c r="I127" s="56"/>
      <c r="J127" s="279"/>
    </row>
    <row r="128" spans="1:10" ht="11.1" customHeight="1">
      <c r="A128" s="171"/>
      <c r="B128" s="173" t="s">
        <v>247</v>
      </c>
      <c r="F128" s="547">
        <f t="shared" si="3"/>
        <v>0</v>
      </c>
      <c r="H128" s="560"/>
      <c r="I128" s="56"/>
      <c r="J128" s="279"/>
    </row>
    <row r="129" spans="1:15" ht="11.1" customHeight="1">
      <c r="A129" s="171"/>
      <c r="B129" s="173" t="s">
        <v>248</v>
      </c>
      <c r="F129" s="547">
        <f t="shared" si="3"/>
        <v>0</v>
      </c>
      <c r="H129" s="560"/>
      <c r="I129" s="56"/>
      <c r="J129" s="279"/>
    </row>
    <row r="130" spans="1:15" ht="11.1" customHeight="1">
      <c r="A130" s="174">
        <v>870000</v>
      </c>
      <c r="B130" s="173" t="s">
        <v>238</v>
      </c>
      <c r="F130" s="547">
        <f t="shared" si="3"/>
        <v>1405</v>
      </c>
      <c r="H130" s="560">
        <v>1404522</v>
      </c>
      <c r="I130" s="56"/>
      <c r="J130" s="279"/>
    </row>
    <row r="131" spans="1:15" ht="11.1" customHeight="1">
      <c r="A131" s="174">
        <v>871000</v>
      </c>
      <c r="B131" s="173" t="s">
        <v>249</v>
      </c>
      <c r="F131" s="547">
        <f t="shared" si="3"/>
        <v>0</v>
      </c>
      <c r="H131" s="560">
        <v>0</v>
      </c>
      <c r="I131" s="56"/>
      <c r="J131" s="279"/>
    </row>
    <row r="132" spans="1:15" ht="11.1" customHeight="1">
      <c r="A132" s="174">
        <v>874000</v>
      </c>
      <c r="B132" s="173" t="s">
        <v>250</v>
      </c>
      <c r="F132" s="547">
        <f t="shared" si="3"/>
        <v>3093</v>
      </c>
      <c r="H132" s="560">
        <v>3092987</v>
      </c>
      <c r="I132" s="56"/>
      <c r="J132" s="279"/>
      <c r="N132" s="53"/>
    </row>
    <row r="133" spans="1:15" ht="11.1" customHeight="1" thickBot="1">
      <c r="A133" s="174">
        <v>875000</v>
      </c>
      <c r="B133" s="173" t="s">
        <v>251</v>
      </c>
      <c r="F133" s="547">
        <f t="shared" si="3"/>
        <v>96</v>
      </c>
      <c r="H133" s="560">
        <v>95671</v>
      </c>
      <c r="I133" s="56"/>
      <c r="J133" s="279"/>
      <c r="N133" s="54"/>
      <c r="O133" s="55"/>
    </row>
    <row r="134" spans="1:15" ht="11.1" customHeight="1" thickTop="1">
      <c r="A134" s="174">
        <v>876000</v>
      </c>
      <c r="B134" s="173" t="s">
        <v>252</v>
      </c>
      <c r="F134" s="547">
        <f t="shared" si="3"/>
        <v>13</v>
      </c>
      <c r="H134" s="560">
        <v>13270</v>
      </c>
      <c r="I134" s="56"/>
      <c r="J134" s="279"/>
    </row>
    <row r="135" spans="1:15" ht="11.1" customHeight="1">
      <c r="A135" s="174">
        <v>877000</v>
      </c>
      <c r="B135" s="173" t="s">
        <v>253</v>
      </c>
      <c r="F135" s="547">
        <f t="shared" si="3"/>
        <v>62</v>
      </c>
      <c r="H135" s="560">
        <v>61643</v>
      </c>
      <c r="I135" s="56"/>
      <c r="J135" s="279"/>
    </row>
    <row r="136" spans="1:15" ht="11.1" customHeight="1">
      <c r="A136" s="174">
        <v>878000</v>
      </c>
      <c r="B136" s="173" t="s">
        <v>254</v>
      </c>
      <c r="F136" s="547">
        <f t="shared" si="3"/>
        <v>324</v>
      </c>
      <c r="H136" s="560">
        <v>324045</v>
      </c>
      <c r="I136" s="56"/>
      <c r="J136" s="279"/>
    </row>
    <row r="137" spans="1:15" ht="11.1" customHeight="1">
      <c r="A137" s="174">
        <v>879000</v>
      </c>
      <c r="B137" s="173" t="s">
        <v>255</v>
      </c>
      <c r="F137" s="547">
        <f t="shared" si="3"/>
        <v>1426</v>
      </c>
      <c r="H137" s="560">
        <v>1426174</v>
      </c>
      <c r="I137" s="56"/>
      <c r="J137" s="279"/>
    </row>
    <row r="138" spans="1:15" ht="11.1" customHeight="1">
      <c r="A138" s="174">
        <v>880000</v>
      </c>
      <c r="B138" s="173" t="s">
        <v>239</v>
      </c>
      <c r="F138" s="547">
        <f t="shared" si="3"/>
        <v>2095</v>
      </c>
      <c r="H138" s="560">
        <v>2095369</v>
      </c>
      <c r="I138" s="56"/>
      <c r="J138" s="279"/>
    </row>
    <row r="139" spans="1:15" ht="11.1" customHeight="1">
      <c r="A139" s="174">
        <v>881000</v>
      </c>
      <c r="B139" s="173" t="s">
        <v>256</v>
      </c>
      <c r="F139" s="547">
        <f t="shared" si="3"/>
        <v>31</v>
      </c>
      <c r="H139" s="560">
        <v>31487</v>
      </c>
      <c r="I139" s="56"/>
      <c r="J139" s="279"/>
    </row>
    <row r="140" spans="1:15" ht="11.1" customHeight="1">
      <c r="A140" s="171"/>
      <c r="B140" s="173"/>
      <c r="F140" s="547">
        <f t="shared" si="3"/>
        <v>0</v>
      </c>
      <c r="H140" s="560"/>
      <c r="I140" s="56"/>
      <c r="J140" s="279"/>
    </row>
    <row r="141" spans="1:15" ht="11.1" customHeight="1">
      <c r="A141" s="171"/>
      <c r="B141" s="173" t="s">
        <v>257</v>
      </c>
      <c r="F141" s="547">
        <f t="shared" si="3"/>
        <v>0</v>
      </c>
      <c r="H141" s="560"/>
      <c r="I141" s="56"/>
      <c r="J141" s="279"/>
    </row>
    <row r="142" spans="1:15" ht="11.1" customHeight="1">
      <c r="A142" s="174">
        <v>885000</v>
      </c>
      <c r="B142" s="173" t="s">
        <v>238</v>
      </c>
      <c r="F142" s="547">
        <f t="shared" si="3"/>
        <v>95</v>
      </c>
      <c r="H142" s="560">
        <v>94813</v>
      </c>
      <c r="I142" s="56"/>
      <c r="J142" s="279"/>
    </row>
    <row r="143" spans="1:15" ht="11.1" customHeight="1">
      <c r="A143" s="174">
        <v>887000</v>
      </c>
      <c r="B143" s="173" t="s">
        <v>258</v>
      </c>
      <c r="F143" s="547">
        <f t="shared" si="3"/>
        <v>785</v>
      </c>
      <c r="H143" s="560">
        <v>784649</v>
      </c>
      <c r="I143" s="56"/>
      <c r="J143" s="279"/>
    </row>
    <row r="144" spans="1:15" ht="11.1" customHeight="1">
      <c r="A144" s="174">
        <v>889000</v>
      </c>
      <c r="B144" s="173" t="s">
        <v>251</v>
      </c>
      <c r="F144" s="547">
        <f t="shared" si="3"/>
        <v>211</v>
      </c>
      <c r="H144" s="560">
        <v>210671</v>
      </c>
      <c r="I144" s="56"/>
      <c r="J144" s="279"/>
    </row>
    <row r="145" spans="1:10" ht="11.1" customHeight="1">
      <c r="A145" s="174">
        <v>890000</v>
      </c>
      <c r="B145" s="173" t="s">
        <v>252</v>
      </c>
      <c r="F145" s="547">
        <f t="shared" si="3"/>
        <v>55</v>
      </c>
      <c r="H145" s="560">
        <v>54996</v>
      </c>
      <c r="I145" s="56"/>
      <c r="J145" s="279"/>
    </row>
    <row r="146" spans="1:10" ht="11.1" customHeight="1">
      <c r="A146" s="174">
        <v>891000</v>
      </c>
      <c r="B146" s="173" t="s">
        <v>253</v>
      </c>
      <c r="F146" s="547">
        <f t="shared" si="3"/>
        <v>38</v>
      </c>
      <c r="H146" s="560">
        <v>37918</v>
      </c>
      <c r="I146" s="56"/>
      <c r="J146" s="279"/>
    </row>
    <row r="147" spans="1:10" ht="11.1" customHeight="1">
      <c r="A147" s="174">
        <v>892000</v>
      </c>
      <c r="B147" s="173" t="s">
        <v>259</v>
      </c>
      <c r="F147" s="547">
        <f t="shared" si="3"/>
        <v>1087</v>
      </c>
      <c r="H147" s="560">
        <v>1087080</v>
      </c>
      <c r="I147" s="56"/>
      <c r="J147" s="279"/>
    </row>
    <row r="148" spans="1:10" ht="11.1" customHeight="1">
      <c r="A148" s="174">
        <v>893000</v>
      </c>
      <c r="B148" s="173" t="s">
        <v>260</v>
      </c>
      <c r="F148" s="547">
        <f t="shared" si="3"/>
        <v>1332</v>
      </c>
      <c r="H148" s="560">
        <v>1332133</v>
      </c>
      <c r="I148" s="56"/>
      <c r="J148" s="279"/>
    </row>
    <row r="149" spans="1:10" ht="11.1" customHeight="1">
      <c r="A149" s="174">
        <v>894000</v>
      </c>
      <c r="B149" s="173" t="s">
        <v>240</v>
      </c>
      <c r="F149" s="547">
        <f t="shared" si="3"/>
        <v>168</v>
      </c>
      <c r="H149" s="560">
        <v>168469</v>
      </c>
      <c r="I149" s="56"/>
      <c r="J149" s="279"/>
    </row>
    <row r="150" spans="1:10" ht="11.1" customHeight="1">
      <c r="A150" s="171"/>
      <c r="B150" s="173" t="s">
        <v>261</v>
      </c>
      <c r="F150" s="547">
        <f t="shared" si="3"/>
        <v>12316</v>
      </c>
      <c r="H150" s="560">
        <v>12315897</v>
      </c>
      <c r="I150" s="56"/>
      <c r="J150" s="279"/>
    </row>
    <row r="151" spans="1:10" ht="11.1" customHeight="1">
      <c r="A151" s="171"/>
      <c r="B151" s="173"/>
      <c r="F151" s="547">
        <f t="shared" si="3"/>
        <v>0</v>
      </c>
      <c r="H151" s="560"/>
      <c r="I151" s="56"/>
      <c r="J151" s="279"/>
    </row>
    <row r="152" spans="1:10" ht="11.1" customHeight="1">
      <c r="A152" s="171"/>
      <c r="B152" s="173" t="s">
        <v>262</v>
      </c>
      <c r="F152" s="547">
        <f t="shared" si="3"/>
        <v>11642</v>
      </c>
      <c r="H152" s="560">
        <v>11641978</v>
      </c>
      <c r="I152" s="56"/>
      <c r="J152" s="279"/>
    </row>
    <row r="153" spans="1:10" ht="11.1" customHeight="1">
      <c r="A153" s="171"/>
      <c r="B153" s="173" t="s">
        <v>244</v>
      </c>
      <c r="F153" s="547">
        <f t="shared" si="3"/>
        <v>14129</v>
      </c>
      <c r="H153" s="560">
        <v>14128627</v>
      </c>
      <c r="I153" s="56"/>
      <c r="J153" s="279"/>
    </row>
    <row r="154" spans="1:10" ht="11.1" customHeight="1">
      <c r="A154" s="171"/>
      <c r="B154" s="173" t="s">
        <v>263</v>
      </c>
      <c r="F154" s="547">
        <f t="shared" si="3"/>
        <v>25771</v>
      </c>
      <c r="H154" s="560">
        <v>25770605</v>
      </c>
      <c r="I154" s="56"/>
      <c r="J154" s="279"/>
    </row>
    <row r="155" spans="1:10" ht="11.1" customHeight="1">
      <c r="A155" s="171"/>
      <c r="B155" s="173"/>
      <c r="F155" s="547">
        <f t="shared" ref="F155:F226" si="4">ROUND(H155/1000,0)</f>
        <v>0</v>
      </c>
      <c r="H155" s="560"/>
      <c r="I155" s="56"/>
      <c r="J155" s="279"/>
    </row>
    <row r="156" spans="1:10" ht="11.1" customHeight="1">
      <c r="A156" s="171"/>
      <c r="B156" s="173" t="s">
        <v>264</v>
      </c>
      <c r="F156" s="547">
        <f t="shared" si="4"/>
        <v>38087</v>
      </c>
      <c r="H156" s="560">
        <v>38086502</v>
      </c>
      <c r="I156" s="56"/>
      <c r="J156" s="279"/>
    </row>
    <row r="157" spans="1:10" ht="11.1" customHeight="1">
      <c r="A157" s="171"/>
      <c r="B157" s="173"/>
      <c r="F157" s="547">
        <f t="shared" si="4"/>
        <v>0</v>
      </c>
      <c r="H157" s="560"/>
      <c r="I157" s="56"/>
      <c r="J157" s="279"/>
    </row>
    <row r="158" spans="1:10" ht="11.1" customHeight="1">
      <c r="A158" s="171"/>
      <c r="B158" s="173" t="s">
        <v>265</v>
      </c>
      <c r="F158" s="547">
        <f t="shared" si="4"/>
        <v>0</v>
      </c>
      <c r="H158" s="560"/>
      <c r="I158" s="56"/>
      <c r="J158" s="279"/>
    </row>
    <row r="159" spans="1:10" ht="11.1" customHeight="1">
      <c r="A159" s="174">
        <v>901000</v>
      </c>
      <c r="B159" s="173" t="s">
        <v>266</v>
      </c>
      <c r="F159" s="547">
        <f t="shared" si="4"/>
        <v>78</v>
      </c>
      <c r="H159" s="560">
        <v>77768</v>
      </c>
      <c r="I159" s="56"/>
      <c r="J159" s="279"/>
    </row>
    <row r="160" spans="1:10" ht="11.1" customHeight="1">
      <c r="A160" s="174">
        <v>902000</v>
      </c>
      <c r="B160" s="173" t="s">
        <v>267</v>
      </c>
      <c r="F160" s="547">
        <f t="shared" si="4"/>
        <v>1829</v>
      </c>
      <c r="H160" s="560">
        <v>1829324</v>
      </c>
      <c r="I160" s="56"/>
      <c r="J160" s="279"/>
    </row>
    <row r="161" spans="1:10" ht="11.1" customHeight="1">
      <c r="A161" s="174" t="s">
        <v>268</v>
      </c>
      <c r="B161" s="173" t="s">
        <v>269</v>
      </c>
      <c r="F161" s="547">
        <f t="shared" si="4"/>
        <v>4328</v>
      </c>
      <c r="H161" s="560">
        <v>4327950</v>
      </c>
      <c r="I161" s="56"/>
      <c r="J161" s="279"/>
    </row>
    <row r="162" spans="1:10" ht="11.1" customHeight="1">
      <c r="A162" s="174">
        <v>904000</v>
      </c>
      <c r="B162" s="173" t="s">
        <v>270</v>
      </c>
      <c r="F162" s="547">
        <f t="shared" si="4"/>
        <v>871</v>
      </c>
      <c r="H162" s="560">
        <v>870568</v>
      </c>
      <c r="I162" s="56"/>
      <c r="J162" s="279"/>
    </row>
    <row r="163" spans="1:10" ht="11.1" customHeight="1">
      <c r="A163" s="174">
        <v>905000</v>
      </c>
      <c r="B163" s="173" t="s">
        <v>271</v>
      </c>
      <c r="F163" s="547">
        <f t="shared" si="4"/>
        <v>129</v>
      </c>
      <c r="H163" s="560">
        <v>128543</v>
      </c>
      <c r="I163" s="56"/>
      <c r="J163" s="279"/>
    </row>
    <row r="164" spans="1:10" ht="11.1" customHeight="1">
      <c r="A164" s="171"/>
      <c r="B164" s="173" t="s">
        <v>272</v>
      </c>
      <c r="F164" s="547">
        <f t="shared" si="4"/>
        <v>7234</v>
      </c>
      <c r="H164" s="560">
        <v>7234153</v>
      </c>
      <c r="I164" s="56"/>
      <c r="J164" s="279"/>
    </row>
    <row r="165" spans="1:10" ht="11.1" customHeight="1">
      <c r="A165" s="171"/>
      <c r="B165" s="173"/>
      <c r="F165" s="547">
        <f t="shared" si="4"/>
        <v>0</v>
      </c>
      <c r="H165" s="560"/>
      <c r="I165" s="56"/>
      <c r="J165" s="279"/>
    </row>
    <row r="166" spans="1:10" ht="11.1" customHeight="1">
      <c r="A166" s="171"/>
      <c r="B166" s="173" t="s">
        <v>273</v>
      </c>
      <c r="F166" s="547">
        <f t="shared" si="4"/>
        <v>0</v>
      </c>
      <c r="H166" s="560"/>
      <c r="I166" s="56"/>
      <c r="J166" s="279"/>
    </row>
    <row r="167" spans="1:10" ht="11.1" customHeight="1">
      <c r="A167" s="174" t="s">
        <v>274</v>
      </c>
      <c r="B167" s="173" t="s">
        <v>275</v>
      </c>
      <c r="F167" s="547">
        <f t="shared" si="4"/>
        <v>7341</v>
      </c>
      <c r="H167" s="560">
        <v>7341309</v>
      </c>
      <c r="I167" s="56"/>
      <c r="J167" s="279"/>
    </row>
    <row r="168" spans="1:10" ht="11.1" customHeight="1">
      <c r="A168" s="174">
        <v>909000</v>
      </c>
      <c r="B168" s="173" t="s">
        <v>276</v>
      </c>
      <c r="F168" s="547">
        <f t="shared" si="4"/>
        <v>593</v>
      </c>
      <c r="H168" s="560">
        <v>593110</v>
      </c>
      <c r="I168" s="56"/>
      <c r="J168" s="279"/>
    </row>
    <row r="169" spans="1:10" ht="11.1" customHeight="1">
      <c r="A169" s="174">
        <v>910000</v>
      </c>
      <c r="B169" s="173" t="s">
        <v>277</v>
      </c>
      <c r="F169" s="547">
        <f t="shared" si="4"/>
        <v>159</v>
      </c>
      <c r="H169" s="560">
        <v>158682</v>
      </c>
      <c r="I169" s="56"/>
      <c r="J169" s="279"/>
    </row>
    <row r="170" spans="1:10" ht="11.1" customHeight="1">
      <c r="A170" s="171"/>
      <c r="B170" s="173" t="s">
        <v>278</v>
      </c>
      <c r="F170" s="547">
        <f t="shared" si="4"/>
        <v>8093</v>
      </c>
      <c r="H170" s="560">
        <v>8093101</v>
      </c>
      <c r="I170" s="56"/>
      <c r="J170" s="279"/>
    </row>
    <row r="171" spans="1:10" ht="11.1" customHeight="1">
      <c r="A171" s="171"/>
      <c r="B171" s="173"/>
      <c r="F171" s="547">
        <f t="shared" si="4"/>
        <v>0</v>
      </c>
      <c r="H171" s="560"/>
      <c r="I171" s="56"/>
      <c r="J171" s="279"/>
    </row>
    <row r="172" spans="1:10" ht="11.1" customHeight="1">
      <c r="A172" s="171"/>
      <c r="B172" s="173" t="s">
        <v>279</v>
      </c>
      <c r="F172" s="547">
        <f t="shared" si="4"/>
        <v>0</v>
      </c>
      <c r="H172" s="560"/>
      <c r="I172" s="56"/>
      <c r="J172" s="279"/>
    </row>
    <row r="173" spans="1:10" ht="11.1" customHeight="1">
      <c r="A173" s="174">
        <v>912000</v>
      </c>
      <c r="B173" s="173" t="s">
        <v>280</v>
      </c>
      <c r="F173" s="547">
        <f t="shared" si="4"/>
        <v>0</v>
      </c>
      <c r="H173" s="560">
        <v>0</v>
      </c>
      <c r="I173" s="56"/>
      <c r="J173" s="279"/>
    </row>
    <row r="174" spans="1:10" ht="11.1" customHeight="1">
      <c r="A174" s="174">
        <v>913000</v>
      </c>
      <c r="B174" s="173" t="s">
        <v>276</v>
      </c>
      <c r="F174" s="547">
        <f t="shared" si="4"/>
        <v>0</v>
      </c>
      <c r="H174" s="560">
        <v>0</v>
      </c>
      <c r="I174" s="56"/>
      <c r="J174" s="279"/>
    </row>
    <row r="175" spans="1:10" ht="11.1" customHeight="1">
      <c r="A175" s="174">
        <v>916000</v>
      </c>
      <c r="B175" s="173" t="s">
        <v>281</v>
      </c>
      <c r="F175" s="547">
        <f t="shared" si="4"/>
        <v>0</v>
      </c>
      <c r="H175" s="560">
        <v>0</v>
      </c>
      <c r="I175" s="56"/>
      <c r="J175" s="279"/>
    </row>
    <row r="176" spans="1:10" ht="11.1" customHeight="1">
      <c r="A176" s="171"/>
      <c r="B176" s="173" t="s">
        <v>282</v>
      </c>
      <c r="F176" s="547">
        <f t="shared" si="4"/>
        <v>0</v>
      </c>
      <c r="H176" s="560">
        <v>0</v>
      </c>
      <c r="I176" s="56"/>
      <c r="J176" s="279"/>
    </row>
    <row r="177" spans="1:10" ht="11.1" customHeight="1">
      <c r="A177" s="171"/>
      <c r="B177" s="173"/>
      <c r="F177" s="547">
        <f t="shared" si="4"/>
        <v>0</v>
      </c>
      <c r="H177" s="560"/>
      <c r="I177" s="56"/>
      <c r="J177" s="279"/>
    </row>
    <row r="178" spans="1:10" ht="11.1" customHeight="1">
      <c r="A178" s="171"/>
      <c r="B178" s="173" t="s">
        <v>283</v>
      </c>
      <c r="F178" s="547">
        <f t="shared" si="4"/>
        <v>0</v>
      </c>
      <c r="H178" s="560"/>
      <c r="I178" s="56"/>
      <c r="J178" s="279"/>
    </row>
    <row r="179" spans="1:10" ht="11.1" customHeight="1">
      <c r="A179" s="174">
        <v>920000</v>
      </c>
      <c r="B179" s="173" t="s">
        <v>284</v>
      </c>
      <c r="F179" s="547">
        <f t="shared" si="4"/>
        <v>6924</v>
      </c>
      <c r="H179" s="560">
        <v>6923939</v>
      </c>
      <c r="I179" s="56"/>
      <c r="J179" s="279"/>
    </row>
    <row r="180" spans="1:10" ht="11.1" customHeight="1">
      <c r="A180" s="174">
        <v>921000</v>
      </c>
      <c r="B180" s="173" t="s">
        <v>285</v>
      </c>
      <c r="F180" s="547">
        <f t="shared" si="4"/>
        <v>967</v>
      </c>
      <c r="H180" s="560">
        <v>967317</v>
      </c>
      <c r="I180" s="56"/>
      <c r="J180" s="279"/>
    </row>
    <row r="181" spans="1:10" ht="11.1" customHeight="1">
      <c r="A181" s="174">
        <v>922000</v>
      </c>
      <c r="B181" s="173" t="s">
        <v>286</v>
      </c>
      <c r="F181" s="547">
        <f t="shared" si="4"/>
        <v>-14</v>
      </c>
      <c r="H181" s="560">
        <v>-14196</v>
      </c>
      <c r="I181" s="56"/>
      <c r="J181" s="279"/>
    </row>
    <row r="182" spans="1:10" ht="11.1" customHeight="1">
      <c r="A182" s="174">
        <v>923000</v>
      </c>
      <c r="B182" s="173" t="s">
        <v>287</v>
      </c>
      <c r="F182" s="547">
        <f t="shared" si="4"/>
        <v>1894</v>
      </c>
      <c r="H182" s="560">
        <v>1893562</v>
      </c>
      <c r="I182" s="56"/>
      <c r="J182" s="279"/>
    </row>
    <row r="183" spans="1:10" ht="11.1" customHeight="1">
      <c r="A183" s="174">
        <v>924000</v>
      </c>
      <c r="B183" s="173" t="s">
        <v>288</v>
      </c>
      <c r="F183" s="547">
        <f t="shared" si="4"/>
        <v>223</v>
      </c>
      <c r="H183" s="560">
        <v>222903</v>
      </c>
      <c r="I183" s="56"/>
      <c r="J183" s="279"/>
    </row>
    <row r="184" spans="1:10" ht="11.1" customHeight="1">
      <c r="A184" s="171" t="s">
        <v>289</v>
      </c>
      <c r="B184" s="173" t="s">
        <v>290</v>
      </c>
      <c r="F184" s="547">
        <f t="shared" si="4"/>
        <v>607</v>
      </c>
      <c r="H184" s="560">
        <v>606632</v>
      </c>
      <c r="I184" s="56"/>
      <c r="J184" s="279"/>
    </row>
    <row r="185" spans="1:10" ht="11.1" customHeight="1">
      <c r="A185" s="171" t="s">
        <v>291</v>
      </c>
      <c r="B185" s="173" t="s">
        <v>292</v>
      </c>
      <c r="F185" s="547">
        <f t="shared" si="4"/>
        <v>367</v>
      </c>
      <c r="H185" s="560">
        <v>367145</v>
      </c>
      <c r="I185" s="56"/>
      <c r="J185" s="279"/>
    </row>
    <row r="186" spans="1:10" ht="11.1" customHeight="1">
      <c r="A186" s="174">
        <v>928000</v>
      </c>
      <c r="B186" s="173" t="s">
        <v>293</v>
      </c>
      <c r="F186" s="547">
        <f t="shared" si="4"/>
        <v>729</v>
      </c>
      <c r="H186" s="560">
        <v>728957</v>
      </c>
      <c r="I186" s="56"/>
      <c r="J186" s="279"/>
    </row>
    <row r="187" spans="1:10" ht="11.1" customHeight="1">
      <c r="A187" s="174">
        <v>930000</v>
      </c>
      <c r="B187" s="173" t="s">
        <v>294</v>
      </c>
      <c r="F187" s="547">
        <f t="shared" si="4"/>
        <v>797</v>
      </c>
      <c r="H187" s="560">
        <v>796885</v>
      </c>
      <c r="I187" s="56"/>
      <c r="J187" s="279"/>
    </row>
    <row r="188" spans="1:10" ht="11.1" customHeight="1">
      <c r="A188" s="174">
        <v>931000</v>
      </c>
      <c r="B188" s="173" t="s">
        <v>256</v>
      </c>
      <c r="F188" s="547">
        <f t="shared" si="4"/>
        <v>103</v>
      </c>
      <c r="H188" s="560">
        <v>102541</v>
      </c>
      <c r="I188" s="56"/>
      <c r="J188" s="279"/>
    </row>
    <row r="189" spans="1:10" ht="11.1" customHeight="1">
      <c r="A189" s="174">
        <v>935000</v>
      </c>
      <c r="B189" s="173" t="s">
        <v>295</v>
      </c>
      <c r="F189" s="547">
        <f t="shared" si="4"/>
        <v>2450</v>
      </c>
      <c r="H189" s="560">
        <v>2449903</v>
      </c>
      <c r="I189" s="56"/>
      <c r="J189" s="279"/>
    </row>
    <row r="190" spans="1:10" ht="11.1" customHeight="1">
      <c r="A190" s="171"/>
      <c r="B190" s="173" t="s">
        <v>296</v>
      </c>
      <c r="F190" s="547">
        <f t="shared" si="4"/>
        <v>15046</v>
      </c>
      <c r="H190" s="560">
        <v>15045588</v>
      </c>
      <c r="I190" s="56"/>
      <c r="J190" s="279"/>
    </row>
    <row r="191" spans="1:10" ht="11.1" customHeight="1">
      <c r="A191" s="171"/>
      <c r="B191" s="173"/>
      <c r="F191" s="547">
        <f t="shared" si="4"/>
        <v>0</v>
      </c>
      <c r="H191" s="560"/>
      <c r="I191" s="56"/>
      <c r="J191" s="279"/>
    </row>
    <row r="192" spans="1:10" ht="11.1" customHeight="1">
      <c r="A192" s="171"/>
      <c r="B192" s="173" t="s">
        <v>297</v>
      </c>
      <c r="F192" s="547">
        <f t="shared" si="4"/>
        <v>4124</v>
      </c>
      <c r="H192" s="560">
        <v>4124349</v>
      </c>
      <c r="I192" s="56"/>
      <c r="J192" s="279"/>
    </row>
    <row r="193" spans="1:10" ht="11.1" customHeight="1">
      <c r="A193" s="171"/>
      <c r="B193" s="173" t="s">
        <v>298</v>
      </c>
      <c r="F193" s="547">
        <f t="shared" si="4"/>
        <v>120</v>
      </c>
      <c r="H193" s="560">
        <v>119595</v>
      </c>
      <c r="I193" s="56"/>
      <c r="J193" s="279"/>
    </row>
    <row r="194" spans="1:10" ht="11.1" customHeight="1">
      <c r="A194" s="171"/>
      <c r="B194" s="173" t="s">
        <v>299</v>
      </c>
      <c r="F194" s="547">
        <f t="shared" si="4"/>
        <v>4248</v>
      </c>
      <c r="H194" s="560">
        <v>4247712</v>
      </c>
      <c r="I194" s="56"/>
      <c r="J194" s="279"/>
    </row>
    <row r="195" spans="1:10" ht="11.1" customHeight="1">
      <c r="A195" s="172"/>
      <c r="B195" s="173" t="s">
        <v>300</v>
      </c>
      <c r="F195" s="547">
        <f t="shared" si="4"/>
        <v>0</v>
      </c>
      <c r="H195" s="560">
        <v>0</v>
      </c>
      <c r="I195" s="56"/>
      <c r="J195" s="279"/>
    </row>
    <row r="196" spans="1:10" ht="11.1" customHeight="1">
      <c r="A196" s="178">
        <v>407025</v>
      </c>
      <c r="B196" s="173" t="s">
        <v>301</v>
      </c>
      <c r="F196" s="547">
        <f t="shared" si="4"/>
        <v>0</v>
      </c>
      <c r="H196" s="560">
        <v>0</v>
      </c>
      <c r="I196" s="56"/>
      <c r="J196" s="279"/>
    </row>
    <row r="197" spans="1:10" ht="11.1" customHeight="1">
      <c r="A197" s="174">
        <v>407229</v>
      </c>
      <c r="B197" s="173" t="s">
        <v>414</v>
      </c>
      <c r="F197" s="547">
        <f t="shared" si="4"/>
        <v>0</v>
      </c>
      <c r="H197" s="560">
        <v>0</v>
      </c>
      <c r="I197" s="56"/>
      <c r="J197" s="279"/>
    </row>
    <row r="198" spans="1:10" ht="11.1" customHeight="1">
      <c r="A198" s="174">
        <v>407230</v>
      </c>
      <c r="B198" s="173" t="s">
        <v>569</v>
      </c>
      <c r="F198" s="547">
        <f t="shared" si="4"/>
        <v>-1083</v>
      </c>
      <c r="H198" s="560">
        <v>-1083166</v>
      </c>
      <c r="I198" s="56"/>
      <c r="J198" s="279"/>
    </row>
    <row r="199" spans="1:10" ht="11.1" customHeight="1">
      <c r="A199" s="174">
        <v>407302</v>
      </c>
      <c r="B199" s="173" t="s">
        <v>570</v>
      </c>
      <c r="F199" s="547">
        <f t="shared" si="4"/>
        <v>390</v>
      </c>
      <c r="H199" s="560">
        <v>389502</v>
      </c>
      <c r="I199" s="56"/>
      <c r="J199" s="279"/>
    </row>
    <row r="200" spans="1:10" ht="11.1" customHeight="1">
      <c r="A200" s="174">
        <v>407311</v>
      </c>
      <c r="B200" s="173" t="s">
        <v>571</v>
      </c>
      <c r="F200" s="547">
        <f t="shared" si="4"/>
        <v>7</v>
      </c>
      <c r="H200" s="560">
        <v>7230</v>
      </c>
      <c r="I200" s="56"/>
      <c r="J200" s="279"/>
    </row>
    <row r="201" spans="1:10" ht="11.1" customHeight="1">
      <c r="A201" s="174">
        <v>407319</v>
      </c>
      <c r="B201" s="173" t="s">
        <v>572</v>
      </c>
      <c r="F201" s="547">
        <f t="shared" si="4"/>
        <v>235</v>
      </c>
      <c r="H201" s="560">
        <v>234951</v>
      </c>
      <c r="I201" s="56"/>
      <c r="J201" s="280"/>
    </row>
    <row r="202" spans="1:10" ht="11.1" customHeight="1">
      <c r="A202" s="174">
        <v>407332</v>
      </c>
      <c r="B202" s="173" t="s">
        <v>573</v>
      </c>
      <c r="F202" s="547">
        <f t="shared" si="4"/>
        <v>1</v>
      </c>
      <c r="H202" s="560">
        <v>775</v>
      </c>
      <c r="I202" s="56"/>
      <c r="J202" s="279"/>
    </row>
    <row r="203" spans="1:10" ht="16.149999999999999" customHeight="1">
      <c r="A203" s="174">
        <v>407335</v>
      </c>
      <c r="B203" s="173" t="s">
        <v>302</v>
      </c>
      <c r="F203" s="547">
        <f t="shared" si="4"/>
        <v>0</v>
      </c>
      <c r="H203" s="560">
        <v>0</v>
      </c>
      <c r="I203" s="56"/>
      <c r="J203" s="279"/>
    </row>
    <row r="204" spans="1:10" ht="11.1" customHeight="1">
      <c r="A204" s="174" t="s">
        <v>574</v>
      </c>
      <c r="B204" s="173" t="s">
        <v>575</v>
      </c>
      <c r="F204" s="547">
        <f t="shared" si="4"/>
        <v>0</v>
      </c>
      <c r="H204" s="560">
        <v>0</v>
      </c>
      <c r="I204" s="56"/>
      <c r="J204" s="279"/>
    </row>
    <row r="205" spans="1:10" ht="11.1" customHeight="1">
      <c r="A205" s="174" t="s">
        <v>576</v>
      </c>
      <c r="B205" s="173" t="s">
        <v>577</v>
      </c>
      <c r="F205" s="547">
        <f t="shared" si="4"/>
        <v>-339</v>
      </c>
      <c r="H205" s="560">
        <v>-338779</v>
      </c>
      <c r="I205" s="56"/>
      <c r="J205" s="279"/>
    </row>
    <row r="206" spans="1:10" ht="11.1" customHeight="1">
      <c r="A206" s="174" t="s">
        <v>303</v>
      </c>
      <c r="B206" s="173" t="s">
        <v>304</v>
      </c>
      <c r="F206" s="547">
        <f t="shared" si="4"/>
        <v>0</v>
      </c>
      <c r="H206" s="560">
        <v>0</v>
      </c>
      <c r="I206" s="56"/>
      <c r="J206" s="279"/>
    </row>
    <row r="207" spans="1:10" ht="11.1" customHeight="1">
      <c r="A207" s="174" t="s">
        <v>578</v>
      </c>
      <c r="B207" s="173" t="s">
        <v>579</v>
      </c>
      <c r="F207" s="547">
        <f t="shared" si="4"/>
        <v>-770</v>
      </c>
      <c r="H207" s="560">
        <v>-769508</v>
      </c>
      <c r="I207" s="56"/>
      <c r="J207" s="279"/>
    </row>
    <row r="208" spans="1:10" ht="11.1" customHeight="1">
      <c r="A208" s="281" t="s">
        <v>416</v>
      </c>
      <c r="B208" s="279" t="s">
        <v>415</v>
      </c>
      <c r="F208" s="547">
        <f t="shared" si="4"/>
        <v>0</v>
      </c>
      <c r="H208" s="560">
        <v>0</v>
      </c>
      <c r="I208" s="56"/>
      <c r="J208" s="279"/>
    </row>
    <row r="209" spans="1:10" ht="11.1" customHeight="1">
      <c r="A209" s="171"/>
      <c r="B209" s="173" t="s">
        <v>305</v>
      </c>
      <c r="F209" s="547">
        <f t="shared" si="4"/>
        <v>6933</v>
      </c>
      <c r="H209" s="560">
        <v>6932661</v>
      </c>
      <c r="I209" s="56"/>
      <c r="J209" s="279"/>
    </row>
    <row r="210" spans="1:10" ht="11.1" customHeight="1">
      <c r="A210" s="171"/>
      <c r="B210" s="173"/>
      <c r="F210" s="547">
        <f t="shared" si="4"/>
        <v>0</v>
      </c>
      <c r="H210" s="560"/>
      <c r="I210" s="56"/>
      <c r="J210" s="279"/>
    </row>
    <row r="211" spans="1:10" ht="11.1" customHeight="1">
      <c r="A211" s="174"/>
      <c r="B211" s="173" t="s">
        <v>306</v>
      </c>
      <c r="F211" s="547">
        <f t="shared" si="4"/>
        <v>21978</v>
      </c>
      <c r="H211" s="560">
        <v>21978249</v>
      </c>
      <c r="I211" s="56"/>
      <c r="J211" s="279"/>
    </row>
    <row r="212" spans="1:10" ht="11.1" customHeight="1">
      <c r="A212" s="174"/>
      <c r="B212" s="173"/>
      <c r="F212" s="547">
        <f t="shared" si="4"/>
        <v>0</v>
      </c>
      <c r="H212" s="560"/>
      <c r="I212" s="56"/>
      <c r="J212" s="279"/>
    </row>
    <row r="213" spans="1:10" ht="11.1" customHeight="1">
      <c r="A213" s="174"/>
      <c r="B213" s="173" t="s">
        <v>307</v>
      </c>
      <c r="F213" s="547">
        <f t="shared" si="4"/>
        <v>169185</v>
      </c>
      <c r="H213" s="560">
        <v>169184553</v>
      </c>
      <c r="I213" s="56"/>
      <c r="J213" s="279"/>
    </row>
    <row r="214" spans="1:10" ht="11.1" customHeight="1">
      <c r="A214" s="174"/>
      <c r="B214" s="173"/>
      <c r="F214" s="547">
        <f t="shared" si="4"/>
        <v>0</v>
      </c>
      <c r="H214" s="560"/>
      <c r="I214" s="56"/>
      <c r="J214" s="279"/>
    </row>
    <row r="215" spans="1:10" ht="11.1" customHeight="1">
      <c r="A215" s="174"/>
      <c r="B215" s="173" t="s">
        <v>308</v>
      </c>
      <c r="F215" s="547">
        <f t="shared" si="4"/>
        <v>27210</v>
      </c>
      <c r="H215" s="560">
        <v>27209903</v>
      </c>
      <c r="I215" s="56"/>
      <c r="J215" s="279"/>
    </row>
    <row r="216" spans="1:10" ht="11.1" customHeight="1">
      <c r="A216" s="174"/>
      <c r="B216" s="173"/>
      <c r="F216" s="547">
        <f t="shared" si="4"/>
        <v>0</v>
      </c>
      <c r="H216" s="560"/>
    </row>
    <row r="217" spans="1:10" ht="11.1" customHeight="1">
      <c r="A217" s="174"/>
      <c r="B217" s="173" t="s">
        <v>48</v>
      </c>
      <c r="F217" s="547">
        <f t="shared" si="4"/>
        <v>2557</v>
      </c>
      <c r="H217" s="560">
        <v>2556856</v>
      </c>
      <c r="J217" s="282"/>
    </row>
    <row r="218" spans="1:10" ht="11.1" customHeight="1">
      <c r="A218" s="174"/>
      <c r="B218" s="173" t="s">
        <v>309</v>
      </c>
      <c r="F218" s="547">
        <f t="shared" si="4"/>
        <v>54</v>
      </c>
      <c r="H218" s="560">
        <v>53874</v>
      </c>
      <c r="J218" s="282"/>
    </row>
    <row r="219" spans="1:10" ht="11.1" customHeight="1">
      <c r="A219" s="174"/>
      <c r="B219" s="173" t="s">
        <v>310</v>
      </c>
      <c r="F219" s="547">
        <f t="shared" si="4"/>
        <v>-15</v>
      </c>
      <c r="H219" s="560">
        <v>-14832</v>
      </c>
      <c r="I219" s="56"/>
      <c r="J219" s="283"/>
    </row>
    <row r="220" spans="1:10" ht="11.1" customHeight="1">
      <c r="A220" s="171"/>
      <c r="B220" s="576" t="s">
        <v>311</v>
      </c>
      <c r="C220" s="577"/>
      <c r="D220" s="577"/>
      <c r="E220" s="578"/>
      <c r="F220" s="579">
        <f t="shared" si="4"/>
        <v>24614</v>
      </c>
      <c r="G220" s="578"/>
      <c r="H220" s="580">
        <v>24614005</v>
      </c>
      <c r="I220" s="56"/>
      <c r="J220" s="282"/>
    </row>
    <row r="221" spans="1:10" ht="11.1" customHeight="1">
      <c r="F221" s="547">
        <f t="shared" si="4"/>
        <v>0</v>
      </c>
      <c r="I221" s="56"/>
      <c r="J221" s="282"/>
    </row>
    <row r="222" spans="1:10" ht="11.1" customHeight="1">
      <c r="A222" s="179"/>
      <c r="B222" s="180" t="s">
        <v>95</v>
      </c>
      <c r="F222" s="547">
        <f t="shared" si="4"/>
        <v>0</v>
      </c>
      <c r="I222" s="56"/>
      <c r="J222" s="282"/>
    </row>
    <row r="223" spans="1:10" ht="11.1" customHeight="1">
      <c r="A223" s="179"/>
      <c r="B223" s="180" t="s">
        <v>312</v>
      </c>
      <c r="F223" s="547">
        <f t="shared" si="4"/>
        <v>0</v>
      </c>
      <c r="I223" s="56"/>
      <c r="J223" s="282"/>
    </row>
    <row r="224" spans="1:10" ht="11.1" customHeight="1">
      <c r="A224" s="181">
        <v>303000</v>
      </c>
      <c r="B224" s="182" t="s">
        <v>313</v>
      </c>
      <c r="F224" s="547">
        <f t="shared" si="4"/>
        <v>2451</v>
      </c>
      <c r="H224" s="560">
        <v>2451340</v>
      </c>
      <c r="I224" s="56"/>
      <c r="J224" s="282"/>
    </row>
    <row r="225" spans="1:10" ht="11.1" customHeight="1">
      <c r="A225" s="183" t="s">
        <v>314</v>
      </c>
      <c r="B225" s="180" t="s">
        <v>315</v>
      </c>
      <c r="F225" s="547">
        <f t="shared" si="4"/>
        <v>34152</v>
      </c>
      <c r="H225" s="560">
        <v>34151994</v>
      </c>
      <c r="I225" s="56"/>
      <c r="J225" s="282"/>
    </row>
    <row r="226" spans="1:10" ht="11.1" customHeight="1">
      <c r="A226" s="184"/>
      <c r="B226" s="180" t="s">
        <v>316</v>
      </c>
      <c r="F226" s="547">
        <f t="shared" si="4"/>
        <v>36603</v>
      </c>
      <c r="H226" s="560">
        <v>36603334</v>
      </c>
      <c r="I226" s="56"/>
      <c r="J226" s="282"/>
    </row>
    <row r="227" spans="1:10" ht="11.1" customHeight="1">
      <c r="A227" s="184"/>
      <c r="B227" s="180"/>
      <c r="F227" s="547">
        <f t="shared" ref="F227:F292" si="5">ROUND(H227/1000,0)</f>
        <v>0</v>
      </c>
      <c r="H227" s="560"/>
      <c r="I227" s="56"/>
      <c r="J227" s="282"/>
    </row>
    <row r="228" spans="1:10" ht="11.1" customHeight="1">
      <c r="A228" s="184"/>
      <c r="B228" s="180" t="s">
        <v>317</v>
      </c>
      <c r="F228" s="547">
        <f t="shared" si="5"/>
        <v>0</v>
      </c>
      <c r="H228" s="560"/>
      <c r="I228" s="56"/>
      <c r="J228" s="282"/>
    </row>
    <row r="229" spans="1:10" ht="11.1" customHeight="1">
      <c r="A229" s="185" t="s">
        <v>318</v>
      </c>
      <c r="B229" s="180" t="s">
        <v>319</v>
      </c>
      <c r="F229" s="547">
        <f t="shared" si="5"/>
        <v>910</v>
      </c>
      <c r="H229" s="560">
        <v>909909</v>
      </c>
      <c r="I229" s="56"/>
      <c r="J229" s="282"/>
    </row>
    <row r="230" spans="1:10" ht="11.1" customHeight="1">
      <c r="A230" s="185" t="s">
        <v>320</v>
      </c>
      <c r="B230" s="180" t="s">
        <v>321</v>
      </c>
      <c r="F230" s="547">
        <f t="shared" si="5"/>
        <v>1754</v>
      </c>
      <c r="H230" s="560">
        <v>1754177</v>
      </c>
      <c r="I230" s="56"/>
      <c r="J230" s="282"/>
    </row>
    <row r="231" spans="1:10" ht="11.1" customHeight="1">
      <c r="A231" s="185" t="s">
        <v>322</v>
      </c>
      <c r="B231" s="180" t="s">
        <v>323</v>
      </c>
      <c r="F231" s="547">
        <f t="shared" si="5"/>
        <v>13294</v>
      </c>
      <c r="H231" s="560">
        <v>13294421</v>
      </c>
      <c r="I231" s="56"/>
      <c r="J231" s="282"/>
    </row>
    <row r="232" spans="1:10" ht="11.1" customHeight="1">
      <c r="A232" s="185">
        <v>353000</v>
      </c>
      <c r="B232" s="180" t="s">
        <v>324</v>
      </c>
      <c r="F232" s="547">
        <f t="shared" si="5"/>
        <v>722</v>
      </c>
      <c r="H232" s="560">
        <v>721734</v>
      </c>
      <c r="I232" s="56"/>
      <c r="J232" s="282"/>
    </row>
    <row r="233" spans="1:10" ht="11.1" customHeight="1">
      <c r="A233" s="185">
        <v>354000</v>
      </c>
      <c r="B233" s="180" t="s">
        <v>325</v>
      </c>
      <c r="F233" s="547">
        <f t="shared" si="5"/>
        <v>8750</v>
      </c>
      <c r="H233" s="560">
        <v>8749525</v>
      </c>
      <c r="I233" s="56"/>
      <c r="J233" s="282"/>
    </row>
    <row r="234" spans="1:10" ht="11.1" customHeight="1">
      <c r="A234" s="185">
        <v>355000</v>
      </c>
      <c r="B234" s="180" t="s">
        <v>326</v>
      </c>
      <c r="F234" s="547">
        <f t="shared" si="5"/>
        <v>921</v>
      </c>
      <c r="H234" s="560">
        <v>921017</v>
      </c>
      <c r="I234" s="56"/>
      <c r="J234" s="282"/>
    </row>
    <row r="235" spans="1:10" ht="11.1" customHeight="1">
      <c r="A235" s="185">
        <v>356000</v>
      </c>
      <c r="B235" s="180" t="s">
        <v>327</v>
      </c>
      <c r="F235" s="547">
        <f t="shared" si="5"/>
        <v>279</v>
      </c>
      <c r="H235" s="560">
        <v>278965</v>
      </c>
      <c r="I235" s="56"/>
      <c r="J235" s="282"/>
    </row>
    <row r="236" spans="1:10" ht="11.1" customHeight="1">
      <c r="A236" s="185">
        <v>357000</v>
      </c>
      <c r="B236" s="180" t="s">
        <v>240</v>
      </c>
      <c r="F236" s="547">
        <f t="shared" si="5"/>
        <v>1812</v>
      </c>
      <c r="H236" s="560">
        <v>1812076</v>
      </c>
      <c r="I236" s="56"/>
      <c r="J236" s="282"/>
    </row>
    <row r="237" spans="1:10" ht="11.1" customHeight="1">
      <c r="A237" s="185"/>
      <c r="B237" s="180" t="s">
        <v>328</v>
      </c>
      <c r="F237" s="547">
        <f t="shared" si="5"/>
        <v>28442</v>
      </c>
      <c r="H237" s="560">
        <v>28441824</v>
      </c>
      <c r="I237" s="56"/>
      <c r="J237" s="282"/>
    </row>
    <row r="238" spans="1:10" ht="11.1" customHeight="1">
      <c r="A238" s="185"/>
      <c r="B238" s="180"/>
      <c r="F238" s="547">
        <f t="shared" si="5"/>
        <v>0</v>
      </c>
      <c r="H238" s="560"/>
      <c r="I238" s="56"/>
      <c r="J238" s="284"/>
    </row>
    <row r="239" spans="1:10" ht="11.1" customHeight="1">
      <c r="A239" s="185"/>
      <c r="B239" s="180" t="s">
        <v>329</v>
      </c>
      <c r="F239" s="547">
        <f t="shared" si="5"/>
        <v>0</v>
      </c>
      <c r="H239" s="560"/>
      <c r="I239" s="56"/>
      <c r="J239" s="282"/>
    </row>
    <row r="240" spans="1:10" ht="11.1" customHeight="1">
      <c r="A240" s="185">
        <v>374200</v>
      </c>
      <c r="B240" s="180" t="s">
        <v>319</v>
      </c>
      <c r="F240" s="547">
        <f t="shared" si="5"/>
        <v>64</v>
      </c>
      <c r="H240" s="560">
        <v>63925</v>
      </c>
      <c r="I240" s="56"/>
      <c r="J240" s="282"/>
    </row>
    <row r="241" spans="1:10" ht="11.1" customHeight="1">
      <c r="A241" s="185">
        <v>374400</v>
      </c>
      <c r="B241" s="180" t="s">
        <v>319</v>
      </c>
      <c r="F241" s="547">
        <f t="shared" si="5"/>
        <v>197</v>
      </c>
      <c r="H241" s="560">
        <v>197252</v>
      </c>
      <c r="I241" s="56"/>
      <c r="J241" s="282"/>
    </row>
    <row r="242" spans="1:10" ht="11.1" customHeight="1">
      <c r="A242" s="185">
        <v>375000</v>
      </c>
      <c r="B242" s="180" t="s">
        <v>321</v>
      </c>
      <c r="F242" s="547">
        <f t="shared" si="5"/>
        <v>653</v>
      </c>
      <c r="H242" s="560">
        <v>653292</v>
      </c>
      <c r="I242" s="56"/>
      <c r="J242" s="282"/>
    </row>
    <row r="243" spans="1:10" ht="11.1" customHeight="1">
      <c r="A243" s="185">
        <v>376000</v>
      </c>
      <c r="B243" s="186" t="s">
        <v>258</v>
      </c>
      <c r="F243" s="547">
        <f t="shared" si="5"/>
        <v>226876</v>
      </c>
      <c r="H243" s="560">
        <v>226876000</v>
      </c>
      <c r="I243" s="56"/>
      <c r="J243" s="282"/>
    </row>
    <row r="244" spans="1:10" ht="11.1" customHeight="1">
      <c r="A244" s="185">
        <v>378000</v>
      </c>
      <c r="B244" s="180" t="s">
        <v>330</v>
      </c>
      <c r="F244" s="547">
        <f t="shared" si="5"/>
        <v>3832</v>
      </c>
      <c r="H244" s="560">
        <v>3832057</v>
      </c>
      <c r="I244" s="56"/>
      <c r="J244" s="282"/>
    </row>
    <row r="245" spans="1:10" ht="11.1" customHeight="1">
      <c r="A245" s="185">
        <v>379000</v>
      </c>
      <c r="B245" s="180" t="s">
        <v>331</v>
      </c>
      <c r="F245" s="547">
        <f t="shared" si="5"/>
        <v>2130</v>
      </c>
      <c r="H245" s="560">
        <v>2129791</v>
      </c>
      <c r="I245" s="56"/>
      <c r="J245" s="282"/>
    </row>
    <row r="246" spans="1:10" ht="11.1" customHeight="1">
      <c r="A246" s="185">
        <v>380000</v>
      </c>
      <c r="B246" s="180" t="s">
        <v>259</v>
      </c>
      <c r="F246" s="547">
        <f t="shared" si="5"/>
        <v>169033</v>
      </c>
      <c r="H246" s="560">
        <v>169033175</v>
      </c>
      <c r="I246" s="56"/>
      <c r="J246" s="282"/>
    </row>
    <row r="247" spans="1:10" ht="11.1" customHeight="1">
      <c r="A247" s="185">
        <v>381000</v>
      </c>
      <c r="B247" s="180" t="s">
        <v>332</v>
      </c>
      <c r="F247" s="547">
        <f t="shared" si="5"/>
        <v>57191</v>
      </c>
      <c r="H247" s="560">
        <v>57191209</v>
      </c>
      <c r="I247" s="56"/>
      <c r="J247" s="282"/>
    </row>
    <row r="248" spans="1:10" ht="11.1" customHeight="1">
      <c r="A248" s="185">
        <v>382000</v>
      </c>
      <c r="B248" s="180" t="s">
        <v>333</v>
      </c>
      <c r="F248" s="547">
        <f t="shared" si="5"/>
        <v>0</v>
      </c>
      <c r="H248" s="560">
        <v>0</v>
      </c>
      <c r="I248" s="56"/>
      <c r="J248" s="282"/>
    </row>
    <row r="249" spans="1:10" ht="11.1" customHeight="1">
      <c r="A249" s="185">
        <v>383000</v>
      </c>
      <c r="B249" s="180" t="s">
        <v>334</v>
      </c>
      <c r="F249" s="547">
        <f t="shared" si="5"/>
        <v>0</v>
      </c>
      <c r="H249" s="560">
        <v>0</v>
      </c>
      <c r="I249" s="56"/>
      <c r="J249" s="282"/>
    </row>
    <row r="250" spans="1:10" ht="11.1" customHeight="1">
      <c r="A250" s="185">
        <v>384000</v>
      </c>
      <c r="B250" s="180" t="s">
        <v>335</v>
      </c>
      <c r="F250" s="547">
        <f t="shared" si="5"/>
        <v>0</v>
      </c>
      <c r="H250" s="560">
        <v>0</v>
      </c>
      <c r="I250" s="56"/>
      <c r="J250" s="282"/>
    </row>
    <row r="251" spans="1:10" ht="11.1" customHeight="1">
      <c r="A251" s="185">
        <v>385000</v>
      </c>
      <c r="B251" s="180" t="s">
        <v>336</v>
      </c>
      <c r="F251" s="547">
        <f t="shared" si="5"/>
        <v>2659</v>
      </c>
      <c r="H251" s="560">
        <v>2659130</v>
      </c>
      <c r="I251" s="56"/>
      <c r="J251" s="282"/>
    </row>
    <row r="252" spans="1:10" ht="11.1" customHeight="1">
      <c r="A252" s="185">
        <v>387000</v>
      </c>
      <c r="B252" s="180" t="s">
        <v>240</v>
      </c>
      <c r="F252" s="547">
        <f t="shared" si="5"/>
        <v>0</v>
      </c>
      <c r="H252" s="560">
        <v>0</v>
      </c>
      <c r="I252" s="56"/>
      <c r="J252" s="282"/>
    </row>
    <row r="253" spans="1:10" ht="11.1" customHeight="1">
      <c r="A253" s="185"/>
      <c r="B253" s="180" t="s">
        <v>337</v>
      </c>
      <c r="F253" s="547">
        <f t="shared" si="5"/>
        <v>462636</v>
      </c>
      <c r="H253" s="560">
        <v>462635831</v>
      </c>
      <c r="I253" s="56"/>
      <c r="J253" s="282"/>
    </row>
    <row r="254" spans="1:10" ht="11.1" customHeight="1">
      <c r="A254" s="185"/>
      <c r="B254" s="180"/>
      <c r="F254" s="547">
        <f t="shared" si="5"/>
        <v>0</v>
      </c>
      <c r="H254" s="560"/>
      <c r="I254" s="56"/>
      <c r="J254" s="282"/>
    </row>
    <row r="255" spans="1:10" ht="11.1" customHeight="1">
      <c r="A255" s="185"/>
      <c r="B255" s="180" t="s">
        <v>338</v>
      </c>
      <c r="F255" s="547">
        <f t="shared" si="5"/>
        <v>0</v>
      </c>
      <c r="H255" s="560"/>
      <c r="I255" s="56"/>
      <c r="J255" s="282"/>
    </row>
    <row r="256" spans="1:10" ht="11.1" customHeight="1">
      <c r="A256" s="185" t="s">
        <v>339</v>
      </c>
      <c r="B256" s="180" t="s">
        <v>319</v>
      </c>
      <c r="F256" s="547">
        <f t="shared" si="5"/>
        <v>4444</v>
      </c>
      <c r="H256" s="560">
        <v>4443805</v>
      </c>
      <c r="I256" s="56"/>
      <c r="J256" s="282"/>
    </row>
    <row r="257" spans="1:10" ht="11.1" customHeight="1">
      <c r="A257" s="183" t="s">
        <v>340</v>
      </c>
      <c r="B257" s="180" t="s">
        <v>321</v>
      </c>
      <c r="F257" s="547">
        <f t="shared" si="5"/>
        <v>27044</v>
      </c>
      <c r="H257" s="560">
        <v>27043944</v>
      </c>
      <c r="I257" s="56"/>
      <c r="J257" s="282"/>
    </row>
    <row r="258" spans="1:10" ht="11.1" customHeight="1">
      <c r="A258" s="183" t="s">
        <v>341</v>
      </c>
      <c r="B258" s="180" t="s">
        <v>342</v>
      </c>
      <c r="F258" s="547">
        <f t="shared" si="5"/>
        <v>11749</v>
      </c>
      <c r="H258" s="560">
        <v>11748534</v>
      </c>
      <c r="I258" s="56"/>
      <c r="J258" s="282"/>
    </row>
    <row r="259" spans="1:10" ht="11.1" customHeight="1">
      <c r="A259" s="183" t="s">
        <v>343</v>
      </c>
      <c r="B259" s="180" t="s">
        <v>344</v>
      </c>
      <c r="F259" s="547">
        <f t="shared" si="5"/>
        <v>11977</v>
      </c>
      <c r="H259" s="560">
        <v>11976974</v>
      </c>
      <c r="I259" s="56"/>
      <c r="J259" s="282"/>
    </row>
    <row r="260" spans="1:10" ht="11.1" customHeight="1">
      <c r="A260" s="185">
        <v>393000</v>
      </c>
      <c r="B260" s="180" t="s">
        <v>345</v>
      </c>
      <c r="F260" s="547">
        <f t="shared" si="5"/>
        <v>850</v>
      </c>
      <c r="H260" s="560">
        <v>850322</v>
      </c>
      <c r="I260" s="56"/>
      <c r="J260" s="282"/>
    </row>
    <row r="261" spans="1:10" ht="11.1" customHeight="1">
      <c r="A261" s="185">
        <v>394000</v>
      </c>
      <c r="B261" s="180" t="s">
        <v>346</v>
      </c>
      <c r="F261" s="547">
        <f t="shared" si="5"/>
        <v>6346</v>
      </c>
      <c r="H261" s="560">
        <v>6345552</v>
      </c>
      <c r="I261" s="56"/>
      <c r="J261" s="282"/>
    </row>
    <row r="262" spans="1:10" ht="11.1" customHeight="1">
      <c r="A262" s="185">
        <v>395000</v>
      </c>
      <c r="B262" s="180" t="s">
        <v>347</v>
      </c>
      <c r="F262" s="547">
        <f t="shared" si="5"/>
        <v>338</v>
      </c>
      <c r="H262" s="560">
        <v>337955</v>
      </c>
      <c r="I262" s="56"/>
      <c r="J262" s="282"/>
    </row>
    <row r="263" spans="1:10" ht="11.1" customHeight="1">
      <c r="A263" s="185" t="s">
        <v>348</v>
      </c>
      <c r="B263" s="180" t="s">
        <v>349</v>
      </c>
      <c r="F263" s="547">
        <f t="shared" si="5"/>
        <v>3222</v>
      </c>
      <c r="H263" s="560">
        <v>3221765</v>
      </c>
      <c r="I263" s="56"/>
      <c r="J263" s="282"/>
    </row>
    <row r="264" spans="1:10" ht="11.1" customHeight="1">
      <c r="A264" s="185" t="s">
        <v>350</v>
      </c>
      <c r="B264" s="180" t="s">
        <v>351</v>
      </c>
      <c r="F264" s="547">
        <f t="shared" si="5"/>
        <v>11412</v>
      </c>
      <c r="H264" s="560">
        <v>11412294</v>
      </c>
      <c r="I264" s="56"/>
      <c r="J264" s="282"/>
    </row>
    <row r="265" spans="1:10" ht="11.1" customHeight="1">
      <c r="A265" s="185">
        <v>398000</v>
      </c>
      <c r="B265" s="180" t="s">
        <v>352</v>
      </c>
      <c r="F265" s="547">
        <f t="shared" si="5"/>
        <v>69</v>
      </c>
      <c r="H265" s="560">
        <v>69043</v>
      </c>
      <c r="I265" s="56"/>
      <c r="J265" s="282"/>
    </row>
    <row r="266" spans="1:10" ht="11.1" customHeight="1">
      <c r="A266" s="185"/>
      <c r="B266" s="180" t="s">
        <v>353</v>
      </c>
      <c r="F266" s="547">
        <f t="shared" si="5"/>
        <v>77450</v>
      </c>
      <c r="H266" s="560">
        <v>77450188</v>
      </c>
      <c r="I266" s="56"/>
      <c r="J266" s="282"/>
    </row>
    <row r="267" spans="1:10" ht="11.1" customHeight="1">
      <c r="A267" s="185"/>
      <c r="B267" s="180"/>
      <c r="F267" s="547">
        <f t="shared" si="5"/>
        <v>0</v>
      </c>
      <c r="H267" s="560"/>
      <c r="I267" s="56"/>
      <c r="J267" s="282"/>
    </row>
    <row r="268" spans="1:10" ht="11.1" customHeight="1">
      <c r="A268" s="185"/>
      <c r="B268" s="180" t="s">
        <v>354</v>
      </c>
      <c r="F268" s="547">
        <f t="shared" si="5"/>
        <v>605131</v>
      </c>
      <c r="H268" s="560">
        <v>605131177</v>
      </c>
      <c r="I268" s="56"/>
      <c r="J268" s="282"/>
    </row>
    <row r="269" spans="1:10" ht="11.1" customHeight="1">
      <c r="A269" s="185"/>
      <c r="B269" s="180"/>
      <c r="F269" s="547">
        <f t="shared" si="5"/>
        <v>0</v>
      </c>
      <c r="H269" s="560"/>
      <c r="I269" s="56"/>
      <c r="J269" s="282"/>
    </row>
    <row r="270" spans="1:10" ht="11.1" customHeight="1">
      <c r="A270" s="185"/>
      <c r="B270" s="180"/>
      <c r="F270" s="547">
        <f t="shared" si="5"/>
        <v>0</v>
      </c>
      <c r="H270" s="560"/>
      <c r="I270" s="56"/>
      <c r="J270" s="282"/>
    </row>
    <row r="271" spans="1:10" ht="11.1" customHeight="1">
      <c r="A271" s="183"/>
      <c r="B271" s="180" t="s">
        <v>56</v>
      </c>
      <c r="F271" s="547">
        <f t="shared" si="5"/>
        <v>0</v>
      </c>
      <c r="H271" s="560"/>
      <c r="I271" s="56"/>
      <c r="J271" s="282"/>
    </row>
    <row r="272" spans="1:10" ht="11.1" customHeight="1">
      <c r="A272" s="183"/>
      <c r="B272" s="180" t="s">
        <v>35</v>
      </c>
      <c r="F272" s="547">
        <f t="shared" si="5"/>
        <v>-10933</v>
      </c>
      <c r="H272" s="560">
        <v>-10932793</v>
      </c>
      <c r="I272" s="56"/>
      <c r="J272" s="282"/>
    </row>
    <row r="273" spans="1:10" ht="11.1" customHeight="1">
      <c r="A273" s="183"/>
      <c r="B273" s="180" t="s">
        <v>53</v>
      </c>
      <c r="F273" s="547">
        <f t="shared" si="5"/>
        <v>-145402</v>
      </c>
      <c r="H273" s="560">
        <v>-145401815</v>
      </c>
      <c r="I273" s="56"/>
      <c r="J273" s="282"/>
    </row>
    <row r="274" spans="1:10" ht="11.1" customHeight="1">
      <c r="A274" s="183"/>
      <c r="B274" s="180" t="s">
        <v>54</v>
      </c>
      <c r="F274" s="547">
        <f t="shared" si="5"/>
        <v>-22689</v>
      </c>
      <c r="H274" s="560">
        <v>-22689229</v>
      </c>
      <c r="I274" s="56"/>
      <c r="J274" s="282"/>
    </row>
    <row r="275" spans="1:10" ht="11.1" customHeight="1">
      <c r="A275" s="179"/>
      <c r="B275" s="180" t="s">
        <v>355</v>
      </c>
      <c r="F275" s="547">
        <f t="shared" si="5"/>
        <v>-179024</v>
      </c>
      <c r="H275" s="560">
        <v>-179023837</v>
      </c>
      <c r="I275" s="56"/>
      <c r="J275" s="282"/>
    </row>
    <row r="276" spans="1:10" ht="11.1" customHeight="1">
      <c r="A276" s="179"/>
      <c r="B276" s="180"/>
      <c r="F276" s="547">
        <f t="shared" si="5"/>
        <v>0</v>
      </c>
      <c r="H276" s="560"/>
      <c r="I276" s="56"/>
      <c r="J276" s="282"/>
    </row>
    <row r="277" spans="1:10" ht="11.1" customHeight="1">
      <c r="A277" s="179"/>
      <c r="B277" s="180" t="s">
        <v>356</v>
      </c>
      <c r="F277" s="547">
        <f t="shared" si="5"/>
        <v>0</v>
      </c>
      <c r="H277" s="560"/>
      <c r="I277" s="56"/>
      <c r="J277" s="282"/>
    </row>
    <row r="278" spans="1:10" ht="11.1" customHeight="1">
      <c r="A278" s="183"/>
      <c r="B278" s="180" t="s">
        <v>357</v>
      </c>
      <c r="F278" s="547">
        <f t="shared" si="5"/>
        <v>-638</v>
      </c>
      <c r="H278" s="560">
        <v>-637611</v>
      </c>
      <c r="I278" s="56"/>
      <c r="J278" s="282"/>
    </row>
    <row r="279" spans="1:10" ht="11.1" customHeight="1">
      <c r="A279" s="183"/>
      <c r="B279" s="180" t="s">
        <v>358</v>
      </c>
      <c r="F279" s="547">
        <f t="shared" si="5"/>
        <v>-9027</v>
      </c>
      <c r="H279" s="560">
        <v>-9027434</v>
      </c>
      <c r="I279" s="56"/>
      <c r="J279" s="282"/>
    </row>
    <row r="280" spans="1:10" ht="11.1" customHeight="1">
      <c r="A280" s="183"/>
      <c r="B280" s="180" t="s">
        <v>35</v>
      </c>
      <c r="F280" s="547">
        <f t="shared" si="5"/>
        <v>-118</v>
      </c>
      <c r="H280" s="560">
        <v>-117774</v>
      </c>
      <c r="I280" s="56"/>
      <c r="J280" s="282"/>
    </row>
    <row r="281" spans="1:10" ht="11.1" customHeight="1">
      <c r="A281" s="183"/>
      <c r="B281" s="180" t="s">
        <v>359</v>
      </c>
      <c r="F281" s="547">
        <f t="shared" si="5"/>
        <v>0</v>
      </c>
      <c r="H281" s="560">
        <v>0</v>
      </c>
      <c r="I281" s="56"/>
      <c r="J281" s="282"/>
    </row>
    <row r="282" spans="1:10" ht="11.1" customHeight="1">
      <c r="A282" s="183"/>
      <c r="B282" s="180" t="s">
        <v>360</v>
      </c>
      <c r="F282" s="547">
        <f t="shared" si="5"/>
        <v>-9783</v>
      </c>
      <c r="H282" s="560">
        <v>-9782819</v>
      </c>
      <c r="I282" s="56"/>
      <c r="J282" s="282"/>
    </row>
    <row r="283" spans="1:10" ht="11.1" customHeight="1">
      <c r="A283" s="183"/>
      <c r="B283" s="180"/>
      <c r="F283" s="547">
        <f t="shared" si="5"/>
        <v>0</v>
      </c>
      <c r="H283" s="560"/>
      <c r="I283" s="56"/>
      <c r="J283" s="285"/>
    </row>
    <row r="284" spans="1:10" ht="11.1" customHeight="1">
      <c r="A284" s="183"/>
      <c r="B284" s="180" t="s">
        <v>361</v>
      </c>
      <c r="F284" s="547">
        <f t="shared" si="5"/>
        <v>-188807</v>
      </c>
      <c r="H284" s="560">
        <v>-188806656</v>
      </c>
      <c r="I284" s="56"/>
      <c r="J284" s="285"/>
    </row>
    <row r="285" spans="1:10" ht="11.1" customHeight="1">
      <c r="A285" s="183"/>
      <c r="B285" s="180"/>
      <c r="F285" s="547">
        <f t="shared" si="5"/>
        <v>0</v>
      </c>
      <c r="H285" s="560"/>
      <c r="I285" s="56"/>
      <c r="J285" s="285"/>
    </row>
    <row r="286" spans="1:10" ht="11.1" customHeight="1">
      <c r="A286" s="179"/>
      <c r="B286" s="180" t="s">
        <v>362</v>
      </c>
      <c r="F286" s="547">
        <f t="shared" si="5"/>
        <v>416325</v>
      </c>
      <c r="H286" s="560">
        <v>416324521</v>
      </c>
      <c r="I286" s="56"/>
      <c r="J286" s="285"/>
    </row>
    <row r="287" spans="1:10" ht="11.1" customHeight="1">
      <c r="A287" s="179"/>
      <c r="B287" s="180"/>
      <c r="F287" s="547">
        <f t="shared" si="5"/>
        <v>0</v>
      </c>
      <c r="H287" s="560"/>
      <c r="I287" s="56"/>
      <c r="J287" s="285"/>
    </row>
    <row r="288" spans="1:10" ht="11.1" customHeight="1">
      <c r="A288" s="187"/>
      <c r="B288" s="188" t="s">
        <v>363</v>
      </c>
      <c r="F288" s="547">
        <f t="shared" si="5"/>
        <v>0</v>
      </c>
      <c r="H288" s="560"/>
      <c r="I288" s="56"/>
      <c r="J288" s="282"/>
    </row>
    <row r="289" spans="1:10" ht="11.1" customHeight="1">
      <c r="A289" s="189">
        <v>282900</v>
      </c>
      <c r="B289" s="188" t="s">
        <v>364</v>
      </c>
      <c r="F289" s="547">
        <f t="shared" si="5"/>
        <v>-75511</v>
      </c>
      <c r="H289" s="560">
        <v>-75510500</v>
      </c>
      <c r="I289" s="56"/>
      <c r="J289" s="282"/>
    </row>
    <row r="290" spans="1:10" ht="11.1" customHeight="1">
      <c r="A290" s="189">
        <v>282900</v>
      </c>
      <c r="B290" s="188" t="s">
        <v>365</v>
      </c>
      <c r="F290" s="547">
        <f t="shared" si="5"/>
        <v>-13061</v>
      </c>
      <c r="H290" s="560">
        <v>-13061490</v>
      </c>
      <c r="I290" s="56"/>
      <c r="J290" s="282"/>
    </row>
    <row r="291" spans="1:10" ht="11.1" customHeight="1">
      <c r="A291" s="321">
        <v>282919</v>
      </c>
      <c r="B291" s="285" t="s">
        <v>580</v>
      </c>
      <c r="F291" s="547">
        <f t="shared" si="5"/>
        <v>-7</v>
      </c>
      <c r="H291" s="560">
        <v>-6582</v>
      </c>
    </row>
    <row r="292" spans="1:10" ht="11.1" customHeight="1">
      <c r="A292" s="189">
        <v>283750</v>
      </c>
      <c r="B292" s="188" t="s">
        <v>400</v>
      </c>
      <c r="F292" s="547">
        <f t="shared" si="5"/>
        <v>-35</v>
      </c>
      <c r="H292" s="560">
        <v>-35478</v>
      </c>
      <c r="J292" s="282"/>
    </row>
    <row r="293" spans="1:10" ht="11.1" customHeight="1">
      <c r="A293" s="189">
        <v>283850</v>
      </c>
      <c r="B293" s="188" t="s">
        <v>366</v>
      </c>
      <c r="F293" s="547">
        <f t="shared" ref="F293:F312" si="6">ROUND(H293/1000,0)</f>
        <v>-294</v>
      </c>
      <c r="H293" s="560">
        <v>-293814</v>
      </c>
      <c r="I293" s="56"/>
      <c r="J293" s="282"/>
    </row>
    <row r="294" spans="1:10" ht="11.1" customHeight="1">
      <c r="A294" s="183"/>
      <c r="B294" s="180" t="s">
        <v>367</v>
      </c>
      <c r="F294" s="547">
        <f t="shared" si="6"/>
        <v>-88908</v>
      </c>
      <c r="H294" s="560">
        <v>-88907864</v>
      </c>
      <c r="I294" s="56"/>
      <c r="J294" s="282"/>
    </row>
    <row r="295" spans="1:10" ht="11.1" customHeight="1">
      <c r="A295" s="179"/>
      <c r="B295" s="180"/>
      <c r="F295" s="547">
        <f t="shared" si="6"/>
        <v>0</v>
      </c>
      <c r="H295" s="560"/>
      <c r="I295" s="56"/>
      <c r="J295" s="285"/>
    </row>
    <row r="296" spans="1:10" ht="11.1" customHeight="1">
      <c r="A296" s="179"/>
      <c r="B296" s="180" t="s">
        <v>368</v>
      </c>
      <c r="F296" s="547">
        <f t="shared" si="6"/>
        <v>327417</v>
      </c>
      <c r="H296" s="560">
        <v>327416657</v>
      </c>
      <c r="I296" s="56"/>
      <c r="J296" s="285"/>
    </row>
    <row r="297" spans="1:10" ht="11.1" customHeight="1">
      <c r="I297" s="56"/>
      <c r="J297" s="286"/>
    </row>
    <row r="298" spans="1:10" ht="11.1" customHeight="1">
      <c r="A298" s="190"/>
      <c r="B298" s="191" t="s">
        <v>369</v>
      </c>
      <c r="I298" s="56"/>
      <c r="J298" s="286"/>
    </row>
    <row r="299" spans="1:10" ht="11.1" customHeight="1">
      <c r="A299" s="192">
        <v>182311</v>
      </c>
      <c r="B299" s="191" t="s">
        <v>581</v>
      </c>
      <c r="F299" s="547">
        <f t="shared" si="6"/>
        <v>9</v>
      </c>
      <c r="H299" s="560">
        <v>8605</v>
      </c>
      <c r="I299" s="56"/>
      <c r="J299" s="286"/>
    </row>
    <row r="300" spans="1:10" ht="11.1" customHeight="1">
      <c r="A300" s="192">
        <v>182318</v>
      </c>
      <c r="B300" s="191" t="s">
        <v>582</v>
      </c>
      <c r="F300" s="547">
        <f t="shared" si="6"/>
        <v>0</v>
      </c>
      <c r="H300" s="560">
        <v>-305</v>
      </c>
      <c r="I300" s="56"/>
      <c r="J300" s="286"/>
    </row>
    <row r="301" spans="1:10" ht="11.1" customHeight="1">
      <c r="A301" s="193">
        <v>117100</v>
      </c>
      <c r="B301" s="194" t="s">
        <v>370</v>
      </c>
      <c r="F301" s="547">
        <f t="shared" si="6"/>
        <v>3960</v>
      </c>
      <c r="H301" s="560">
        <v>3960165</v>
      </c>
      <c r="I301" s="56"/>
      <c r="J301" s="286"/>
    </row>
    <row r="302" spans="1:10" ht="11.1" customHeight="1">
      <c r="A302" s="193">
        <v>164100</v>
      </c>
      <c r="B302" s="194" t="s">
        <v>371</v>
      </c>
      <c r="F302" s="547">
        <f t="shared" si="6"/>
        <v>4395</v>
      </c>
      <c r="H302" s="560">
        <v>4394967</v>
      </c>
      <c r="I302" s="56"/>
      <c r="J302" s="285"/>
    </row>
    <row r="303" spans="1:10" ht="11.1" customHeight="1">
      <c r="A303" s="193">
        <v>252000</v>
      </c>
      <c r="B303" s="195" t="s">
        <v>372</v>
      </c>
      <c r="F303" s="547">
        <f t="shared" si="6"/>
        <v>0</v>
      </c>
      <c r="H303" s="560">
        <v>-18</v>
      </c>
      <c r="I303" s="56"/>
      <c r="J303" s="282"/>
    </row>
    <row r="304" spans="1:10" ht="11.1" customHeight="1">
      <c r="A304" s="193">
        <v>235199</v>
      </c>
      <c r="B304" s="195" t="s">
        <v>373</v>
      </c>
      <c r="F304" s="547">
        <f t="shared" si="6"/>
        <v>-566</v>
      </c>
      <c r="H304" s="560">
        <v>-566176</v>
      </c>
      <c r="I304" s="56"/>
      <c r="J304" s="282"/>
    </row>
    <row r="305" spans="1:10" ht="11.1" customHeight="1">
      <c r="A305" s="321">
        <v>254911</v>
      </c>
      <c r="B305" s="286" t="s">
        <v>583</v>
      </c>
      <c r="F305" s="547">
        <f t="shared" si="6"/>
        <v>-753</v>
      </c>
      <c r="H305" s="560">
        <v>-752880</v>
      </c>
      <c r="I305" s="56"/>
      <c r="J305" s="282"/>
    </row>
    <row r="306" spans="1:10" ht="11.1" customHeight="1">
      <c r="A306" s="321">
        <v>182302</v>
      </c>
      <c r="B306" s="286" t="s">
        <v>427</v>
      </c>
      <c r="F306" s="547">
        <f t="shared" si="6"/>
        <v>8464</v>
      </c>
      <c r="H306" s="560">
        <v>8463757</v>
      </c>
    </row>
    <row r="307" spans="1:10" ht="11.1" customHeight="1">
      <c r="A307" s="321">
        <v>283302</v>
      </c>
      <c r="B307" s="286" t="s">
        <v>584</v>
      </c>
      <c r="F307" s="547">
        <f t="shared" si="6"/>
        <v>-1816</v>
      </c>
      <c r="H307" s="560">
        <v>-1816057</v>
      </c>
    </row>
    <row r="308" spans="1:10" ht="11.1" customHeight="1">
      <c r="A308" s="196"/>
      <c r="B308" s="197" t="s">
        <v>374</v>
      </c>
      <c r="F308" s="547">
        <f t="shared" si="6"/>
        <v>7549</v>
      </c>
      <c r="H308" s="560">
        <v>7549307</v>
      </c>
    </row>
    <row r="309" spans="1:10" ht="11.1" customHeight="1">
      <c r="A309" s="193">
        <v>186710</v>
      </c>
      <c r="B309" s="194" t="s">
        <v>375</v>
      </c>
      <c r="F309" s="547">
        <f t="shared" si="6"/>
        <v>0</v>
      </c>
      <c r="H309" s="560">
        <v>0</v>
      </c>
    </row>
    <row r="310" spans="1:10" ht="11.1" customHeight="1">
      <c r="A310" s="195"/>
      <c r="B310" s="191" t="s">
        <v>376</v>
      </c>
      <c r="F310" s="547">
        <f t="shared" si="6"/>
        <v>21241</v>
      </c>
      <c r="H310" s="560">
        <v>21241365</v>
      </c>
    </row>
    <row r="311" spans="1:10" ht="11.1" customHeight="1">
      <c r="A311" s="195"/>
      <c r="B311" s="191"/>
      <c r="F311" s="547">
        <f t="shared" si="6"/>
        <v>0</v>
      </c>
      <c r="H311" s="560"/>
    </row>
    <row r="312" spans="1:10" ht="11.1" customHeight="1">
      <c r="A312" s="195"/>
      <c r="B312" s="191" t="s">
        <v>377</v>
      </c>
      <c r="F312" s="547">
        <f t="shared" si="6"/>
        <v>348658</v>
      </c>
      <c r="H312" s="560">
        <v>348658022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6" orientation="portrait" horizontalDpi="300" verticalDpi="30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AH99"/>
  <sheetViews>
    <sheetView zoomScaleNormal="100" zoomScaleSheetLayoutView="100" workbookViewId="0">
      <pane xSplit="4" ySplit="11" topLeftCell="E2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ColWidth="10.7109375" defaultRowHeight="12"/>
  <cols>
    <col min="1" max="1" width="5.7109375" style="59" customWidth="1"/>
    <col min="2" max="3" width="1.7109375" style="1" customWidth="1"/>
    <col min="4" max="4" width="31.28515625" style="1" customWidth="1"/>
    <col min="5" max="5" width="8.7109375" style="20" hidden="1" customWidth="1"/>
    <col min="6" max="6" width="9.140625" style="20" hidden="1" customWidth="1"/>
    <col min="7" max="7" width="9.42578125" style="65" hidden="1" customWidth="1"/>
    <col min="8" max="8" width="7.5703125" style="20" hidden="1" customWidth="1"/>
    <col min="9" max="9" width="9.5703125" style="20" hidden="1" customWidth="1"/>
    <col min="10" max="10" width="8.85546875" style="20" hidden="1" customWidth="1"/>
    <col min="11" max="11" width="7.42578125" style="20" hidden="1" customWidth="1"/>
    <col min="12" max="12" width="10.85546875" style="65" hidden="1" customWidth="1"/>
    <col min="13" max="13" width="9.28515625" style="65" hidden="1" customWidth="1"/>
    <col min="14" max="14" width="7.85546875" style="65" hidden="1" customWidth="1"/>
    <col min="15" max="15" width="7.140625" style="20" hidden="1" customWidth="1"/>
    <col min="16" max="16" width="10.5703125" style="65" hidden="1" customWidth="1"/>
    <col min="17" max="17" width="6.5703125" style="20" hidden="1" customWidth="1"/>
    <col min="18" max="18" width="8.140625" style="65" hidden="1" customWidth="1"/>
    <col min="19" max="19" width="11.28515625" style="20" hidden="1" customWidth="1"/>
    <col min="20" max="20" width="9.85546875" style="20" hidden="1" customWidth="1"/>
    <col min="21" max="21" width="14.42578125" style="65" hidden="1" customWidth="1"/>
    <col min="22" max="22" width="8.5703125" style="351" hidden="1" customWidth="1"/>
    <col min="23" max="23" width="8" style="215" hidden="1" customWidth="1"/>
    <col min="24" max="24" width="8.28515625" style="214" hidden="1" customWidth="1"/>
    <col min="25" max="25" width="11.42578125" style="214" customWidth="1"/>
    <col min="26" max="26" width="3.28515625" style="1" customWidth="1"/>
    <col min="27" max="27" width="10.7109375" style="1"/>
    <col min="28" max="28" width="11" style="1" customWidth="1"/>
    <col min="29" max="29" width="8.140625" style="1" customWidth="1"/>
    <col min="30" max="30" width="12.28515625" style="1" customWidth="1"/>
    <col min="31" max="31" width="10.85546875" style="1" customWidth="1"/>
    <col min="32" max="32" width="8.42578125" style="1" customWidth="1"/>
    <col min="33" max="33" width="9.85546875" style="1" bestFit="1" customWidth="1"/>
    <col min="34" max="16384" width="10.7109375" style="1"/>
  </cols>
  <sheetData>
    <row r="1" spans="1:25" ht="13.5" customHeight="1">
      <c r="F1" s="98"/>
      <c r="G1" s="617"/>
      <c r="H1" s="98"/>
      <c r="I1" s="98"/>
      <c r="J1" s="98"/>
      <c r="K1" s="98"/>
      <c r="L1" s="617"/>
      <c r="M1" s="617"/>
      <c r="N1" s="617"/>
      <c r="O1" s="98"/>
      <c r="P1" s="617"/>
      <c r="Q1" s="98"/>
      <c r="R1" s="617"/>
      <c r="Y1" s="788" t="s">
        <v>659</v>
      </c>
    </row>
    <row r="2" spans="1:25" ht="12.75" customHeight="1">
      <c r="A2" s="216" t="str">
        <f>'ROO INPUT'!A3:C3</f>
        <v>AVISTA UTILITIES</v>
      </c>
      <c r="F2" s="1"/>
      <c r="G2" s="64"/>
      <c r="H2" s="1"/>
      <c r="I2" s="1"/>
      <c r="J2" s="1"/>
      <c r="K2" s="1"/>
      <c r="L2" s="64"/>
      <c r="M2" s="64"/>
      <c r="N2" s="64"/>
      <c r="O2" s="1"/>
      <c r="P2" s="64"/>
      <c r="Q2" s="1"/>
      <c r="R2" s="64"/>
      <c r="S2" s="287"/>
      <c r="T2" s="287"/>
      <c r="U2" s="643"/>
      <c r="V2" s="644"/>
      <c r="W2" s="288"/>
    </row>
    <row r="3" spans="1:25" ht="12.75" customHeight="1">
      <c r="A3" s="216" t="s">
        <v>404</v>
      </c>
      <c r="F3" s="294" t="s">
        <v>417</v>
      </c>
      <c r="H3" s="215"/>
      <c r="I3" s="215"/>
      <c r="J3" s="215"/>
      <c r="K3" s="217"/>
      <c r="L3" s="62"/>
      <c r="M3" s="62"/>
      <c r="N3" s="62"/>
      <c r="O3" s="215"/>
      <c r="P3" s="62"/>
      <c r="Q3" s="215"/>
      <c r="R3" s="620"/>
      <c r="S3" s="288"/>
      <c r="T3" s="288"/>
      <c r="U3" s="644"/>
      <c r="V3" s="644"/>
      <c r="W3" s="651"/>
    </row>
    <row r="4" spans="1:25" s="220" customFormat="1" ht="12" customHeight="1">
      <c r="A4" s="216" t="str">
        <f>'ROO INPUT'!A5:C5</f>
        <v>TWELVE MONTHS ENDED DECEMBER 31, 2018</v>
      </c>
      <c r="B4" s="59"/>
      <c r="C4" s="59"/>
      <c r="D4" s="59"/>
      <c r="E4" s="324" t="s">
        <v>436</v>
      </c>
      <c r="F4" s="214"/>
      <c r="G4" s="66"/>
      <c r="H4" s="215"/>
      <c r="I4" s="215"/>
      <c r="J4" s="259"/>
      <c r="K4" s="319"/>
      <c r="L4" s="618"/>
      <c r="M4" s="351"/>
      <c r="N4" s="351"/>
      <c r="O4" s="259"/>
      <c r="P4" s="351"/>
      <c r="Q4" s="259"/>
      <c r="R4" s="645"/>
      <c r="S4" s="288"/>
      <c r="T4" s="288"/>
      <c r="U4" s="644"/>
      <c r="V4" s="652"/>
      <c r="W4" s="651"/>
      <c r="X4" s="218"/>
      <c r="Y4" s="218"/>
    </row>
    <row r="5" spans="1:25" ht="12.75" customHeight="1">
      <c r="A5" s="216" t="str">
        <f>'ROO INPUT'!A6:C6</f>
        <v xml:space="preserve">(000'S OF DOLLARS)   </v>
      </c>
      <c r="E5" s="324" t="s">
        <v>437</v>
      </c>
      <c r="F5" s="218"/>
      <c r="G5" s="619"/>
      <c r="H5" s="319"/>
      <c r="I5" s="319"/>
      <c r="J5" s="218"/>
      <c r="K5" s="319"/>
      <c r="L5" s="618"/>
      <c r="M5" s="619"/>
      <c r="N5" s="619"/>
      <c r="O5" s="218"/>
      <c r="P5" s="619"/>
      <c r="Q5" s="218"/>
      <c r="R5" s="645"/>
      <c r="S5" s="318"/>
      <c r="T5" s="289"/>
      <c r="U5" s="392"/>
      <c r="V5" s="653"/>
      <c r="W5" s="651"/>
      <c r="Y5" s="217"/>
    </row>
    <row r="6" spans="1:25" s="223" customFormat="1" ht="9.75" customHeight="1">
      <c r="A6" s="222"/>
      <c r="D6" s="317"/>
      <c r="E6" s="317"/>
      <c r="F6" s="219"/>
      <c r="G6" s="69"/>
      <c r="H6" s="217"/>
      <c r="I6" s="217"/>
      <c r="J6" s="217"/>
      <c r="K6" s="320"/>
      <c r="L6" s="620"/>
      <c r="M6" s="620"/>
      <c r="N6" s="620"/>
      <c r="O6" s="217"/>
      <c r="P6" s="620"/>
      <c r="Q6" s="217"/>
      <c r="R6" s="646"/>
      <c r="S6" s="217"/>
      <c r="T6" s="217"/>
      <c r="U6" s="620"/>
      <c r="V6" s="654"/>
      <c r="W6" s="655"/>
      <c r="X6" s="219"/>
      <c r="Y6" s="340" t="s">
        <v>401</v>
      </c>
    </row>
    <row r="7" spans="1:25" s="223" customFormat="1" ht="12" customHeight="1">
      <c r="A7" s="224"/>
      <c r="B7" s="225"/>
      <c r="C7" s="226"/>
      <c r="D7" s="227"/>
      <c r="E7" s="228" t="s">
        <v>0</v>
      </c>
      <c r="F7" s="229" t="s">
        <v>1</v>
      </c>
      <c r="G7" s="621" t="s">
        <v>429</v>
      </c>
      <c r="H7" s="229" t="s">
        <v>398</v>
      </c>
      <c r="I7" s="622" t="s">
        <v>513</v>
      </c>
      <c r="J7" s="229" t="s">
        <v>2</v>
      </c>
      <c r="K7" s="229" t="s">
        <v>5</v>
      </c>
      <c r="L7" s="621" t="s">
        <v>103</v>
      </c>
      <c r="M7" s="621" t="s">
        <v>3</v>
      </c>
      <c r="N7" s="621" t="s">
        <v>4</v>
      </c>
      <c r="O7" s="229" t="s">
        <v>393</v>
      </c>
      <c r="P7" s="621" t="s">
        <v>6</v>
      </c>
      <c r="Q7" s="229" t="s">
        <v>5</v>
      </c>
      <c r="R7" s="621" t="s">
        <v>119</v>
      </c>
      <c r="S7" s="229" t="s">
        <v>405</v>
      </c>
      <c r="T7" s="271" t="s">
        <v>407</v>
      </c>
      <c r="U7" s="647" t="s">
        <v>434</v>
      </c>
      <c r="V7" s="621" t="s">
        <v>144</v>
      </c>
      <c r="W7" s="271" t="s">
        <v>5</v>
      </c>
      <c r="X7" s="213" t="s">
        <v>401</v>
      </c>
      <c r="Y7" s="894" t="s">
        <v>546</v>
      </c>
    </row>
    <row r="8" spans="1:25" s="223" customFormat="1">
      <c r="A8" s="230" t="s">
        <v>7</v>
      </c>
      <c r="B8" s="231"/>
      <c r="C8" s="232"/>
      <c r="D8" s="233"/>
      <c r="E8" s="290" t="s">
        <v>8</v>
      </c>
      <c r="F8" s="234" t="s">
        <v>9</v>
      </c>
      <c r="G8" s="623" t="s">
        <v>430</v>
      </c>
      <c r="H8" s="234" t="s">
        <v>122</v>
      </c>
      <c r="I8" s="313" t="s">
        <v>587</v>
      </c>
      <c r="J8" s="234" t="s">
        <v>10</v>
      </c>
      <c r="K8" s="234" t="s">
        <v>11</v>
      </c>
      <c r="L8" s="623" t="s">
        <v>12</v>
      </c>
      <c r="M8" s="623" t="s">
        <v>12</v>
      </c>
      <c r="N8" s="623" t="s">
        <v>433</v>
      </c>
      <c r="O8" s="234" t="s">
        <v>394</v>
      </c>
      <c r="P8" s="623" t="s">
        <v>14</v>
      </c>
      <c r="Q8" s="234" t="s">
        <v>120</v>
      </c>
      <c r="R8" s="623" t="s">
        <v>431</v>
      </c>
      <c r="S8" s="234" t="s">
        <v>406</v>
      </c>
      <c r="T8" s="272" t="s">
        <v>408</v>
      </c>
      <c r="U8" s="648" t="s">
        <v>435</v>
      </c>
      <c r="V8" s="656" t="s">
        <v>428</v>
      </c>
      <c r="W8" s="272" t="s">
        <v>13</v>
      </c>
      <c r="X8" s="267" t="s">
        <v>180</v>
      </c>
      <c r="Y8" s="895"/>
    </row>
    <row r="9" spans="1:25" s="223" customFormat="1">
      <c r="A9" s="235" t="s">
        <v>15</v>
      </c>
      <c r="B9" s="236"/>
      <c r="C9" s="237"/>
      <c r="D9" s="238" t="s">
        <v>16</v>
      </c>
      <c r="E9" s="291" t="s">
        <v>17</v>
      </c>
      <c r="F9" s="239" t="s">
        <v>18</v>
      </c>
      <c r="G9" s="624" t="s">
        <v>208</v>
      </c>
      <c r="H9" s="239"/>
      <c r="I9" s="314" t="s">
        <v>18</v>
      </c>
      <c r="J9" s="239" t="s">
        <v>20</v>
      </c>
      <c r="K9" s="239" t="s">
        <v>21</v>
      </c>
      <c r="L9" s="624"/>
      <c r="M9" s="624"/>
      <c r="N9" s="624" t="s">
        <v>22</v>
      </c>
      <c r="O9" s="239" t="s">
        <v>12</v>
      </c>
      <c r="P9" s="624" t="s">
        <v>589</v>
      </c>
      <c r="Q9" s="239" t="s">
        <v>20</v>
      </c>
      <c r="R9" s="624" t="s">
        <v>432</v>
      </c>
      <c r="S9" s="239" t="s">
        <v>104</v>
      </c>
      <c r="T9" s="273" t="s">
        <v>409</v>
      </c>
      <c r="U9" s="649" t="s">
        <v>590</v>
      </c>
      <c r="V9" s="657" t="s">
        <v>12</v>
      </c>
      <c r="W9" s="273" t="s">
        <v>23</v>
      </c>
      <c r="X9" s="240"/>
      <c r="Y9" s="341" t="s">
        <v>180</v>
      </c>
    </row>
    <row r="10" spans="1:25" s="223" customFormat="1">
      <c r="A10" s="222"/>
      <c r="B10" s="241" t="s">
        <v>156</v>
      </c>
      <c r="E10" s="274">
        <v>1</v>
      </c>
      <c r="F10" s="274">
        <f>E10+0.01</f>
        <v>1.01</v>
      </c>
      <c r="G10" s="625">
        <f t="shared" ref="G10" si="0">F10+0.01</f>
        <v>1.02</v>
      </c>
      <c r="H10" s="626">
        <f>G10+0.01</f>
        <v>1.03</v>
      </c>
      <c r="I10" s="627">
        <f>H10+0.01</f>
        <v>1.04</v>
      </c>
      <c r="J10" s="626">
        <v>2.0099999999999998</v>
      </c>
      <c r="K10" s="626">
        <f>J10+0.01</f>
        <v>2.0199999999999996</v>
      </c>
      <c r="L10" s="628">
        <f t="shared" ref="L10:W10" si="1">K10+0.01</f>
        <v>2.0299999999999994</v>
      </c>
      <c r="M10" s="628">
        <f t="shared" si="1"/>
        <v>2.0399999999999991</v>
      </c>
      <c r="N10" s="628">
        <f t="shared" si="1"/>
        <v>2.0499999999999989</v>
      </c>
      <c r="O10" s="626">
        <f t="shared" si="1"/>
        <v>2.0599999999999987</v>
      </c>
      <c r="P10" s="628">
        <f t="shared" si="1"/>
        <v>2.0699999999999985</v>
      </c>
      <c r="Q10" s="626">
        <f t="shared" si="1"/>
        <v>2.0799999999999983</v>
      </c>
      <c r="R10" s="628">
        <f t="shared" si="1"/>
        <v>2.0899999999999981</v>
      </c>
      <c r="S10" s="242">
        <f t="shared" si="1"/>
        <v>2.0999999999999979</v>
      </c>
      <c r="T10" s="242">
        <f t="shared" si="1"/>
        <v>2.1099999999999977</v>
      </c>
      <c r="U10" s="650">
        <f t="shared" si="1"/>
        <v>2.1199999999999974</v>
      </c>
      <c r="V10" s="650">
        <f t="shared" si="1"/>
        <v>2.1299999999999972</v>
      </c>
      <c r="W10" s="242">
        <f t="shared" si="1"/>
        <v>2.139999999999997</v>
      </c>
      <c r="X10" s="219"/>
      <c r="Y10" s="295"/>
    </row>
    <row r="11" spans="1:25" s="223" customFormat="1" ht="13.5" customHeight="1">
      <c r="A11" s="222"/>
      <c r="B11" s="241" t="s">
        <v>157</v>
      </c>
      <c r="E11" s="219" t="s">
        <v>158</v>
      </c>
      <c r="F11" s="219" t="s">
        <v>159</v>
      </c>
      <c r="G11" s="69" t="s">
        <v>160</v>
      </c>
      <c r="H11" s="217" t="s">
        <v>399</v>
      </c>
      <c r="I11" s="627" t="s">
        <v>588</v>
      </c>
      <c r="J11" s="217" t="s">
        <v>161</v>
      </c>
      <c r="K11" s="217" t="s">
        <v>397</v>
      </c>
      <c r="L11" s="620" t="s">
        <v>162</v>
      </c>
      <c r="M11" s="620" t="s">
        <v>163</v>
      </c>
      <c r="N11" s="620" t="s">
        <v>164</v>
      </c>
      <c r="O11" s="217" t="s">
        <v>165</v>
      </c>
      <c r="P11" s="620" t="s">
        <v>167</v>
      </c>
      <c r="Q11" s="217" t="s">
        <v>389</v>
      </c>
      <c r="R11" s="620" t="s">
        <v>166</v>
      </c>
      <c r="S11" s="219" t="s">
        <v>419</v>
      </c>
      <c r="T11" s="219" t="s">
        <v>410</v>
      </c>
      <c r="U11" s="69" t="s">
        <v>168</v>
      </c>
      <c r="V11" s="620" t="s">
        <v>169</v>
      </c>
      <c r="W11" s="217" t="s">
        <v>170</v>
      </c>
      <c r="X11" s="219" t="s">
        <v>390</v>
      </c>
      <c r="Y11" s="295" t="s">
        <v>391</v>
      </c>
    </row>
    <row r="12" spans="1:25" ht="6" customHeight="1">
      <c r="H12" s="215"/>
      <c r="I12" s="215"/>
      <c r="J12" s="215"/>
      <c r="K12" s="215"/>
      <c r="L12" s="62"/>
      <c r="M12" s="62"/>
      <c r="N12" s="62"/>
      <c r="O12" s="215"/>
      <c r="P12" s="62"/>
      <c r="Q12" s="215"/>
      <c r="R12" s="62"/>
      <c r="V12" s="62"/>
      <c r="Y12" s="296"/>
    </row>
    <row r="13" spans="1:25">
      <c r="B13" s="1" t="s">
        <v>25</v>
      </c>
      <c r="V13" s="62"/>
      <c r="Y13" s="296"/>
    </row>
    <row r="14" spans="1:25" s="2" customFormat="1">
      <c r="A14" s="59">
        <v>1</v>
      </c>
      <c r="B14" s="2" t="s">
        <v>26</v>
      </c>
      <c r="E14" s="292">
        <f>'ROO INPUT'!$F15</f>
        <v>140625</v>
      </c>
      <c r="F14" s="269">
        <v>0</v>
      </c>
      <c r="G14" s="629">
        <v>0</v>
      </c>
      <c r="H14" s="269">
        <v>0</v>
      </c>
      <c r="I14" s="269">
        <v>0</v>
      </c>
      <c r="J14" s="269">
        <v>-5070</v>
      </c>
      <c r="K14" s="269">
        <v>0</v>
      </c>
      <c r="L14" s="629">
        <v>0</v>
      </c>
      <c r="M14" s="629">
        <v>0</v>
      </c>
      <c r="N14" s="629">
        <v>0</v>
      </c>
      <c r="O14" s="269">
        <v>0</v>
      </c>
      <c r="P14" s="629">
        <v>0</v>
      </c>
      <c r="Q14" s="269">
        <v>0</v>
      </c>
      <c r="R14" s="629">
        <v>0</v>
      </c>
      <c r="S14" s="269">
        <v>6259</v>
      </c>
      <c r="T14" s="269">
        <v>5056</v>
      </c>
      <c r="U14" s="629">
        <v>0</v>
      </c>
      <c r="V14" s="629">
        <v>0</v>
      </c>
      <c r="W14" s="269">
        <v>0</v>
      </c>
      <c r="X14" s="244">
        <f>SUM(E14:W14)</f>
        <v>146870</v>
      </c>
      <c r="Y14" s="297">
        <f>SUM(X14:X14)</f>
        <v>146870</v>
      </c>
    </row>
    <row r="15" spans="1:25">
      <c r="A15" s="59">
        <v>2</v>
      </c>
      <c r="B15" s="3" t="s">
        <v>27</v>
      </c>
      <c r="D15" s="3"/>
      <c r="E15" s="165">
        <f>'ROO INPUT'!$F16</f>
        <v>5088</v>
      </c>
      <c r="F15" s="270">
        <v>0</v>
      </c>
      <c r="G15" s="630">
        <v>0</v>
      </c>
      <c r="H15" s="270">
        <v>0</v>
      </c>
      <c r="I15" s="270">
        <v>0</v>
      </c>
      <c r="J15" s="270">
        <v>-128</v>
      </c>
      <c r="K15" s="270">
        <v>0</v>
      </c>
      <c r="L15" s="630">
        <v>0</v>
      </c>
      <c r="M15" s="630">
        <v>0</v>
      </c>
      <c r="N15" s="630">
        <v>0</v>
      </c>
      <c r="O15" s="270">
        <v>0</v>
      </c>
      <c r="P15" s="630">
        <v>0</v>
      </c>
      <c r="Q15" s="270">
        <v>0</v>
      </c>
      <c r="R15" s="630">
        <v>0</v>
      </c>
      <c r="S15" s="270"/>
      <c r="T15" s="270">
        <v>0</v>
      </c>
      <c r="U15" s="630">
        <v>0</v>
      </c>
      <c r="V15" s="630">
        <v>0</v>
      </c>
      <c r="W15" s="270">
        <v>0</v>
      </c>
      <c r="X15" s="245">
        <f>SUM(E15:W15)</f>
        <v>4960</v>
      </c>
      <c r="Y15" s="298">
        <f>SUM(X15:X15)</f>
        <v>4960</v>
      </c>
    </row>
    <row r="16" spans="1:25">
      <c r="A16" s="59">
        <v>3</v>
      </c>
      <c r="B16" s="3" t="s">
        <v>28</v>
      </c>
      <c r="D16" s="3"/>
      <c r="E16" s="166">
        <f>'ROO INPUT'!$F17</f>
        <v>50681</v>
      </c>
      <c r="F16" s="247">
        <v>0</v>
      </c>
      <c r="G16" s="631">
        <v>0</v>
      </c>
      <c r="H16" s="247">
        <v>0</v>
      </c>
      <c r="I16" s="247">
        <v>0</v>
      </c>
      <c r="J16" s="247">
        <v>0</v>
      </c>
      <c r="K16" s="247">
        <v>0</v>
      </c>
      <c r="L16" s="631">
        <v>0</v>
      </c>
      <c r="M16" s="631">
        <v>0</v>
      </c>
      <c r="N16" s="631">
        <v>0</v>
      </c>
      <c r="O16" s="247">
        <v>0</v>
      </c>
      <c r="P16" s="631">
        <v>0</v>
      </c>
      <c r="Q16" s="247">
        <v>0</v>
      </c>
      <c r="R16" s="631">
        <v>0</v>
      </c>
      <c r="S16" s="247">
        <v>-3321</v>
      </c>
      <c r="T16" s="247">
        <v>-51690</v>
      </c>
      <c r="U16" s="631">
        <v>114</v>
      </c>
      <c r="V16" s="631">
        <v>0</v>
      </c>
      <c r="W16" s="247">
        <v>0</v>
      </c>
      <c r="X16" s="248">
        <f>SUM(E16:W16)</f>
        <v>-4216</v>
      </c>
      <c r="Y16" s="293">
        <f>SUM(X16:X16)</f>
        <v>-4216</v>
      </c>
    </row>
    <row r="17" spans="1:33">
      <c r="A17" s="59">
        <v>4</v>
      </c>
      <c r="B17" s="1" t="s">
        <v>29</v>
      </c>
      <c r="C17" s="3"/>
      <c r="D17" s="3"/>
      <c r="E17" s="165">
        <f>SUM(E14:E16)</f>
        <v>196394</v>
      </c>
      <c r="F17" s="165">
        <f t="shared" ref="F17:R17" si="2">SUM(F14:F16)</f>
        <v>0</v>
      </c>
      <c r="G17" s="632">
        <f t="shared" si="2"/>
        <v>0</v>
      </c>
      <c r="H17" s="165">
        <f t="shared" si="2"/>
        <v>0</v>
      </c>
      <c r="I17" s="165">
        <f t="shared" si="2"/>
        <v>0</v>
      </c>
      <c r="J17" s="165">
        <f t="shared" si="2"/>
        <v>-5198</v>
      </c>
      <c r="K17" s="165">
        <f>SUM(K14:K16)</f>
        <v>0</v>
      </c>
      <c r="L17" s="632">
        <f t="shared" si="2"/>
        <v>0</v>
      </c>
      <c r="M17" s="632">
        <f t="shared" si="2"/>
        <v>0</v>
      </c>
      <c r="N17" s="632">
        <f t="shared" si="2"/>
        <v>0</v>
      </c>
      <c r="O17" s="165">
        <f t="shared" si="2"/>
        <v>0</v>
      </c>
      <c r="P17" s="632">
        <f t="shared" si="2"/>
        <v>0</v>
      </c>
      <c r="Q17" s="165">
        <f t="shared" si="2"/>
        <v>0</v>
      </c>
      <c r="R17" s="632">
        <f t="shared" si="2"/>
        <v>0</v>
      </c>
      <c r="S17" s="165">
        <f>SUM(S14:S16)</f>
        <v>2938</v>
      </c>
      <c r="T17" s="165">
        <f>SUM(T14:T16)</f>
        <v>-46634</v>
      </c>
      <c r="U17" s="632">
        <f t="shared" ref="U17" si="3">SUM(U14:U16)</f>
        <v>114</v>
      </c>
      <c r="V17" s="633">
        <f>SUM(V14:V16)</f>
        <v>0</v>
      </c>
      <c r="W17" s="205">
        <f t="shared" ref="W17" si="4">SUM(W14:W16)</f>
        <v>0</v>
      </c>
      <c r="X17" s="245">
        <f t="shared" ref="X17:Y17" si="5">SUM(X14:X16)</f>
        <v>147614</v>
      </c>
      <c r="Y17" s="298">
        <f t="shared" si="5"/>
        <v>147614</v>
      </c>
    </row>
    <row r="18" spans="1:33" ht="5.25" customHeight="1">
      <c r="C18" s="3"/>
      <c r="D18" s="3"/>
      <c r="E18" s="165"/>
      <c r="F18" s="270"/>
      <c r="G18" s="630"/>
      <c r="H18" s="270"/>
      <c r="I18" s="270"/>
      <c r="J18" s="270"/>
      <c r="K18" s="270"/>
      <c r="L18" s="630"/>
      <c r="M18" s="630"/>
      <c r="N18" s="630"/>
      <c r="O18" s="270"/>
      <c r="P18" s="630"/>
      <c r="Q18" s="270"/>
      <c r="R18" s="630"/>
      <c r="S18" s="270"/>
      <c r="T18" s="270"/>
      <c r="U18" s="630"/>
      <c r="V18" s="630"/>
      <c r="W18" s="270"/>
      <c r="X18" s="245"/>
      <c r="Y18" s="298"/>
    </row>
    <row r="19" spans="1:33">
      <c r="B19" s="1" t="s">
        <v>30</v>
      </c>
      <c r="C19" s="3"/>
      <c r="D19" s="3"/>
      <c r="E19" s="165"/>
      <c r="F19" s="270"/>
      <c r="G19" s="630"/>
      <c r="H19" s="270"/>
      <c r="I19" s="270"/>
      <c r="J19" s="270"/>
      <c r="K19" s="270"/>
      <c r="L19" s="630"/>
      <c r="M19" s="630"/>
      <c r="N19" s="630"/>
      <c r="O19" s="270"/>
      <c r="P19" s="630"/>
      <c r="Q19" s="270"/>
      <c r="R19" s="630"/>
      <c r="S19" s="270"/>
      <c r="T19" s="270"/>
      <c r="U19" s="630"/>
      <c r="V19" s="630"/>
      <c r="W19" s="270"/>
      <c r="X19" s="245"/>
      <c r="Y19" s="298"/>
    </row>
    <row r="20" spans="1:33">
      <c r="B20" s="3" t="s">
        <v>175</v>
      </c>
      <c r="D20" s="3"/>
      <c r="E20" s="165"/>
      <c r="F20" s="270"/>
      <c r="G20" s="630"/>
      <c r="H20" s="270"/>
      <c r="I20" s="270"/>
      <c r="J20" s="270"/>
      <c r="K20" s="270"/>
      <c r="L20" s="630"/>
      <c r="M20" s="630"/>
      <c r="N20" s="630"/>
      <c r="O20" s="270"/>
      <c r="P20" s="630"/>
      <c r="Q20" s="270"/>
      <c r="R20" s="630"/>
      <c r="S20" s="270"/>
      <c r="T20" s="270"/>
      <c r="U20" s="630"/>
      <c r="V20" s="630"/>
      <c r="W20" s="270"/>
      <c r="X20" s="245"/>
      <c r="Y20" s="298"/>
    </row>
    <row r="21" spans="1:33">
      <c r="A21" s="59">
        <v>5</v>
      </c>
      <c r="C21" s="3" t="s">
        <v>31</v>
      </c>
      <c r="D21" s="3"/>
      <c r="E21" s="165">
        <f>'ROO INPUT'!$F22</f>
        <v>90669</v>
      </c>
      <c r="F21" s="270">
        <v>0</v>
      </c>
      <c r="G21" s="630">
        <v>0</v>
      </c>
      <c r="H21" s="270">
        <v>0</v>
      </c>
      <c r="I21" s="270">
        <v>0</v>
      </c>
      <c r="J21" s="270">
        <v>0</v>
      </c>
      <c r="K21" s="270">
        <v>0</v>
      </c>
      <c r="L21" s="630">
        <v>0</v>
      </c>
      <c r="M21" s="630">
        <v>0</v>
      </c>
      <c r="N21" s="630">
        <v>0</v>
      </c>
      <c r="O21" s="270">
        <v>0</v>
      </c>
      <c r="P21" s="630">
        <v>0</v>
      </c>
      <c r="Q21" s="270">
        <v>0</v>
      </c>
      <c r="R21" s="630">
        <v>0</v>
      </c>
      <c r="S21" s="270">
        <v>2651</v>
      </c>
      <c r="T21" s="270">
        <v>-41801</v>
      </c>
      <c r="U21" s="630">
        <v>0</v>
      </c>
      <c r="V21" s="630">
        <v>0</v>
      </c>
      <c r="W21" s="270">
        <v>0</v>
      </c>
      <c r="X21" s="245">
        <f>SUM(E21:W21)</f>
        <v>51519</v>
      </c>
      <c r="Y21" s="298">
        <f>SUM(X21:X21)</f>
        <v>51519</v>
      </c>
    </row>
    <row r="22" spans="1:33" ht="12.75">
      <c r="A22" s="59">
        <v>6</v>
      </c>
      <c r="C22" s="3" t="s">
        <v>32</v>
      </c>
      <c r="D22" s="3"/>
      <c r="E22" s="165">
        <f>'ROO INPUT'!$F23</f>
        <v>955</v>
      </c>
      <c r="F22" s="270">
        <v>0</v>
      </c>
      <c r="G22" s="630">
        <v>0</v>
      </c>
      <c r="H22" s="270">
        <v>0</v>
      </c>
      <c r="I22" s="270">
        <v>0</v>
      </c>
      <c r="J22" s="270">
        <v>0</v>
      </c>
      <c r="K22" s="270">
        <v>0</v>
      </c>
      <c r="L22" s="630">
        <v>0</v>
      </c>
      <c r="M22" s="630">
        <v>0</v>
      </c>
      <c r="N22" s="630">
        <v>0</v>
      </c>
      <c r="O22" s="270">
        <v>0</v>
      </c>
      <c r="P22" s="630">
        <v>0</v>
      </c>
      <c r="Q22" s="270">
        <v>0</v>
      </c>
      <c r="R22" s="630">
        <v>0</v>
      </c>
      <c r="S22" s="270">
        <v>4</v>
      </c>
      <c r="T22" s="270">
        <v>0</v>
      </c>
      <c r="U22" s="630">
        <v>0</v>
      </c>
      <c r="V22" s="630">
        <v>0</v>
      </c>
      <c r="W22" s="270">
        <v>0</v>
      </c>
      <c r="X22" s="245">
        <f>SUM(E22:W22)</f>
        <v>959</v>
      </c>
      <c r="Y22" s="298">
        <f>SUM(X22:X22)</f>
        <v>959</v>
      </c>
      <c r="AG22" s="665"/>
    </row>
    <row r="23" spans="1:33" ht="12.75" thickBot="1">
      <c r="A23" s="59">
        <v>7</v>
      </c>
      <c r="C23" s="3" t="s">
        <v>33</v>
      </c>
      <c r="D23" s="3"/>
      <c r="E23" s="166">
        <f>'ROO INPUT'!$F24</f>
        <v>-292</v>
      </c>
      <c r="F23" s="247">
        <v>0</v>
      </c>
      <c r="G23" s="631">
        <v>0</v>
      </c>
      <c r="H23" s="247">
        <v>0</v>
      </c>
      <c r="I23" s="247">
        <v>0</v>
      </c>
      <c r="J23" s="247">
        <v>0</v>
      </c>
      <c r="K23" s="247">
        <v>0</v>
      </c>
      <c r="L23" s="631">
        <v>0</v>
      </c>
      <c r="M23" s="631">
        <v>0</v>
      </c>
      <c r="N23" s="631">
        <v>0</v>
      </c>
      <c r="O23" s="247">
        <v>0</v>
      </c>
      <c r="P23" s="631">
        <v>0</v>
      </c>
      <c r="Q23" s="247">
        <v>0</v>
      </c>
      <c r="R23" s="631">
        <v>0</v>
      </c>
      <c r="S23" s="247">
        <v>0</v>
      </c>
      <c r="T23" s="247">
        <v>292</v>
      </c>
      <c r="U23" s="631">
        <v>0</v>
      </c>
      <c r="V23" s="631">
        <v>0</v>
      </c>
      <c r="W23" s="247">
        <v>0</v>
      </c>
      <c r="X23" s="248">
        <f>SUM(E23:W23)</f>
        <v>0</v>
      </c>
      <c r="Y23" s="293">
        <f>SUM(X23:X23)</f>
        <v>0</v>
      </c>
    </row>
    <row r="24" spans="1:33" ht="13.5" thickBot="1">
      <c r="A24" s="59">
        <v>8</v>
      </c>
      <c r="B24" s="3" t="s">
        <v>34</v>
      </c>
      <c r="C24" s="3"/>
      <c r="E24" s="205">
        <f>SUM(E21:E23)</f>
        <v>91332</v>
      </c>
      <c r="F24" s="205">
        <f t="shared" ref="F24:Q24" si="6">SUM(F21:F23)</f>
        <v>0</v>
      </c>
      <c r="G24" s="633">
        <f t="shared" si="6"/>
        <v>0</v>
      </c>
      <c r="H24" s="205">
        <f t="shared" si="6"/>
        <v>0</v>
      </c>
      <c r="I24" s="205">
        <f t="shared" si="6"/>
        <v>0</v>
      </c>
      <c r="J24" s="205">
        <f t="shared" si="6"/>
        <v>0</v>
      </c>
      <c r="K24" s="205">
        <f>SUM(K21:K23)</f>
        <v>0</v>
      </c>
      <c r="L24" s="633">
        <f t="shared" si="6"/>
        <v>0</v>
      </c>
      <c r="M24" s="633">
        <f t="shared" si="6"/>
        <v>0</v>
      </c>
      <c r="N24" s="633">
        <f t="shared" si="6"/>
        <v>0</v>
      </c>
      <c r="O24" s="205">
        <f t="shared" si="6"/>
        <v>0</v>
      </c>
      <c r="P24" s="633">
        <f t="shared" si="6"/>
        <v>0</v>
      </c>
      <c r="Q24" s="205">
        <f t="shared" si="6"/>
        <v>0</v>
      </c>
      <c r="R24" s="633">
        <f>SUM(R21:R23)</f>
        <v>0</v>
      </c>
      <c r="S24" s="205">
        <f>SUM(S21:S23)</f>
        <v>2655</v>
      </c>
      <c r="T24" s="205">
        <f>SUM(T21:T23)</f>
        <v>-41509</v>
      </c>
      <c r="U24" s="633">
        <f t="shared" ref="U24:W24" si="7">SUM(U21:U23)</f>
        <v>0</v>
      </c>
      <c r="V24" s="633">
        <f t="shared" si="7"/>
        <v>0</v>
      </c>
      <c r="W24" s="205">
        <f t="shared" si="7"/>
        <v>0</v>
      </c>
      <c r="X24" s="245">
        <f t="shared" ref="X24:Y24" si="8">SUM(X21:X23)</f>
        <v>52478</v>
      </c>
      <c r="Y24" s="298">
        <f t="shared" si="8"/>
        <v>52478</v>
      </c>
      <c r="AA24" s="896" t="s">
        <v>591</v>
      </c>
      <c r="AB24" s="897"/>
      <c r="AC24" s="897"/>
      <c r="AD24" s="897"/>
      <c r="AE24" s="897"/>
      <c r="AF24" s="898"/>
    </row>
    <row r="25" spans="1:33" ht="6.75" customHeight="1" thickBot="1">
      <c r="B25" s="3"/>
      <c r="C25" s="3"/>
      <c r="E25" s="165"/>
      <c r="F25" s="165"/>
      <c r="G25" s="632"/>
      <c r="H25" s="165"/>
      <c r="I25" s="165"/>
      <c r="J25" s="165"/>
      <c r="K25" s="165"/>
      <c r="L25" s="632"/>
      <c r="M25" s="632"/>
      <c r="N25" s="632"/>
      <c r="O25" s="165"/>
      <c r="P25" s="632"/>
      <c r="Q25" s="165"/>
      <c r="R25" s="632"/>
      <c r="S25" s="165"/>
      <c r="T25" s="165"/>
      <c r="U25" s="632"/>
      <c r="V25" s="633"/>
      <c r="W25" s="205"/>
      <c r="X25" s="245"/>
      <c r="Y25" s="298"/>
    </row>
    <row r="26" spans="1:33">
      <c r="B26" s="3" t="s">
        <v>35</v>
      </c>
      <c r="D26" s="3"/>
      <c r="E26" s="165"/>
      <c r="F26" s="270"/>
      <c r="G26" s="630"/>
      <c r="H26" s="270"/>
      <c r="I26" s="270"/>
      <c r="J26" s="270"/>
      <c r="K26" s="270"/>
      <c r="L26" s="630"/>
      <c r="M26" s="630"/>
      <c r="N26" s="630"/>
      <c r="O26" s="270"/>
      <c r="P26" s="630"/>
      <c r="Q26" s="270"/>
      <c r="R26" s="630"/>
      <c r="S26" s="270"/>
      <c r="T26" s="270"/>
      <c r="U26" s="630"/>
      <c r="V26" s="630"/>
      <c r="W26" s="270"/>
      <c r="X26" s="245"/>
      <c r="Y26" s="298"/>
      <c r="AA26" s="484" t="s">
        <v>438</v>
      </c>
      <c r="AB26" s="485"/>
      <c r="AC26" s="485"/>
      <c r="AD26" s="485"/>
      <c r="AE26" s="485"/>
      <c r="AF26" s="486"/>
    </row>
    <row r="27" spans="1:33" ht="12.75">
      <c r="A27" s="59">
        <v>9</v>
      </c>
      <c r="C27" s="3" t="s">
        <v>36</v>
      </c>
      <c r="D27" s="3"/>
      <c r="E27" s="165">
        <f>'ROO INPUT'!$F28</f>
        <v>1532</v>
      </c>
      <c r="F27" s="270">
        <v>0</v>
      </c>
      <c r="G27" s="630">
        <v>0</v>
      </c>
      <c r="H27" s="270">
        <v>0</v>
      </c>
      <c r="I27" s="270">
        <v>0</v>
      </c>
      <c r="J27" s="270">
        <v>0</v>
      </c>
      <c r="K27" s="270">
        <v>0</v>
      </c>
      <c r="L27" s="630">
        <v>0</v>
      </c>
      <c r="M27" s="630">
        <v>0</v>
      </c>
      <c r="N27" s="630">
        <v>0</v>
      </c>
      <c r="O27" s="270">
        <v>0</v>
      </c>
      <c r="P27" s="630">
        <v>0</v>
      </c>
      <c r="Q27" s="270">
        <v>0</v>
      </c>
      <c r="R27" s="630">
        <v>0</v>
      </c>
      <c r="S27" s="270">
        <v>0</v>
      </c>
      <c r="T27" s="270">
        <v>0</v>
      </c>
      <c r="U27" s="630">
        <v>0</v>
      </c>
      <c r="V27" s="630">
        <v>0</v>
      </c>
      <c r="W27" s="270">
        <v>0</v>
      </c>
      <c r="X27" s="245">
        <f>SUM(E27:W27)</f>
        <v>1532</v>
      </c>
      <c r="Y27" s="298">
        <f>SUM(X27:X27)</f>
        <v>1532</v>
      </c>
      <c r="AA27" s="487"/>
      <c r="AB27" s="326" t="s">
        <v>122</v>
      </c>
      <c r="AC27" s="326"/>
      <c r="AD27" s="327" t="s">
        <v>123</v>
      </c>
      <c r="AE27" s="470"/>
      <c r="AF27" s="892" t="s">
        <v>439</v>
      </c>
    </row>
    <row r="28" spans="1:33" ht="12.75" customHeight="1">
      <c r="A28" s="59">
        <v>10</v>
      </c>
      <c r="C28" s="3" t="s">
        <v>171</v>
      </c>
      <c r="D28" s="3"/>
      <c r="E28" s="165">
        <f>'ROO INPUT'!$F29</f>
        <v>627</v>
      </c>
      <c r="F28" s="270">
        <v>0</v>
      </c>
      <c r="G28" s="630">
        <v>0</v>
      </c>
      <c r="H28" s="270">
        <v>0</v>
      </c>
      <c r="I28" s="270">
        <v>0</v>
      </c>
      <c r="J28" s="270">
        <v>0</v>
      </c>
      <c r="K28" s="270">
        <v>0</v>
      </c>
      <c r="L28" s="630">
        <v>0</v>
      </c>
      <c r="M28" s="630">
        <v>0</v>
      </c>
      <c r="N28" s="630">
        <v>0</v>
      </c>
      <c r="O28" s="270">
        <v>0</v>
      </c>
      <c r="P28" s="630">
        <v>0</v>
      </c>
      <c r="Q28" s="270">
        <v>0</v>
      </c>
      <c r="R28" s="630">
        <v>0</v>
      </c>
      <c r="S28" s="270">
        <v>0</v>
      </c>
      <c r="T28" s="270">
        <v>0</v>
      </c>
      <c r="U28" s="630">
        <v>0</v>
      </c>
      <c r="V28" s="630">
        <v>0</v>
      </c>
      <c r="W28" s="270">
        <v>0</v>
      </c>
      <c r="X28" s="245">
        <f>SUM(E28:W28)</f>
        <v>627</v>
      </c>
      <c r="Y28" s="298">
        <f>SUM(X28:X28)</f>
        <v>627</v>
      </c>
      <c r="AA28" s="488" t="s">
        <v>124</v>
      </c>
      <c r="AB28" s="328" t="s">
        <v>125</v>
      </c>
      <c r="AC28" s="328" t="s">
        <v>126</v>
      </c>
      <c r="AD28" s="329" t="s">
        <v>126</v>
      </c>
      <c r="AE28" s="470"/>
      <c r="AF28" s="892"/>
    </row>
    <row r="29" spans="1:33" ht="12.75">
      <c r="A29" s="59">
        <v>11</v>
      </c>
      <c r="C29" s="3" t="s">
        <v>20</v>
      </c>
      <c r="D29" s="3"/>
      <c r="E29" s="166">
        <f>'ROO INPUT'!$F30</f>
        <v>302</v>
      </c>
      <c r="F29" s="247">
        <v>0</v>
      </c>
      <c r="G29" s="631">
        <v>0</v>
      </c>
      <c r="H29" s="247">
        <v>0</v>
      </c>
      <c r="I29" s="247">
        <v>0</v>
      </c>
      <c r="J29" s="247">
        <v>0</v>
      </c>
      <c r="K29" s="247">
        <v>-78</v>
      </c>
      <c r="L29" s="631">
        <v>0</v>
      </c>
      <c r="M29" s="631">
        <v>0</v>
      </c>
      <c r="N29" s="631">
        <v>0</v>
      </c>
      <c r="O29" s="247">
        <v>0</v>
      </c>
      <c r="P29" s="631">
        <v>0</v>
      </c>
      <c r="Q29" s="247">
        <v>0</v>
      </c>
      <c r="R29" s="631">
        <v>0</v>
      </c>
      <c r="S29" s="247">
        <v>0</v>
      </c>
      <c r="T29" s="247">
        <v>0</v>
      </c>
      <c r="U29" s="631">
        <v>0</v>
      </c>
      <c r="V29" s="631">
        <v>0</v>
      </c>
      <c r="W29" s="247">
        <v>0</v>
      </c>
      <c r="X29" s="248">
        <f>SUM(E29:W29)</f>
        <v>224</v>
      </c>
      <c r="Y29" s="293">
        <f>SUM(X29:X29)</f>
        <v>224</v>
      </c>
      <c r="AA29" s="489" t="s">
        <v>395</v>
      </c>
      <c r="AB29" s="330">
        <f>100%-AB30</f>
        <v>0.51500000000000001</v>
      </c>
      <c r="AC29" s="331">
        <v>5.62E-2</v>
      </c>
      <c r="AD29" s="332">
        <f>ROUND(AB29*AC29,4)</f>
        <v>2.8899999999999999E-2</v>
      </c>
      <c r="AE29" s="490" t="s">
        <v>21</v>
      </c>
      <c r="AF29" s="893"/>
    </row>
    <row r="30" spans="1:33" ht="12.75">
      <c r="A30" s="59">
        <v>12</v>
      </c>
      <c r="B30" s="3" t="s">
        <v>38</v>
      </c>
      <c r="C30" s="3"/>
      <c r="E30" s="165">
        <f t="shared" ref="E30:X30" si="9">SUM(E27:E29)</f>
        <v>2461</v>
      </c>
      <c r="F30" s="165">
        <f t="shared" ref="F30:Q30" si="10">SUM(F27:F29)</f>
        <v>0</v>
      </c>
      <c r="G30" s="632">
        <f t="shared" si="10"/>
        <v>0</v>
      </c>
      <c r="H30" s="165">
        <f t="shared" si="10"/>
        <v>0</v>
      </c>
      <c r="I30" s="165">
        <f t="shared" si="10"/>
        <v>0</v>
      </c>
      <c r="J30" s="205">
        <f t="shared" si="10"/>
        <v>0</v>
      </c>
      <c r="K30" s="205">
        <f>SUM(K27:K29)</f>
        <v>-78</v>
      </c>
      <c r="L30" s="632">
        <f t="shared" si="10"/>
        <v>0</v>
      </c>
      <c r="M30" s="632">
        <f t="shared" si="10"/>
        <v>0</v>
      </c>
      <c r="N30" s="632">
        <f t="shared" si="10"/>
        <v>0</v>
      </c>
      <c r="O30" s="165">
        <f t="shared" si="10"/>
        <v>0</v>
      </c>
      <c r="P30" s="632">
        <f t="shared" si="10"/>
        <v>0</v>
      </c>
      <c r="Q30" s="165">
        <f t="shared" si="10"/>
        <v>0</v>
      </c>
      <c r="R30" s="632">
        <f>SUM(R27:R29)</f>
        <v>0</v>
      </c>
      <c r="S30" s="165">
        <f>SUM(S27:S29)</f>
        <v>0</v>
      </c>
      <c r="T30" s="165">
        <f>SUM(T27:T29)</f>
        <v>0</v>
      </c>
      <c r="U30" s="632">
        <f t="shared" ref="U30" si="11">SUM(U27:U29)</f>
        <v>0</v>
      </c>
      <c r="V30" s="633">
        <f>SUM(V27:V29)</f>
        <v>0</v>
      </c>
      <c r="W30" s="205">
        <f>SUM(W27:W29)</f>
        <v>0</v>
      </c>
      <c r="X30" s="245">
        <f t="shared" si="9"/>
        <v>2383</v>
      </c>
      <c r="Y30" s="298">
        <f>SUM(Y27:Y29)</f>
        <v>2383</v>
      </c>
      <c r="AA30" s="489" t="s">
        <v>440</v>
      </c>
      <c r="AB30" s="330">
        <v>0.48499999999999999</v>
      </c>
      <c r="AC30" s="334">
        <v>9.5000000000000001E-2</v>
      </c>
      <c r="AD30" s="332">
        <f>ROUND(AB30*AC30,4)</f>
        <v>4.6100000000000002E-2</v>
      </c>
      <c r="AE30" s="491">
        <f>0.21/0.79</f>
        <v>0.26582278481012656</v>
      </c>
      <c r="AF30" s="492">
        <f>AD30*AE30</f>
        <v>1.2254430379746835E-2</v>
      </c>
    </row>
    <row r="31" spans="1:33" ht="12.75">
      <c r="B31" s="3"/>
      <c r="C31" s="3"/>
      <c r="E31" s="165"/>
      <c r="F31" s="165"/>
      <c r="G31" s="632"/>
      <c r="H31" s="165"/>
      <c r="I31" s="165"/>
      <c r="J31" s="205"/>
      <c r="K31" s="205"/>
      <c r="L31" s="632"/>
      <c r="M31" s="632"/>
      <c r="N31" s="632"/>
      <c r="O31" s="165"/>
      <c r="P31" s="632"/>
      <c r="Q31" s="165"/>
      <c r="R31" s="632"/>
      <c r="S31" s="165"/>
      <c r="T31" s="165"/>
      <c r="U31" s="632"/>
      <c r="V31" s="633"/>
      <c r="W31" s="205"/>
      <c r="X31" s="245"/>
      <c r="Y31" s="298"/>
      <c r="AA31" s="493" t="s">
        <v>24</v>
      </c>
      <c r="AB31" s="335">
        <f>SUM(AB29:AB30)</f>
        <v>1</v>
      </c>
      <c r="AC31" s="336"/>
      <c r="AD31" s="337">
        <f>SUM(AD29:AD30)</f>
        <v>7.4999999999999997E-2</v>
      </c>
      <c r="AE31" s="491"/>
      <c r="AF31" s="494"/>
    </row>
    <row r="32" spans="1:33" ht="15.75">
      <c r="B32" s="3" t="s">
        <v>39</v>
      </c>
      <c r="D32" s="3"/>
      <c r="E32" s="165"/>
      <c r="F32" s="270"/>
      <c r="G32" s="630"/>
      <c r="H32" s="270"/>
      <c r="I32" s="270"/>
      <c r="J32" s="270"/>
      <c r="K32" s="270"/>
      <c r="L32" s="630"/>
      <c r="M32" s="630"/>
      <c r="N32" s="630"/>
      <c r="O32" s="270"/>
      <c r="P32" s="630"/>
      <c r="Q32" s="270"/>
      <c r="R32" s="630"/>
      <c r="S32" s="270"/>
      <c r="T32" s="270"/>
      <c r="U32" s="630"/>
      <c r="V32" s="630"/>
      <c r="W32" s="270"/>
      <c r="X32" s="245"/>
      <c r="Y32" s="298"/>
      <c r="AA32" s="495"/>
      <c r="AB32" s="496"/>
      <c r="AC32" s="482" t="s">
        <v>557</v>
      </c>
      <c r="AD32" s="338">
        <f>AF30</f>
        <v>1.2254430379746835E-2</v>
      </c>
      <c r="AE32" s="496"/>
      <c r="AF32" s="497"/>
    </row>
    <row r="33" spans="1:33" ht="12.75" thickBot="1">
      <c r="A33" s="59">
        <v>13</v>
      </c>
      <c r="C33" s="3" t="s">
        <v>36</v>
      </c>
      <c r="D33" s="3"/>
      <c r="E33" s="165">
        <f>'ROO INPUT'!$F34</f>
        <v>12316</v>
      </c>
      <c r="F33" s="270">
        <v>0</v>
      </c>
      <c r="G33" s="630">
        <v>0</v>
      </c>
      <c r="H33" s="270">
        <v>0</v>
      </c>
      <c r="I33" s="270">
        <v>0</v>
      </c>
      <c r="J33" s="270">
        <v>0</v>
      </c>
      <c r="K33" s="270">
        <v>0</v>
      </c>
      <c r="L33" s="630">
        <v>0</v>
      </c>
      <c r="M33" s="630">
        <v>0</v>
      </c>
      <c r="N33" s="630">
        <v>0</v>
      </c>
      <c r="O33" s="270">
        <v>0</v>
      </c>
      <c r="P33" s="630">
        <v>0</v>
      </c>
      <c r="Q33" s="270">
        <v>0</v>
      </c>
      <c r="R33" s="630">
        <v>0</v>
      </c>
      <c r="S33" s="270">
        <v>0</v>
      </c>
      <c r="T33" s="270">
        <v>0</v>
      </c>
      <c r="U33" s="630">
        <v>-8</v>
      </c>
      <c r="V33" s="630">
        <v>0</v>
      </c>
      <c r="W33" s="270">
        <v>0</v>
      </c>
      <c r="X33" s="245">
        <f>SUM(E33:W33)</f>
        <v>12308</v>
      </c>
      <c r="Y33" s="298">
        <f>SUM(X33:X33)</f>
        <v>12308</v>
      </c>
      <c r="AA33" s="498"/>
      <c r="AB33" s="501"/>
      <c r="AC33" s="483" t="s">
        <v>558</v>
      </c>
      <c r="AD33" s="502">
        <f>AD31+AD32</f>
        <v>8.7254430379746839E-2</v>
      </c>
      <c r="AE33" s="499"/>
      <c r="AF33" s="500"/>
    </row>
    <row r="34" spans="1:33" ht="15.75" customHeight="1">
      <c r="A34" s="59">
        <v>14</v>
      </c>
      <c r="C34" s="3" t="s">
        <v>171</v>
      </c>
      <c r="D34" s="3"/>
      <c r="E34" s="205">
        <f>'ROO INPUT'!$F35</f>
        <v>11642</v>
      </c>
      <c r="F34" s="270">
        <v>0</v>
      </c>
      <c r="G34" s="630">
        <v>0</v>
      </c>
      <c r="H34" s="270">
        <v>0</v>
      </c>
      <c r="I34" s="270">
        <v>0</v>
      </c>
      <c r="J34" s="270">
        <v>0</v>
      </c>
      <c r="K34" s="270">
        <v>0</v>
      </c>
      <c r="L34" s="630">
        <v>0</v>
      </c>
      <c r="M34" s="630">
        <v>0</v>
      </c>
      <c r="N34" s="630">
        <v>0</v>
      </c>
      <c r="O34" s="270">
        <v>0</v>
      </c>
      <c r="P34" s="630">
        <v>0</v>
      </c>
      <c r="Q34" s="270">
        <v>0</v>
      </c>
      <c r="R34" s="630">
        <v>-13</v>
      </c>
      <c r="S34" s="270">
        <v>0</v>
      </c>
      <c r="T34" s="270">
        <v>0</v>
      </c>
      <c r="U34" s="630">
        <v>0</v>
      </c>
      <c r="V34" s="630">
        <v>0</v>
      </c>
      <c r="W34" s="270">
        <v>0</v>
      </c>
      <c r="X34" s="245">
        <f>SUM(E34:W34)</f>
        <v>11629</v>
      </c>
      <c r="Y34" s="298">
        <f>SUM(X34:X34)</f>
        <v>11629</v>
      </c>
    </row>
    <row r="35" spans="1:33">
      <c r="A35" s="59">
        <v>15</v>
      </c>
      <c r="C35" s="3" t="s">
        <v>20</v>
      </c>
      <c r="D35" s="3"/>
      <c r="E35" s="166">
        <f>'ROO INPUT'!$F36</f>
        <v>14128</v>
      </c>
      <c r="F35" s="247">
        <v>0</v>
      </c>
      <c r="G35" s="631">
        <v>0</v>
      </c>
      <c r="H35" s="247">
        <v>0</v>
      </c>
      <c r="I35" s="247">
        <v>0</v>
      </c>
      <c r="J35" s="247">
        <v>-5184</v>
      </c>
      <c r="K35" s="247">
        <v>80</v>
      </c>
      <c r="L35" s="631">
        <v>0</v>
      </c>
      <c r="M35" s="631">
        <v>0</v>
      </c>
      <c r="N35" s="631">
        <v>0</v>
      </c>
      <c r="O35" s="247">
        <v>0</v>
      </c>
      <c r="P35" s="631">
        <v>0</v>
      </c>
      <c r="Q35" s="247">
        <v>0</v>
      </c>
      <c r="R35" s="631">
        <v>0</v>
      </c>
      <c r="S35" s="247">
        <f>ROUND((S$14+S$15)*[9]CF!$E$19,0)</f>
        <v>240</v>
      </c>
      <c r="T35" s="247">
        <f>ROUND((T$14+T$15)*[9]CF!$E$19,0)</f>
        <v>194</v>
      </c>
      <c r="U35" s="631">
        <v>0</v>
      </c>
      <c r="V35" s="631">
        <v>0</v>
      </c>
      <c r="W35" s="247">
        <v>0</v>
      </c>
      <c r="X35" s="248">
        <f>SUM(E35:W35)</f>
        <v>9458</v>
      </c>
      <c r="Y35" s="293">
        <f>SUM(X35:X35)</f>
        <v>9458</v>
      </c>
    </row>
    <row r="36" spans="1:33" ht="12.95" customHeight="1">
      <c r="A36" s="59">
        <v>16</v>
      </c>
      <c r="B36" s="3" t="s">
        <v>40</v>
      </c>
      <c r="C36" s="3"/>
      <c r="E36" s="165">
        <f t="shared" ref="E36" si="12">SUM(E33:E35)</f>
        <v>38086</v>
      </c>
      <c r="F36" s="165">
        <f t="shared" ref="F36:W36" si="13">SUM(F33:F35)</f>
        <v>0</v>
      </c>
      <c r="G36" s="632">
        <f t="shared" si="13"/>
        <v>0</v>
      </c>
      <c r="H36" s="165">
        <f t="shared" si="13"/>
        <v>0</v>
      </c>
      <c r="I36" s="165">
        <f t="shared" si="13"/>
        <v>0</v>
      </c>
      <c r="J36" s="205">
        <f t="shared" si="13"/>
        <v>-5184</v>
      </c>
      <c r="K36" s="205">
        <f>SUM(K33:K35)</f>
        <v>80</v>
      </c>
      <c r="L36" s="632">
        <f t="shared" si="13"/>
        <v>0</v>
      </c>
      <c r="M36" s="632">
        <f t="shared" si="13"/>
        <v>0</v>
      </c>
      <c r="N36" s="632">
        <f t="shared" si="13"/>
        <v>0</v>
      </c>
      <c r="O36" s="165">
        <f t="shared" si="13"/>
        <v>0</v>
      </c>
      <c r="P36" s="632">
        <f t="shared" si="13"/>
        <v>0</v>
      </c>
      <c r="Q36" s="165">
        <f t="shared" si="13"/>
        <v>0</v>
      </c>
      <c r="R36" s="632">
        <f t="shared" si="13"/>
        <v>-13</v>
      </c>
      <c r="S36" s="165">
        <f t="shared" si="13"/>
        <v>240</v>
      </c>
      <c r="T36" s="165">
        <f t="shared" si="13"/>
        <v>194</v>
      </c>
      <c r="U36" s="632">
        <f t="shared" si="13"/>
        <v>-8</v>
      </c>
      <c r="V36" s="633">
        <f t="shared" si="13"/>
        <v>0</v>
      </c>
      <c r="W36" s="205">
        <f t="shared" si="13"/>
        <v>0</v>
      </c>
      <c r="X36" s="245">
        <f>SUM(X33:X35)</f>
        <v>33395</v>
      </c>
      <c r="Y36" s="298">
        <f>SUM(Y33:Y35)</f>
        <v>33395</v>
      </c>
    </row>
    <row r="37" spans="1:33" ht="6" customHeight="1">
      <c r="C37" s="3"/>
      <c r="D37" s="3"/>
      <c r="E37" s="165"/>
      <c r="F37" s="165"/>
      <c r="G37" s="632"/>
      <c r="H37" s="165"/>
      <c r="I37" s="165"/>
      <c r="J37" s="205"/>
      <c r="K37" s="205"/>
      <c r="L37" s="632"/>
      <c r="M37" s="632"/>
      <c r="N37" s="632"/>
      <c r="O37" s="165"/>
      <c r="P37" s="632"/>
      <c r="Q37" s="165"/>
      <c r="R37" s="632"/>
      <c r="S37" s="165"/>
      <c r="T37" s="165"/>
      <c r="U37" s="632"/>
      <c r="V37" s="633"/>
      <c r="W37" s="205"/>
      <c r="X37" s="245"/>
      <c r="Y37" s="298"/>
    </row>
    <row r="38" spans="1:33" ht="12.95" customHeight="1" thickBot="1">
      <c r="A38" s="59">
        <v>17</v>
      </c>
      <c r="B38" s="1" t="s">
        <v>41</v>
      </c>
      <c r="C38" s="3"/>
      <c r="D38" s="3"/>
      <c r="E38" s="165">
        <f>'ROO INPUT'!$F39</f>
        <v>7234</v>
      </c>
      <c r="F38" s="246">
        <v>0</v>
      </c>
      <c r="G38" s="634">
        <v>10</v>
      </c>
      <c r="H38" s="246">
        <v>0</v>
      </c>
      <c r="I38" s="246">
        <v>0</v>
      </c>
      <c r="J38" s="246">
        <v>0</v>
      </c>
      <c r="K38" s="246"/>
      <c r="L38" s="634">
        <v>-320</v>
      </c>
      <c r="M38" s="634">
        <v>0</v>
      </c>
      <c r="N38" s="634">
        <v>0</v>
      </c>
      <c r="O38" s="246">
        <v>0</v>
      </c>
      <c r="P38" s="634">
        <v>0</v>
      </c>
      <c r="Q38" s="246">
        <v>0</v>
      </c>
      <c r="R38" s="634">
        <v>0</v>
      </c>
      <c r="S38" s="270">
        <f>ROUND((S$14+S$15)*[9]CF!$E$15,0)</f>
        <v>24</v>
      </c>
      <c r="T38" s="270">
        <f>ROUND((T$14+T$15)*[9]CF!$E$15,0)</f>
        <v>19</v>
      </c>
      <c r="U38" s="630">
        <v>0</v>
      </c>
      <c r="V38" s="633">
        <v>0</v>
      </c>
      <c r="W38" s="270">
        <v>0</v>
      </c>
      <c r="X38" s="245">
        <f>SUM(E38:W38)</f>
        <v>6967</v>
      </c>
      <c r="Y38" s="298">
        <f>SUM(X38:X38)</f>
        <v>6967</v>
      </c>
      <c r="AE38" s="850" t="s">
        <v>670</v>
      </c>
    </row>
    <row r="39" spans="1:33" ht="12" customHeight="1">
      <c r="A39" s="59">
        <v>18</v>
      </c>
      <c r="B39" s="1" t="s">
        <v>42</v>
      </c>
      <c r="C39" s="3"/>
      <c r="D39" s="3"/>
      <c r="E39" s="165">
        <f>'ROO INPUT'!$F40</f>
        <v>8093</v>
      </c>
      <c r="F39" s="270">
        <v>0</v>
      </c>
      <c r="G39" s="630">
        <v>0</v>
      </c>
      <c r="H39" s="270">
        <v>0</v>
      </c>
      <c r="I39" s="270">
        <v>0</v>
      </c>
      <c r="J39" s="270">
        <v>0</v>
      </c>
      <c r="K39" s="270">
        <v>0</v>
      </c>
      <c r="L39" s="630">
        <v>0</v>
      </c>
      <c r="M39" s="630">
        <v>0</v>
      </c>
      <c r="N39" s="630">
        <v>0</v>
      </c>
      <c r="O39" s="270">
        <v>0</v>
      </c>
      <c r="P39" s="630">
        <v>0</v>
      </c>
      <c r="Q39" s="270">
        <v>0</v>
      </c>
      <c r="R39" s="630">
        <v>0</v>
      </c>
      <c r="S39" s="270">
        <v>0</v>
      </c>
      <c r="T39" s="270">
        <v>-6860</v>
      </c>
      <c r="U39" s="630">
        <v>-1</v>
      </c>
      <c r="V39" s="630">
        <v>0</v>
      </c>
      <c r="W39" s="270">
        <v>0</v>
      </c>
      <c r="X39" s="245">
        <f>SUM(E39:W39)</f>
        <v>1232</v>
      </c>
      <c r="Y39" s="298">
        <f>SUM(X39:X39)</f>
        <v>1232</v>
      </c>
      <c r="AA39" s="511"/>
      <c r="AB39" s="503"/>
      <c r="AC39" s="899" t="s">
        <v>551</v>
      </c>
      <c r="AD39" s="512" t="s">
        <v>441</v>
      </c>
      <c r="AE39" s="512" t="s">
        <v>597</v>
      </c>
      <c r="AF39" s="504"/>
      <c r="AG39" s="249"/>
    </row>
    <row r="40" spans="1:33">
      <c r="A40" s="59">
        <v>19</v>
      </c>
      <c r="B40" s="1" t="s">
        <v>43</v>
      </c>
      <c r="C40" s="3"/>
      <c r="D40" s="3"/>
      <c r="E40" s="165">
        <f>'ROO INPUT'!$F41</f>
        <v>0</v>
      </c>
      <c r="F40" s="270">
        <v>0</v>
      </c>
      <c r="G40" s="630">
        <v>0</v>
      </c>
      <c r="H40" s="270">
        <v>0</v>
      </c>
      <c r="I40" s="270">
        <v>0</v>
      </c>
      <c r="J40" s="270">
        <v>0</v>
      </c>
      <c r="K40" s="270">
        <v>0</v>
      </c>
      <c r="L40" s="630">
        <v>0</v>
      </c>
      <c r="M40" s="630">
        <v>0</v>
      </c>
      <c r="N40" s="630">
        <v>0</v>
      </c>
      <c r="O40" s="270">
        <v>0</v>
      </c>
      <c r="P40" s="630">
        <v>0</v>
      </c>
      <c r="Q40" s="270">
        <v>0</v>
      </c>
      <c r="R40" s="630">
        <v>0</v>
      </c>
      <c r="S40" s="270">
        <v>0</v>
      </c>
      <c r="T40" s="270">
        <v>0</v>
      </c>
      <c r="U40" s="630">
        <v>0</v>
      </c>
      <c r="V40" s="630">
        <v>0</v>
      </c>
      <c r="W40" s="270">
        <v>0</v>
      </c>
      <c r="X40" s="245">
        <f>SUM(E40:W40)</f>
        <v>0</v>
      </c>
      <c r="Y40" s="298">
        <f>SUM(X40:X40)</f>
        <v>0</v>
      </c>
      <c r="AA40" s="514"/>
      <c r="AB40" s="469"/>
      <c r="AC40" s="900"/>
      <c r="AD40" s="339" t="s">
        <v>443</v>
      </c>
      <c r="AE40" s="851" t="s">
        <v>444</v>
      </c>
      <c r="AF40" s="505"/>
      <c r="AG40" s="249"/>
    </row>
    <row r="41" spans="1:33">
      <c r="C41" s="3"/>
      <c r="D41" s="3"/>
      <c r="E41" s="165"/>
      <c r="F41" s="270"/>
      <c r="G41" s="630"/>
      <c r="H41" s="270"/>
      <c r="I41" s="270"/>
      <c r="J41" s="270"/>
      <c r="K41" s="270"/>
      <c r="L41" s="630"/>
      <c r="M41" s="630"/>
      <c r="N41" s="630"/>
      <c r="O41" s="270"/>
      <c r="P41" s="630"/>
      <c r="Q41" s="270"/>
      <c r="R41" s="630"/>
      <c r="S41" s="270"/>
      <c r="T41" s="270"/>
      <c r="U41" s="630"/>
      <c r="V41" s="630"/>
      <c r="W41" s="270"/>
      <c r="X41" s="245"/>
      <c r="Y41" s="298"/>
      <c r="AA41" s="514"/>
      <c r="AB41" s="515" t="s">
        <v>37</v>
      </c>
      <c r="AC41" s="474">
        <f>Y28+Y34+Y44</f>
        <v>20748</v>
      </c>
      <c r="AD41" s="516">
        <f>AC41/$AC$47</f>
        <v>0.22376603180284788</v>
      </c>
      <c r="AE41" s="827">
        <f>'2007-2018 data'!F177</f>
        <v>0.11033773145266572</v>
      </c>
      <c r="AF41" s="901" t="s">
        <v>669</v>
      </c>
      <c r="AG41" s="249"/>
    </row>
    <row r="42" spans="1:33">
      <c r="B42" s="1" t="s">
        <v>44</v>
      </c>
      <c r="C42" s="3"/>
      <c r="D42" s="3"/>
      <c r="E42" s="165"/>
      <c r="F42" s="270"/>
      <c r="G42" s="630"/>
      <c r="H42" s="270"/>
      <c r="I42" s="270"/>
      <c r="J42" s="270"/>
      <c r="K42" s="270"/>
      <c r="L42" s="630"/>
      <c r="M42" s="630"/>
      <c r="N42" s="630"/>
      <c r="O42" s="270"/>
      <c r="P42" s="630"/>
      <c r="Q42" s="270"/>
      <c r="R42" s="630"/>
      <c r="S42" s="270"/>
      <c r="T42" s="270"/>
      <c r="U42" s="630"/>
      <c r="V42" s="630"/>
      <c r="W42" s="270"/>
      <c r="X42" s="245">
        <f>SUM(E42:W42)</f>
        <v>0</v>
      </c>
      <c r="Y42" s="298"/>
      <c r="AA42" s="514"/>
      <c r="AB42" s="518" t="s">
        <v>392</v>
      </c>
      <c r="AC42" s="469">
        <f>Y27+Y33+Y38+Y39+Y43</f>
        <v>36651</v>
      </c>
      <c r="AD42" s="516">
        <f>AC42/$AC$47</f>
        <v>0.39527900672865707</v>
      </c>
      <c r="AE42" s="849">
        <f>'2007-2018 data'!H174</f>
        <v>3.9944159625122176E-2</v>
      </c>
      <c r="AF42" s="902"/>
      <c r="AG42" s="249"/>
    </row>
    <row r="43" spans="1:33">
      <c r="A43" s="59">
        <v>20</v>
      </c>
      <c r="C43" s="3" t="s">
        <v>36</v>
      </c>
      <c r="D43" s="3"/>
      <c r="E43" s="165">
        <f>'ROO INPUT'!$F44</f>
        <v>15045</v>
      </c>
      <c r="F43" s="270">
        <v>0</v>
      </c>
      <c r="G43" s="630">
        <v>0</v>
      </c>
      <c r="H43" s="270">
        <v>0</v>
      </c>
      <c r="I43" s="270">
        <v>0</v>
      </c>
      <c r="J43" s="270">
        <v>0</v>
      </c>
      <c r="K43" s="270">
        <v>0</v>
      </c>
      <c r="L43" s="630">
        <v>0</v>
      </c>
      <c r="M43" s="630">
        <v>-50</v>
      </c>
      <c r="N43" s="630">
        <v>54</v>
      </c>
      <c r="O43" s="270">
        <v>0</v>
      </c>
      <c r="P43" s="630">
        <v>-17</v>
      </c>
      <c r="Q43" s="270">
        <v>0</v>
      </c>
      <c r="R43" s="630">
        <v>0</v>
      </c>
      <c r="S43" s="270">
        <f>ROUND((S$14+S$15)*[9]CF!$E$17,0)</f>
        <v>13</v>
      </c>
      <c r="T43" s="270">
        <f>ROUND((T$14+T$15)*[9]CF!$E$17,0)</f>
        <v>10</v>
      </c>
      <c r="U43" s="630">
        <v>-371</v>
      </c>
      <c r="V43" s="630">
        <v>-72</v>
      </c>
      <c r="W43" s="270">
        <v>0</v>
      </c>
      <c r="X43" s="245">
        <f>SUM(E43:W43)</f>
        <v>14612</v>
      </c>
      <c r="Y43" s="298">
        <f>SUM(X43:X43)</f>
        <v>14612</v>
      </c>
      <c r="AA43" s="514"/>
      <c r="AB43" s="518" t="s">
        <v>445</v>
      </c>
      <c r="AC43" s="469">
        <f>Y35+'2007-2018 data'!Y29+'2007-2018 data'!J133</f>
        <v>7390</v>
      </c>
      <c r="AD43" s="516">
        <f>AC43/$AC$47</f>
        <v>7.9700741036391257E-2</v>
      </c>
      <c r="AE43" s="517">
        <f>'2007-2018 data'!F179</f>
        <v>8.3576199563390324E-2</v>
      </c>
      <c r="AF43" s="902"/>
      <c r="AG43" s="249"/>
    </row>
    <row r="44" spans="1:33">
      <c r="A44" s="59">
        <v>21</v>
      </c>
      <c r="C44" s="3" t="s">
        <v>171</v>
      </c>
      <c r="D44" s="3"/>
      <c r="E44" s="165">
        <f>'ROO INPUT'!$F45</f>
        <v>8492</v>
      </c>
      <c r="F44" s="270">
        <v>0</v>
      </c>
      <c r="G44" s="630">
        <v>0</v>
      </c>
      <c r="H44" s="270">
        <v>0</v>
      </c>
      <c r="I44" s="270">
        <v>0</v>
      </c>
      <c r="J44" s="270">
        <v>0</v>
      </c>
      <c r="K44" s="270">
        <v>0</v>
      </c>
      <c r="L44" s="630">
        <v>0</v>
      </c>
      <c r="M44" s="630">
        <v>0</v>
      </c>
      <c r="N44" s="630">
        <v>0</v>
      </c>
      <c r="O44" s="270">
        <v>0</v>
      </c>
      <c r="P44" s="630">
        <v>0</v>
      </c>
      <c r="Q44" s="270">
        <v>0</v>
      </c>
      <c r="R44" s="630">
        <v>0</v>
      </c>
      <c r="S44" s="270"/>
      <c r="T44" s="270"/>
      <c r="U44" s="630">
        <v>0</v>
      </c>
      <c r="V44" s="630">
        <v>0</v>
      </c>
      <c r="W44" s="270">
        <v>0</v>
      </c>
      <c r="X44" s="245">
        <f>SUM(E44:W44)</f>
        <v>8492</v>
      </c>
      <c r="Y44" s="298">
        <f>SUM(X44:X44)</f>
        <v>8492</v>
      </c>
      <c r="AA44" s="514"/>
      <c r="AB44" s="518" t="s">
        <v>446</v>
      </c>
      <c r="AC44" s="469"/>
      <c r="AD44" s="469"/>
      <c r="AE44" s="517"/>
      <c r="AF44" s="903"/>
      <c r="AG44" s="249"/>
    </row>
    <row r="45" spans="1:33">
      <c r="A45" s="59">
        <v>22</v>
      </c>
      <c r="C45" s="266" t="s">
        <v>379</v>
      </c>
      <c r="D45" s="3"/>
      <c r="E45" s="165">
        <f>'ROO INPUT'!$F46</f>
        <v>-1559</v>
      </c>
      <c r="F45" s="270"/>
      <c r="G45" s="630"/>
      <c r="H45" s="270"/>
      <c r="I45" s="270"/>
      <c r="J45" s="270"/>
      <c r="K45" s="270"/>
      <c r="L45" s="630"/>
      <c r="M45" s="630"/>
      <c r="N45" s="630"/>
      <c r="O45" s="270"/>
      <c r="P45" s="630"/>
      <c r="Q45" s="270"/>
      <c r="R45" s="630"/>
      <c r="S45" s="270">
        <v>0</v>
      </c>
      <c r="T45" s="270">
        <v>1083</v>
      </c>
      <c r="U45" s="630">
        <v>0</v>
      </c>
      <c r="V45" s="630">
        <v>0</v>
      </c>
      <c r="W45" s="270">
        <v>0</v>
      </c>
      <c r="X45" s="245">
        <f>SUM(E45:W45)</f>
        <v>-476</v>
      </c>
      <c r="Y45" s="298">
        <f>SUM(X45:X45)</f>
        <v>-476</v>
      </c>
      <c r="AA45" s="514"/>
      <c r="AB45" s="519">
        <f>Y74</f>
        <v>320131</v>
      </c>
      <c r="AC45" s="469">
        <f>AB45*AD33</f>
        <v>27932.848051898734</v>
      </c>
      <c r="AD45" s="516">
        <f>AC45/$AC$47</f>
        <v>0.30125422043210381</v>
      </c>
      <c r="AE45" s="517">
        <f>'2007-2018 data'!F181</f>
        <v>9.1069446928775888E-2</v>
      </c>
      <c r="AF45" s="505"/>
      <c r="AG45" s="249"/>
    </row>
    <row r="46" spans="1:33" ht="12.75" thickBot="1">
      <c r="A46" s="59">
        <v>23</v>
      </c>
      <c r="C46" s="3" t="s">
        <v>20</v>
      </c>
      <c r="D46" s="3"/>
      <c r="E46" s="166">
        <f>'ROO INPUT'!$F47</f>
        <v>0</v>
      </c>
      <c r="F46" s="247">
        <v>0</v>
      </c>
      <c r="G46" s="631">
        <v>0</v>
      </c>
      <c r="H46" s="247">
        <v>0</v>
      </c>
      <c r="I46" s="247">
        <v>0</v>
      </c>
      <c r="J46" s="247">
        <v>0</v>
      </c>
      <c r="K46" s="247">
        <v>0</v>
      </c>
      <c r="L46" s="631">
        <v>0</v>
      </c>
      <c r="M46" s="631">
        <v>0</v>
      </c>
      <c r="N46" s="631">
        <v>0</v>
      </c>
      <c r="O46" s="247">
        <v>0</v>
      </c>
      <c r="P46" s="631">
        <v>0</v>
      </c>
      <c r="Q46" s="247">
        <v>0</v>
      </c>
      <c r="R46" s="631">
        <v>0</v>
      </c>
      <c r="S46" s="247">
        <v>0</v>
      </c>
      <c r="T46" s="247">
        <v>0</v>
      </c>
      <c r="U46" s="631">
        <v>0</v>
      </c>
      <c r="V46" s="631">
        <v>0</v>
      </c>
      <c r="W46" s="247">
        <v>0</v>
      </c>
      <c r="X46" s="248">
        <f>SUM(E46:W46)</f>
        <v>0</v>
      </c>
      <c r="Y46" s="293">
        <f>SUM(X46:X46)</f>
        <v>0</v>
      </c>
      <c r="AA46" s="514"/>
      <c r="AB46" s="518" t="s">
        <v>447</v>
      </c>
      <c r="AC46" s="469"/>
      <c r="AD46" s="469"/>
      <c r="AE46" s="517"/>
      <c r="AF46" s="505"/>
      <c r="AG46" s="249"/>
    </row>
    <row r="47" spans="1:33" ht="13.5" thickBot="1">
      <c r="A47" s="59">
        <v>24</v>
      </c>
      <c r="B47" s="3" t="s">
        <v>45</v>
      </c>
      <c r="C47" s="3"/>
      <c r="E47" s="166">
        <f>SUM(E43:E46)</f>
        <v>21978</v>
      </c>
      <c r="F47" s="166">
        <f t="shared" ref="F47:U47" si="14">SUM(F43:F46)</f>
        <v>0</v>
      </c>
      <c r="G47" s="635">
        <f t="shared" si="14"/>
        <v>0</v>
      </c>
      <c r="H47" s="166">
        <f t="shared" si="14"/>
        <v>0</v>
      </c>
      <c r="I47" s="166">
        <f t="shared" si="14"/>
        <v>0</v>
      </c>
      <c r="J47" s="166">
        <f t="shared" si="14"/>
        <v>0</v>
      </c>
      <c r="K47" s="166">
        <f>SUM(K43:K46)</f>
        <v>0</v>
      </c>
      <c r="L47" s="635">
        <f t="shared" si="14"/>
        <v>0</v>
      </c>
      <c r="M47" s="635">
        <f t="shared" si="14"/>
        <v>-50</v>
      </c>
      <c r="N47" s="635">
        <f t="shared" si="14"/>
        <v>54</v>
      </c>
      <c r="O47" s="166">
        <f t="shared" si="14"/>
        <v>0</v>
      </c>
      <c r="P47" s="635">
        <f t="shared" si="14"/>
        <v>-17</v>
      </c>
      <c r="Q47" s="166">
        <f t="shared" si="14"/>
        <v>0</v>
      </c>
      <c r="R47" s="635">
        <f t="shared" si="14"/>
        <v>0</v>
      </c>
      <c r="S47" s="166">
        <f t="shared" si="14"/>
        <v>13</v>
      </c>
      <c r="T47" s="166">
        <f t="shared" si="14"/>
        <v>1093</v>
      </c>
      <c r="U47" s="635">
        <f t="shared" si="14"/>
        <v>-371</v>
      </c>
      <c r="V47" s="658">
        <f>SUM(V43:V46)</f>
        <v>-72</v>
      </c>
      <c r="W47" s="167">
        <f>SUM(W43:W46)</f>
        <v>0</v>
      </c>
      <c r="X47" s="248">
        <f t="shared" ref="X47" si="15">SUM(X43:X46)</f>
        <v>22628</v>
      </c>
      <c r="Y47" s="293">
        <f>SUM(Y43:Y46)</f>
        <v>22628</v>
      </c>
      <c r="AA47" s="520"/>
      <c r="AB47" s="853" t="s">
        <v>534</v>
      </c>
      <c r="AC47" s="510">
        <f>SUM(AC41:AC45)</f>
        <v>92721.848051898734</v>
      </c>
      <c r="AD47" s="508" t="s">
        <v>559</v>
      </c>
      <c r="AE47" s="509"/>
      <c r="AF47" s="507"/>
      <c r="AG47" s="249"/>
    </row>
    <row r="48" spans="1:33" ht="19.5" customHeight="1">
      <c r="A48" s="59">
        <v>25</v>
      </c>
      <c r="B48" s="1" t="s">
        <v>46</v>
      </c>
      <c r="C48" s="3"/>
      <c r="D48" s="3"/>
      <c r="E48" s="166">
        <f t="shared" ref="E48:X48" si="16">E20+E24+E30+E36+E38+E39+E40+E47</f>
        <v>169184</v>
      </c>
      <c r="F48" s="166">
        <f t="shared" si="16"/>
        <v>0</v>
      </c>
      <c r="G48" s="635">
        <f t="shared" si="16"/>
        <v>10</v>
      </c>
      <c r="H48" s="166">
        <f t="shared" si="16"/>
        <v>0</v>
      </c>
      <c r="I48" s="166">
        <f t="shared" si="16"/>
        <v>0</v>
      </c>
      <c r="J48" s="166">
        <f t="shared" si="16"/>
        <v>-5184</v>
      </c>
      <c r="K48" s="166">
        <f>K20+K24+K30+K36+K38+K39+K40+K47</f>
        <v>2</v>
      </c>
      <c r="L48" s="635">
        <f t="shared" si="16"/>
        <v>-320</v>
      </c>
      <c r="M48" s="635">
        <f t="shared" si="16"/>
        <v>-50</v>
      </c>
      <c r="N48" s="635">
        <f t="shared" si="16"/>
        <v>54</v>
      </c>
      <c r="O48" s="166">
        <f t="shared" si="16"/>
        <v>0</v>
      </c>
      <c r="P48" s="635">
        <f t="shared" si="16"/>
        <v>-17</v>
      </c>
      <c r="Q48" s="166">
        <f t="shared" si="16"/>
        <v>0</v>
      </c>
      <c r="R48" s="635">
        <f t="shared" si="16"/>
        <v>-13</v>
      </c>
      <c r="S48" s="166">
        <f t="shared" si="16"/>
        <v>2932</v>
      </c>
      <c r="T48" s="166">
        <f t="shared" si="16"/>
        <v>-47063</v>
      </c>
      <c r="U48" s="635">
        <f t="shared" si="16"/>
        <v>-380</v>
      </c>
      <c r="V48" s="658">
        <f>V20+V24+V30+V36+V38+V39+V40+V47</f>
        <v>-72</v>
      </c>
      <c r="W48" s="167">
        <f>W20+W24+W30+W36+W38+W39+W40+W47</f>
        <v>0</v>
      </c>
      <c r="X48" s="248">
        <f t="shared" si="16"/>
        <v>119083</v>
      </c>
      <c r="Y48" s="293">
        <f>Y20+Y24+Y30+Y36+Y38+Y39+Y40+Y47</f>
        <v>119083</v>
      </c>
      <c r="AA48" s="852" t="s">
        <v>448</v>
      </c>
      <c r="AB48" s="249"/>
      <c r="AC48" s="249"/>
      <c r="AD48" s="517"/>
      <c r="AE48" s="469"/>
      <c r="AF48" s="505"/>
      <c r="AG48" s="249"/>
    </row>
    <row r="49" spans="1:33" ht="14.25" customHeight="1" thickBot="1">
      <c r="C49" s="3"/>
      <c r="D49" s="3"/>
      <c r="E49" s="165"/>
      <c r="F49" s="165"/>
      <c r="G49" s="632"/>
      <c r="H49" s="165"/>
      <c r="I49" s="165"/>
      <c r="J49" s="165"/>
      <c r="K49" s="165"/>
      <c r="L49" s="632"/>
      <c r="M49" s="632"/>
      <c r="N49" s="632"/>
      <c r="O49" s="165"/>
      <c r="P49" s="632"/>
      <c r="Q49" s="165"/>
      <c r="R49" s="632"/>
      <c r="S49" s="165"/>
      <c r="T49" s="165"/>
      <c r="U49" s="632"/>
      <c r="V49" s="633"/>
      <c r="W49" s="205"/>
      <c r="X49" s="245"/>
      <c r="Y49" s="298"/>
      <c r="AA49" s="814" t="s">
        <v>677</v>
      </c>
      <c r="AB49" s="521"/>
      <c r="AC49" s="521"/>
      <c r="AD49" s="506"/>
      <c r="AE49" s="506"/>
      <c r="AF49" s="507"/>
      <c r="AG49" s="249"/>
    </row>
    <row r="50" spans="1:33" ht="12.95" customHeight="1">
      <c r="A50" s="59">
        <v>26</v>
      </c>
      <c r="B50" s="1" t="s">
        <v>47</v>
      </c>
      <c r="C50" s="3"/>
      <c r="D50" s="3"/>
      <c r="E50" s="165">
        <f t="shared" ref="E50:U50" si="17">E17-E48</f>
        <v>27210</v>
      </c>
      <c r="F50" s="165">
        <f t="shared" si="17"/>
        <v>0</v>
      </c>
      <c r="G50" s="632">
        <f t="shared" si="17"/>
        <v>-10</v>
      </c>
      <c r="H50" s="165">
        <f t="shared" si="17"/>
        <v>0</v>
      </c>
      <c r="I50" s="165">
        <f t="shared" si="17"/>
        <v>0</v>
      </c>
      <c r="J50" s="165">
        <f t="shared" si="17"/>
        <v>-14</v>
      </c>
      <c r="K50" s="165">
        <f>K17-K48</f>
        <v>-2</v>
      </c>
      <c r="L50" s="632">
        <f t="shared" si="17"/>
        <v>320</v>
      </c>
      <c r="M50" s="632">
        <f t="shared" si="17"/>
        <v>50</v>
      </c>
      <c r="N50" s="632">
        <f t="shared" si="17"/>
        <v>-54</v>
      </c>
      <c r="O50" s="165">
        <f t="shared" si="17"/>
        <v>0</v>
      </c>
      <c r="P50" s="632">
        <f t="shared" si="17"/>
        <v>17</v>
      </c>
      <c r="Q50" s="165">
        <f t="shared" si="17"/>
        <v>0</v>
      </c>
      <c r="R50" s="632">
        <f t="shared" si="17"/>
        <v>13</v>
      </c>
      <c r="S50" s="165">
        <f t="shared" si="17"/>
        <v>6</v>
      </c>
      <c r="T50" s="165">
        <f t="shared" si="17"/>
        <v>429</v>
      </c>
      <c r="U50" s="632">
        <f t="shared" si="17"/>
        <v>494</v>
      </c>
      <c r="V50" s="633">
        <f>V17-V48</f>
        <v>72</v>
      </c>
      <c r="W50" s="205">
        <f>W17-W48</f>
        <v>0</v>
      </c>
      <c r="X50" s="245">
        <f>SUM(E50:W50)</f>
        <v>28531</v>
      </c>
      <c r="Y50" s="298">
        <f>Y17-Y48</f>
        <v>28531</v>
      </c>
    </row>
    <row r="51" spans="1:33" ht="5.25" customHeight="1" thickBot="1">
      <c r="C51" s="3"/>
      <c r="D51" s="3"/>
      <c r="E51" s="165"/>
      <c r="F51" s="165"/>
      <c r="G51" s="632"/>
      <c r="H51" s="165"/>
      <c r="I51" s="165"/>
      <c r="J51" s="165"/>
      <c r="K51" s="165"/>
      <c r="L51" s="632"/>
      <c r="M51" s="632"/>
      <c r="N51" s="632"/>
      <c r="O51" s="165"/>
      <c r="P51" s="632"/>
      <c r="Q51" s="165"/>
      <c r="R51" s="632"/>
      <c r="S51" s="165"/>
      <c r="T51" s="165"/>
      <c r="U51" s="632"/>
      <c r="V51" s="633"/>
      <c r="W51" s="205"/>
      <c r="X51" s="245"/>
      <c r="Y51" s="298"/>
    </row>
    <row r="52" spans="1:33" ht="12.95" customHeight="1">
      <c r="B52" s="1" t="s">
        <v>48</v>
      </c>
      <c r="C52" s="3"/>
      <c r="D52" s="3"/>
      <c r="E52" s="165"/>
      <c r="F52" s="270"/>
      <c r="G52" s="630"/>
      <c r="H52" s="270"/>
      <c r="I52" s="270"/>
      <c r="J52" s="270"/>
      <c r="K52" s="270"/>
      <c r="L52" s="630"/>
      <c r="M52" s="630"/>
      <c r="N52" s="630"/>
      <c r="O52" s="270"/>
      <c r="P52" s="630"/>
      <c r="Q52" s="270"/>
      <c r="R52" s="630"/>
      <c r="S52" s="270"/>
      <c r="T52" s="270"/>
      <c r="U52" s="630"/>
      <c r="V52" s="630"/>
      <c r="W52" s="270"/>
      <c r="X52" s="245"/>
      <c r="Y52" s="298"/>
      <c r="AA52" s="815" t="s">
        <v>678</v>
      </c>
      <c r="AB52" s="816"/>
      <c r="AC52" s="816"/>
      <c r="AD52" s="816"/>
      <c r="AE52" s="816"/>
      <c r="AF52" s="817"/>
    </row>
    <row r="53" spans="1:33">
      <c r="A53" s="59">
        <v>27</v>
      </c>
      <c r="B53" s="3" t="s">
        <v>49</v>
      </c>
      <c r="D53" s="3"/>
      <c r="E53" s="165">
        <f>'ROO INPUT'!$F54</f>
        <v>2557</v>
      </c>
      <c r="F53" s="270">
        <f t="shared" ref="F53:N53" si="18">F50*0.21</f>
        <v>0</v>
      </c>
      <c r="G53" s="630">
        <f t="shared" si="18"/>
        <v>-2.1</v>
      </c>
      <c r="H53" s="270">
        <f t="shared" si="18"/>
        <v>0</v>
      </c>
      <c r="I53" s="270">
        <f t="shared" si="18"/>
        <v>0</v>
      </c>
      <c r="J53" s="270">
        <f t="shared" si="18"/>
        <v>-2.94</v>
      </c>
      <c r="K53" s="270">
        <f t="shared" si="18"/>
        <v>-0.42</v>
      </c>
      <c r="L53" s="630">
        <f t="shared" si="18"/>
        <v>67.2</v>
      </c>
      <c r="M53" s="630">
        <f t="shared" si="18"/>
        <v>10.5</v>
      </c>
      <c r="N53" s="630">
        <f t="shared" si="18"/>
        <v>-11.34</v>
      </c>
      <c r="O53" s="270">
        <v>0</v>
      </c>
      <c r="P53" s="630">
        <f t="shared" ref="P53:V53" si="19">P50*0.21</f>
        <v>3.57</v>
      </c>
      <c r="Q53" s="270">
        <f t="shared" si="19"/>
        <v>0</v>
      </c>
      <c r="R53" s="630">
        <f t="shared" si="19"/>
        <v>2.73</v>
      </c>
      <c r="S53" s="270">
        <f t="shared" si="19"/>
        <v>1.26</v>
      </c>
      <c r="T53" s="270">
        <f t="shared" si="19"/>
        <v>90.09</v>
      </c>
      <c r="U53" s="630">
        <f t="shared" si="19"/>
        <v>103.74</v>
      </c>
      <c r="V53" s="630">
        <f t="shared" si="19"/>
        <v>15.12</v>
      </c>
      <c r="W53" s="270">
        <f>'[9]DEBT CALC'!E43</f>
        <v>59</v>
      </c>
      <c r="X53" s="245">
        <f>SUM(E53:W53)</f>
        <v>2893.41</v>
      </c>
      <c r="Y53" s="298">
        <f>SUM(X53:X53)</f>
        <v>2893.41</v>
      </c>
      <c r="AA53" s="818"/>
      <c r="AB53" s="471"/>
      <c r="AC53" s="819" t="s">
        <v>449</v>
      </c>
      <c r="AD53" s="471"/>
      <c r="AE53" s="471"/>
      <c r="AF53" s="820"/>
    </row>
    <row r="54" spans="1:33" ht="12.75" thickBot="1">
      <c r="A54" s="59">
        <v>28</v>
      </c>
      <c r="B54" s="3" t="s">
        <v>155</v>
      </c>
      <c r="D54" s="3"/>
      <c r="E54" s="165">
        <f>'ROO INPUT'!$F55</f>
        <v>0</v>
      </c>
      <c r="F54" s="270">
        <f>(F81*'[9]RR SUMMARY'!$P$12)*-0.21</f>
        <v>7.4109209999999983</v>
      </c>
      <c r="G54" s="630">
        <f>(G81*'[9]RR SUMMARY'!$P$12)*-0.21</f>
        <v>4.1600999999999999E-2</v>
      </c>
      <c r="H54" s="270">
        <f>(H81*'[9]RR SUMMARY'!$P$12)*-0.21</f>
        <v>0</v>
      </c>
      <c r="I54" s="270">
        <f>(I81*'[9]RR SUMMARY'!$P$12)*-0.21</f>
        <v>35.883833999999993</v>
      </c>
      <c r="J54" s="270">
        <f>(J81*'[9]RR SUMMARY'!$P$12)*-0.21</f>
        <v>0</v>
      </c>
      <c r="K54" s="270">
        <f>(K81*'[9]RR SUMMARY'!$P$12)*-0.21</f>
        <v>0</v>
      </c>
      <c r="L54" s="630">
        <f>(L81*'[9]RR SUMMARY'!$P$12)*-0.21</f>
        <v>0</v>
      </c>
      <c r="M54" s="630">
        <f>(M81*'[9]RR SUMMARY'!$P$12)*-0.21</f>
        <v>0</v>
      </c>
      <c r="N54" s="630">
        <f>(N81*'[9]RR SUMMARY'!$P$12)*-0.21</f>
        <v>0</v>
      </c>
      <c r="O54" s="270"/>
      <c r="P54" s="630">
        <f>(P81*'[9]RR SUMMARY'!$P$12)*-0.21</f>
        <v>0</v>
      </c>
      <c r="Q54" s="270">
        <f>(Q81*'[9]RR SUMMARY'!$P$12)*-0.21</f>
        <v>0</v>
      </c>
      <c r="R54" s="630">
        <f>(R81*'[9]RR SUMMARY'!$P$12)*-0.21</f>
        <v>0</v>
      </c>
      <c r="S54" s="270">
        <f>(S81*'[9]RR SUMMARY'!$P$12)*-0.21</f>
        <v>0</v>
      </c>
      <c r="T54" s="270">
        <f>(T81*'[9]RR SUMMARY'!$P$12)*-0.21</f>
        <v>0</v>
      </c>
      <c r="U54" s="630">
        <f>(U81*'[9]RR SUMMARY'!$P$12)*-0.21</f>
        <v>0</v>
      </c>
      <c r="V54" s="630">
        <f>(V81*'[9]RR SUMMARY'!$P$12)*-0.21</f>
        <v>0</v>
      </c>
      <c r="W54" s="270"/>
      <c r="X54" s="245">
        <f>SUM(E54:W54)</f>
        <v>43.336355999999995</v>
      </c>
      <c r="Y54" s="298">
        <f>SUM(X54:X54)</f>
        <v>43.336355999999995</v>
      </c>
      <c r="AA54" s="821"/>
      <c r="AB54" s="822">
        <v>4050</v>
      </c>
      <c r="AC54" s="823">
        <f>AB54/3.25</f>
        <v>1246.1538461538462</v>
      </c>
      <c r="AD54" s="826">
        <f>AC54/AC47</f>
        <v>1.3439700268445284E-2</v>
      </c>
      <c r="AE54" s="824"/>
      <c r="AF54" s="825"/>
    </row>
    <row r="55" spans="1:33">
      <c r="A55" s="59">
        <v>29</v>
      </c>
      <c r="B55" s="3" t="s">
        <v>50</v>
      </c>
      <c r="D55" s="3"/>
      <c r="E55" s="165">
        <f>'ROO INPUT'!$F56</f>
        <v>54</v>
      </c>
      <c r="F55" s="270">
        <v>0</v>
      </c>
      <c r="G55" s="630">
        <v>0</v>
      </c>
      <c r="H55" s="270">
        <v>0</v>
      </c>
      <c r="I55" s="270">
        <v>0</v>
      </c>
      <c r="J55" s="270">
        <v>0</v>
      </c>
      <c r="K55" s="270">
        <v>0</v>
      </c>
      <c r="L55" s="630">
        <v>0</v>
      </c>
      <c r="M55" s="630">
        <v>0</v>
      </c>
      <c r="N55" s="630">
        <v>0</v>
      </c>
      <c r="O55" s="270">
        <v>0</v>
      </c>
      <c r="P55" s="630">
        <v>0</v>
      </c>
      <c r="Q55" s="270">
        <v>0</v>
      </c>
      <c r="R55" s="630">
        <v>0</v>
      </c>
      <c r="S55" s="270">
        <v>0</v>
      </c>
      <c r="T55" s="270">
        <v>339</v>
      </c>
      <c r="U55" s="630">
        <v>0</v>
      </c>
      <c r="V55" s="630">
        <v>0</v>
      </c>
      <c r="W55" s="270">
        <v>0</v>
      </c>
      <c r="X55" s="245">
        <f>SUM(E55:W55)</f>
        <v>393</v>
      </c>
      <c r="Y55" s="298">
        <f>SUM(X55:X55)</f>
        <v>393</v>
      </c>
      <c r="AA55" s="325"/>
      <c r="AB55" s="325"/>
      <c r="AC55" s="325"/>
      <c r="AD55" s="333"/>
      <c r="AE55" s="333"/>
    </row>
    <row r="56" spans="1:33" ht="12.75" thickBot="1">
      <c r="A56" s="59">
        <v>30</v>
      </c>
      <c r="B56" s="3" t="s">
        <v>51</v>
      </c>
      <c r="D56" s="3"/>
      <c r="E56" s="166">
        <f>'ROO INPUT'!$F57</f>
        <v>-15</v>
      </c>
      <c r="F56" s="247"/>
      <c r="G56" s="631"/>
      <c r="H56" s="247"/>
      <c r="I56" s="247"/>
      <c r="J56" s="247">
        <v>0</v>
      </c>
      <c r="K56" s="247">
        <v>0</v>
      </c>
      <c r="L56" s="631">
        <v>0</v>
      </c>
      <c r="M56" s="631">
        <v>0</v>
      </c>
      <c r="N56" s="631">
        <v>0</v>
      </c>
      <c r="O56" s="247">
        <v>0</v>
      </c>
      <c r="P56" s="631">
        <v>0</v>
      </c>
      <c r="Q56" s="247">
        <v>0</v>
      </c>
      <c r="R56" s="631">
        <v>0</v>
      </c>
      <c r="S56" s="247">
        <v>0</v>
      </c>
      <c r="T56" s="247">
        <v>0</v>
      </c>
      <c r="U56" s="631">
        <v>0</v>
      </c>
      <c r="V56" s="631">
        <v>0</v>
      </c>
      <c r="W56" s="247">
        <v>0</v>
      </c>
      <c r="X56" s="248">
        <f>SUM(E56:W56)</f>
        <v>-15</v>
      </c>
      <c r="Y56" s="293">
        <f>SUM(X56:X56)</f>
        <v>-15</v>
      </c>
      <c r="AD56" s="333"/>
      <c r="AE56" s="333"/>
    </row>
    <row r="57" spans="1:33">
      <c r="E57" s="165"/>
      <c r="F57" s="165"/>
      <c r="G57" s="632"/>
      <c r="H57" s="165"/>
      <c r="I57" s="165"/>
      <c r="J57" s="165"/>
      <c r="K57" s="165"/>
      <c r="L57" s="632"/>
      <c r="M57" s="632"/>
      <c r="N57" s="632"/>
      <c r="O57" s="165"/>
      <c r="P57" s="632"/>
      <c r="Q57" s="165"/>
      <c r="R57" s="632"/>
      <c r="S57" s="165"/>
      <c r="T57" s="165"/>
      <c r="U57" s="632"/>
      <c r="V57" s="633"/>
      <c r="W57" s="205"/>
      <c r="X57" s="245"/>
      <c r="Y57" s="298"/>
      <c r="AB57" s="511"/>
      <c r="AC57" s="513"/>
      <c r="AD57" s="863" t="s">
        <v>670</v>
      </c>
      <c r="AE57" s="333"/>
    </row>
    <row r="58" spans="1:33" s="2" customFormat="1" ht="12.75" thickBot="1">
      <c r="A58" s="59">
        <v>31</v>
      </c>
      <c r="B58" s="2" t="s">
        <v>52</v>
      </c>
      <c r="E58" s="275">
        <f>E50-SUM(E53:E56)</f>
        <v>24614</v>
      </c>
      <c r="F58" s="275">
        <f t="shared" ref="F58:P58" si="20">F50-SUM(F53:F56)</f>
        <v>-7.4109209999999983</v>
      </c>
      <c r="G58" s="636">
        <f>G50-SUM(G53:G56)</f>
        <v>-7.9416010000000004</v>
      </c>
      <c r="H58" s="275">
        <f t="shared" si="20"/>
        <v>0</v>
      </c>
      <c r="I58" s="275">
        <f t="shared" ref="I58" si="21">I50-SUM(I53:I56)</f>
        <v>-35.883833999999993</v>
      </c>
      <c r="J58" s="275">
        <f t="shared" si="20"/>
        <v>-11.06</v>
      </c>
      <c r="K58" s="275">
        <f>K50-SUM(K53:K56)</f>
        <v>-1.58</v>
      </c>
      <c r="L58" s="636">
        <f t="shared" si="20"/>
        <v>252.8</v>
      </c>
      <c r="M58" s="636">
        <f t="shared" si="20"/>
        <v>39.5</v>
      </c>
      <c r="N58" s="636">
        <f t="shared" si="20"/>
        <v>-42.66</v>
      </c>
      <c r="O58" s="275">
        <f t="shared" si="20"/>
        <v>0</v>
      </c>
      <c r="P58" s="636">
        <f t="shared" si="20"/>
        <v>13.43</v>
      </c>
      <c r="Q58" s="275">
        <f t="shared" ref="Q58:T58" si="22">Q50-SUM(Q53:Q56)</f>
        <v>0</v>
      </c>
      <c r="R58" s="636">
        <f t="shared" si="22"/>
        <v>10.27</v>
      </c>
      <c r="S58" s="275">
        <f t="shared" si="22"/>
        <v>4.74</v>
      </c>
      <c r="T58" s="275">
        <f t="shared" si="22"/>
        <v>-9.0000000000031832E-2</v>
      </c>
      <c r="U58" s="636">
        <f>U50-SUM(U53:U56)</f>
        <v>390.26</v>
      </c>
      <c r="V58" s="659">
        <f>V50-SUM(V53:V56)</f>
        <v>56.88</v>
      </c>
      <c r="W58" s="309">
        <f t="shared" ref="W58" si="23">W50-SUM(W53:W56)</f>
        <v>-59</v>
      </c>
      <c r="X58" s="250">
        <f>X50-SUM(X53:X56)+X57</f>
        <v>25216.253644</v>
      </c>
      <c r="Y58" s="299">
        <f>Y50-SUM(Y53:Y56)+Y57</f>
        <v>25216.253644</v>
      </c>
      <c r="AB58" s="523"/>
      <c r="AC58" s="469"/>
      <c r="AD58" s="857" t="s">
        <v>671</v>
      </c>
      <c r="AE58" s="333"/>
    </row>
    <row r="59" spans="1:33" ht="11.25" customHeight="1" thickTop="1">
      <c r="E59" s="165"/>
      <c r="F59" s="165"/>
      <c r="G59" s="632"/>
      <c r="H59" s="165"/>
      <c r="I59" s="165"/>
      <c r="J59" s="165"/>
      <c r="K59" s="165"/>
      <c r="L59" s="632"/>
      <c r="M59" s="632"/>
      <c r="N59" s="632"/>
      <c r="O59" s="165"/>
      <c r="P59" s="632"/>
      <c r="Q59" s="165"/>
      <c r="R59" s="632"/>
      <c r="S59" s="165"/>
      <c r="T59" s="165"/>
      <c r="U59" s="632"/>
      <c r="V59" s="355"/>
      <c r="W59" s="205"/>
      <c r="X59" s="245"/>
      <c r="Y59" s="298"/>
      <c r="AB59" s="514"/>
      <c r="AC59" s="469"/>
      <c r="AD59" s="858" t="s">
        <v>444</v>
      </c>
      <c r="AE59" s="333"/>
    </row>
    <row r="60" spans="1:33">
      <c r="B60" s="1" t="s">
        <v>94</v>
      </c>
      <c r="E60" s="165"/>
      <c r="F60" s="165"/>
      <c r="G60" s="632"/>
      <c r="H60" s="165"/>
      <c r="I60" s="165"/>
      <c r="J60" s="165"/>
      <c r="K60" s="165"/>
      <c r="L60" s="632"/>
      <c r="M60" s="632"/>
      <c r="N60" s="632"/>
      <c r="O60" s="165"/>
      <c r="P60" s="632"/>
      <c r="Q60" s="165"/>
      <c r="R60" s="632"/>
      <c r="S60" s="165"/>
      <c r="T60" s="165"/>
      <c r="U60" s="632"/>
      <c r="V60" s="355"/>
      <c r="W60" s="205"/>
      <c r="X60" s="245"/>
      <c r="Y60" s="298"/>
      <c r="AB60" s="514"/>
      <c r="AC60" s="524" t="s">
        <v>37</v>
      </c>
      <c r="AD60" s="522">
        <f>AD41*AE41</f>
        <v>2.4689836325291287E-2</v>
      </c>
      <c r="AE60" s="333"/>
    </row>
    <row r="61" spans="1:33">
      <c r="B61" s="1" t="s">
        <v>95</v>
      </c>
      <c r="E61" s="165"/>
      <c r="F61" s="270"/>
      <c r="G61" s="630"/>
      <c r="H61" s="270"/>
      <c r="I61" s="270"/>
      <c r="J61" s="270"/>
      <c r="K61" s="270"/>
      <c r="L61" s="630"/>
      <c r="M61" s="630"/>
      <c r="N61" s="630"/>
      <c r="O61" s="270"/>
      <c r="P61" s="630"/>
      <c r="Q61" s="270"/>
      <c r="R61" s="630"/>
      <c r="S61" s="270"/>
      <c r="T61" s="270"/>
      <c r="U61" s="630"/>
      <c r="V61" s="660"/>
      <c r="W61" s="270"/>
      <c r="X61" s="245"/>
      <c r="Y61" s="298"/>
      <c r="AB61" s="514"/>
      <c r="AC61" s="525" t="s">
        <v>392</v>
      </c>
      <c r="AD61" s="859">
        <f t="shared" ref="AD61:AD62" si="24">AD42*AE42</f>
        <v>1.5789087741229221E-2</v>
      </c>
      <c r="AE61" s="890" t="s">
        <v>675</v>
      </c>
      <c r="AF61" s="891"/>
    </row>
    <row r="62" spans="1:33">
      <c r="A62" s="59">
        <v>32</v>
      </c>
      <c r="B62" s="3"/>
      <c r="C62" s="3" t="s">
        <v>35</v>
      </c>
      <c r="D62" s="3"/>
      <c r="E62" s="292">
        <f>'ROO INPUT'!$F63</f>
        <v>28442</v>
      </c>
      <c r="F62" s="269">
        <v>0</v>
      </c>
      <c r="G62" s="629">
        <v>0</v>
      </c>
      <c r="H62" s="269">
        <v>0</v>
      </c>
      <c r="I62" s="269">
        <v>0</v>
      </c>
      <c r="J62" s="269">
        <v>0</v>
      </c>
      <c r="K62" s="269">
        <v>0</v>
      </c>
      <c r="L62" s="629">
        <v>0</v>
      </c>
      <c r="M62" s="629">
        <v>0</v>
      </c>
      <c r="N62" s="629">
        <v>0</v>
      </c>
      <c r="O62" s="269">
        <v>0</v>
      </c>
      <c r="P62" s="629">
        <v>0</v>
      </c>
      <c r="Q62" s="269">
        <v>0</v>
      </c>
      <c r="R62" s="629">
        <v>0</v>
      </c>
      <c r="S62" s="269">
        <v>0</v>
      </c>
      <c r="T62" s="269">
        <v>0</v>
      </c>
      <c r="U62" s="629">
        <v>0</v>
      </c>
      <c r="V62" s="661">
        <v>0</v>
      </c>
      <c r="W62" s="269">
        <v>0</v>
      </c>
      <c r="X62" s="244">
        <f>SUM(E62:W62)</f>
        <v>28442</v>
      </c>
      <c r="Y62" s="297">
        <f>SUM(X62:X62)</f>
        <v>28442</v>
      </c>
      <c r="AB62" s="514"/>
      <c r="AC62" s="525" t="s">
        <v>445</v>
      </c>
      <c r="AD62" s="522">
        <f t="shared" si="24"/>
        <v>6.661085038207528E-3</v>
      </c>
      <c r="AE62" s="333"/>
    </row>
    <row r="63" spans="1:33">
      <c r="A63" s="59">
        <v>33</v>
      </c>
      <c r="B63" s="3"/>
      <c r="C63" s="3" t="s">
        <v>53</v>
      </c>
      <c r="D63" s="3"/>
      <c r="E63" s="165">
        <f>'ROO INPUT'!$F64</f>
        <v>462636</v>
      </c>
      <c r="F63" s="270">
        <v>0</v>
      </c>
      <c r="G63" s="630">
        <v>0</v>
      </c>
      <c r="H63" s="270">
        <v>0</v>
      </c>
      <c r="I63" s="270">
        <v>-7041</v>
      </c>
      <c r="J63" s="270">
        <v>0</v>
      </c>
      <c r="K63" s="270">
        <v>0</v>
      </c>
      <c r="L63" s="630">
        <v>0</v>
      </c>
      <c r="M63" s="630">
        <v>0</v>
      </c>
      <c r="N63" s="630">
        <v>0</v>
      </c>
      <c r="O63" s="270">
        <v>0</v>
      </c>
      <c r="P63" s="630">
        <v>0</v>
      </c>
      <c r="Q63" s="270">
        <v>0</v>
      </c>
      <c r="R63" s="630">
        <v>0</v>
      </c>
      <c r="S63" s="270">
        <v>0</v>
      </c>
      <c r="T63" s="270">
        <v>0</v>
      </c>
      <c r="U63" s="630">
        <v>0</v>
      </c>
      <c r="V63" s="660">
        <v>0</v>
      </c>
      <c r="W63" s="270">
        <v>0</v>
      </c>
      <c r="X63" s="245">
        <f>SUM(E63:W63)</f>
        <v>455595</v>
      </c>
      <c r="Y63" s="298">
        <f>SUM(X63:X63)</f>
        <v>455595</v>
      </c>
      <c r="AB63" s="514"/>
      <c r="AC63" s="525" t="s">
        <v>446</v>
      </c>
      <c r="AD63" s="522">
        <f>AD45*AE45</f>
        <v>2.743505523971123E-2</v>
      </c>
      <c r="AE63" s="333"/>
    </row>
    <row r="64" spans="1:33">
      <c r="A64" s="59">
        <v>34</v>
      </c>
      <c r="B64" s="3"/>
      <c r="C64" s="3" t="s">
        <v>54</v>
      </c>
      <c r="D64" s="3"/>
      <c r="E64" s="166">
        <f>'ROO INPUT'!$F65</f>
        <v>114053</v>
      </c>
      <c r="F64" s="247">
        <v>0</v>
      </c>
      <c r="G64" s="631">
        <v>0</v>
      </c>
      <c r="H64" s="247">
        <v>0</v>
      </c>
      <c r="I64" s="247">
        <v>0</v>
      </c>
      <c r="J64" s="247">
        <v>0</v>
      </c>
      <c r="K64" s="247">
        <v>0</v>
      </c>
      <c r="L64" s="631">
        <v>0</v>
      </c>
      <c r="M64" s="631">
        <v>0</v>
      </c>
      <c r="N64" s="631">
        <v>0</v>
      </c>
      <c r="O64" s="247">
        <v>0</v>
      </c>
      <c r="P64" s="631">
        <v>0</v>
      </c>
      <c r="Q64" s="247">
        <v>0</v>
      </c>
      <c r="R64" s="631">
        <v>0</v>
      </c>
      <c r="S64" s="247">
        <v>0</v>
      </c>
      <c r="T64" s="247">
        <v>0</v>
      </c>
      <c r="U64" s="631">
        <v>0</v>
      </c>
      <c r="V64" s="662">
        <v>0</v>
      </c>
      <c r="W64" s="247">
        <v>0</v>
      </c>
      <c r="X64" s="248">
        <f>SUM(E64:W64)</f>
        <v>114053</v>
      </c>
      <c r="Y64" s="293">
        <f>SUM(X64:X64)</f>
        <v>114053</v>
      </c>
      <c r="AB64" s="514"/>
      <c r="AC64" s="525" t="s">
        <v>132</v>
      </c>
      <c r="AD64" s="799">
        <f>'2007-2018 data'!I206</f>
        <v>-1.3439700268445284E-2</v>
      </c>
    </row>
    <row r="65" spans="1:34" ht="12.75" thickBot="1">
      <c r="A65" s="59">
        <v>35</v>
      </c>
      <c r="B65" s="3" t="s">
        <v>55</v>
      </c>
      <c r="C65" s="3"/>
      <c r="E65" s="165">
        <f>SUM(E62:E64)</f>
        <v>605131</v>
      </c>
      <c r="F65" s="165">
        <f t="shared" ref="F65:W65" si="25">SUM(F62:F64)</f>
        <v>0</v>
      </c>
      <c r="G65" s="632">
        <f t="shared" si="25"/>
        <v>0</v>
      </c>
      <c r="H65" s="165">
        <f t="shared" si="25"/>
        <v>0</v>
      </c>
      <c r="I65" s="165">
        <f t="shared" si="25"/>
        <v>-7041</v>
      </c>
      <c r="J65" s="165">
        <f t="shared" si="25"/>
        <v>0</v>
      </c>
      <c r="K65" s="165">
        <f>SUM(K62:K64)</f>
        <v>0</v>
      </c>
      <c r="L65" s="632">
        <f t="shared" si="25"/>
        <v>0</v>
      </c>
      <c r="M65" s="632">
        <f t="shared" si="25"/>
        <v>0</v>
      </c>
      <c r="N65" s="632">
        <f t="shared" si="25"/>
        <v>0</v>
      </c>
      <c r="O65" s="165">
        <f t="shared" si="25"/>
        <v>0</v>
      </c>
      <c r="P65" s="632">
        <f t="shared" si="25"/>
        <v>0</v>
      </c>
      <c r="Q65" s="165">
        <f t="shared" si="25"/>
        <v>0</v>
      </c>
      <c r="R65" s="632">
        <f t="shared" si="25"/>
        <v>0</v>
      </c>
      <c r="S65" s="165">
        <f t="shared" si="25"/>
        <v>0</v>
      </c>
      <c r="T65" s="165">
        <f t="shared" si="25"/>
        <v>0</v>
      </c>
      <c r="U65" s="632">
        <f t="shared" si="25"/>
        <v>0</v>
      </c>
      <c r="V65" s="633">
        <f t="shared" si="25"/>
        <v>0</v>
      </c>
      <c r="W65" s="205">
        <f t="shared" si="25"/>
        <v>0</v>
      </c>
      <c r="X65" s="245">
        <f t="shared" ref="X65" si="26">SUM(X62:X64)</f>
        <v>598090</v>
      </c>
      <c r="Y65" s="298">
        <f>SUM(Y62:Y64)</f>
        <v>598090</v>
      </c>
      <c r="AB65" s="520"/>
      <c r="AC65" s="506"/>
      <c r="AD65" s="526">
        <f>SUM(AD60:AD64)</f>
        <v>6.1135364075993993E-2</v>
      </c>
    </row>
    <row r="66" spans="1:34" ht="3.75" customHeight="1">
      <c r="B66" s="3"/>
      <c r="C66" s="3"/>
      <c r="E66" s="165"/>
      <c r="F66" s="165"/>
      <c r="G66" s="632"/>
      <c r="H66" s="165"/>
      <c r="I66" s="165"/>
      <c r="J66" s="165"/>
      <c r="K66" s="165"/>
      <c r="L66" s="632"/>
      <c r="M66" s="632"/>
      <c r="N66" s="632"/>
      <c r="O66" s="165"/>
      <c r="P66" s="632"/>
      <c r="Q66" s="165"/>
      <c r="R66" s="632"/>
      <c r="S66" s="165"/>
      <c r="T66" s="165"/>
      <c r="U66" s="632"/>
      <c r="V66" s="633"/>
      <c r="W66" s="205"/>
      <c r="X66" s="245"/>
      <c r="Y66" s="298"/>
    </row>
    <row r="67" spans="1:34">
      <c r="B67" s="3" t="s">
        <v>173</v>
      </c>
      <c r="C67" s="3"/>
      <c r="D67" s="3"/>
      <c r="E67" s="165"/>
      <c r="F67" s="270"/>
      <c r="G67" s="630"/>
      <c r="H67" s="270"/>
      <c r="I67" s="270"/>
      <c r="J67" s="270"/>
      <c r="K67" s="270"/>
      <c r="L67" s="630"/>
      <c r="M67" s="630"/>
      <c r="N67" s="630"/>
      <c r="O67" s="270"/>
      <c r="P67" s="630"/>
      <c r="Q67" s="270"/>
      <c r="R67" s="630"/>
      <c r="S67" s="270"/>
      <c r="T67" s="270"/>
      <c r="U67" s="630"/>
      <c r="V67" s="630"/>
      <c r="W67" s="270"/>
      <c r="X67" s="245"/>
      <c r="Y67" s="298"/>
    </row>
    <row r="68" spans="1:34">
      <c r="A68" s="59">
        <v>36</v>
      </c>
      <c r="B68" s="3"/>
      <c r="C68" s="3" t="s">
        <v>35</v>
      </c>
      <c r="D68" s="3"/>
      <c r="E68" s="165">
        <f>'ROO INPUT'!$F69</f>
        <v>-11051</v>
      </c>
      <c r="F68" s="270">
        <v>0</v>
      </c>
      <c r="G68" s="630">
        <v>0</v>
      </c>
      <c r="H68" s="270">
        <v>0</v>
      </c>
      <c r="I68" s="270">
        <v>0</v>
      </c>
      <c r="J68" s="270">
        <v>0</v>
      </c>
      <c r="K68" s="270">
        <v>0</v>
      </c>
      <c r="L68" s="630">
        <v>0</v>
      </c>
      <c r="M68" s="630">
        <v>0</v>
      </c>
      <c r="N68" s="630">
        <v>0</v>
      </c>
      <c r="O68" s="270">
        <v>0</v>
      </c>
      <c r="P68" s="630">
        <v>0</v>
      </c>
      <c r="Q68" s="270">
        <v>0</v>
      </c>
      <c r="R68" s="630">
        <v>0</v>
      </c>
      <c r="S68" s="270">
        <v>0</v>
      </c>
      <c r="T68" s="270">
        <v>0</v>
      </c>
      <c r="U68" s="630">
        <v>0</v>
      </c>
      <c r="V68" s="630">
        <v>0</v>
      </c>
      <c r="W68" s="270">
        <v>0</v>
      </c>
      <c r="X68" s="245">
        <f>SUM(E68:W68)</f>
        <v>-11051</v>
      </c>
      <c r="Y68" s="298">
        <f>SUM(X68:X68)</f>
        <v>-11051</v>
      </c>
    </row>
    <row r="69" spans="1:34">
      <c r="A69" s="59">
        <v>37</v>
      </c>
      <c r="B69" s="3"/>
      <c r="C69" s="3" t="s">
        <v>53</v>
      </c>
      <c r="D69" s="3"/>
      <c r="E69" s="165">
        <f>'ROO INPUT'!$F70</f>
        <v>-145402</v>
      </c>
      <c r="F69" s="270">
        <v>0</v>
      </c>
      <c r="G69" s="630">
        <v>0</v>
      </c>
      <c r="H69" s="270">
        <v>0</v>
      </c>
      <c r="I69" s="270">
        <v>433</v>
      </c>
      <c r="J69" s="270">
        <v>0</v>
      </c>
      <c r="K69" s="270">
        <v>0</v>
      </c>
      <c r="L69" s="630">
        <v>0</v>
      </c>
      <c r="M69" s="630">
        <v>0</v>
      </c>
      <c r="N69" s="630">
        <v>0</v>
      </c>
      <c r="O69" s="270">
        <v>0</v>
      </c>
      <c r="P69" s="630">
        <v>0</v>
      </c>
      <c r="Q69" s="270">
        <v>0</v>
      </c>
      <c r="R69" s="630">
        <v>0</v>
      </c>
      <c r="S69" s="270">
        <v>0</v>
      </c>
      <c r="T69" s="270">
        <v>0</v>
      </c>
      <c r="U69" s="630">
        <v>0</v>
      </c>
      <c r="V69" s="630">
        <v>0</v>
      </c>
      <c r="W69" s="270">
        <v>0</v>
      </c>
      <c r="X69" s="245">
        <f>SUM(E69:W69)</f>
        <v>-144969</v>
      </c>
      <c r="Y69" s="298">
        <f>SUM(X69:X69)</f>
        <v>-144969</v>
      </c>
    </row>
    <row r="70" spans="1:34">
      <c r="A70" s="59">
        <v>38</v>
      </c>
      <c r="B70" s="3"/>
      <c r="C70" s="3" t="s">
        <v>54</v>
      </c>
      <c r="D70" s="3"/>
      <c r="E70" s="165">
        <f>'ROO INPUT'!$F71</f>
        <v>-32354</v>
      </c>
      <c r="F70" s="270">
        <v>0</v>
      </c>
      <c r="G70" s="630">
        <v>0</v>
      </c>
      <c r="H70" s="270">
        <v>0</v>
      </c>
      <c r="I70" s="270">
        <v>0</v>
      </c>
      <c r="J70" s="270">
        <v>0</v>
      </c>
      <c r="K70" s="270">
        <v>0</v>
      </c>
      <c r="L70" s="630">
        <v>0</v>
      </c>
      <c r="M70" s="630">
        <v>0</v>
      </c>
      <c r="N70" s="630">
        <v>0</v>
      </c>
      <c r="O70" s="270">
        <v>0</v>
      </c>
      <c r="P70" s="630">
        <v>0</v>
      </c>
      <c r="Q70" s="270">
        <v>0</v>
      </c>
      <c r="R70" s="630">
        <v>0</v>
      </c>
      <c r="S70" s="270">
        <v>0</v>
      </c>
      <c r="T70" s="270">
        <v>0</v>
      </c>
      <c r="U70" s="630">
        <v>0</v>
      </c>
      <c r="V70" s="630">
        <v>0</v>
      </c>
      <c r="W70" s="270">
        <v>0</v>
      </c>
      <c r="X70" s="245">
        <f>SUM(E70:W70)</f>
        <v>-32354</v>
      </c>
      <c r="Y70" s="298">
        <f>SUM(X70:X70)</f>
        <v>-32354</v>
      </c>
    </row>
    <row r="71" spans="1:34">
      <c r="A71" s="59">
        <v>39</v>
      </c>
      <c r="B71" s="3" t="s">
        <v>383</v>
      </c>
      <c r="C71" s="3"/>
      <c r="E71" s="168">
        <f>SUM(E68:E70)</f>
        <v>-188807</v>
      </c>
      <c r="F71" s="168">
        <f t="shared" ref="F71:V71" si="27">SUM(F68:F70)</f>
        <v>0</v>
      </c>
      <c r="G71" s="637">
        <f t="shared" si="27"/>
        <v>0</v>
      </c>
      <c r="H71" s="168">
        <f t="shared" si="27"/>
        <v>0</v>
      </c>
      <c r="I71" s="168">
        <f t="shared" si="27"/>
        <v>433</v>
      </c>
      <c r="J71" s="168">
        <f t="shared" si="27"/>
        <v>0</v>
      </c>
      <c r="K71" s="168">
        <f>SUM(K68:K70)</f>
        <v>0</v>
      </c>
      <c r="L71" s="637">
        <f t="shared" si="27"/>
        <v>0</v>
      </c>
      <c r="M71" s="637">
        <f t="shared" si="27"/>
        <v>0</v>
      </c>
      <c r="N71" s="637">
        <f t="shared" si="27"/>
        <v>0</v>
      </c>
      <c r="O71" s="168">
        <f t="shared" si="27"/>
        <v>0</v>
      </c>
      <c r="P71" s="637">
        <f t="shared" si="27"/>
        <v>0</v>
      </c>
      <c r="Q71" s="168">
        <f t="shared" si="27"/>
        <v>0</v>
      </c>
      <c r="R71" s="637">
        <f t="shared" si="27"/>
        <v>0</v>
      </c>
      <c r="S71" s="168">
        <f t="shared" si="27"/>
        <v>0</v>
      </c>
      <c r="T71" s="168">
        <f t="shared" si="27"/>
        <v>0</v>
      </c>
      <c r="U71" s="637">
        <f t="shared" si="27"/>
        <v>0</v>
      </c>
      <c r="V71" s="663">
        <f t="shared" si="27"/>
        <v>0</v>
      </c>
      <c r="W71" s="310">
        <f>SUM(W68:W70)</f>
        <v>0</v>
      </c>
      <c r="X71" s="251">
        <f t="shared" ref="X71" si="28">SUM(X68:X70)</f>
        <v>-188374</v>
      </c>
      <c r="Y71" s="300">
        <f>SUM(Y68:Y70)</f>
        <v>-188374</v>
      </c>
    </row>
    <row r="72" spans="1:34">
      <c r="A72" s="59">
        <v>40</v>
      </c>
      <c r="B72" s="3" t="s">
        <v>148</v>
      </c>
      <c r="C72" s="3"/>
      <c r="D72" s="3"/>
      <c r="E72" s="169">
        <f>E65+E71</f>
        <v>416324</v>
      </c>
      <c r="F72" s="169">
        <f t="shared" ref="F72:T72" si="29">F65+F71</f>
        <v>0</v>
      </c>
      <c r="G72" s="638">
        <f t="shared" si="29"/>
        <v>0</v>
      </c>
      <c r="H72" s="169">
        <f t="shared" si="29"/>
        <v>0</v>
      </c>
      <c r="I72" s="169">
        <f t="shared" si="29"/>
        <v>-6608</v>
      </c>
      <c r="J72" s="169">
        <f t="shared" si="29"/>
        <v>0</v>
      </c>
      <c r="K72" s="169">
        <f t="shared" si="29"/>
        <v>0</v>
      </c>
      <c r="L72" s="638">
        <f t="shared" si="29"/>
        <v>0</v>
      </c>
      <c r="M72" s="638">
        <f t="shared" si="29"/>
        <v>0</v>
      </c>
      <c r="N72" s="638">
        <f t="shared" si="29"/>
        <v>0</v>
      </c>
      <c r="O72" s="169">
        <f t="shared" si="29"/>
        <v>0</v>
      </c>
      <c r="P72" s="638">
        <f t="shared" si="29"/>
        <v>0</v>
      </c>
      <c r="Q72" s="169">
        <f t="shared" si="29"/>
        <v>0</v>
      </c>
      <c r="R72" s="638">
        <f t="shared" si="29"/>
        <v>0</v>
      </c>
      <c r="S72" s="169">
        <f t="shared" si="29"/>
        <v>0</v>
      </c>
      <c r="T72" s="169">
        <f t="shared" si="29"/>
        <v>0</v>
      </c>
      <c r="U72" s="638">
        <f>U65+U71</f>
        <v>0</v>
      </c>
      <c r="V72" s="664">
        <f>V65+V71</f>
        <v>0</v>
      </c>
      <c r="W72" s="311">
        <f>W65+W71</f>
        <v>0</v>
      </c>
      <c r="X72" s="252">
        <f t="shared" ref="X72:Y72" si="30">X65+X71</f>
        <v>409716</v>
      </c>
      <c r="Y72" s="298">
        <f t="shared" si="30"/>
        <v>409716</v>
      </c>
    </row>
    <row r="73" spans="1:34" s="249" customFormat="1" ht="13.5" customHeight="1">
      <c r="A73" s="4">
        <v>41</v>
      </c>
      <c r="B73" s="5" t="s">
        <v>100</v>
      </c>
      <c r="C73" s="5"/>
      <c r="D73" s="5"/>
      <c r="E73" s="166">
        <f>'ROO INPUT'!$F74</f>
        <v>-88908</v>
      </c>
      <c r="F73" s="247">
        <v>-1247</v>
      </c>
      <c r="G73" s="631">
        <v>0</v>
      </c>
      <c r="H73" s="247">
        <v>0</v>
      </c>
      <c r="I73" s="247">
        <v>570</v>
      </c>
      <c r="J73" s="247">
        <v>0</v>
      </c>
      <c r="K73" s="247">
        <v>0</v>
      </c>
      <c r="L73" s="631">
        <v>0</v>
      </c>
      <c r="M73" s="631">
        <v>0</v>
      </c>
      <c r="N73" s="631">
        <v>0</v>
      </c>
      <c r="O73" s="247">
        <v>0</v>
      </c>
      <c r="P73" s="631">
        <v>0</v>
      </c>
      <c r="Q73" s="247">
        <v>0</v>
      </c>
      <c r="R73" s="631">
        <v>0</v>
      </c>
      <c r="S73" s="247">
        <v>0</v>
      </c>
      <c r="T73" s="247">
        <v>0</v>
      </c>
      <c r="U73" s="631">
        <v>0</v>
      </c>
      <c r="V73" s="631">
        <v>0</v>
      </c>
      <c r="W73" s="247">
        <v>0</v>
      </c>
      <c r="X73" s="248">
        <f>SUM(E73:W73)</f>
        <v>-89585</v>
      </c>
      <c r="Y73" s="293">
        <f>SUM(X73:X73)</f>
        <v>-89585</v>
      </c>
    </row>
    <row r="74" spans="1:34" s="249" customFormat="1" ht="18.95" customHeight="1">
      <c r="A74" s="4">
        <v>42</v>
      </c>
      <c r="B74" s="5" t="s">
        <v>174</v>
      </c>
      <c r="C74" s="5"/>
      <c r="D74" s="5"/>
      <c r="E74" s="169">
        <f>E72+E73</f>
        <v>327416</v>
      </c>
      <c r="F74" s="169">
        <f>F72+F73</f>
        <v>-1247</v>
      </c>
      <c r="G74" s="638">
        <f t="shared" ref="G74:U74" si="31">G72+G73</f>
        <v>0</v>
      </c>
      <c r="H74" s="169">
        <f t="shared" si="31"/>
        <v>0</v>
      </c>
      <c r="I74" s="169">
        <f t="shared" si="31"/>
        <v>-6038</v>
      </c>
      <c r="J74" s="169">
        <f t="shared" si="31"/>
        <v>0</v>
      </c>
      <c r="K74" s="169">
        <f>K72+K73</f>
        <v>0</v>
      </c>
      <c r="L74" s="638">
        <f t="shared" si="31"/>
        <v>0</v>
      </c>
      <c r="M74" s="638">
        <f t="shared" si="31"/>
        <v>0</v>
      </c>
      <c r="N74" s="638">
        <f t="shared" si="31"/>
        <v>0</v>
      </c>
      <c r="O74" s="169">
        <f t="shared" si="31"/>
        <v>0</v>
      </c>
      <c r="P74" s="638">
        <f t="shared" si="31"/>
        <v>0</v>
      </c>
      <c r="Q74" s="169">
        <f t="shared" si="31"/>
        <v>0</v>
      </c>
      <c r="R74" s="638">
        <f t="shared" si="31"/>
        <v>0</v>
      </c>
      <c r="S74" s="169">
        <f t="shared" si="31"/>
        <v>0</v>
      </c>
      <c r="T74" s="169">
        <f t="shared" si="31"/>
        <v>0</v>
      </c>
      <c r="U74" s="638">
        <f t="shared" si="31"/>
        <v>0</v>
      </c>
      <c r="V74" s="664">
        <f>V72+V73</f>
        <v>0</v>
      </c>
      <c r="W74" s="311">
        <f>W72+W73</f>
        <v>0</v>
      </c>
      <c r="X74" s="252">
        <f t="shared" ref="X74" si="32">X72+X73</f>
        <v>320131</v>
      </c>
      <c r="Y74" s="298">
        <f>Y72+Y73</f>
        <v>320131</v>
      </c>
    </row>
    <row r="75" spans="1:34">
      <c r="A75" s="59">
        <v>43</v>
      </c>
      <c r="B75" s="3" t="s">
        <v>57</v>
      </c>
      <c r="C75" s="3"/>
      <c r="D75" s="3"/>
      <c r="E75" s="165">
        <f>'ROO INPUT'!$F76</f>
        <v>8355</v>
      </c>
      <c r="F75" s="270">
        <v>0</v>
      </c>
      <c r="G75" s="630">
        <v>0</v>
      </c>
      <c r="H75" s="270">
        <v>0</v>
      </c>
      <c r="I75" s="270">
        <v>0</v>
      </c>
      <c r="J75" s="270">
        <v>0</v>
      </c>
      <c r="K75" s="270">
        <v>0</v>
      </c>
      <c r="L75" s="630">
        <v>0</v>
      </c>
      <c r="M75" s="630">
        <v>0</v>
      </c>
      <c r="N75" s="630">
        <v>0</v>
      </c>
      <c r="O75" s="270">
        <v>0</v>
      </c>
      <c r="P75" s="630">
        <v>0</v>
      </c>
      <c r="Q75" s="270">
        <v>0</v>
      </c>
      <c r="R75" s="630">
        <v>0</v>
      </c>
      <c r="S75" s="270">
        <v>0</v>
      </c>
      <c r="T75" s="270">
        <v>0</v>
      </c>
      <c r="U75" s="630">
        <v>0</v>
      </c>
      <c r="V75" s="630">
        <v>0</v>
      </c>
      <c r="W75" s="270">
        <v>0</v>
      </c>
      <c r="X75" s="245">
        <f>SUM(E75:W75)</f>
        <v>8355</v>
      </c>
      <c r="Y75" s="298">
        <f>SUM(X75:X75)</f>
        <v>8355</v>
      </c>
    </row>
    <row r="76" spans="1:34" s="249" customFormat="1">
      <c r="A76" s="4">
        <v>44</v>
      </c>
      <c r="B76" s="5" t="s">
        <v>58</v>
      </c>
      <c r="C76" s="5"/>
      <c r="D76" s="5"/>
      <c r="E76" s="165">
        <f>'ROO INPUT'!$F77</f>
        <v>0</v>
      </c>
      <c r="F76" s="246">
        <v>0</v>
      </c>
      <c r="G76" s="634">
        <v>0</v>
      </c>
      <c r="H76" s="246">
        <v>0</v>
      </c>
      <c r="I76" s="246">
        <v>0</v>
      </c>
      <c r="J76" s="246">
        <v>0</v>
      </c>
      <c r="K76" s="246">
        <v>0</v>
      </c>
      <c r="L76" s="634">
        <v>0</v>
      </c>
      <c r="M76" s="634">
        <v>0</v>
      </c>
      <c r="N76" s="634">
        <v>0</v>
      </c>
      <c r="O76" s="246">
        <v>0</v>
      </c>
      <c r="P76" s="634">
        <v>0</v>
      </c>
      <c r="Q76" s="246">
        <v>0</v>
      </c>
      <c r="R76" s="634">
        <v>0</v>
      </c>
      <c r="S76" s="246">
        <v>0</v>
      </c>
      <c r="T76" s="246">
        <v>0</v>
      </c>
      <c r="U76" s="634">
        <v>0</v>
      </c>
      <c r="V76" s="634">
        <v>0</v>
      </c>
      <c r="W76" s="246">
        <v>0</v>
      </c>
      <c r="X76" s="252">
        <f>SUM(E76:W76)</f>
        <v>0</v>
      </c>
      <c r="Y76" s="298">
        <f>SUM(X76:X76)</f>
        <v>0</v>
      </c>
    </row>
    <row r="77" spans="1:34" s="249" customFormat="1" ht="12.75">
      <c r="A77" s="4">
        <v>45</v>
      </c>
      <c r="B77" s="5" t="s">
        <v>384</v>
      </c>
      <c r="C77" s="5"/>
      <c r="D77" s="5"/>
      <c r="E77" s="165">
        <f>'ROO INPUT'!$F78</f>
        <v>5338</v>
      </c>
      <c r="F77" s="246"/>
      <c r="G77" s="634">
        <v>-7</v>
      </c>
      <c r="H77" s="246"/>
      <c r="I77" s="246"/>
      <c r="J77" s="246"/>
      <c r="K77" s="246"/>
      <c r="L77" s="634"/>
      <c r="M77" s="634"/>
      <c r="N77" s="634"/>
      <c r="O77" s="246"/>
      <c r="P77" s="634"/>
      <c r="Q77" s="246"/>
      <c r="R77" s="634"/>
      <c r="S77" s="246"/>
      <c r="T77" s="246"/>
      <c r="U77" s="634"/>
      <c r="V77" s="634"/>
      <c r="W77" s="246"/>
      <c r="X77" s="252">
        <f>SUM(E77:W77)</f>
        <v>5331</v>
      </c>
      <c r="Y77" s="298">
        <f>SUM(X77:X77)</f>
        <v>5331</v>
      </c>
      <c r="Z77" s="307"/>
      <c r="AA77" s="307"/>
      <c r="AB77" s="803"/>
      <c r="AC77" s="803"/>
      <c r="AD77" s="803"/>
      <c r="AE77" s="307"/>
      <c r="AF77" s="307"/>
      <c r="AG77" s="307"/>
      <c r="AH77" s="307"/>
    </row>
    <row r="78" spans="1:34">
      <c r="A78" s="59">
        <v>46</v>
      </c>
      <c r="B78" s="3" t="s">
        <v>151</v>
      </c>
      <c r="C78" s="3"/>
      <c r="D78" s="3"/>
      <c r="E78" s="166">
        <f>'ROO INPUT'!$F79</f>
        <v>7549</v>
      </c>
      <c r="F78" s="247">
        <v>0</v>
      </c>
      <c r="G78" s="631">
        <v>0</v>
      </c>
      <c r="H78" s="247">
        <v>0</v>
      </c>
      <c r="I78" s="247">
        <v>0</v>
      </c>
      <c r="J78" s="247">
        <v>0</v>
      </c>
      <c r="K78" s="247">
        <v>0</v>
      </c>
      <c r="L78" s="631">
        <v>0</v>
      </c>
      <c r="M78" s="631">
        <v>0</v>
      </c>
      <c r="N78" s="631">
        <v>0</v>
      </c>
      <c r="O78" s="247">
        <v>0</v>
      </c>
      <c r="P78" s="631">
        <v>0</v>
      </c>
      <c r="Q78" s="247">
        <v>0</v>
      </c>
      <c r="R78" s="631">
        <v>0</v>
      </c>
      <c r="S78" s="247">
        <v>0</v>
      </c>
      <c r="T78" s="247">
        <v>0</v>
      </c>
      <c r="U78" s="631">
        <v>0</v>
      </c>
      <c r="V78" s="631">
        <v>0</v>
      </c>
      <c r="W78" s="247">
        <v>0</v>
      </c>
      <c r="X78" s="248">
        <f>SUM(E78:W78)</f>
        <v>7549</v>
      </c>
      <c r="Y78" s="293">
        <f>SUM(X78:X78)</f>
        <v>7549</v>
      </c>
      <c r="Z78" s="307"/>
      <c r="AA78" s="307"/>
      <c r="AB78" s="307"/>
      <c r="AC78" s="307"/>
      <c r="AD78" s="307"/>
      <c r="AE78" s="307"/>
      <c r="AF78" s="307"/>
      <c r="AG78" s="307"/>
      <c r="AH78" s="307"/>
    </row>
    <row r="79" spans="1:34" ht="4.5" customHeight="1">
      <c r="Y79" s="296"/>
      <c r="Z79" s="307"/>
      <c r="AA79" s="307"/>
      <c r="AB79" s="307"/>
      <c r="AC79" s="307"/>
      <c r="AD79" s="307"/>
      <c r="AE79" s="307"/>
      <c r="AF79" s="307"/>
      <c r="AG79" s="307"/>
      <c r="AH79" s="307"/>
    </row>
    <row r="80" spans="1:34">
      <c r="E80" s="165"/>
      <c r="F80" s="165"/>
      <c r="G80" s="632"/>
      <c r="H80" s="165"/>
      <c r="I80" s="165"/>
      <c r="J80" s="165"/>
      <c r="K80" s="165"/>
      <c r="L80" s="632"/>
      <c r="M80" s="632"/>
      <c r="N80" s="632"/>
      <c r="O80" s="165"/>
      <c r="P80" s="632"/>
      <c r="Q80" s="165"/>
      <c r="R80" s="632"/>
      <c r="S80" s="165"/>
      <c r="T80" s="165"/>
      <c r="U80" s="632"/>
      <c r="V80" s="633"/>
      <c r="W80" s="205"/>
      <c r="X80" s="245"/>
      <c r="Y80" s="298"/>
      <c r="Z80" s="471"/>
      <c r="AA80" s="418"/>
      <c r="AB80" s="418"/>
      <c r="AC80" s="418"/>
      <c r="AD80" s="471"/>
      <c r="AE80" s="418"/>
      <c r="AF80" s="418"/>
      <c r="AG80" s="471"/>
      <c r="AH80" s="307"/>
    </row>
    <row r="81" spans="1:34" s="253" customFormat="1" ht="15.75" thickBot="1">
      <c r="A81" s="222">
        <v>47</v>
      </c>
      <c r="B81" s="253" t="s">
        <v>59</v>
      </c>
      <c r="E81" s="250">
        <f>E74+E75+E76+E78+E77</f>
        <v>348658</v>
      </c>
      <c r="F81" s="250">
        <f t="shared" ref="F81:U81" si="33">F74+F75+F76+F78+F77</f>
        <v>-1247</v>
      </c>
      <c r="G81" s="200">
        <f>G74+G75+G76+G78+G77</f>
        <v>-7</v>
      </c>
      <c r="H81" s="250">
        <f t="shared" si="33"/>
        <v>0</v>
      </c>
      <c r="I81" s="250">
        <f t="shared" si="33"/>
        <v>-6038</v>
      </c>
      <c r="J81" s="250">
        <f t="shared" si="33"/>
        <v>0</v>
      </c>
      <c r="K81" s="250">
        <f>K74+K75+K76+K78+K77</f>
        <v>0</v>
      </c>
      <c r="L81" s="200">
        <f t="shared" si="33"/>
        <v>0</v>
      </c>
      <c r="M81" s="200">
        <f t="shared" si="33"/>
        <v>0</v>
      </c>
      <c r="N81" s="200">
        <f t="shared" si="33"/>
        <v>0</v>
      </c>
      <c r="O81" s="250">
        <f t="shared" si="33"/>
        <v>0</v>
      </c>
      <c r="P81" s="200">
        <f t="shared" si="33"/>
        <v>0</v>
      </c>
      <c r="Q81" s="250">
        <f t="shared" si="33"/>
        <v>0</v>
      </c>
      <c r="R81" s="200">
        <f t="shared" si="33"/>
        <v>0</v>
      </c>
      <c r="S81" s="250">
        <f t="shared" si="33"/>
        <v>0</v>
      </c>
      <c r="T81" s="250">
        <f t="shared" si="33"/>
        <v>0</v>
      </c>
      <c r="U81" s="200">
        <f t="shared" si="33"/>
        <v>0</v>
      </c>
      <c r="V81" s="360">
        <f>V74+V75+V76+V78+V77</f>
        <v>0</v>
      </c>
      <c r="W81" s="312">
        <f>W74+W75+W76+W78+W77</f>
        <v>0</v>
      </c>
      <c r="X81" s="250">
        <f t="shared" ref="X81" si="34">X74+X75+X76+X78+X77</f>
        <v>341366</v>
      </c>
      <c r="Y81" s="299">
        <f>Y74+Y75+Y76+Y78+Y77</f>
        <v>341366</v>
      </c>
      <c r="Z81" s="472"/>
      <c r="AA81" s="472"/>
      <c r="AB81" s="472"/>
      <c r="AC81" s="472"/>
      <c r="AD81" s="807"/>
      <c r="AE81" s="472"/>
      <c r="AF81" s="472"/>
      <c r="AG81" s="807"/>
      <c r="AH81" s="808"/>
    </row>
    <row r="82" spans="1:34" ht="15.75" thickTop="1">
      <c r="A82" s="59">
        <v>48</v>
      </c>
      <c r="B82" s="1" t="s">
        <v>411</v>
      </c>
      <c r="E82" s="6">
        <f>ROUND(E58/E81,4)</f>
        <v>7.0599999999999996E-2</v>
      </c>
      <c r="F82" s="165"/>
      <c r="G82" s="632"/>
      <c r="H82" s="165"/>
      <c r="I82" s="165"/>
      <c r="J82" s="165"/>
      <c r="K82" s="165"/>
      <c r="L82" s="632"/>
      <c r="M82" s="632"/>
      <c r="N82" s="632"/>
      <c r="O82" s="165"/>
      <c r="P82" s="632"/>
      <c r="Q82" s="165"/>
      <c r="R82" s="632"/>
      <c r="S82" s="165"/>
      <c r="T82" s="165"/>
      <c r="U82" s="632"/>
      <c r="V82" s="355"/>
      <c r="W82" s="205"/>
      <c r="X82" s="261" t="s">
        <v>402</v>
      </c>
      <c r="Y82" s="263"/>
      <c r="Z82" s="473"/>
      <c r="AA82" s="473"/>
      <c r="AB82" s="809"/>
      <c r="AC82" s="810"/>
      <c r="AD82" s="811"/>
      <c r="AE82" s="811"/>
      <c r="AF82" s="811"/>
      <c r="AG82" s="811"/>
      <c r="AH82" s="307"/>
    </row>
    <row r="83" spans="1:34">
      <c r="A83" s="59">
        <v>49</v>
      </c>
      <c r="B83" s="1" t="s">
        <v>145</v>
      </c>
      <c r="E83" s="20">
        <f>E88</f>
        <v>1248.3233084100791</v>
      </c>
      <c r="F83" s="20">
        <f t="shared" ref="F83:U83" si="35">F88</f>
        <v>-111.2331834229882</v>
      </c>
      <c r="G83" s="65">
        <f t="shared" si="35"/>
        <v>9.837536649901077</v>
      </c>
      <c r="H83" s="20">
        <f t="shared" si="35"/>
        <v>0</v>
      </c>
      <c r="I83" s="20">
        <f t="shared" si="35"/>
        <v>-538.59339335044342</v>
      </c>
      <c r="J83" s="20">
        <f t="shared" si="35"/>
        <v>14.646717466674085</v>
      </c>
      <c r="K83" s="20">
        <f t="shared" si="35"/>
        <v>2.0923882095248691</v>
      </c>
      <c r="L83" s="65">
        <f t="shared" si="35"/>
        <v>-334.78211352397909</v>
      </c>
      <c r="M83" s="65">
        <f t="shared" si="35"/>
        <v>-52.30970523812173</v>
      </c>
      <c r="N83" s="65">
        <f t="shared" si="35"/>
        <v>56.494481657171463</v>
      </c>
      <c r="O83" s="20">
        <f t="shared" si="35"/>
        <v>0</v>
      </c>
      <c r="P83" s="65">
        <f t="shared" si="35"/>
        <v>-17.785299780961388</v>
      </c>
      <c r="Q83" s="20">
        <f t="shared" si="35"/>
        <v>0</v>
      </c>
      <c r="R83" s="65">
        <f t="shared" si="35"/>
        <v>-13.600523361911648</v>
      </c>
      <c r="S83" s="20">
        <f t="shared" si="35"/>
        <v>-6.2771646285746074</v>
      </c>
      <c r="T83" s="20">
        <f t="shared" si="35"/>
        <v>0.11918667016285116</v>
      </c>
      <c r="U83" s="65">
        <f t="shared" si="35"/>
        <v>-516.81988775264267</v>
      </c>
      <c r="V83" s="62">
        <f>V88</f>
        <v>-75.325975542895293</v>
      </c>
      <c r="W83" s="215">
        <f>W88</f>
        <v>78.133483773397003</v>
      </c>
      <c r="X83" s="20">
        <f t="shared" ref="X83:Y83" si="36">X88</f>
        <v>-257.08014376560794</v>
      </c>
      <c r="Y83" s="262">
        <f t="shared" si="36"/>
        <v>-257.08014376560794</v>
      </c>
      <c r="Z83" s="812"/>
      <c r="AA83" s="471"/>
      <c r="AB83" s="471"/>
      <c r="AC83" s="471"/>
      <c r="AD83" s="813"/>
      <c r="AE83" s="813"/>
      <c r="AF83" s="813"/>
      <c r="AG83" s="813"/>
      <c r="AH83" s="307"/>
    </row>
    <row r="84" spans="1:34" ht="13.5" customHeight="1">
      <c r="E84" s="165"/>
      <c r="F84" s="205"/>
      <c r="G84" s="633"/>
      <c r="H84" s="205"/>
      <c r="I84" s="205"/>
      <c r="J84" s="205"/>
      <c r="K84" s="205"/>
      <c r="L84" s="633"/>
      <c r="M84" s="633"/>
      <c r="N84" s="633"/>
      <c r="O84" s="205"/>
      <c r="P84" s="633"/>
      <c r="Q84" s="205"/>
      <c r="R84" s="633"/>
      <c r="S84" s="205"/>
      <c r="T84" s="205"/>
      <c r="U84" s="633"/>
      <c r="V84" s="355"/>
      <c r="W84" s="205"/>
      <c r="X84" s="245"/>
      <c r="Y84" s="245"/>
      <c r="Z84" s="804"/>
      <c r="AA84" s="471"/>
      <c r="AB84" s="471"/>
      <c r="AC84" s="471"/>
      <c r="AD84" s="471"/>
      <c r="AE84" s="471"/>
      <c r="AF84" s="471"/>
      <c r="AG84" s="804"/>
      <c r="AH84" s="307"/>
    </row>
    <row r="85" spans="1:34" s="255" customFormat="1" ht="13.5" customHeight="1">
      <c r="A85" s="254"/>
      <c r="D85" s="256" t="s">
        <v>388</v>
      </c>
      <c r="E85" s="276">
        <f>'RR SUMMARY'!N15</f>
        <v>7.3300000000000004E-2</v>
      </c>
      <c r="F85" s="205"/>
      <c r="G85" s="633"/>
      <c r="H85" s="205"/>
      <c r="I85" s="205"/>
      <c r="J85" s="205"/>
      <c r="K85" s="205"/>
      <c r="L85" s="633"/>
      <c r="M85" s="633"/>
      <c r="N85" s="633"/>
      <c r="O85" s="205"/>
      <c r="P85" s="633"/>
      <c r="Q85" s="205"/>
      <c r="R85" s="633"/>
      <c r="S85" s="205"/>
      <c r="T85" s="205"/>
      <c r="U85" s="633"/>
      <c r="V85" s="355"/>
      <c r="W85" s="205"/>
      <c r="X85" s="257"/>
      <c r="Y85" s="257"/>
      <c r="Z85" s="805"/>
      <c r="AA85" s="805"/>
      <c r="AB85" s="805"/>
      <c r="AC85" s="805"/>
      <c r="AD85" s="805"/>
      <c r="AE85" s="805"/>
      <c r="AF85" s="805"/>
      <c r="AG85" s="806"/>
      <c r="AH85" s="307"/>
    </row>
    <row r="86" spans="1:34" s="255" customFormat="1" ht="18" customHeight="1">
      <c r="A86" s="198"/>
      <c r="D86" s="256" t="s">
        <v>130</v>
      </c>
      <c r="E86" s="315">
        <f>CF!E27</f>
        <v>0.75511799999999996</v>
      </c>
      <c r="F86" s="205"/>
      <c r="G86" s="633"/>
      <c r="H86" s="205"/>
      <c r="I86" s="205"/>
      <c r="J86" s="205"/>
      <c r="K86" s="205"/>
      <c r="L86" s="633"/>
      <c r="M86" s="633"/>
      <c r="N86" s="633"/>
      <c r="O86" s="205"/>
      <c r="P86" s="633"/>
      <c r="Q86" s="205"/>
      <c r="R86" s="633"/>
      <c r="S86" s="205"/>
      <c r="T86" s="205"/>
      <c r="U86" s="633"/>
      <c r="V86" s="355"/>
      <c r="W86" s="205"/>
      <c r="X86" s="257"/>
      <c r="Y86" s="257"/>
      <c r="AF86" s="307"/>
      <c r="AG86" s="307"/>
    </row>
    <row r="87" spans="1:34" s="255" customFormat="1" ht="29.25" customHeight="1">
      <c r="A87" s="198"/>
      <c r="D87" s="256" t="s">
        <v>142</v>
      </c>
      <c r="E87" s="98">
        <f t="shared" ref="E87:Y87" si="37">E81*$E$85-E58</f>
        <v>942.63140000000203</v>
      </c>
      <c r="F87" s="98">
        <f t="shared" si="37"/>
        <v>-83.994179000000003</v>
      </c>
      <c r="G87" s="617">
        <f t="shared" si="37"/>
        <v>7.4285010000000007</v>
      </c>
      <c r="H87" s="98">
        <f t="shared" si="37"/>
        <v>0</v>
      </c>
      <c r="I87" s="98">
        <f t="shared" si="37"/>
        <v>-406.70156600000007</v>
      </c>
      <c r="J87" s="98">
        <f t="shared" si="37"/>
        <v>11.06</v>
      </c>
      <c r="K87" s="98">
        <f t="shared" si="37"/>
        <v>1.58</v>
      </c>
      <c r="L87" s="617">
        <f t="shared" si="37"/>
        <v>-252.8</v>
      </c>
      <c r="M87" s="617">
        <f t="shared" si="37"/>
        <v>-39.5</v>
      </c>
      <c r="N87" s="617">
        <f t="shared" si="37"/>
        <v>42.66</v>
      </c>
      <c r="O87" s="98">
        <f t="shared" si="37"/>
        <v>0</v>
      </c>
      <c r="P87" s="617">
        <f t="shared" si="37"/>
        <v>-13.43</v>
      </c>
      <c r="Q87" s="98">
        <f t="shared" si="37"/>
        <v>0</v>
      </c>
      <c r="R87" s="617">
        <f t="shared" si="37"/>
        <v>-10.27</v>
      </c>
      <c r="S87" s="98">
        <f t="shared" si="37"/>
        <v>-4.74</v>
      </c>
      <c r="T87" s="98">
        <f t="shared" si="37"/>
        <v>9.0000000000031832E-2</v>
      </c>
      <c r="U87" s="617">
        <f t="shared" si="37"/>
        <v>-390.26</v>
      </c>
      <c r="V87" s="617">
        <f t="shared" si="37"/>
        <v>-56.88</v>
      </c>
      <c r="W87" s="98">
        <f t="shared" si="37"/>
        <v>59</v>
      </c>
      <c r="X87" s="98">
        <f t="shared" si="37"/>
        <v>-194.12584399999832</v>
      </c>
      <c r="Y87" s="258">
        <f t="shared" si="37"/>
        <v>-194.12584399999832</v>
      </c>
    </row>
    <row r="88" spans="1:34" s="255" customFormat="1">
      <c r="A88" s="198"/>
      <c r="D88" s="256" t="s">
        <v>128</v>
      </c>
      <c r="E88" s="98">
        <f>E87/$E$86</f>
        <v>1248.3233084100791</v>
      </c>
      <c r="F88" s="98">
        <f>F87/$E$86</f>
        <v>-111.2331834229882</v>
      </c>
      <c r="G88" s="617">
        <f>G87/$E$86</f>
        <v>9.837536649901077</v>
      </c>
      <c r="H88" s="98">
        <f>H87/$E$86</f>
        <v>0</v>
      </c>
      <c r="I88" s="98">
        <f>I87/$E$86</f>
        <v>-538.59339335044342</v>
      </c>
      <c r="J88" s="98">
        <f t="shared" ref="J88:T88" si="38">J87/$E$86</f>
        <v>14.646717466674085</v>
      </c>
      <c r="K88" s="98">
        <f>K87/$E$86</f>
        <v>2.0923882095248691</v>
      </c>
      <c r="L88" s="617">
        <f t="shared" si="38"/>
        <v>-334.78211352397909</v>
      </c>
      <c r="M88" s="617">
        <f t="shared" si="38"/>
        <v>-52.30970523812173</v>
      </c>
      <c r="N88" s="617">
        <f t="shared" si="38"/>
        <v>56.494481657171463</v>
      </c>
      <c r="O88" s="98">
        <f t="shared" si="38"/>
        <v>0</v>
      </c>
      <c r="P88" s="617">
        <f t="shared" si="38"/>
        <v>-17.785299780961388</v>
      </c>
      <c r="Q88" s="98">
        <f t="shared" si="38"/>
        <v>0</v>
      </c>
      <c r="R88" s="617">
        <f t="shared" si="38"/>
        <v>-13.600523361911648</v>
      </c>
      <c r="S88" s="98">
        <f t="shared" si="38"/>
        <v>-6.2771646285746074</v>
      </c>
      <c r="T88" s="98">
        <f t="shared" si="38"/>
        <v>0.11918667016285116</v>
      </c>
      <c r="U88" s="617">
        <f>U87/$E$86</f>
        <v>-516.81988775264267</v>
      </c>
      <c r="V88" s="617">
        <f>V87/$E$86</f>
        <v>-75.325975542895293</v>
      </c>
      <c r="W88" s="98">
        <f>W87/$E$86</f>
        <v>78.133483773397003</v>
      </c>
      <c r="X88" s="98">
        <f t="shared" ref="X88:Y88" si="39">X87/$E$86</f>
        <v>-257.08014376560794</v>
      </c>
      <c r="Y88" s="258">
        <f t="shared" si="39"/>
        <v>-257.08014376560794</v>
      </c>
    </row>
    <row r="89" spans="1:34" s="255" customFormat="1">
      <c r="A89" s="198"/>
      <c r="D89" s="256"/>
      <c r="E89" s="268"/>
      <c r="F89" s="268"/>
      <c r="G89" s="639"/>
      <c r="H89" s="268"/>
      <c r="I89" s="268"/>
      <c r="J89" s="268"/>
      <c r="K89" s="268"/>
      <c r="L89" s="639"/>
      <c r="M89" s="639"/>
      <c r="N89" s="639"/>
      <c r="O89" s="268"/>
      <c r="P89" s="639"/>
      <c r="Q89" s="268"/>
      <c r="R89" s="639"/>
      <c r="S89" s="268"/>
      <c r="T89" s="268"/>
      <c r="U89" s="639"/>
      <c r="V89" s="639"/>
      <c r="W89" s="268"/>
      <c r="X89" s="259"/>
      <c r="Y89" s="260"/>
    </row>
    <row r="90" spans="1:34" s="255" customFormat="1">
      <c r="A90" s="254"/>
      <c r="D90" s="256"/>
      <c r="E90" s="276"/>
      <c r="F90" s="268"/>
      <c r="G90" s="639"/>
      <c r="H90" s="268"/>
      <c r="I90" s="268"/>
      <c r="J90" s="268"/>
      <c r="K90" s="268"/>
      <c r="L90" s="639"/>
      <c r="M90" s="639"/>
      <c r="N90" s="639"/>
      <c r="O90" s="268"/>
      <c r="P90" s="639"/>
      <c r="Q90" s="268"/>
      <c r="R90" s="639"/>
      <c r="S90" s="268"/>
      <c r="T90" s="268"/>
      <c r="U90" s="639"/>
      <c r="V90" s="639"/>
      <c r="W90" s="268"/>
      <c r="X90" s="259"/>
      <c r="Y90" s="260"/>
    </row>
    <row r="91" spans="1:34" s="255" customFormat="1">
      <c r="A91" s="198"/>
      <c r="E91" s="268"/>
      <c r="F91" s="302"/>
      <c r="G91" s="640"/>
      <c r="H91" s="302"/>
      <c r="I91" s="302"/>
      <c r="J91" s="302"/>
      <c r="K91" s="302"/>
      <c r="L91" s="640"/>
      <c r="M91" s="640"/>
      <c r="N91" s="640"/>
      <c r="O91" s="302"/>
      <c r="P91" s="640"/>
      <c r="Q91" s="302"/>
      <c r="R91" s="640"/>
      <c r="S91" s="302"/>
      <c r="T91" s="302"/>
      <c r="U91" s="640"/>
      <c r="V91" s="640"/>
      <c r="W91" s="302"/>
      <c r="X91" s="259"/>
      <c r="Y91" s="260"/>
    </row>
    <row r="92" spans="1:34" s="255" customFormat="1">
      <c r="A92" s="198"/>
      <c r="D92" s="256"/>
      <c r="E92" s="268"/>
      <c r="F92" s="302"/>
      <c r="G92" s="640"/>
      <c r="H92" s="302"/>
      <c r="I92" s="302"/>
      <c r="J92" s="302"/>
      <c r="K92" s="302"/>
      <c r="L92" s="640"/>
      <c r="M92" s="640"/>
      <c r="N92" s="640"/>
      <c r="O92" s="302"/>
      <c r="P92" s="640"/>
      <c r="Q92" s="302"/>
      <c r="R92" s="640"/>
      <c r="S92" s="302"/>
      <c r="T92" s="302"/>
      <c r="U92" s="640"/>
      <c r="V92" s="640"/>
      <c r="W92" s="302"/>
      <c r="X92" s="259"/>
      <c r="Y92" s="260"/>
    </row>
    <row r="93" spans="1:34" s="307" customFormat="1">
      <c r="A93" s="304"/>
      <c r="D93" s="303"/>
      <c r="E93" s="302"/>
      <c r="F93" s="243"/>
      <c r="G93" s="641"/>
      <c r="H93" s="243"/>
      <c r="I93" s="243"/>
      <c r="J93" s="243"/>
      <c r="K93" s="243"/>
      <c r="L93" s="641"/>
      <c r="M93" s="641"/>
      <c r="N93" s="641"/>
      <c r="O93" s="243"/>
      <c r="P93" s="641"/>
      <c r="Q93" s="243"/>
      <c r="R93" s="641"/>
      <c r="S93" s="243"/>
      <c r="T93" s="243"/>
      <c r="U93" s="641"/>
      <c r="V93" s="386"/>
      <c r="W93" s="243"/>
      <c r="X93" s="265"/>
      <c r="Y93" s="264"/>
    </row>
    <row r="94" spans="1:34" s="307" customFormat="1">
      <c r="A94" s="304"/>
      <c r="D94" s="308"/>
      <c r="E94" s="302"/>
      <c r="F94" s="243"/>
      <c r="G94" s="641"/>
      <c r="H94" s="243"/>
      <c r="I94" s="243"/>
      <c r="J94" s="243"/>
      <c r="K94" s="243"/>
      <c r="L94" s="641"/>
      <c r="M94" s="641"/>
      <c r="N94" s="641"/>
      <c r="O94" s="243"/>
      <c r="P94" s="641"/>
      <c r="Q94" s="243"/>
      <c r="R94" s="641"/>
      <c r="S94" s="243"/>
      <c r="T94" s="243"/>
      <c r="U94" s="641"/>
      <c r="V94" s="386"/>
      <c r="W94" s="243"/>
      <c r="X94" s="265"/>
      <c r="Y94" s="264"/>
    </row>
    <row r="95" spans="1:34" s="307" customFormat="1">
      <c r="A95" s="304"/>
      <c r="E95" s="243"/>
      <c r="F95" s="301"/>
      <c r="G95" s="642"/>
      <c r="H95" s="301"/>
      <c r="I95" s="301"/>
      <c r="J95" s="301"/>
      <c r="K95" s="301"/>
      <c r="L95" s="642"/>
      <c r="M95" s="642"/>
      <c r="N95" s="642"/>
      <c r="O95" s="301"/>
      <c r="P95" s="642"/>
      <c r="Q95" s="301"/>
      <c r="R95" s="642"/>
      <c r="S95" s="301"/>
      <c r="T95" s="301"/>
      <c r="U95" s="642"/>
      <c r="V95" s="386"/>
      <c r="W95" s="243"/>
      <c r="X95" s="265"/>
      <c r="Y95" s="306"/>
    </row>
    <row r="96" spans="1:34" s="307" customFormat="1">
      <c r="A96" s="304"/>
      <c r="E96" s="243"/>
      <c r="F96" s="301"/>
      <c r="G96" s="642"/>
      <c r="H96" s="301"/>
      <c r="I96" s="301"/>
      <c r="J96" s="301"/>
      <c r="K96" s="301"/>
      <c r="L96" s="642"/>
      <c r="M96" s="642"/>
      <c r="N96" s="642"/>
      <c r="O96" s="301"/>
      <c r="P96" s="642"/>
      <c r="Q96" s="301"/>
      <c r="R96" s="642"/>
      <c r="S96" s="301"/>
      <c r="T96" s="301"/>
      <c r="U96" s="642"/>
      <c r="V96" s="386"/>
      <c r="W96" s="243"/>
      <c r="X96" s="265"/>
      <c r="Y96" s="221"/>
    </row>
    <row r="97" spans="1:25" s="249" customFormat="1">
      <c r="A97" s="4"/>
      <c r="E97" s="301"/>
      <c r="F97" s="301"/>
      <c r="G97" s="642"/>
      <c r="H97" s="301"/>
      <c r="I97" s="301"/>
      <c r="J97" s="301"/>
      <c r="K97" s="301"/>
      <c r="L97" s="642"/>
      <c r="M97" s="642"/>
      <c r="N97" s="642"/>
      <c r="O97" s="301"/>
      <c r="P97" s="642"/>
      <c r="Q97" s="301"/>
      <c r="R97" s="642"/>
      <c r="S97" s="301"/>
      <c r="T97" s="301"/>
      <c r="U97" s="642"/>
      <c r="V97" s="386"/>
      <c r="W97" s="243"/>
      <c r="X97" s="305"/>
      <c r="Y97" s="221"/>
    </row>
    <row r="98" spans="1:25" s="249" customFormat="1">
      <c r="A98" s="4"/>
      <c r="E98" s="301"/>
      <c r="F98" s="20"/>
      <c r="G98" s="65"/>
      <c r="H98" s="20"/>
      <c r="I98" s="20"/>
      <c r="J98" s="20"/>
      <c r="K98" s="20"/>
      <c r="L98" s="65"/>
      <c r="M98" s="65"/>
      <c r="N98" s="65"/>
      <c r="O98" s="20"/>
      <c r="P98" s="65"/>
      <c r="Q98" s="20"/>
      <c r="R98" s="65"/>
      <c r="S98" s="20"/>
      <c r="T98" s="20"/>
      <c r="U98" s="65"/>
      <c r="V98" s="351"/>
      <c r="W98" s="215"/>
      <c r="X98" s="305"/>
      <c r="Y98" s="242"/>
    </row>
    <row r="99" spans="1:25" s="249" customFormat="1">
      <c r="A99" s="4"/>
      <c r="E99" s="301"/>
      <c r="F99" s="20"/>
      <c r="G99" s="65"/>
      <c r="H99" s="20"/>
      <c r="I99" s="20"/>
      <c r="J99" s="20"/>
      <c r="K99" s="20"/>
      <c r="L99" s="65"/>
      <c r="M99" s="65"/>
      <c r="N99" s="65"/>
      <c r="O99" s="20"/>
      <c r="P99" s="65"/>
      <c r="Q99" s="20"/>
      <c r="R99" s="65"/>
      <c r="S99" s="20"/>
      <c r="T99" s="20"/>
      <c r="U99" s="65"/>
      <c r="V99" s="351"/>
      <c r="W99" s="215"/>
      <c r="X99" s="305"/>
      <c r="Y99" s="221"/>
    </row>
  </sheetData>
  <mergeCells count="6">
    <mergeCell ref="AE61:AF61"/>
    <mergeCell ref="AF27:AF29"/>
    <mergeCell ref="Y7:Y8"/>
    <mergeCell ref="AA24:AF24"/>
    <mergeCell ref="AC39:AC40"/>
    <mergeCell ref="AF41:AF44"/>
  </mergeCells>
  <pageMargins left="0.75" right="0.5" top="0.8" bottom="0.84" header="0.5" footer="0.5"/>
  <pageSetup scale="70" firstPageNumber="4" orientation="portrait" r:id="rId1"/>
  <headerFooter scaleWithDoc="0" alignWithMargins="0">
    <oddHeader xml:space="preserve">&amp;LNatural Gas - Revenue Growth Rate Calculation&amp;RExh. EMA-5
</oddHeader>
    <oddFooter>&amp;RPage &amp;P of &amp;N</oddFooter>
  </headerFooter>
  <colBreaks count="1" manualBreakCount="1">
    <brk id="14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U216"/>
  <sheetViews>
    <sheetView view="pageBreakPreview" zoomScaleNormal="100" zoomScaleSheetLayoutView="100" workbookViewId="0">
      <selection activeCell="E23" sqref="E23"/>
    </sheetView>
  </sheetViews>
  <sheetFormatPr defaultColWidth="10.7109375" defaultRowHeight="12"/>
  <cols>
    <col min="1" max="1" width="4.85546875" style="84" customWidth="1"/>
    <col min="2" max="2" width="1.7109375" style="64" customWidth="1"/>
    <col min="3" max="3" width="9" style="64" customWidth="1"/>
    <col min="4" max="4" width="22.7109375" style="64" customWidth="1"/>
    <col min="5" max="5" width="10" style="64" bestFit="1" customWidth="1"/>
    <col min="6" max="6" width="11.42578125" style="64" customWidth="1"/>
    <col min="7" max="8" width="10.5703125" style="90" customWidth="1"/>
    <col min="9" max="9" width="13" style="90" customWidth="1"/>
    <col min="10" max="12" width="10.5703125" style="90" customWidth="1"/>
    <col min="13" max="13" width="11.28515625" style="64" customWidth="1"/>
    <col min="14" max="14" width="10.42578125" style="64" customWidth="1"/>
    <col min="15" max="15" width="10.28515625" style="64" customWidth="1"/>
    <col min="16" max="16" width="9.28515625" style="64" customWidth="1"/>
    <col min="17" max="16384" width="10.7109375" style="64"/>
  </cols>
  <sheetData>
    <row r="1" spans="1:12" ht="6.75" customHeight="1">
      <c r="A1" s="904"/>
      <c r="B1" s="904"/>
      <c r="C1" s="904"/>
      <c r="D1" s="904"/>
      <c r="E1" s="904"/>
    </row>
    <row r="2" spans="1:12" ht="18.75">
      <c r="A2" s="342" t="s">
        <v>660</v>
      </c>
      <c r="B2" s="342"/>
      <c r="C2" s="342"/>
      <c r="D2" s="342"/>
      <c r="E2" s="342"/>
    </row>
    <row r="3" spans="1:12" ht="15.75">
      <c r="A3" s="343" t="s">
        <v>102</v>
      </c>
      <c r="B3" s="344"/>
      <c r="C3" s="344"/>
      <c r="D3" s="344"/>
      <c r="E3" s="344"/>
    </row>
    <row r="4" spans="1:12" ht="16.5" customHeight="1">
      <c r="A4" s="343" t="s">
        <v>172</v>
      </c>
      <c r="B4" s="344"/>
      <c r="C4" s="344"/>
      <c r="D4" s="344"/>
      <c r="E4" s="344"/>
    </row>
    <row r="5" spans="1:12" ht="15.75" customHeight="1">
      <c r="A5" s="905" t="s">
        <v>451</v>
      </c>
      <c r="B5" s="905"/>
      <c r="C5" s="905"/>
      <c r="D5" s="905"/>
      <c r="E5" s="905"/>
    </row>
    <row r="6" spans="1:12" s="68" customFormat="1" ht="14.25" customHeight="1">
      <c r="A6" s="343" t="s">
        <v>68</v>
      </c>
      <c r="B6" s="345"/>
      <c r="C6" s="345"/>
      <c r="D6" s="345"/>
      <c r="E6" s="345"/>
      <c r="F6" s="346"/>
      <c r="G6" s="346"/>
      <c r="H6" s="346"/>
      <c r="I6" s="346"/>
      <c r="J6" s="346"/>
      <c r="K6" s="346"/>
      <c r="L6" s="346"/>
    </row>
    <row r="7" spans="1:12" s="68" customFormat="1" ht="3.75" customHeight="1">
      <c r="A7" s="67"/>
      <c r="G7" s="346"/>
      <c r="H7" s="346"/>
      <c r="I7" s="346"/>
      <c r="J7" s="346"/>
      <c r="K7" s="346"/>
      <c r="L7" s="346"/>
    </row>
    <row r="8" spans="1:12" s="68" customFormat="1">
      <c r="A8" s="70"/>
      <c r="B8" s="71"/>
      <c r="C8" s="72"/>
      <c r="D8" s="73"/>
      <c r="E8" s="73"/>
      <c r="F8" s="347">
        <v>2014</v>
      </c>
      <c r="G8" s="347">
        <v>2015</v>
      </c>
      <c r="H8" s="348" t="s">
        <v>452</v>
      </c>
      <c r="I8" s="348" t="s">
        <v>592</v>
      </c>
      <c r="J8" s="348" t="s">
        <v>420</v>
      </c>
      <c r="K8" s="711"/>
      <c r="L8" s="711"/>
    </row>
    <row r="9" spans="1:12">
      <c r="A9" s="74" t="s">
        <v>7</v>
      </c>
      <c r="B9" s="75"/>
      <c r="C9" s="76"/>
      <c r="D9" s="77"/>
      <c r="E9" s="77"/>
      <c r="F9" s="78" t="s">
        <v>401</v>
      </c>
      <c r="G9" s="349" t="s">
        <v>401</v>
      </c>
      <c r="H9" s="349" t="s">
        <v>401</v>
      </c>
      <c r="I9" s="349" t="s">
        <v>401</v>
      </c>
      <c r="J9" s="349" t="s">
        <v>401</v>
      </c>
      <c r="K9" s="712"/>
      <c r="L9" s="712"/>
    </row>
    <row r="10" spans="1:12" s="85" customFormat="1">
      <c r="A10" s="79" t="s">
        <v>15</v>
      </c>
      <c r="B10" s="80"/>
      <c r="C10" s="81"/>
      <c r="D10" s="82" t="s">
        <v>16</v>
      </c>
      <c r="E10" s="82"/>
      <c r="F10" s="83" t="s">
        <v>24</v>
      </c>
      <c r="G10" s="350" t="s">
        <v>24</v>
      </c>
      <c r="H10" s="350" t="s">
        <v>24</v>
      </c>
      <c r="I10" s="350" t="s">
        <v>24</v>
      </c>
      <c r="J10" s="350" t="s">
        <v>24</v>
      </c>
      <c r="K10" s="712"/>
      <c r="L10" s="712"/>
    </row>
    <row r="11" spans="1:12">
      <c r="B11" s="64" t="s">
        <v>25</v>
      </c>
      <c r="F11" s="66"/>
      <c r="G11" s="351"/>
      <c r="H11" s="351"/>
      <c r="I11" s="351"/>
      <c r="J11" s="351"/>
      <c r="K11" s="351"/>
      <c r="L11" s="351"/>
    </row>
    <row r="12" spans="1:12">
      <c r="A12" s="84">
        <v>1</v>
      </c>
      <c r="B12" s="85" t="s">
        <v>26</v>
      </c>
      <c r="C12" s="85"/>
      <c r="D12" s="85"/>
      <c r="E12" s="85"/>
      <c r="F12" s="352">
        <v>154546</v>
      </c>
      <c r="G12" s="353">
        <v>149865</v>
      </c>
      <c r="H12" s="353">
        <v>150970</v>
      </c>
      <c r="I12" s="353">
        <v>157743</v>
      </c>
      <c r="J12" s="353">
        <v>146870</v>
      </c>
      <c r="K12" s="353"/>
      <c r="L12" s="353"/>
    </row>
    <row r="13" spans="1:12">
      <c r="A13" s="84">
        <v>2</v>
      </c>
      <c r="B13" s="86" t="s">
        <v>27</v>
      </c>
      <c r="D13" s="86"/>
      <c r="E13" s="86"/>
      <c r="F13" s="354">
        <v>3960</v>
      </c>
      <c r="G13" s="355">
        <v>4054</v>
      </c>
      <c r="H13" s="355">
        <v>4477</v>
      </c>
      <c r="I13" s="355">
        <v>5049</v>
      </c>
      <c r="J13" s="355">
        <v>4960</v>
      </c>
      <c r="K13" s="355"/>
      <c r="L13" s="355"/>
    </row>
    <row r="14" spans="1:12" ht="10.9" customHeight="1">
      <c r="A14" s="84">
        <v>3</v>
      </c>
      <c r="B14" s="86" t="s">
        <v>28</v>
      </c>
      <c r="D14" s="86"/>
      <c r="E14" s="86"/>
      <c r="F14" s="356">
        <v>332</v>
      </c>
      <c r="G14" s="357">
        <v>7129</v>
      </c>
      <c r="H14" s="357">
        <v>1020</v>
      </c>
      <c r="I14" s="357">
        <v>-824</v>
      </c>
      <c r="J14" s="357">
        <v>-4216</v>
      </c>
      <c r="K14" s="367"/>
      <c r="L14" s="367"/>
    </row>
    <row r="15" spans="1:12">
      <c r="A15" s="84">
        <v>4</v>
      </c>
      <c r="B15" s="64" t="s">
        <v>29</v>
      </c>
      <c r="C15" s="86"/>
      <c r="D15" s="86"/>
      <c r="E15" s="86"/>
      <c r="F15" s="354">
        <f>SUM(F12:F14)</f>
        <v>158838</v>
      </c>
      <c r="G15" s="355">
        <f>SUM(G12:G14)</f>
        <v>161048</v>
      </c>
      <c r="H15" s="355">
        <f>SUM(H12:H14)</f>
        <v>156467</v>
      </c>
      <c r="I15" s="355">
        <f t="shared" ref="I15:J15" si="0">SUM(I12:I14)</f>
        <v>161968</v>
      </c>
      <c r="J15" s="355">
        <f t="shared" si="0"/>
        <v>147614</v>
      </c>
      <c r="K15" s="355"/>
      <c r="L15" s="355"/>
    </row>
    <row r="16" spans="1:12" ht="2.25" customHeight="1">
      <c r="C16" s="86"/>
      <c r="D16" s="86"/>
      <c r="E16" s="86"/>
      <c r="F16" s="354"/>
      <c r="G16" s="355"/>
      <c r="H16" s="355"/>
      <c r="I16" s="355"/>
      <c r="J16" s="355"/>
      <c r="K16" s="355"/>
      <c r="L16" s="355"/>
    </row>
    <row r="17" spans="1:12">
      <c r="B17" s="64" t="s">
        <v>30</v>
      </c>
      <c r="C17" s="86"/>
      <c r="D17" s="86"/>
      <c r="E17" s="86"/>
      <c r="F17" s="354"/>
      <c r="G17" s="355"/>
      <c r="H17" s="355"/>
      <c r="I17" s="355"/>
      <c r="J17" s="355"/>
      <c r="K17" s="355"/>
      <c r="L17" s="355"/>
    </row>
    <row r="18" spans="1:12">
      <c r="B18" s="86" t="s">
        <v>175</v>
      </c>
      <c r="D18" s="86"/>
      <c r="E18" s="86"/>
      <c r="F18" s="354"/>
      <c r="G18" s="355"/>
      <c r="H18" s="355"/>
      <c r="I18" s="355"/>
      <c r="J18" s="355"/>
      <c r="K18" s="355"/>
      <c r="L18" s="355"/>
    </row>
    <row r="19" spans="1:12">
      <c r="A19" s="84">
        <v>5</v>
      </c>
      <c r="C19" s="86" t="s">
        <v>31</v>
      </c>
      <c r="D19" s="86"/>
      <c r="E19" s="86"/>
      <c r="F19" s="354">
        <v>84187</v>
      </c>
      <c r="G19" s="355">
        <v>79634</v>
      </c>
      <c r="H19" s="355">
        <v>63460</v>
      </c>
      <c r="I19" s="355">
        <v>64414</v>
      </c>
      <c r="J19" s="355">
        <v>51519</v>
      </c>
      <c r="K19" s="355"/>
      <c r="L19" s="355"/>
    </row>
    <row r="20" spans="1:12">
      <c r="A20" s="84">
        <v>6</v>
      </c>
      <c r="C20" s="86" t="s">
        <v>32</v>
      </c>
      <c r="D20" s="86"/>
      <c r="E20" s="86"/>
      <c r="F20" s="354">
        <v>779</v>
      </c>
      <c r="G20" s="355">
        <v>840</v>
      </c>
      <c r="H20" s="355">
        <v>994</v>
      </c>
      <c r="I20" s="355">
        <v>944</v>
      </c>
      <c r="J20" s="355">
        <v>959</v>
      </c>
      <c r="K20" s="355"/>
      <c r="L20" s="355"/>
    </row>
    <row r="21" spans="1:12" ht="11.45" customHeight="1">
      <c r="A21" s="84">
        <v>7</v>
      </c>
      <c r="C21" s="86" t="s">
        <v>33</v>
      </c>
      <c r="D21" s="86"/>
      <c r="E21" s="86"/>
      <c r="F21" s="356">
        <v>0</v>
      </c>
      <c r="G21" s="357">
        <v>0</v>
      </c>
      <c r="H21" s="357">
        <v>1</v>
      </c>
      <c r="I21" s="357">
        <v>0</v>
      </c>
      <c r="J21" s="357">
        <v>0</v>
      </c>
      <c r="K21" s="367"/>
      <c r="L21" s="367"/>
    </row>
    <row r="22" spans="1:12">
      <c r="A22" s="84">
        <v>8</v>
      </c>
      <c r="B22" s="86" t="s">
        <v>34</v>
      </c>
      <c r="C22" s="86"/>
      <c r="F22" s="354">
        <f t="shared" ref="F22:H22" si="1">SUM(F19:F21)</f>
        <v>84966</v>
      </c>
      <c r="G22" s="355">
        <f t="shared" si="1"/>
        <v>80474</v>
      </c>
      <c r="H22" s="355">
        <f t="shared" si="1"/>
        <v>64455</v>
      </c>
      <c r="I22" s="355">
        <f t="shared" ref="I22:J22" si="2">SUM(I19:I21)</f>
        <v>65358</v>
      </c>
      <c r="J22" s="355">
        <f t="shared" si="2"/>
        <v>52478</v>
      </c>
      <c r="K22" s="355"/>
      <c r="L22" s="355"/>
    </row>
    <row r="23" spans="1:12" ht="2.25" customHeight="1">
      <c r="B23" s="86"/>
      <c r="C23" s="86"/>
      <c r="F23" s="354"/>
      <c r="G23" s="355"/>
      <c r="H23" s="355"/>
      <c r="I23" s="355"/>
      <c r="J23" s="355"/>
      <c r="K23" s="355"/>
      <c r="L23" s="355"/>
    </row>
    <row r="24" spans="1:12">
      <c r="B24" s="86" t="s">
        <v>35</v>
      </c>
      <c r="D24" s="86"/>
      <c r="E24" s="86"/>
      <c r="F24" s="354"/>
      <c r="G24" s="355"/>
      <c r="H24" s="355"/>
      <c r="I24" s="355"/>
      <c r="J24" s="355"/>
      <c r="K24" s="355"/>
      <c r="L24" s="355"/>
    </row>
    <row r="25" spans="1:12">
      <c r="A25" s="84">
        <v>9</v>
      </c>
      <c r="C25" s="86" t="s">
        <v>36</v>
      </c>
      <c r="D25" s="86"/>
      <c r="E25" s="86"/>
      <c r="F25" s="354">
        <v>893</v>
      </c>
      <c r="G25" s="355">
        <v>857</v>
      </c>
      <c r="H25" s="355">
        <v>974</v>
      </c>
      <c r="I25" s="355">
        <v>1032</v>
      </c>
      <c r="J25" s="355">
        <v>1532</v>
      </c>
      <c r="K25" s="355"/>
      <c r="L25" s="355"/>
    </row>
    <row r="26" spans="1:12">
      <c r="A26" s="84">
        <v>10</v>
      </c>
      <c r="C26" s="86" t="s">
        <v>171</v>
      </c>
      <c r="D26" s="86"/>
      <c r="E26" s="86"/>
      <c r="F26" s="354">
        <v>402</v>
      </c>
      <c r="G26" s="355">
        <v>439</v>
      </c>
      <c r="H26" s="355">
        <v>492</v>
      </c>
      <c r="I26" s="355">
        <v>537</v>
      </c>
      <c r="J26" s="355">
        <v>627</v>
      </c>
      <c r="K26" s="355"/>
      <c r="L26" s="355"/>
    </row>
    <row r="27" spans="1:12" ht="12.75" customHeight="1">
      <c r="A27" s="84">
        <v>11</v>
      </c>
      <c r="C27" s="86" t="s">
        <v>20</v>
      </c>
      <c r="D27" s="86"/>
      <c r="E27" s="86"/>
      <c r="F27" s="356">
        <v>184</v>
      </c>
      <c r="G27" s="357">
        <v>196</v>
      </c>
      <c r="H27" s="357">
        <v>210</v>
      </c>
      <c r="I27" s="357">
        <v>85</v>
      </c>
      <c r="J27" s="357">
        <v>224</v>
      </c>
      <c r="K27" s="367"/>
      <c r="L27" s="367"/>
    </row>
    <row r="28" spans="1:12">
      <c r="A28" s="84">
        <v>12</v>
      </c>
      <c r="B28" s="86" t="s">
        <v>38</v>
      </c>
      <c r="C28" s="86"/>
      <c r="F28" s="354">
        <f t="shared" ref="F28:H28" si="3">SUM(F25:F27)</f>
        <v>1479</v>
      </c>
      <c r="G28" s="355">
        <f t="shared" si="3"/>
        <v>1492</v>
      </c>
      <c r="H28" s="355">
        <f t="shared" si="3"/>
        <v>1676</v>
      </c>
      <c r="I28" s="355">
        <f t="shared" ref="I28:J28" si="4">SUM(I25:I27)</f>
        <v>1654</v>
      </c>
      <c r="J28" s="355">
        <f t="shared" si="4"/>
        <v>2383</v>
      </c>
      <c r="K28" s="355"/>
      <c r="L28" s="355"/>
    </row>
    <row r="29" spans="1:12" ht="2.25" customHeight="1">
      <c r="B29" s="86"/>
      <c r="C29" s="86"/>
      <c r="F29" s="354"/>
      <c r="G29" s="355"/>
      <c r="H29" s="355"/>
      <c r="I29" s="355"/>
      <c r="J29" s="355"/>
      <c r="K29" s="355"/>
      <c r="L29" s="355"/>
    </row>
    <row r="30" spans="1:12" ht="11.25" customHeight="1">
      <c r="B30" s="86" t="s">
        <v>39</v>
      </c>
      <c r="D30" s="86"/>
      <c r="E30" s="86"/>
      <c r="F30" s="354"/>
      <c r="G30" s="355"/>
      <c r="H30" s="355"/>
      <c r="I30" s="355"/>
      <c r="J30" s="355"/>
      <c r="K30" s="355"/>
      <c r="L30" s="355"/>
    </row>
    <row r="31" spans="1:12">
      <c r="A31" s="84">
        <v>13</v>
      </c>
      <c r="C31" s="86" t="s">
        <v>36</v>
      </c>
      <c r="D31" s="86"/>
      <c r="E31" s="86"/>
      <c r="F31" s="354">
        <v>10704</v>
      </c>
      <c r="G31" s="355">
        <v>12315</v>
      </c>
      <c r="H31" s="355">
        <v>12050</v>
      </c>
      <c r="I31" s="355">
        <v>12380</v>
      </c>
      <c r="J31" s="355">
        <v>12308</v>
      </c>
      <c r="K31" s="355"/>
      <c r="L31" s="355"/>
    </row>
    <row r="32" spans="1:12" ht="12.95" customHeight="1">
      <c r="A32" s="84">
        <v>14</v>
      </c>
      <c r="C32" s="86" t="s">
        <v>171</v>
      </c>
      <c r="D32" s="86"/>
      <c r="E32" s="86"/>
      <c r="F32" s="354">
        <v>8513</v>
      </c>
      <c r="G32" s="355">
        <v>9088</v>
      </c>
      <c r="H32" s="355">
        <v>9866</v>
      </c>
      <c r="I32" s="355">
        <v>10638</v>
      </c>
      <c r="J32" s="355">
        <v>11629</v>
      </c>
      <c r="K32" s="355"/>
      <c r="L32" s="355"/>
    </row>
    <row r="33" spans="1:12" ht="11.45" customHeight="1">
      <c r="A33" s="84">
        <v>15</v>
      </c>
      <c r="C33" s="86" t="s">
        <v>20</v>
      </c>
      <c r="D33" s="86"/>
      <c r="E33" s="86"/>
      <c r="F33" s="356">
        <v>8719</v>
      </c>
      <c r="G33" s="357">
        <v>8554</v>
      </c>
      <c r="H33" s="357">
        <v>8383</v>
      </c>
      <c r="I33" s="357">
        <v>9144</v>
      </c>
      <c r="J33" s="357">
        <v>9458</v>
      </c>
      <c r="K33" s="367"/>
      <c r="L33" s="367"/>
    </row>
    <row r="34" spans="1:12" ht="12.95" customHeight="1">
      <c r="A34" s="84">
        <v>16</v>
      </c>
      <c r="B34" s="86" t="s">
        <v>40</v>
      </c>
      <c r="C34" s="358"/>
      <c r="F34" s="354">
        <f t="shared" ref="F34:H34" si="5">SUM(F31:F33)</f>
        <v>27936</v>
      </c>
      <c r="G34" s="355">
        <f t="shared" si="5"/>
        <v>29957</v>
      </c>
      <c r="H34" s="355">
        <f t="shared" si="5"/>
        <v>30299</v>
      </c>
      <c r="I34" s="355">
        <f t="shared" ref="I34:J34" si="6">SUM(I31:I33)</f>
        <v>32162</v>
      </c>
      <c r="J34" s="355">
        <f t="shared" si="6"/>
        <v>33395</v>
      </c>
      <c r="K34" s="355"/>
      <c r="L34" s="355"/>
    </row>
    <row r="35" spans="1:12">
      <c r="C35" s="86"/>
      <c r="D35" s="86"/>
      <c r="E35" s="86"/>
      <c r="F35" s="354"/>
      <c r="G35" s="355"/>
      <c r="H35" s="355"/>
      <c r="I35" s="355"/>
      <c r="J35" s="355"/>
      <c r="K35" s="355"/>
      <c r="L35" s="355"/>
    </row>
    <row r="36" spans="1:12">
      <c r="A36" s="84">
        <v>17</v>
      </c>
      <c r="B36" s="64" t="s">
        <v>41</v>
      </c>
      <c r="C36" s="86"/>
      <c r="D36" s="86"/>
      <c r="E36" s="86"/>
      <c r="F36" s="354">
        <v>6108</v>
      </c>
      <c r="G36" s="355">
        <v>6632</v>
      </c>
      <c r="H36" s="355">
        <v>6811</v>
      </c>
      <c r="I36" s="355">
        <v>6991</v>
      </c>
      <c r="J36" s="355">
        <v>6967</v>
      </c>
      <c r="K36" s="355"/>
      <c r="L36" s="355"/>
    </row>
    <row r="37" spans="1:12" ht="11.25" customHeight="1">
      <c r="A37" s="84">
        <v>18</v>
      </c>
      <c r="B37" s="64" t="s">
        <v>42</v>
      </c>
      <c r="C37" s="86"/>
      <c r="D37" s="86"/>
      <c r="E37" s="86"/>
      <c r="F37" s="354">
        <v>865</v>
      </c>
      <c r="G37" s="355">
        <v>837</v>
      </c>
      <c r="H37" s="355">
        <v>964</v>
      </c>
      <c r="I37" s="355">
        <v>1000</v>
      </c>
      <c r="J37" s="355">
        <v>1232</v>
      </c>
      <c r="K37" s="355"/>
      <c r="L37" s="355"/>
    </row>
    <row r="38" spans="1:12">
      <c r="A38" s="84">
        <v>19</v>
      </c>
      <c r="B38" s="64" t="s">
        <v>43</v>
      </c>
      <c r="C38" s="86"/>
      <c r="D38" s="86"/>
      <c r="E38" s="86"/>
      <c r="F38" s="354">
        <v>0</v>
      </c>
      <c r="G38" s="355">
        <v>0</v>
      </c>
      <c r="H38" s="355">
        <v>0</v>
      </c>
      <c r="I38" s="355">
        <v>0</v>
      </c>
      <c r="J38" s="355">
        <v>0</v>
      </c>
      <c r="K38" s="355"/>
      <c r="L38" s="355"/>
    </row>
    <row r="39" spans="1:12" ht="2.25" customHeight="1">
      <c r="C39" s="86"/>
      <c r="D39" s="86"/>
      <c r="E39" s="86"/>
      <c r="F39" s="354"/>
      <c r="G39" s="355"/>
      <c r="H39" s="355"/>
      <c r="I39" s="355"/>
      <c r="J39" s="355"/>
      <c r="K39" s="355"/>
      <c r="L39" s="355"/>
    </row>
    <row r="40" spans="1:12">
      <c r="B40" s="64" t="s">
        <v>44</v>
      </c>
      <c r="C40" s="86"/>
      <c r="D40" s="86"/>
      <c r="E40" s="86"/>
      <c r="F40" s="354"/>
      <c r="G40" s="355"/>
      <c r="H40" s="355"/>
      <c r="I40" s="355"/>
      <c r="J40" s="355"/>
      <c r="K40" s="355"/>
      <c r="L40" s="355"/>
    </row>
    <row r="41" spans="1:12">
      <c r="A41" s="84">
        <v>20</v>
      </c>
      <c r="C41" s="86" t="s">
        <v>36</v>
      </c>
      <c r="D41" s="86"/>
      <c r="E41" s="86"/>
      <c r="F41" s="354">
        <v>12777</v>
      </c>
      <c r="G41" s="355">
        <v>14007</v>
      </c>
      <c r="H41" s="355">
        <v>13267</v>
      </c>
      <c r="I41" s="355">
        <v>13375</v>
      </c>
      <c r="J41" s="355">
        <v>14612</v>
      </c>
      <c r="K41" s="355"/>
      <c r="L41" s="355"/>
    </row>
    <row r="42" spans="1:12">
      <c r="A42" s="84">
        <v>21</v>
      </c>
      <c r="C42" s="86" t="s">
        <v>171</v>
      </c>
      <c r="D42" s="86"/>
      <c r="E42" s="86"/>
      <c r="F42" s="354">
        <f>'Reg Amort and Other RB'!E19</f>
        <v>4389</v>
      </c>
      <c r="G42" s="354">
        <f>'Reg Amort and Other RB'!F19</f>
        <v>5649</v>
      </c>
      <c r="H42" s="354">
        <f>'Reg Amort and Other RB'!G19</f>
        <v>6260</v>
      </c>
      <c r="I42" s="354">
        <f>'Reg Amort and Other RB'!H19</f>
        <v>6864</v>
      </c>
      <c r="J42" s="354">
        <f>'Reg Amort and Other RB'!I19</f>
        <v>7965</v>
      </c>
      <c r="K42" s="355"/>
      <c r="L42" s="355"/>
    </row>
    <row r="43" spans="1:12">
      <c r="A43" s="84">
        <v>22</v>
      </c>
      <c r="C43" s="359" t="s">
        <v>379</v>
      </c>
      <c r="D43" s="86"/>
      <c r="E43" s="86"/>
      <c r="F43" s="354">
        <f>'Reg Amort and Other RB'!E30</f>
        <v>-91</v>
      </c>
      <c r="G43" s="354">
        <f>'Reg Amort and Other RB'!F30</f>
        <v>-2087</v>
      </c>
      <c r="H43" s="354">
        <f>'Reg Amort and Other RB'!G30</f>
        <v>1079</v>
      </c>
      <c r="I43" s="354">
        <f>'Reg Amort and Other RB'!H30</f>
        <v>917</v>
      </c>
      <c r="J43" s="354">
        <f>'Reg Amort and Other RB'!I30</f>
        <v>51</v>
      </c>
      <c r="K43" s="355"/>
      <c r="L43" s="355"/>
    </row>
    <row r="44" spans="1:12" ht="12" customHeight="1">
      <c r="A44" s="84">
        <v>23</v>
      </c>
      <c r="C44" s="86" t="s">
        <v>20</v>
      </c>
      <c r="D44" s="86"/>
      <c r="E44" s="86"/>
      <c r="F44" s="356">
        <v>0</v>
      </c>
      <c r="G44" s="357">
        <v>0</v>
      </c>
      <c r="H44" s="357">
        <v>0</v>
      </c>
      <c r="I44" s="357">
        <v>0</v>
      </c>
      <c r="J44" s="357">
        <v>0</v>
      </c>
      <c r="K44" s="367"/>
      <c r="L44" s="367"/>
    </row>
    <row r="45" spans="1:12" ht="10.9" customHeight="1">
      <c r="A45" s="84">
        <v>24</v>
      </c>
      <c r="B45" s="86" t="s">
        <v>45</v>
      </c>
      <c r="C45" s="86"/>
      <c r="F45" s="356">
        <f t="shared" ref="F45:H45" si="7">SUM(F41:F44)</f>
        <v>17075</v>
      </c>
      <c r="G45" s="357">
        <f t="shared" si="7"/>
        <v>17569</v>
      </c>
      <c r="H45" s="357">
        <f t="shared" si="7"/>
        <v>20606</v>
      </c>
      <c r="I45" s="357">
        <f t="shared" ref="I45:J45" si="8">SUM(I41:I44)</f>
        <v>21156</v>
      </c>
      <c r="J45" s="357">
        <f t="shared" si="8"/>
        <v>22628</v>
      </c>
      <c r="K45" s="367"/>
      <c r="L45" s="367"/>
    </row>
    <row r="46" spans="1:12" ht="12.95" customHeight="1">
      <c r="A46" s="84">
        <v>25</v>
      </c>
      <c r="B46" s="64" t="s">
        <v>46</v>
      </c>
      <c r="C46" s="86"/>
      <c r="D46" s="86"/>
      <c r="E46" s="86"/>
      <c r="F46" s="356">
        <f t="shared" ref="F46:H46" si="9">F22+F28+F34+F36+F37+F38+F45</f>
        <v>138429</v>
      </c>
      <c r="G46" s="357">
        <f t="shared" si="9"/>
        <v>136961</v>
      </c>
      <c r="H46" s="357">
        <f t="shared" si="9"/>
        <v>124811</v>
      </c>
      <c r="I46" s="357">
        <f>I22+I28+I34+I36+I37+I38+I45</f>
        <v>128321</v>
      </c>
      <c r="J46" s="357">
        <f t="shared" ref="J46" si="10">J22+J28+J34+J36+J37+J38+J45</f>
        <v>119083</v>
      </c>
      <c r="K46" s="367"/>
      <c r="L46" s="367"/>
    </row>
    <row r="47" spans="1:12" ht="9" customHeight="1">
      <c r="C47" s="86"/>
      <c r="D47" s="86"/>
      <c r="E47" s="86"/>
      <c r="F47" s="354"/>
      <c r="G47" s="355"/>
      <c r="H47" s="355"/>
      <c r="I47" s="355"/>
      <c r="J47" s="355"/>
      <c r="K47" s="355"/>
      <c r="L47" s="355"/>
    </row>
    <row r="48" spans="1:12" ht="12.95" customHeight="1">
      <c r="A48" s="84">
        <v>26</v>
      </c>
      <c r="B48" s="64" t="s">
        <v>47</v>
      </c>
      <c r="C48" s="86"/>
      <c r="D48" s="86"/>
      <c r="E48" s="86"/>
      <c r="F48" s="354">
        <f t="shared" ref="F48:H48" si="11">F15-F46</f>
        <v>20409</v>
      </c>
      <c r="G48" s="354">
        <f t="shared" si="11"/>
        <v>24087</v>
      </c>
      <c r="H48" s="355">
        <f t="shared" si="11"/>
        <v>31656</v>
      </c>
      <c r="I48" s="355">
        <f t="shared" ref="I48:J48" si="12">I15-I46</f>
        <v>33647</v>
      </c>
      <c r="J48" s="355">
        <f t="shared" si="12"/>
        <v>28531</v>
      </c>
      <c r="K48" s="355"/>
      <c r="L48" s="355"/>
    </row>
    <row r="49" spans="1:12" ht="2.25" customHeight="1">
      <c r="C49" s="86"/>
      <c r="D49" s="86"/>
      <c r="E49" s="86"/>
      <c r="F49" s="354"/>
      <c r="G49" s="355"/>
      <c r="H49" s="355"/>
      <c r="I49" s="355"/>
      <c r="J49" s="355"/>
      <c r="K49" s="355"/>
      <c r="L49" s="355"/>
    </row>
    <row r="50" spans="1:12">
      <c r="B50" s="64" t="s">
        <v>48</v>
      </c>
      <c r="C50" s="86"/>
      <c r="D50" s="86"/>
      <c r="E50" s="86"/>
      <c r="F50" s="354"/>
      <c r="G50" s="355"/>
      <c r="H50" s="355"/>
      <c r="I50" s="355"/>
      <c r="J50" s="355"/>
      <c r="K50" s="355"/>
      <c r="L50" s="355"/>
    </row>
    <row r="51" spans="1:12">
      <c r="A51" s="84">
        <v>27</v>
      </c>
      <c r="B51" s="86" t="s">
        <v>49</v>
      </c>
      <c r="D51" s="86"/>
      <c r="E51" s="86"/>
      <c r="F51" s="354">
        <v>-6945</v>
      </c>
      <c r="G51" s="355">
        <v>-729</v>
      </c>
      <c r="H51" s="355">
        <v>-1133</v>
      </c>
      <c r="I51" s="355">
        <v>2629.7000000000003</v>
      </c>
      <c r="J51" s="355">
        <v>2893.41</v>
      </c>
      <c r="K51" s="355"/>
      <c r="L51" s="355"/>
    </row>
    <row r="52" spans="1:12">
      <c r="A52" s="84">
        <v>28</v>
      </c>
      <c r="B52" s="86" t="s">
        <v>155</v>
      </c>
      <c r="D52" s="86"/>
      <c r="E52" s="86"/>
      <c r="F52" s="354">
        <v>-137</v>
      </c>
      <c r="G52" s="355">
        <v>-37</v>
      </c>
      <c r="H52" s="355">
        <v>11</v>
      </c>
      <c r="I52" s="355">
        <v>13.222891499999999</v>
      </c>
      <c r="J52" s="355">
        <v>43.336355999999995</v>
      </c>
      <c r="K52" s="355"/>
      <c r="L52" s="355"/>
    </row>
    <row r="53" spans="1:12">
      <c r="A53" s="84">
        <v>29</v>
      </c>
      <c r="B53" s="86" t="s">
        <v>50</v>
      </c>
      <c r="D53" s="86"/>
      <c r="E53" s="86"/>
      <c r="F53" s="354">
        <v>13105</v>
      </c>
      <c r="G53" s="355">
        <v>7842</v>
      </c>
      <c r="H53" s="355">
        <v>9923</v>
      </c>
      <c r="I53" s="355">
        <v>6462</v>
      </c>
      <c r="J53" s="355">
        <v>393</v>
      </c>
      <c r="K53" s="355"/>
      <c r="L53" s="355"/>
    </row>
    <row r="54" spans="1:12" s="85" customFormat="1">
      <c r="A54" s="84">
        <v>30</v>
      </c>
      <c r="B54" s="86" t="s">
        <v>51</v>
      </c>
      <c r="C54" s="64"/>
      <c r="D54" s="86"/>
      <c r="E54" s="86"/>
      <c r="F54" s="356">
        <f>-21+1</f>
        <v>-20</v>
      </c>
      <c r="G54" s="357">
        <v>-20</v>
      </c>
      <c r="H54" s="357">
        <v>-17</v>
      </c>
      <c r="I54" s="357">
        <v>-15</v>
      </c>
      <c r="J54" s="357">
        <v>-15</v>
      </c>
      <c r="K54" s="367"/>
      <c r="L54" s="367"/>
    </row>
    <row r="55" spans="1:12" ht="12.75" customHeight="1">
      <c r="F55" s="354"/>
      <c r="G55" s="355"/>
      <c r="H55" s="355"/>
      <c r="I55" s="355"/>
      <c r="J55" s="355"/>
      <c r="K55" s="355"/>
      <c r="L55" s="355"/>
    </row>
    <row r="56" spans="1:12" ht="12.75" customHeight="1" thickBot="1">
      <c r="A56" s="84">
        <v>31</v>
      </c>
      <c r="B56" s="85" t="s">
        <v>52</v>
      </c>
      <c r="C56" s="85"/>
      <c r="D56" s="85"/>
      <c r="E56" s="85"/>
      <c r="F56" s="200">
        <f t="shared" ref="F56" si="13">F48-F51-F52-F53-F54</f>
        <v>14406</v>
      </c>
      <c r="G56" s="360">
        <f>G48-G51-G52-G53-G54</f>
        <v>17031</v>
      </c>
      <c r="H56" s="360">
        <f>H48-H51-H52-H53-H54</f>
        <v>22872</v>
      </c>
      <c r="I56" s="360">
        <f t="shared" ref="I56:J56" si="14">I48-I51-I52-I53-I54</f>
        <v>24557.077108499998</v>
      </c>
      <c r="J56" s="360">
        <f t="shared" si="14"/>
        <v>25216.253644</v>
      </c>
      <c r="K56" s="713"/>
      <c r="L56" s="713"/>
    </row>
    <row r="57" spans="1:12" ht="3.75" customHeight="1" thickTop="1">
      <c r="B57" s="85"/>
      <c r="C57" s="85"/>
      <c r="D57" s="85"/>
      <c r="E57" s="85"/>
    </row>
    <row r="58" spans="1:12" ht="1.5" customHeight="1">
      <c r="B58" s="85"/>
      <c r="C58" s="85"/>
      <c r="D58" s="361"/>
      <c r="E58" s="85"/>
    </row>
    <row r="59" spans="1:12" ht="5.25" hidden="1" customHeight="1">
      <c r="A59" s="906"/>
      <c r="B59" s="906"/>
      <c r="C59" s="906"/>
      <c r="D59" s="906"/>
      <c r="E59" s="906"/>
    </row>
    <row r="60" spans="1:12" ht="21" hidden="1" customHeight="1">
      <c r="A60" s="362" t="s">
        <v>102</v>
      </c>
      <c r="B60" s="363"/>
      <c r="C60" s="363"/>
      <c r="D60" s="363"/>
      <c r="E60" s="363"/>
    </row>
    <row r="61" spans="1:12" ht="14.25" hidden="1" customHeight="1">
      <c r="A61" s="362" t="s">
        <v>172</v>
      </c>
      <c r="B61" s="363"/>
      <c r="C61" s="363"/>
      <c r="D61" s="363"/>
      <c r="E61" s="363"/>
    </row>
    <row r="62" spans="1:12" ht="14.25" hidden="1" customHeight="1">
      <c r="A62" s="907" t="str">
        <f>A5</f>
        <v>Commission Basis Results of Operations</v>
      </c>
      <c r="B62" s="907"/>
      <c r="C62" s="907"/>
      <c r="D62" s="907"/>
      <c r="E62" s="907"/>
    </row>
    <row r="63" spans="1:12" s="68" customFormat="1" ht="14.25" hidden="1">
      <c r="A63" s="362" t="s">
        <v>68</v>
      </c>
      <c r="B63" s="362"/>
      <c r="C63" s="362"/>
      <c r="D63" s="362"/>
      <c r="E63" s="362"/>
      <c r="F63" s="346"/>
      <c r="G63" s="346"/>
      <c r="H63" s="346"/>
      <c r="I63" s="346"/>
      <c r="J63" s="346"/>
      <c r="K63" s="346"/>
      <c r="L63" s="346"/>
    </row>
    <row r="64" spans="1:12" s="68" customFormat="1" ht="5.25" hidden="1" customHeight="1">
      <c r="A64" s="63"/>
      <c r="B64" s="64"/>
      <c r="C64" s="64"/>
      <c r="D64" s="64"/>
      <c r="E64" s="64"/>
      <c r="G64" s="346"/>
      <c r="H64" s="346"/>
      <c r="I64" s="346"/>
      <c r="J64" s="346"/>
      <c r="K64" s="346"/>
      <c r="L64" s="346"/>
    </row>
    <row r="65" spans="1:12" s="68" customFormat="1" ht="6.75" hidden="1" customHeight="1">
      <c r="A65" s="67"/>
      <c r="G65" s="346"/>
      <c r="H65" s="346"/>
      <c r="I65" s="346"/>
      <c r="J65" s="346"/>
      <c r="K65" s="346"/>
      <c r="L65" s="346"/>
    </row>
    <row r="66" spans="1:12" s="68" customFormat="1" hidden="1">
      <c r="A66" s="70"/>
      <c r="B66" s="71"/>
      <c r="C66" s="72"/>
      <c r="D66" s="73"/>
      <c r="E66" s="73"/>
      <c r="F66" s="347">
        <v>2014</v>
      </c>
      <c r="G66" s="347">
        <f>G8</f>
        <v>2015</v>
      </c>
      <c r="H66" s="364" t="str">
        <f>H8</f>
        <v>2016</v>
      </c>
      <c r="I66" s="364" t="str">
        <f t="shared" ref="I66:J66" si="15">I8</f>
        <v>2017</v>
      </c>
      <c r="J66" s="364" t="str">
        <f t="shared" si="15"/>
        <v>2018</v>
      </c>
      <c r="K66" s="714"/>
      <c r="L66" s="714"/>
    </row>
    <row r="67" spans="1:12" hidden="1">
      <c r="A67" s="74" t="s">
        <v>7</v>
      </c>
      <c r="B67" s="75"/>
      <c r="C67" s="76"/>
      <c r="D67" s="77"/>
      <c r="E67" s="77"/>
      <c r="F67" s="78" t="s">
        <v>401</v>
      </c>
      <c r="G67" s="349" t="s">
        <v>401</v>
      </c>
      <c r="H67" s="349" t="s">
        <v>401</v>
      </c>
      <c r="I67" s="349" t="s">
        <v>401</v>
      </c>
      <c r="J67" s="349" t="s">
        <v>401</v>
      </c>
      <c r="K67" s="712"/>
      <c r="L67" s="712"/>
    </row>
    <row r="68" spans="1:12" hidden="1">
      <c r="A68" s="79" t="s">
        <v>15</v>
      </c>
      <c r="B68" s="80"/>
      <c r="C68" s="81"/>
      <c r="D68" s="82" t="s">
        <v>16</v>
      </c>
      <c r="E68" s="82"/>
      <c r="F68" s="83" t="s">
        <v>24</v>
      </c>
      <c r="G68" s="350" t="s">
        <v>24</v>
      </c>
      <c r="H68" s="350" t="s">
        <v>24</v>
      </c>
      <c r="I68" s="350" t="s">
        <v>24</v>
      </c>
      <c r="J68" s="350" t="s">
        <v>24</v>
      </c>
      <c r="K68" s="712"/>
      <c r="L68" s="712"/>
    </row>
    <row r="69" spans="1:12" ht="8.25" hidden="1" customHeight="1">
      <c r="F69" s="354"/>
      <c r="G69" s="355"/>
      <c r="H69" s="355"/>
      <c r="I69" s="355"/>
      <c r="J69" s="355"/>
      <c r="K69" s="355"/>
      <c r="L69" s="355"/>
    </row>
    <row r="70" spans="1:12">
      <c r="B70" s="64" t="s">
        <v>94</v>
      </c>
      <c r="F70" s="354"/>
      <c r="G70" s="355"/>
      <c r="H70" s="355"/>
      <c r="I70" s="355"/>
      <c r="J70" s="355"/>
      <c r="K70" s="355"/>
      <c r="L70" s="355"/>
    </row>
    <row r="71" spans="1:12">
      <c r="B71" s="64" t="s">
        <v>95</v>
      </c>
      <c r="F71" s="354"/>
      <c r="G71" s="355"/>
      <c r="H71" s="355"/>
      <c r="I71" s="355"/>
      <c r="J71" s="355"/>
      <c r="K71" s="355"/>
      <c r="L71" s="355"/>
    </row>
    <row r="72" spans="1:12">
      <c r="A72" s="84">
        <v>32</v>
      </c>
      <c r="B72" s="86"/>
      <c r="C72" s="86" t="s">
        <v>35</v>
      </c>
      <c r="D72" s="86"/>
      <c r="E72" s="86"/>
      <c r="F72" s="352">
        <v>25235</v>
      </c>
      <c r="G72" s="353">
        <v>25720</v>
      </c>
      <c r="H72" s="353">
        <v>26868</v>
      </c>
      <c r="I72" s="353">
        <v>27138</v>
      </c>
      <c r="J72" s="353">
        <v>28442</v>
      </c>
      <c r="K72" s="353"/>
      <c r="L72" s="353"/>
    </row>
    <row r="73" spans="1:12" ht="18" customHeight="1">
      <c r="A73" s="84">
        <v>33</v>
      </c>
      <c r="B73" s="86"/>
      <c r="C73" s="86" t="s">
        <v>53</v>
      </c>
      <c r="D73" s="86"/>
      <c r="E73" s="86"/>
      <c r="F73" s="355">
        <f>'Reg Amort and Other RB'!E41-'Reg Amort and Other RB'!E72</f>
        <v>337894</v>
      </c>
      <c r="G73" s="355">
        <f>'Reg Amort and Other RB'!F41-'Reg Amort and Other RB'!F72</f>
        <v>360612</v>
      </c>
      <c r="H73" s="355">
        <f>'Reg Amort and Other RB'!G41-'Reg Amort and Other RB'!G72</f>
        <v>390508</v>
      </c>
      <c r="I73" s="355">
        <f>'Reg Amort and Other RB'!H41-'Reg Amort and Other RB'!H72</f>
        <v>422774</v>
      </c>
      <c r="J73" s="355">
        <f>'Reg Amort and Other RB'!I41-'Reg Amort and Other RB'!I72</f>
        <v>455595</v>
      </c>
      <c r="K73" s="355"/>
      <c r="L73" s="355"/>
    </row>
    <row r="74" spans="1:12" ht="12.6" customHeight="1">
      <c r="A74" s="84">
        <v>34</v>
      </c>
      <c r="B74" s="86"/>
      <c r="C74" s="86" t="s">
        <v>54</v>
      </c>
      <c r="D74" s="86"/>
      <c r="E74" s="86"/>
      <c r="F74" s="356">
        <v>59169</v>
      </c>
      <c r="G74" s="357">
        <v>75514</v>
      </c>
      <c r="H74" s="357">
        <v>82624</v>
      </c>
      <c r="I74" s="357">
        <v>93491</v>
      </c>
      <c r="J74" s="357">
        <v>114053</v>
      </c>
      <c r="K74" s="367"/>
      <c r="L74" s="367"/>
    </row>
    <row r="75" spans="1:12">
      <c r="A75" s="84">
        <v>35</v>
      </c>
      <c r="B75" s="86" t="s">
        <v>55</v>
      </c>
      <c r="C75" s="86"/>
      <c r="F75" s="355">
        <f>SUM(F72:F74)</f>
        <v>422298</v>
      </c>
      <c r="G75" s="355">
        <f>SUM(G72:G74)</f>
        <v>461846</v>
      </c>
      <c r="H75" s="355">
        <f>SUM(H72:H74)</f>
        <v>500000</v>
      </c>
      <c r="I75" s="355">
        <f t="shared" ref="I75:J75" si="16">SUM(I72:I74)</f>
        <v>543403</v>
      </c>
      <c r="J75" s="355">
        <f t="shared" si="16"/>
        <v>598090</v>
      </c>
      <c r="K75" s="355"/>
      <c r="L75" s="355"/>
    </row>
    <row r="76" spans="1:12" ht="6.75" customHeight="1">
      <c r="B76" s="86"/>
      <c r="C76" s="86"/>
      <c r="F76" s="355"/>
      <c r="G76" s="355"/>
      <c r="H76" s="355"/>
      <c r="I76" s="355"/>
      <c r="J76" s="355"/>
      <c r="K76" s="355"/>
      <c r="L76" s="355"/>
    </row>
    <row r="77" spans="1:12">
      <c r="B77" s="86" t="s">
        <v>173</v>
      </c>
      <c r="C77" s="86"/>
      <c r="D77" s="86"/>
      <c r="E77" s="86"/>
      <c r="F77" s="355"/>
      <c r="G77" s="355"/>
      <c r="H77" s="355"/>
      <c r="I77" s="355"/>
      <c r="J77" s="355"/>
      <c r="K77" s="355"/>
      <c r="L77" s="355"/>
    </row>
    <row r="78" spans="1:12">
      <c r="A78" s="84">
        <v>36</v>
      </c>
      <c r="B78" s="86"/>
      <c r="C78" s="86" t="s">
        <v>35</v>
      </c>
      <c r="D78" s="86"/>
      <c r="E78" s="86"/>
      <c r="F78" s="355">
        <v>9521</v>
      </c>
      <c r="G78" s="355">
        <v>9906</v>
      </c>
      <c r="H78" s="355">
        <v>10318</v>
      </c>
      <c r="I78" s="355">
        <v>10493</v>
      </c>
      <c r="J78" s="355">
        <v>11051</v>
      </c>
      <c r="K78" s="355"/>
      <c r="L78" s="355"/>
    </row>
    <row r="79" spans="1:12">
      <c r="A79" s="84">
        <v>37</v>
      </c>
      <c r="B79" s="86"/>
      <c r="C79" s="86" t="s">
        <v>53</v>
      </c>
      <c r="D79" s="86"/>
      <c r="E79" s="86"/>
      <c r="F79" s="355">
        <v>114795</v>
      </c>
      <c r="G79" s="355">
        <v>121623</v>
      </c>
      <c r="H79" s="355">
        <v>129098</v>
      </c>
      <c r="I79" s="355">
        <v>136840</v>
      </c>
      <c r="J79" s="355">
        <v>144969</v>
      </c>
      <c r="K79" s="355"/>
      <c r="L79" s="355"/>
    </row>
    <row r="80" spans="1:12">
      <c r="A80" s="84">
        <v>38</v>
      </c>
      <c r="B80" s="86"/>
      <c r="C80" s="86" t="s">
        <v>54</v>
      </c>
      <c r="D80" s="86"/>
      <c r="E80" s="86"/>
      <c r="F80" s="355">
        <v>17429</v>
      </c>
      <c r="G80" s="355">
        <v>20741</v>
      </c>
      <c r="H80" s="355">
        <v>23473</v>
      </c>
      <c r="I80" s="355">
        <v>27497</v>
      </c>
      <c r="J80" s="355">
        <v>32354</v>
      </c>
      <c r="K80" s="355"/>
      <c r="L80" s="355"/>
    </row>
    <row r="81" spans="1:12" s="89" customFormat="1" ht="18.95" customHeight="1">
      <c r="A81" s="84">
        <v>39</v>
      </c>
      <c r="B81" s="86" t="s">
        <v>383</v>
      </c>
      <c r="C81" s="86"/>
      <c r="D81" s="64"/>
      <c r="E81" s="64"/>
      <c r="F81" s="365">
        <f t="shared" ref="F81:H81" si="17">SUM(F78:F80)</f>
        <v>141745</v>
      </c>
      <c r="G81" s="365">
        <f t="shared" si="17"/>
        <v>152270</v>
      </c>
      <c r="H81" s="365">
        <f t="shared" si="17"/>
        <v>162889</v>
      </c>
      <c r="I81" s="365">
        <f t="shared" ref="I81:J81" si="18">SUM(I78:I80)</f>
        <v>174830</v>
      </c>
      <c r="J81" s="365">
        <f t="shared" si="18"/>
        <v>188374</v>
      </c>
      <c r="K81" s="367"/>
      <c r="L81" s="367"/>
    </row>
    <row r="82" spans="1:12" s="89" customFormat="1" ht="18.95" customHeight="1">
      <c r="A82" s="84">
        <v>40</v>
      </c>
      <c r="B82" s="86" t="s">
        <v>148</v>
      </c>
      <c r="C82" s="86"/>
      <c r="D82" s="86"/>
      <c r="E82" s="86"/>
      <c r="F82" s="367">
        <f t="shared" ref="F82" si="19">F75-F81</f>
        <v>280553</v>
      </c>
      <c r="G82" s="367">
        <f>G75-G81</f>
        <v>309576</v>
      </c>
      <c r="H82" s="367">
        <f>H75-H81</f>
        <v>337111</v>
      </c>
      <c r="I82" s="367">
        <f t="shared" ref="I82:J82" si="20">I75-I81</f>
        <v>368573</v>
      </c>
      <c r="J82" s="367">
        <f t="shared" si="20"/>
        <v>409716</v>
      </c>
      <c r="K82" s="367"/>
      <c r="L82" s="367"/>
    </row>
    <row r="83" spans="1:12">
      <c r="A83" s="87">
        <v>41</v>
      </c>
      <c r="B83" s="88" t="s">
        <v>100</v>
      </c>
      <c r="C83" s="88"/>
      <c r="D83" s="88"/>
      <c r="E83" s="88"/>
      <c r="F83" s="357">
        <f>'Reg Amort and Other RB'!E51-'Reg Amort and Other RB'!E73</f>
        <v>-54652</v>
      </c>
      <c r="G83" s="357">
        <f>'Reg Amort and Other RB'!F51+'Reg Amort and Other RB'!F73</f>
        <v>-64929</v>
      </c>
      <c r="H83" s="357">
        <f>'Reg Amort and Other RB'!G51+'Reg Amort and Other RB'!G73</f>
        <v>-74181</v>
      </c>
      <c r="I83" s="357">
        <f>'Reg Amort and Other RB'!H51+'Reg Amort and Other RB'!H73</f>
        <v>-83133</v>
      </c>
      <c r="J83" s="357">
        <f>'Reg Amort and Other RB'!I51+'Reg Amort and Other RB'!I73</f>
        <v>-89585</v>
      </c>
      <c r="K83" s="367"/>
      <c r="L83" s="367"/>
    </row>
    <row r="84" spans="1:12" s="89" customFormat="1">
      <c r="A84" s="87">
        <v>42</v>
      </c>
      <c r="B84" s="88" t="s">
        <v>174</v>
      </c>
      <c r="C84" s="88"/>
      <c r="D84" s="88"/>
      <c r="E84" s="88"/>
      <c r="F84" s="367">
        <f t="shared" ref="F84" si="21">F82+F83</f>
        <v>225901</v>
      </c>
      <c r="G84" s="367">
        <f>G82+G83</f>
        <v>244647</v>
      </c>
      <c r="H84" s="367">
        <f>H82+H83</f>
        <v>262930</v>
      </c>
      <c r="I84" s="367">
        <f t="shared" ref="I84:J84" si="22">I82+I83</f>
        <v>285440</v>
      </c>
      <c r="J84" s="367">
        <f t="shared" si="22"/>
        <v>320131</v>
      </c>
      <c r="K84" s="367"/>
      <c r="L84" s="367"/>
    </row>
    <row r="85" spans="1:12" s="89" customFormat="1">
      <c r="A85" s="84">
        <v>43</v>
      </c>
      <c r="B85" s="86" t="s">
        <v>57</v>
      </c>
      <c r="C85" s="86"/>
      <c r="D85" s="86"/>
      <c r="E85" s="86"/>
      <c r="F85" s="355">
        <v>14762</v>
      </c>
      <c r="G85" s="355">
        <v>12740</v>
      </c>
      <c r="H85" s="355">
        <v>9116</v>
      </c>
      <c r="I85" s="355">
        <v>10595</v>
      </c>
      <c r="J85" s="355">
        <v>8355</v>
      </c>
      <c r="K85" s="355"/>
      <c r="L85" s="355"/>
    </row>
    <row r="86" spans="1:12">
      <c r="A86" s="87">
        <v>44</v>
      </c>
      <c r="B86" s="88" t="s">
        <v>58</v>
      </c>
      <c r="C86" s="88"/>
      <c r="D86" s="88"/>
      <c r="E86" s="88"/>
      <c r="F86" s="366">
        <v>0</v>
      </c>
      <c r="G86" s="367">
        <v>0</v>
      </c>
      <c r="H86" s="367">
        <v>0</v>
      </c>
      <c r="I86" s="367">
        <v>0</v>
      </c>
      <c r="J86" s="367">
        <v>0</v>
      </c>
      <c r="K86" s="367"/>
      <c r="L86" s="367"/>
    </row>
    <row r="87" spans="1:12" ht="15" customHeight="1">
      <c r="A87" s="87">
        <v>45</v>
      </c>
      <c r="B87" s="88" t="s">
        <v>384</v>
      </c>
      <c r="C87" s="88"/>
      <c r="D87" s="88"/>
      <c r="E87" s="88"/>
      <c r="F87" s="367">
        <f>'Reg Amort and Other RB'!E70</f>
        <v>-479</v>
      </c>
      <c r="G87" s="367">
        <f>'Reg Amort and Other RB'!F74</f>
        <v>-485</v>
      </c>
      <c r="H87" s="367">
        <f>'Reg Amort and Other RB'!G74</f>
        <v>-249</v>
      </c>
      <c r="I87" s="367">
        <f>'Reg Amort and Other RB'!H74</f>
        <v>2064</v>
      </c>
      <c r="J87" s="367">
        <f>'Reg Amort and Other RB'!I74</f>
        <v>5331</v>
      </c>
      <c r="K87" s="367"/>
      <c r="L87" s="367"/>
    </row>
    <row r="88" spans="1:12" ht="13.15" customHeight="1">
      <c r="A88" s="84">
        <v>46</v>
      </c>
      <c r="B88" s="86" t="s">
        <v>151</v>
      </c>
      <c r="C88" s="86"/>
      <c r="D88" s="86"/>
      <c r="E88" s="86"/>
      <c r="F88" s="356">
        <v>10073</v>
      </c>
      <c r="G88" s="357">
        <v>16069</v>
      </c>
      <c r="H88" s="357">
        <v>14800</v>
      </c>
      <c r="I88" s="357">
        <v>15075</v>
      </c>
      <c r="J88" s="357">
        <v>7549</v>
      </c>
      <c r="K88" s="367"/>
      <c r="L88" s="367"/>
    </row>
    <row r="89" spans="1:12" s="199" customFormat="1" ht="3" customHeight="1">
      <c r="A89" s="84"/>
      <c r="B89" s="64"/>
      <c r="C89" s="64"/>
      <c r="D89" s="64"/>
      <c r="E89" s="64"/>
      <c r="F89" s="66"/>
      <c r="G89" s="351"/>
      <c r="H89" s="351"/>
      <c r="I89" s="351"/>
      <c r="J89" s="351"/>
      <c r="K89" s="351"/>
      <c r="L89" s="351"/>
    </row>
    <row r="90" spans="1:12" s="90" customFormat="1" hidden="1">
      <c r="A90" s="84"/>
      <c r="B90" s="64"/>
      <c r="C90" s="64"/>
      <c r="D90" s="64"/>
      <c r="E90" s="64"/>
      <c r="F90" s="354"/>
      <c r="G90" s="355"/>
      <c r="H90" s="355"/>
      <c r="I90" s="355"/>
      <c r="J90" s="355"/>
      <c r="K90" s="355"/>
      <c r="L90" s="355"/>
    </row>
    <row r="91" spans="1:12" s="90" customFormat="1" ht="12.75" thickBot="1">
      <c r="A91" s="67">
        <v>47</v>
      </c>
      <c r="B91" s="199" t="s">
        <v>59</v>
      </c>
      <c r="C91" s="199"/>
      <c r="D91" s="199"/>
      <c r="E91" s="199"/>
      <c r="F91" s="200">
        <f t="shared" ref="F91:H91" si="23">SUM(F84:F88)</f>
        <v>250257</v>
      </c>
      <c r="G91" s="360">
        <f t="shared" si="23"/>
        <v>272971</v>
      </c>
      <c r="H91" s="360">
        <f t="shared" si="23"/>
        <v>286597</v>
      </c>
      <c r="I91" s="360">
        <f t="shared" ref="I91:J91" si="24">SUM(I84:I88)</f>
        <v>313174</v>
      </c>
      <c r="J91" s="360">
        <f t="shared" si="24"/>
        <v>341366</v>
      </c>
      <c r="K91" s="713"/>
      <c r="L91" s="713"/>
    </row>
    <row r="92" spans="1:12" s="90" customFormat="1" ht="5.25" customHeight="1" thickTop="1">
      <c r="A92" s="67"/>
      <c r="B92" s="199"/>
      <c r="C92" s="199"/>
      <c r="D92" s="199"/>
      <c r="E92" s="199"/>
    </row>
    <row r="93" spans="1:12" s="90" customFormat="1" ht="4.5" customHeight="1">
      <c r="A93" s="91"/>
      <c r="D93" s="361"/>
      <c r="E93" s="92"/>
    </row>
    <row r="94" spans="1:12" s="90" customFormat="1" ht="4.5" customHeight="1">
      <c r="A94" s="91"/>
      <c r="D94" s="361"/>
      <c r="E94" s="92"/>
    </row>
    <row r="95" spans="1:12" s="90" customFormat="1" ht="12.75">
      <c r="A95" s="368" t="s">
        <v>102</v>
      </c>
      <c r="D95" s="361"/>
      <c r="E95" s="92"/>
    </row>
    <row r="96" spans="1:12" s="90" customFormat="1" ht="12.75">
      <c r="A96" s="368" t="s">
        <v>172</v>
      </c>
      <c r="D96" s="361"/>
      <c r="E96" s="92"/>
    </row>
    <row r="97" spans="1:17" s="90" customFormat="1" ht="12.75">
      <c r="A97" s="368" t="s">
        <v>68</v>
      </c>
      <c r="D97" s="361"/>
      <c r="E97" s="92"/>
    </row>
    <row r="98" spans="1:17" s="90" customFormat="1" ht="14.25" customHeight="1">
      <c r="A98" s="369" t="s">
        <v>453</v>
      </c>
      <c r="B98" s="369"/>
      <c r="C98" s="369"/>
      <c r="D98" s="369"/>
      <c r="E98" s="369"/>
      <c r="F98" s="346"/>
      <c r="G98" s="346"/>
      <c r="H98" s="346"/>
      <c r="I98" s="346"/>
      <c r="J98" s="346"/>
      <c r="K98" s="346"/>
      <c r="L98" s="346"/>
    </row>
    <row r="99" spans="1:17" s="90" customFormat="1" ht="3" customHeight="1">
      <c r="A99" s="91"/>
      <c r="D99" s="361"/>
      <c r="E99" s="92"/>
    </row>
    <row r="100" spans="1:17" s="90" customFormat="1" ht="12" customHeight="1" thickBot="1">
      <c r="A100" s="91"/>
      <c r="D100" s="361"/>
      <c r="E100" s="92"/>
      <c r="F100" s="676">
        <f>F8</f>
        <v>2014</v>
      </c>
      <c r="G100" s="676">
        <f>G8</f>
        <v>2015</v>
      </c>
      <c r="H100" s="677" t="str">
        <f>H8</f>
        <v>2016</v>
      </c>
      <c r="I100" s="677" t="str">
        <f t="shared" ref="I100:J100" si="25">I8</f>
        <v>2017</v>
      </c>
      <c r="J100" s="677" t="str">
        <f t="shared" si="25"/>
        <v>2018</v>
      </c>
      <c r="K100" s="715"/>
      <c r="L100" s="715"/>
    </row>
    <row r="101" spans="1:17" s="90" customFormat="1" ht="24">
      <c r="A101" s="370" t="s">
        <v>454</v>
      </c>
      <c r="D101" s="371" t="s">
        <v>455</v>
      </c>
      <c r="E101" s="92"/>
      <c r="F101" s="351"/>
      <c r="G101" s="351"/>
      <c r="H101" s="351"/>
      <c r="I101" s="351"/>
      <c r="J101" s="351"/>
      <c r="K101" s="351"/>
      <c r="L101" s="351"/>
    </row>
    <row r="102" spans="1:17" s="90" customFormat="1">
      <c r="A102" s="91">
        <v>1</v>
      </c>
      <c r="C102" s="90" t="s">
        <v>35</v>
      </c>
      <c r="E102" s="372" t="s">
        <v>456</v>
      </c>
      <c r="F102" s="62">
        <f>F25</f>
        <v>893</v>
      </c>
      <c r="G102" s="62">
        <f>G25</f>
        <v>857</v>
      </c>
      <c r="H102" s="62">
        <f>H25</f>
        <v>974</v>
      </c>
      <c r="I102" s="62">
        <f t="shared" ref="I102:J102" si="26">I25</f>
        <v>1032</v>
      </c>
      <c r="J102" s="62">
        <f t="shared" si="26"/>
        <v>1532</v>
      </c>
      <c r="K102" s="62"/>
      <c r="L102" s="62"/>
    </row>
    <row r="103" spans="1:17" s="90" customFormat="1">
      <c r="A103" s="91">
        <v>2</v>
      </c>
      <c r="C103" s="90" t="s">
        <v>39</v>
      </c>
      <c r="E103" s="372" t="s">
        <v>457</v>
      </c>
      <c r="F103" s="62">
        <f>F31</f>
        <v>10704</v>
      </c>
      <c r="G103" s="62">
        <f>G31</f>
        <v>12315</v>
      </c>
      <c r="H103" s="62">
        <f>H31</f>
        <v>12050</v>
      </c>
      <c r="I103" s="62">
        <f t="shared" ref="I103:J103" si="27">I31</f>
        <v>12380</v>
      </c>
      <c r="J103" s="62">
        <f t="shared" si="27"/>
        <v>12308</v>
      </c>
      <c r="K103" s="62"/>
      <c r="L103" s="62"/>
    </row>
    <row r="104" spans="1:17" s="90" customFormat="1">
      <c r="A104" s="91">
        <v>3</v>
      </c>
      <c r="C104" s="90" t="s">
        <v>41</v>
      </c>
      <c r="E104" s="372" t="s">
        <v>458</v>
      </c>
      <c r="F104" s="62">
        <f t="shared" ref="F104:H106" si="28">F36</f>
        <v>6108</v>
      </c>
      <c r="G104" s="62">
        <f t="shared" si="28"/>
        <v>6632</v>
      </c>
      <c r="H104" s="62">
        <f t="shared" si="28"/>
        <v>6811</v>
      </c>
      <c r="I104" s="62">
        <f t="shared" ref="I104:J104" si="29">I36</f>
        <v>6991</v>
      </c>
      <c r="J104" s="62">
        <f t="shared" si="29"/>
        <v>6967</v>
      </c>
      <c r="K104" s="62"/>
      <c r="L104" s="62"/>
    </row>
    <row r="105" spans="1:17" s="90" customFormat="1">
      <c r="A105" s="91">
        <v>4</v>
      </c>
      <c r="C105" s="90" t="s">
        <v>459</v>
      </c>
      <c r="E105" s="372" t="s">
        <v>460</v>
      </c>
      <c r="F105" s="62">
        <f t="shared" si="28"/>
        <v>865</v>
      </c>
      <c r="G105" s="62">
        <f t="shared" si="28"/>
        <v>837</v>
      </c>
      <c r="H105" s="62">
        <f t="shared" si="28"/>
        <v>964</v>
      </c>
      <c r="I105" s="62">
        <f t="shared" ref="I105:J105" si="30">I37</f>
        <v>1000</v>
      </c>
      <c r="J105" s="62">
        <f t="shared" si="30"/>
        <v>1232</v>
      </c>
      <c r="K105" s="62"/>
      <c r="L105" s="62"/>
    </row>
    <row r="106" spans="1:17" s="90" customFormat="1">
      <c r="A106" s="91">
        <v>5</v>
      </c>
      <c r="C106" s="90" t="s">
        <v>86</v>
      </c>
      <c r="E106" s="372" t="s">
        <v>461</v>
      </c>
      <c r="F106" s="62">
        <f t="shared" si="28"/>
        <v>0</v>
      </c>
      <c r="G106" s="62">
        <f t="shared" si="28"/>
        <v>0</v>
      </c>
      <c r="H106" s="62">
        <f t="shared" si="28"/>
        <v>0</v>
      </c>
      <c r="I106" s="62">
        <f t="shared" ref="I106:J106" si="31">I38</f>
        <v>0</v>
      </c>
      <c r="J106" s="62">
        <f t="shared" si="31"/>
        <v>0</v>
      </c>
      <c r="K106" s="62"/>
      <c r="L106" s="62"/>
    </row>
    <row r="107" spans="1:17" s="90" customFormat="1">
      <c r="A107" s="91">
        <v>6</v>
      </c>
      <c r="C107" s="90" t="s">
        <v>87</v>
      </c>
      <c r="E107" s="372" t="s">
        <v>462</v>
      </c>
      <c r="F107" s="62">
        <f>F41</f>
        <v>12777</v>
      </c>
      <c r="G107" s="62">
        <f>G41</f>
        <v>14007</v>
      </c>
      <c r="H107" s="62">
        <f>H41</f>
        <v>13267</v>
      </c>
      <c r="I107" s="62">
        <f t="shared" ref="I107:J107" si="32">I41</f>
        <v>13375</v>
      </c>
      <c r="J107" s="62">
        <f t="shared" si="32"/>
        <v>14612</v>
      </c>
      <c r="K107" s="62"/>
      <c r="L107" s="62"/>
    </row>
    <row r="108" spans="1:17" s="90" customFormat="1">
      <c r="A108" s="91">
        <v>7</v>
      </c>
      <c r="B108" s="90" t="s">
        <v>463</v>
      </c>
      <c r="F108" s="373">
        <f>SUM(F102:F107)</f>
        <v>31347</v>
      </c>
      <c r="G108" s="373">
        <f>SUM(G102:G107)</f>
        <v>34648</v>
      </c>
      <c r="H108" s="373">
        <f>SUM(H102:H107)</f>
        <v>34066</v>
      </c>
      <c r="I108" s="373">
        <f t="shared" ref="I108:J108" si="33">SUM(I102:I107)</f>
        <v>34778</v>
      </c>
      <c r="J108" s="373">
        <f t="shared" si="33"/>
        <v>36651</v>
      </c>
      <c r="K108" s="641"/>
      <c r="L108" s="641"/>
    </row>
    <row r="109" spans="1:17" s="90" customFormat="1">
      <c r="A109" s="91">
        <v>8</v>
      </c>
      <c r="C109" s="90" t="s">
        <v>464</v>
      </c>
      <c r="F109" s="62">
        <f>'Riders and Gas Cost Revenue'!I63</f>
        <v>779</v>
      </c>
      <c r="G109" s="62">
        <f>'Riders and Gas Cost Revenue'!L63</f>
        <v>840</v>
      </c>
      <c r="H109" s="62">
        <f>'Riders and Gas Cost Revenue'!O63</f>
        <v>994</v>
      </c>
      <c r="I109" s="62">
        <f>'Riders and Gas Cost Revenue'!Q63</f>
        <v>944</v>
      </c>
      <c r="J109" s="62">
        <f>'Riders and Gas Cost Revenue'!S63</f>
        <v>959</v>
      </c>
      <c r="K109" s="62"/>
      <c r="L109" s="62"/>
    </row>
    <row r="110" spans="1:17" s="90" customFormat="1" ht="12" customHeight="1">
      <c r="A110" s="91">
        <v>9</v>
      </c>
      <c r="C110" s="90" t="s">
        <v>465</v>
      </c>
      <c r="F110" s="62">
        <f>SUM('Riders and Gas Cost Revenue'!I35:I40)</f>
        <v>-602</v>
      </c>
      <c r="G110" s="62">
        <f>SUM('Riders and Gas Cost Revenue'!L35:L40)</f>
        <v>-570</v>
      </c>
      <c r="H110" s="62">
        <f>SUM('Riders and Gas Cost Revenue'!O35:O40)</f>
        <v>-454</v>
      </c>
      <c r="I110" s="62">
        <f>SUM('Riders and Gas Cost Revenue'!Q35:Q40)</f>
        <v>-461</v>
      </c>
      <c r="J110" s="62">
        <f>SUM('Riders and Gas Cost Revenue'!S35:S40)</f>
        <v>-312</v>
      </c>
      <c r="K110" s="62"/>
      <c r="L110" s="62"/>
      <c r="M110" s="374"/>
      <c r="N110" s="374"/>
      <c r="O110" s="374"/>
      <c r="P110" s="374"/>
      <c r="Q110" s="374"/>
    </row>
    <row r="111" spans="1:17" s="90" customFormat="1">
      <c r="A111" s="91">
        <v>10</v>
      </c>
      <c r="C111" s="90" t="s">
        <v>466</v>
      </c>
      <c r="F111" s="62">
        <v>0</v>
      </c>
      <c r="G111" s="62">
        <v>0</v>
      </c>
      <c r="H111" s="62">
        <v>0</v>
      </c>
      <c r="I111" s="62">
        <v>0</v>
      </c>
      <c r="J111" s="62">
        <v>0</v>
      </c>
      <c r="K111" s="62"/>
      <c r="L111" s="62"/>
      <c r="M111" s="375"/>
      <c r="N111" s="375"/>
      <c r="O111" s="375"/>
      <c r="P111" s="375"/>
      <c r="Q111" s="374"/>
    </row>
    <row r="112" spans="1:17">
      <c r="A112" s="91">
        <v>11</v>
      </c>
      <c r="B112" s="90"/>
      <c r="C112" s="90" t="s">
        <v>467</v>
      </c>
      <c r="D112" s="90"/>
      <c r="E112" s="90"/>
      <c r="F112" s="376">
        <v>0</v>
      </c>
      <c r="G112" s="376">
        <v>0</v>
      </c>
      <c r="H112" s="376">
        <v>0</v>
      </c>
      <c r="I112" s="376">
        <v>0</v>
      </c>
      <c r="J112" s="376">
        <v>0</v>
      </c>
      <c r="K112" s="641"/>
      <c r="L112" s="641"/>
      <c r="M112" s="377"/>
      <c r="N112" s="377"/>
      <c r="O112" s="377"/>
      <c r="P112" s="377"/>
      <c r="Q112" s="374"/>
    </row>
    <row r="113" spans="1:17" ht="12.75" thickBot="1">
      <c r="A113" s="91">
        <v>12</v>
      </c>
      <c r="B113" s="378" t="s">
        <v>468</v>
      </c>
      <c r="C113" s="378"/>
      <c r="D113" s="378"/>
      <c r="E113" s="378"/>
      <c r="F113" s="379">
        <f t="shared" ref="F113:H113" si="34">SUM(F108:F112)</f>
        <v>31524</v>
      </c>
      <c r="G113" s="379">
        <f t="shared" si="34"/>
        <v>34918</v>
      </c>
      <c r="H113" s="379">
        <f t="shared" si="34"/>
        <v>34606</v>
      </c>
      <c r="I113" s="379">
        <f t="shared" ref="I113:J113" si="35">SUM(I108:I112)</f>
        <v>35261</v>
      </c>
      <c r="J113" s="379">
        <f t="shared" si="35"/>
        <v>37298</v>
      </c>
      <c r="K113" s="386"/>
      <c r="L113" s="386"/>
      <c r="M113" s="380"/>
      <c r="N113" s="380"/>
      <c r="O113" s="380"/>
      <c r="P113" s="380"/>
      <c r="Q113" s="374"/>
    </row>
    <row r="114" spans="1:17" ht="12.75" thickTop="1">
      <c r="A114" s="91"/>
      <c r="D114" s="64" t="s">
        <v>469</v>
      </c>
      <c r="F114" s="381"/>
      <c r="G114" s="382">
        <f>(G113-F113)/F113</f>
        <v>0.10766400203019921</v>
      </c>
      <c r="H114" s="382">
        <f>(H113-G113)/G113</f>
        <v>-8.9352196574832461E-3</v>
      </c>
      <c r="I114" s="382">
        <f>(I113-H113)/H113</f>
        <v>1.892735363809744E-2</v>
      </c>
      <c r="J114" s="382">
        <f>(J113-I113)/I113</f>
        <v>5.7769206772354725E-2</v>
      </c>
      <c r="K114" s="382"/>
      <c r="L114" s="722"/>
      <c r="M114" s="383"/>
      <c r="N114" s="383"/>
      <c r="O114" s="383"/>
      <c r="P114" s="383"/>
      <c r="Q114" s="374"/>
    </row>
    <row r="115" spans="1:17" ht="4.5" customHeight="1">
      <c r="A115" s="91"/>
      <c r="E115" s="90"/>
      <c r="F115" s="66"/>
      <c r="G115" s="351"/>
      <c r="H115" s="351"/>
      <c r="I115" s="351"/>
      <c r="J115" s="351"/>
      <c r="K115" s="351"/>
      <c r="L115" s="351"/>
      <c r="M115" s="374"/>
      <c r="N115" s="374"/>
      <c r="O115" s="374"/>
      <c r="P115" s="374"/>
      <c r="Q115" s="374"/>
    </row>
    <row r="116" spans="1:17">
      <c r="A116" s="91"/>
      <c r="D116" s="97" t="s">
        <v>171</v>
      </c>
      <c r="F116" s="66"/>
      <c r="G116" s="351"/>
      <c r="H116" s="351"/>
      <c r="I116" s="351"/>
      <c r="J116" s="351"/>
      <c r="K116" s="351"/>
      <c r="L116" s="351"/>
      <c r="M116" s="374"/>
      <c r="N116" s="374"/>
      <c r="O116" s="374"/>
      <c r="P116" s="374"/>
      <c r="Q116" s="374"/>
    </row>
    <row r="117" spans="1:17">
      <c r="A117" s="91">
        <v>13</v>
      </c>
      <c r="C117" s="90" t="s">
        <v>35</v>
      </c>
      <c r="D117" s="97"/>
      <c r="E117" s="372" t="s">
        <v>470</v>
      </c>
      <c r="F117" s="65">
        <f>F26</f>
        <v>402</v>
      </c>
      <c r="G117" s="62">
        <f>G26</f>
        <v>439</v>
      </c>
      <c r="H117" s="62">
        <f>H26</f>
        <v>492</v>
      </c>
      <c r="I117" s="62">
        <f t="shared" ref="I117:J117" si="36">I26</f>
        <v>537</v>
      </c>
      <c r="J117" s="62">
        <f t="shared" si="36"/>
        <v>627</v>
      </c>
      <c r="K117" s="62"/>
      <c r="L117" s="62"/>
      <c r="M117" s="374"/>
      <c r="N117" s="374"/>
      <c r="O117" s="374"/>
      <c r="P117" s="374"/>
      <c r="Q117" s="374"/>
    </row>
    <row r="118" spans="1:17">
      <c r="A118" s="91">
        <v>14</v>
      </c>
      <c r="C118" s="90" t="s">
        <v>39</v>
      </c>
      <c r="E118" s="372" t="s">
        <v>471</v>
      </c>
      <c r="F118" s="65">
        <f>F32</f>
        <v>8513</v>
      </c>
      <c r="G118" s="62">
        <f>G32</f>
        <v>9088</v>
      </c>
      <c r="H118" s="62">
        <f>H32</f>
        <v>9866</v>
      </c>
      <c r="I118" s="62">
        <f t="shared" ref="I118:J118" si="37">I32</f>
        <v>10638</v>
      </c>
      <c r="J118" s="62">
        <f t="shared" si="37"/>
        <v>11629</v>
      </c>
      <c r="K118" s="62"/>
      <c r="L118" s="62"/>
      <c r="M118" s="89"/>
      <c r="N118" s="908"/>
      <c r="O118" s="908"/>
      <c r="P118" s="908"/>
      <c r="Q118" s="89"/>
    </row>
    <row r="119" spans="1:17">
      <c r="A119" s="91">
        <v>15</v>
      </c>
      <c r="C119" s="64" t="s">
        <v>44</v>
      </c>
      <c r="E119" s="372" t="s">
        <v>472</v>
      </c>
      <c r="F119" s="65">
        <f>F42</f>
        <v>4389</v>
      </c>
      <c r="G119" s="62">
        <f>G42</f>
        <v>5649</v>
      </c>
      <c r="H119" s="62">
        <f>H42</f>
        <v>6260</v>
      </c>
      <c r="I119" s="62">
        <f t="shared" ref="I119:J119" si="38">I42</f>
        <v>6864</v>
      </c>
      <c r="J119" s="62">
        <f t="shared" si="38"/>
        <v>7965</v>
      </c>
      <c r="K119" s="62"/>
      <c r="L119" s="62"/>
      <c r="M119" s="377"/>
      <c r="N119" s="377"/>
      <c r="O119" s="377"/>
      <c r="P119" s="377"/>
      <c r="Q119" s="89"/>
    </row>
    <row r="120" spans="1:17" ht="12.75" thickBot="1">
      <c r="A120" s="91">
        <v>16</v>
      </c>
      <c r="B120" s="384" t="s">
        <v>473</v>
      </c>
      <c r="E120" s="372"/>
      <c r="F120" s="385">
        <f>SUM(F117:F119)</f>
        <v>13304</v>
      </c>
      <c r="G120" s="379">
        <f>SUM(G117:G119)</f>
        <v>15176</v>
      </c>
      <c r="H120" s="379">
        <f>SUM(H117:H119)</f>
        <v>16618</v>
      </c>
      <c r="I120" s="379">
        <f t="shared" ref="I120:J120" si="39">SUM(I117:I119)</f>
        <v>18039</v>
      </c>
      <c r="J120" s="379">
        <f t="shared" si="39"/>
        <v>20221</v>
      </c>
      <c r="K120" s="386"/>
      <c r="L120" s="386"/>
      <c r="M120" s="386"/>
      <c r="N120" s="386"/>
      <c r="O120" s="386"/>
      <c r="P120" s="386"/>
      <c r="Q120" s="89"/>
    </row>
    <row r="121" spans="1:17" ht="12.75" thickTop="1">
      <c r="A121" s="91"/>
      <c r="B121" s="97"/>
      <c r="D121" s="64" t="s">
        <v>469</v>
      </c>
      <c r="E121" s="372"/>
      <c r="F121" s="381"/>
      <c r="G121" s="382">
        <f t="shared" ref="G121:H121" si="40">(G120-F120)/F120</f>
        <v>0.1407095610342754</v>
      </c>
      <c r="H121" s="382">
        <f t="shared" si="40"/>
        <v>9.5018450184501849E-2</v>
      </c>
      <c r="I121" s="382">
        <f t="shared" ref="I121" si="41">(I120-H120)/H120</f>
        <v>8.5509688289806235E-2</v>
      </c>
      <c r="J121" s="382">
        <f>(J120-I120)/I120</f>
        <v>0.12096014191474029</v>
      </c>
      <c r="K121" s="382"/>
      <c r="L121" s="382"/>
      <c r="M121" s="388"/>
      <c r="N121" s="383"/>
      <c r="O121" s="383"/>
      <c r="P121" s="383"/>
      <c r="Q121" s="89"/>
    </row>
    <row r="122" spans="1:17" ht="5.25" customHeight="1">
      <c r="A122" s="91"/>
      <c r="E122" s="372"/>
      <c r="F122" s="66"/>
      <c r="G122" s="351"/>
      <c r="H122" s="351"/>
      <c r="I122" s="351"/>
      <c r="J122" s="351"/>
      <c r="K122" s="351"/>
      <c r="L122" s="351"/>
      <c r="M122" s="89"/>
      <c r="N122" s="475"/>
      <c r="O122" s="89"/>
      <c r="P122" s="89"/>
      <c r="Q122" s="89"/>
    </row>
    <row r="123" spans="1:17">
      <c r="A123" s="91"/>
      <c r="D123" s="64" t="s">
        <v>474</v>
      </c>
      <c r="E123" s="372"/>
      <c r="F123" s="66"/>
      <c r="G123" s="351"/>
      <c r="H123" s="351"/>
      <c r="I123" s="351"/>
      <c r="J123" s="351"/>
      <c r="K123" s="351"/>
      <c r="L123" s="351"/>
      <c r="M123" s="89"/>
      <c r="N123" s="89"/>
      <c r="O123" s="89"/>
      <c r="P123" s="89"/>
      <c r="Q123" s="89"/>
    </row>
    <row r="124" spans="1:17">
      <c r="A124" s="91">
        <v>17</v>
      </c>
      <c r="B124" s="97" t="s">
        <v>379</v>
      </c>
      <c r="D124" s="97"/>
      <c r="E124" s="372" t="s">
        <v>475</v>
      </c>
      <c r="F124" s="62">
        <f>F43</f>
        <v>-91</v>
      </c>
      <c r="G124" s="62">
        <f>G43</f>
        <v>-2087</v>
      </c>
      <c r="H124" s="62">
        <f>H43</f>
        <v>1079</v>
      </c>
      <c r="I124" s="62">
        <f t="shared" ref="I124" si="42">I43</f>
        <v>917</v>
      </c>
      <c r="J124" s="62">
        <f>J43</f>
        <v>51</v>
      </c>
      <c r="K124" s="62"/>
      <c r="L124" s="62"/>
    </row>
    <row r="125" spans="1:17">
      <c r="A125" s="91">
        <v>18</v>
      </c>
      <c r="B125" s="90"/>
      <c r="C125" s="90" t="str">
        <f>C112</f>
        <v>Deduct Decoupling Surcharge/Rebate Expenses</v>
      </c>
      <c r="F125" s="62">
        <f>-'Reg Amort and Other RB'!E24</f>
        <v>0</v>
      </c>
      <c r="G125" s="62">
        <f>-'Reg Amort and Other RB'!F24</f>
        <v>0</v>
      </c>
      <c r="H125" s="62">
        <f>-'Reg Amort and Other RB'!G24</f>
        <v>0</v>
      </c>
      <c r="I125" s="62">
        <f>-'Reg Amort and Other RB'!H24</f>
        <v>0</v>
      </c>
      <c r="J125" s="62">
        <f>-'Reg Amort and Other RB'!I24</f>
        <v>0</v>
      </c>
      <c r="K125" s="62"/>
      <c r="L125" s="62"/>
    </row>
    <row r="126" spans="1:17" ht="12.75" thickBot="1">
      <c r="A126" s="91">
        <v>19</v>
      </c>
      <c r="B126" s="378" t="s">
        <v>476</v>
      </c>
      <c r="C126" s="378"/>
      <c r="D126" s="389"/>
      <c r="E126" s="389"/>
      <c r="F126" s="379">
        <f>SUM(F124:F125)</f>
        <v>-91</v>
      </c>
      <c r="G126" s="379">
        <f>SUM(G124:G125)</f>
        <v>-2087</v>
      </c>
      <c r="H126" s="379">
        <f>SUM(H124:H125)</f>
        <v>1079</v>
      </c>
      <c r="I126" s="379">
        <f t="shared" ref="I126:J126" si="43">SUM(I124:I125)</f>
        <v>917</v>
      </c>
      <c r="J126" s="379">
        <f t="shared" si="43"/>
        <v>51</v>
      </c>
      <c r="K126" s="386"/>
      <c r="L126" s="386"/>
    </row>
    <row r="127" spans="1:17" ht="3" customHeight="1" thickTop="1">
      <c r="A127" s="91"/>
      <c r="F127" s="66"/>
      <c r="G127" s="351"/>
      <c r="H127" s="351"/>
      <c r="I127" s="351"/>
      <c r="J127" s="351"/>
      <c r="K127" s="351"/>
      <c r="L127" s="351"/>
    </row>
    <row r="128" spans="1:17">
      <c r="A128" s="91"/>
      <c r="B128" s="64" t="s">
        <v>477</v>
      </c>
      <c r="F128" s="66"/>
      <c r="G128" s="351"/>
      <c r="H128" s="351"/>
      <c r="I128" s="351"/>
      <c r="J128" s="351"/>
      <c r="K128" s="351"/>
      <c r="L128" s="351"/>
    </row>
    <row r="129" spans="1:21">
      <c r="A129" s="91">
        <v>20</v>
      </c>
      <c r="C129" s="90" t="s">
        <v>35</v>
      </c>
      <c r="D129" s="97"/>
      <c r="E129" s="372" t="s">
        <v>478</v>
      </c>
      <c r="F129" s="65">
        <f>F27</f>
        <v>184</v>
      </c>
      <c r="G129" s="62">
        <f>G27</f>
        <v>196</v>
      </c>
      <c r="H129" s="62">
        <f>H27</f>
        <v>210</v>
      </c>
      <c r="I129" s="62">
        <f t="shared" ref="I129:J129" si="44">I27</f>
        <v>85</v>
      </c>
      <c r="J129" s="62">
        <f t="shared" si="44"/>
        <v>224</v>
      </c>
      <c r="K129" s="62"/>
      <c r="L129" s="62"/>
    </row>
    <row r="130" spans="1:21">
      <c r="A130" s="91">
        <v>21</v>
      </c>
      <c r="C130" s="90" t="s">
        <v>39</v>
      </c>
      <c r="E130" s="372" t="s">
        <v>479</v>
      </c>
      <c r="F130" s="65">
        <f>F33</f>
        <v>8719</v>
      </c>
      <c r="G130" s="62">
        <f>G33</f>
        <v>8554</v>
      </c>
      <c r="H130" s="62">
        <f>H33</f>
        <v>8383</v>
      </c>
      <c r="I130" s="62">
        <f t="shared" ref="I130:J130" si="45">I33</f>
        <v>9144</v>
      </c>
      <c r="J130" s="62">
        <f t="shared" si="45"/>
        <v>9458</v>
      </c>
      <c r="K130" s="62"/>
      <c r="L130" s="62"/>
    </row>
    <row r="131" spans="1:21">
      <c r="A131" s="91">
        <v>22</v>
      </c>
      <c r="C131" s="64" t="s">
        <v>44</v>
      </c>
      <c r="E131" s="372" t="s">
        <v>480</v>
      </c>
      <c r="F131" s="65">
        <f>F44</f>
        <v>0</v>
      </c>
      <c r="G131" s="62">
        <f>G44</f>
        <v>0</v>
      </c>
      <c r="H131" s="62">
        <f>H44</f>
        <v>0</v>
      </c>
      <c r="I131" s="62">
        <f t="shared" ref="I131:J131" si="46">I44</f>
        <v>0</v>
      </c>
      <c r="J131" s="62">
        <f t="shared" si="46"/>
        <v>0</v>
      </c>
      <c r="K131" s="62"/>
      <c r="L131" s="62"/>
    </row>
    <row r="132" spans="1:21">
      <c r="A132" s="91">
        <v>23</v>
      </c>
      <c r="B132" s="64" t="s">
        <v>481</v>
      </c>
      <c r="F132" s="390">
        <f>F27+F33+F44</f>
        <v>8903</v>
      </c>
      <c r="G132" s="373">
        <f>G27+G33+G44</f>
        <v>8750</v>
      </c>
      <c r="H132" s="373">
        <f>H27+H33+H44</f>
        <v>8593</v>
      </c>
      <c r="I132" s="373">
        <f t="shared" ref="I132:J132" si="47">I27+I33+I44</f>
        <v>9229</v>
      </c>
      <c r="J132" s="373">
        <f t="shared" si="47"/>
        <v>9682</v>
      </c>
      <c r="K132" s="641"/>
      <c r="L132" s="641"/>
    </row>
    <row r="133" spans="1:21">
      <c r="A133" s="91">
        <v>24</v>
      </c>
      <c r="B133" s="90"/>
      <c r="C133" s="90" t="s">
        <v>482</v>
      </c>
      <c r="F133" s="62">
        <f>'Riders and Gas Cost Revenue'!I32</f>
        <v>-3380</v>
      </c>
      <c r="G133" s="62">
        <f>'Riders and Gas Cost Revenue'!L32</f>
        <v>-3197</v>
      </c>
      <c r="H133" s="62">
        <f>'Riders and Gas Cost Revenue'!O32</f>
        <v>-2548</v>
      </c>
      <c r="I133" s="62">
        <f>'Riders and Gas Cost Revenue'!Q32</f>
        <v>-2586</v>
      </c>
      <c r="J133" s="62">
        <f>'Riders and Gas Cost Revenue'!S32</f>
        <v>-2068</v>
      </c>
      <c r="K133" s="62"/>
      <c r="L133" s="62"/>
    </row>
    <row r="134" spans="1:21">
      <c r="A134" s="91">
        <v>25</v>
      </c>
      <c r="C134" s="64" t="s">
        <v>483</v>
      </c>
      <c r="F134" s="65">
        <v>0</v>
      </c>
      <c r="G134" s="65">
        <v>0</v>
      </c>
      <c r="H134" s="62">
        <v>0</v>
      </c>
      <c r="I134" s="62">
        <v>0</v>
      </c>
      <c r="J134" s="62">
        <v>0</v>
      </c>
      <c r="K134" s="62"/>
      <c r="L134" s="62"/>
    </row>
    <row r="135" spans="1:21">
      <c r="A135" s="91">
        <v>26</v>
      </c>
      <c r="C135" s="64" t="s">
        <v>484</v>
      </c>
      <c r="F135" s="391">
        <v>0</v>
      </c>
      <c r="G135" s="391">
        <v>0</v>
      </c>
      <c r="H135" s="376">
        <v>0</v>
      </c>
      <c r="I135" s="376">
        <v>0</v>
      </c>
      <c r="J135" s="376">
        <v>0</v>
      </c>
      <c r="K135" s="641"/>
      <c r="L135" s="641"/>
      <c r="N135" s="89"/>
      <c r="O135" s="89"/>
      <c r="P135" s="89"/>
      <c r="Q135" s="89"/>
      <c r="R135" s="89"/>
      <c r="S135" s="89"/>
      <c r="T135" s="89"/>
      <c r="U135" s="89"/>
    </row>
    <row r="136" spans="1:21" ht="12.75" thickBot="1">
      <c r="A136" s="91">
        <v>27</v>
      </c>
      <c r="B136" s="389" t="s">
        <v>485</v>
      </c>
      <c r="C136" s="389"/>
      <c r="D136" s="389"/>
      <c r="E136" s="389"/>
      <c r="F136" s="385">
        <f t="shared" ref="F136:H136" si="48">SUM(F132:F135)</f>
        <v>5523</v>
      </c>
      <c r="G136" s="379">
        <f t="shared" si="48"/>
        <v>5553</v>
      </c>
      <c r="H136" s="379">
        <f t="shared" si="48"/>
        <v>6045</v>
      </c>
      <c r="I136" s="379">
        <f t="shared" ref="I136:J136" si="49">SUM(I132:I135)</f>
        <v>6643</v>
      </c>
      <c r="J136" s="379">
        <f t="shared" si="49"/>
        <v>7614</v>
      </c>
      <c r="K136" s="386"/>
      <c r="L136" s="386"/>
      <c r="M136" s="89"/>
      <c r="N136" s="908"/>
      <c r="O136" s="908"/>
      <c r="P136" s="908"/>
      <c r="Q136" s="89"/>
      <c r="R136" s="89"/>
      <c r="S136" s="89"/>
      <c r="T136" s="89"/>
      <c r="U136" s="89"/>
    </row>
    <row r="137" spans="1:21" ht="12.75" thickTop="1">
      <c r="A137" s="392"/>
      <c r="B137" s="389"/>
      <c r="C137" s="389"/>
      <c r="D137" s="64" t="s">
        <v>469</v>
      </c>
      <c r="E137" s="389"/>
      <c r="F137" s="381"/>
      <c r="G137" s="382">
        <f t="shared" ref="G137:H137" si="50">(G136-F136)/F136</f>
        <v>5.4318305268875608E-3</v>
      </c>
      <c r="H137" s="382">
        <f t="shared" si="50"/>
        <v>8.8600756347920043E-2</v>
      </c>
      <c r="I137" s="382">
        <f t="shared" ref="I137" si="51">(I136-H136)/H136</f>
        <v>9.8924731182795697E-2</v>
      </c>
      <c r="J137" s="382">
        <f t="shared" ref="J137" si="52">(J136-I136)/I136</f>
        <v>0.14616889959355714</v>
      </c>
      <c r="K137" s="383"/>
      <c r="N137" s="383"/>
      <c r="O137" s="375"/>
      <c r="P137" s="375"/>
      <c r="Q137" s="375"/>
      <c r="R137" s="89"/>
      <c r="S137" s="89"/>
      <c r="T137" s="89"/>
      <c r="U137" s="89"/>
    </row>
    <row r="138" spans="1:21">
      <c r="A138" s="392"/>
      <c r="B138" s="389"/>
      <c r="C138" s="389"/>
      <c r="E138" s="389"/>
      <c r="F138" s="381"/>
      <c r="G138" s="382"/>
      <c r="H138" s="382"/>
      <c r="I138" s="382"/>
      <c r="J138" s="382"/>
      <c r="K138" s="383"/>
      <c r="N138" s="789"/>
      <c r="O138" s="377"/>
      <c r="P138" s="377"/>
      <c r="Q138" s="377"/>
      <c r="R138" s="89"/>
      <c r="S138" s="89"/>
      <c r="T138" s="89"/>
      <c r="U138" s="89"/>
    </row>
    <row r="139" spans="1:21" ht="12.75" thickBot="1">
      <c r="A139" s="91">
        <v>28</v>
      </c>
      <c r="B139" s="389" t="s">
        <v>486</v>
      </c>
      <c r="C139" s="389"/>
      <c r="E139" s="372" t="s">
        <v>487</v>
      </c>
      <c r="F139" s="385">
        <f>F84</f>
        <v>225901</v>
      </c>
      <c r="G139" s="379">
        <f>G84</f>
        <v>244647</v>
      </c>
      <c r="H139" s="379">
        <f>H84</f>
        <v>262930</v>
      </c>
      <c r="I139" s="379">
        <f t="shared" ref="I139:J139" si="53">I84</f>
        <v>285440</v>
      </c>
      <c r="J139" s="379">
        <f t="shared" si="53"/>
        <v>320131</v>
      </c>
      <c r="K139" s="386"/>
      <c r="N139" s="386"/>
      <c r="O139" s="386"/>
      <c r="P139" s="386"/>
      <c r="Q139" s="386"/>
      <c r="R139" s="89"/>
      <c r="S139" s="89"/>
      <c r="T139" s="89"/>
      <c r="U139" s="89"/>
    </row>
    <row r="140" spans="1:21" ht="14.25" customHeight="1" thickTop="1">
      <c r="A140" s="392"/>
      <c r="B140" s="389"/>
      <c r="C140" s="389"/>
      <c r="D140" s="64" t="s">
        <v>469</v>
      </c>
      <c r="E140" s="389"/>
      <c r="F140" s="381"/>
      <c r="G140" s="382">
        <f t="shared" ref="G140:H140" si="54">(G139-F139)/F139</f>
        <v>8.2983253726189796E-2</v>
      </c>
      <c r="H140" s="382">
        <f t="shared" si="54"/>
        <v>7.4732165119539576E-2</v>
      </c>
      <c r="I140" s="382">
        <f t="shared" ref="I140" si="55">(I139-H139)/H139</f>
        <v>8.5612140113338148E-2</v>
      </c>
      <c r="J140" s="382">
        <f t="shared" ref="J140" si="56">(J139-I139)/I139</f>
        <v>0.12153517376681615</v>
      </c>
      <c r="K140" s="383"/>
      <c r="N140" s="383"/>
      <c r="O140" s="383"/>
      <c r="P140" s="383"/>
      <c r="Q140" s="383"/>
      <c r="R140" s="89"/>
      <c r="S140" s="89"/>
      <c r="T140" s="89"/>
      <c r="U140" s="89"/>
    </row>
    <row r="141" spans="1:21" ht="0.75" hidden="1" customHeight="1">
      <c r="A141" s="392"/>
      <c r="B141" s="389"/>
      <c r="C141" s="389"/>
      <c r="E141" s="389"/>
      <c r="F141" s="381"/>
      <c r="G141" s="382"/>
      <c r="H141" s="382"/>
      <c r="I141" s="382"/>
      <c r="J141" s="382"/>
      <c r="K141" s="383"/>
      <c r="N141" s="383"/>
      <c r="O141" s="475"/>
      <c r="P141" s="89"/>
      <c r="Q141" s="89"/>
      <c r="R141" s="89"/>
      <c r="S141" s="89"/>
      <c r="T141" s="89"/>
      <c r="U141" s="89"/>
    </row>
    <row r="142" spans="1:21" ht="12.75" hidden="1" thickBot="1">
      <c r="A142" s="91">
        <v>29</v>
      </c>
      <c r="B142" s="389" t="s">
        <v>488</v>
      </c>
      <c r="C142" s="389"/>
      <c r="E142" s="372" t="s">
        <v>489</v>
      </c>
      <c r="F142" s="385">
        <f>F91</f>
        <v>250257</v>
      </c>
      <c r="G142" s="379">
        <f>G91</f>
        <v>272971</v>
      </c>
      <c r="H142" s="379">
        <f>H91</f>
        <v>286597</v>
      </c>
      <c r="I142" s="386"/>
      <c r="J142" s="386"/>
      <c r="K142" s="386"/>
      <c r="N142" s="386"/>
      <c r="O142" s="89"/>
      <c r="P142" s="89"/>
      <c r="Q142" s="89"/>
      <c r="R142" s="89"/>
      <c r="S142" s="89"/>
      <c r="T142" s="89"/>
      <c r="U142" s="89"/>
    </row>
    <row r="143" spans="1:21" hidden="1">
      <c r="A143" s="392"/>
      <c r="B143" s="389"/>
      <c r="C143" s="389"/>
      <c r="E143" s="389"/>
      <c r="F143" s="381" t="e">
        <f>(F142-#REF!)/#REF!</f>
        <v>#REF!</v>
      </c>
      <c r="G143" s="382">
        <f t="shared" ref="G143:H143" si="57">(G142-F142)/F142</f>
        <v>9.076269594856487E-2</v>
      </c>
      <c r="H143" s="382">
        <f t="shared" si="57"/>
        <v>4.991739049203029E-2</v>
      </c>
      <c r="I143" s="382"/>
      <c r="J143" s="382"/>
      <c r="K143" s="383"/>
      <c r="N143" s="383"/>
      <c r="O143" s="89"/>
      <c r="P143" s="89"/>
      <c r="Q143" s="89"/>
      <c r="R143" s="89"/>
      <c r="S143" s="89"/>
      <c r="T143" s="89"/>
      <c r="U143" s="89"/>
    </row>
    <row r="144" spans="1:21" ht="3" hidden="1" customHeight="1">
      <c r="A144" s="392"/>
      <c r="B144" s="389"/>
      <c r="C144" s="389"/>
      <c r="E144" s="389"/>
      <c r="F144" s="381"/>
      <c r="G144" s="382"/>
      <c r="H144" s="382"/>
      <c r="I144" s="382"/>
      <c r="J144" s="382"/>
      <c r="K144" s="383"/>
      <c r="N144" s="383"/>
      <c r="O144" s="89"/>
      <c r="P144" s="89"/>
      <c r="Q144" s="89"/>
      <c r="R144" s="89"/>
      <c r="S144" s="89"/>
      <c r="T144" s="89"/>
      <c r="U144" s="89"/>
    </row>
    <row r="145" spans="1:21" hidden="1">
      <c r="A145" s="392"/>
      <c r="B145" s="389"/>
      <c r="C145" s="389"/>
      <c r="D145" s="64" t="s">
        <v>490</v>
      </c>
      <c r="E145" s="389"/>
      <c r="F145" s="387"/>
      <c r="G145" s="386"/>
      <c r="H145" s="386"/>
      <c r="I145" s="386"/>
      <c r="J145" s="386"/>
      <c r="K145" s="386"/>
      <c r="N145" s="386"/>
      <c r="O145" s="89"/>
      <c r="P145" s="89"/>
      <c r="Q145" s="89"/>
      <c r="R145" s="89"/>
      <c r="S145" s="89"/>
      <c r="T145" s="89"/>
      <c r="U145" s="89"/>
    </row>
    <row r="146" spans="1:21" hidden="1">
      <c r="A146" s="91">
        <v>30</v>
      </c>
      <c r="B146" s="64" t="s">
        <v>491</v>
      </c>
      <c r="C146" s="389"/>
      <c r="D146" s="389"/>
      <c r="E146" s="372" t="s">
        <v>492</v>
      </c>
      <c r="F146" s="387">
        <f>F14</f>
        <v>332</v>
      </c>
      <c r="G146" s="386">
        <f>G14</f>
        <v>7129</v>
      </c>
      <c r="H146" s="386">
        <f>H14</f>
        <v>1020</v>
      </c>
      <c r="I146" s="386"/>
      <c r="J146" s="386"/>
      <c r="K146" s="386"/>
      <c r="N146" s="386"/>
      <c r="O146" s="89"/>
      <c r="P146" s="89"/>
      <c r="Q146" s="89"/>
      <c r="R146" s="89"/>
      <c r="S146" s="89"/>
      <c r="T146" s="89"/>
      <c r="U146" s="89"/>
    </row>
    <row r="147" spans="1:21" hidden="1">
      <c r="A147" s="91">
        <v>31</v>
      </c>
      <c r="B147" s="64" t="s">
        <v>493</v>
      </c>
      <c r="C147" s="389"/>
      <c r="D147" s="389"/>
      <c r="E147" s="389"/>
      <c r="F147" s="387">
        <f>'Riders and Gas Cost Revenue'!I13</f>
        <v>0</v>
      </c>
      <c r="G147" s="386">
        <f>'Riders and Gas Cost Revenue'!L13</f>
        <v>0</v>
      </c>
      <c r="H147" s="386">
        <f>'Riders and Gas Cost Revenue'!O13</f>
        <v>0</v>
      </c>
      <c r="I147" s="386"/>
      <c r="J147" s="386"/>
      <c r="K147" s="386"/>
      <c r="N147" s="386"/>
      <c r="O147" s="89"/>
      <c r="P147" s="89"/>
      <c r="Q147" s="89"/>
      <c r="R147" s="89"/>
      <c r="S147" s="89"/>
      <c r="T147" s="89"/>
      <c r="U147" s="89"/>
    </row>
    <row r="148" spans="1:21" hidden="1">
      <c r="A148" s="91">
        <v>32</v>
      </c>
      <c r="B148" s="64" t="s">
        <v>494</v>
      </c>
      <c r="C148" s="389"/>
      <c r="D148" s="389"/>
      <c r="E148" s="389"/>
      <c r="F148" s="387">
        <v>0</v>
      </c>
      <c r="G148" s="387">
        <v>0</v>
      </c>
      <c r="H148" s="386">
        <v>0</v>
      </c>
      <c r="I148" s="386"/>
      <c r="J148" s="386"/>
      <c r="K148" s="386"/>
      <c r="N148" s="386"/>
      <c r="O148" s="89"/>
      <c r="P148" s="89"/>
      <c r="Q148" s="89"/>
      <c r="R148" s="89"/>
      <c r="S148" s="89"/>
      <c r="T148" s="89"/>
      <c r="U148" s="89"/>
    </row>
    <row r="149" spans="1:21" hidden="1">
      <c r="A149" s="91">
        <v>33</v>
      </c>
      <c r="B149" s="64" t="s">
        <v>495</v>
      </c>
      <c r="C149" s="389"/>
      <c r="D149" s="389"/>
      <c r="E149" s="389"/>
      <c r="F149" s="387"/>
      <c r="G149" s="386">
        <v>-6914</v>
      </c>
      <c r="H149" s="386">
        <f>-3544+2768</f>
        <v>-776</v>
      </c>
      <c r="I149" s="386"/>
      <c r="J149" s="386"/>
      <c r="K149" s="386"/>
      <c r="N149" s="386"/>
      <c r="O149" s="89"/>
      <c r="P149" s="89"/>
      <c r="Q149" s="89"/>
      <c r="R149" s="89"/>
      <c r="S149" s="89"/>
      <c r="T149" s="89"/>
      <c r="U149" s="89"/>
    </row>
    <row r="150" spans="1:21" ht="12.75" hidden="1" thickBot="1">
      <c r="A150" s="91">
        <v>34</v>
      </c>
      <c r="B150" s="389" t="s">
        <v>496</v>
      </c>
      <c r="C150" s="389"/>
      <c r="D150" s="389"/>
      <c r="E150" s="389"/>
      <c r="F150" s="385">
        <f>SUM(F146:F148)</f>
        <v>332</v>
      </c>
      <c r="G150" s="379">
        <f>SUM(G146:G149)</f>
        <v>215</v>
      </c>
      <c r="H150" s="379">
        <f>SUM(H146:H149)</f>
        <v>244</v>
      </c>
      <c r="I150" s="386"/>
      <c r="J150" s="386"/>
      <c r="K150" s="386"/>
      <c r="N150" s="386"/>
      <c r="O150" s="89"/>
      <c r="P150" s="89"/>
      <c r="Q150" s="89"/>
      <c r="R150" s="89"/>
      <c r="S150" s="89"/>
      <c r="T150" s="89"/>
      <c r="U150" s="89"/>
    </row>
    <row r="151" spans="1:21" hidden="1">
      <c r="A151" s="91"/>
      <c r="B151" s="389"/>
      <c r="C151" s="389"/>
      <c r="D151" s="64" t="s">
        <v>469</v>
      </c>
      <c r="E151" s="389"/>
      <c r="F151" s="381" t="e">
        <f>(F150-#REF!)/#REF!</f>
        <v>#REF!</v>
      </c>
      <c r="G151" s="382">
        <f t="shared" ref="G151:H151" si="58">(G150-F150)/F150</f>
        <v>-0.35240963855421686</v>
      </c>
      <c r="H151" s="382">
        <f t="shared" si="58"/>
        <v>0.13488372093023257</v>
      </c>
      <c r="I151" s="382"/>
      <c r="J151" s="382"/>
      <c r="K151" s="383"/>
      <c r="N151" s="383"/>
      <c r="O151" s="89"/>
      <c r="P151" s="89"/>
      <c r="Q151" s="89"/>
      <c r="R151" s="89"/>
      <c r="S151" s="89"/>
      <c r="T151" s="89"/>
      <c r="U151" s="89"/>
    </row>
    <row r="152" spans="1:21" ht="6.75" hidden="1" customHeight="1">
      <c r="A152" s="392"/>
      <c r="B152" s="389"/>
      <c r="C152" s="389"/>
      <c r="D152" s="389"/>
      <c r="E152" s="389"/>
      <c r="K152" s="374"/>
      <c r="N152" s="374"/>
      <c r="O152" s="89"/>
      <c r="P152" s="89"/>
      <c r="Q152" s="89"/>
      <c r="R152" s="89"/>
      <c r="S152" s="89"/>
      <c r="T152" s="89"/>
      <c r="U152" s="89"/>
    </row>
    <row r="153" spans="1:21" ht="1.5" hidden="1" customHeight="1">
      <c r="A153" s="368" t="s">
        <v>102</v>
      </c>
      <c r="B153" s="393"/>
      <c r="C153" s="393"/>
      <c r="D153" s="393"/>
      <c r="E153" s="393"/>
      <c r="H153" s="374"/>
      <c r="I153" s="374"/>
      <c r="J153" s="374"/>
      <c r="K153" s="374"/>
      <c r="N153" s="374"/>
      <c r="O153" s="89"/>
      <c r="P153" s="89"/>
      <c r="Q153" s="89"/>
      <c r="R153" s="89"/>
      <c r="S153" s="89"/>
      <c r="T153" s="89"/>
      <c r="U153" s="89"/>
    </row>
    <row r="154" spans="1:21" ht="12.75" hidden="1">
      <c r="A154" s="368" t="s">
        <v>172</v>
      </c>
      <c r="B154" s="393"/>
      <c r="C154" s="393"/>
      <c r="D154" s="393"/>
      <c r="E154" s="393"/>
      <c r="H154" s="374"/>
      <c r="I154" s="374"/>
      <c r="J154" s="374"/>
      <c r="K154" s="374"/>
      <c r="N154" s="374"/>
      <c r="O154" s="89"/>
      <c r="P154" s="89"/>
      <c r="Q154" s="89"/>
      <c r="R154" s="89"/>
      <c r="S154" s="89"/>
      <c r="T154" s="89"/>
      <c r="U154" s="89"/>
    </row>
    <row r="155" spans="1:21" ht="18" customHeight="1">
      <c r="A155" s="368" t="s">
        <v>497</v>
      </c>
      <c r="B155" s="393"/>
      <c r="C155" s="393"/>
      <c r="D155" s="393"/>
      <c r="E155" s="393"/>
      <c r="H155" s="374"/>
      <c r="I155" s="374"/>
      <c r="J155" s="402"/>
      <c r="K155" s="374"/>
      <c r="N155" s="401"/>
      <c r="O155" s="401"/>
      <c r="P155" s="401"/>
      <c r="Q155" s="89"/>
      <c r="R155" s="89"/>
      <c r="S155" s="89"/>
      <c r="T155" s="89"/>
      <c r="U155" s="89"/>
    </row>
    <row r="156" spans="1:21" ht="3.6" customHeight="1">
      <c r="A156" s="393"/>
      <c r="B156" s="393"/>
      <c r="C156" s="393"/>
      <c r="D156" s="393"/>
      <c r="E156" s="393"/>
      <c r="H156" s="374"/>
      <c r="I156" s="374"/>
      <c r="J156" s="374"/>
      <c r="K156" s="374"/>
      <c r="L156" s="374"/>
      <c r="N156" s="89"/>
      <c r="O156" s="89"/>
      <c r="P156" s="89"/>
      <c r="Q156" s="89"/>
      <c r="R156" s="89"/>
      <c r="S156" s="89"/>
      <c r="T156" s="89"/>
      <c r="U156" s="89"/>
    </row>
    <row r="157" spans="1:21" ht="15" customHeight="1">
      <c r="A157" s="91" t="s">
        <v>7</v>
      </c>
      <c r="B157" s="393"/>
      <c r="C157" s="481" t="s">
        <v>598</v>
      </c>
      <c r="D157" s="393"/>
      <c r="E157" s="369"/>
      <c r="F157" s="729"/>
      <c r="G157" s="346"/>
      <c r="H157" s="726"/>
      <c r="I157" s="727"/>
      <c r="J157" s="727"/>
      <c r="K157" s="666"/>
      <c r="L157" s="666"/>
      <c r="N157" s="89"/>
      <c r="O157" s="89"/>
      <c r="P157" s="89"/>
      <c r="Q157" s="89"/>
      <c r="R157" s="89"/>
      <c r="S157" s="89"/>
      <c r="T157" s="89"/>
      <c r="U157" s="89"/>
    </row>
    <row r="158" spans="1:21" ht="12.75" hidden="1">
      <c r="A158" s="395" t="s">
        <v>15</v>
      </c>
      <c r="B158" s="396" t="s">
        <v>498</v>
      </c>
      <c r="C158" s="396"/>
      <c r="D158" s="397"/>
      <c r="E158" s="397"/>
      <c r="F158" s="398" t="s">
        <v>499</v>
      </c>
      <c r="G158" s="399" t="s">
        <v>500</v>
      </c>
      <c r="H158" s="374"/>
      <c r="I158" s="398"/>
      <c r="J158" s="398"/>
      <c r="K158" s="398"/>
      <c r="L158" s="398"/>
      <c r="N158" s="89"/>
      <c r="O158" s="89"/>
      <c r="P158" s="89"/>
      <c r="Q158" s="89"/>
      <c r="R158" s="89"/>
      <c r="S158" s="89"/>
      <c r="T158" s="89"/>
      <c r="U158" s="89"/>
    </row>
    <row r="159" spans="1:21" ht="12.75" hidden="1">
      <c r="B159" s="393"/>
      <c r="C159" s="393"/>
      <c r="D159" s="393"/>
      <c r="E159" s="393"/>
      <c r="F159" s="386"/>
      <c r="G159" s="351"/>
      <c r="H159" s="374"/>
      <c r="I159" s="386"/>
      <c r="J159" s="386"/>
      <c r="K159" s="351"/>
      <c r="L159" s="386"/>
      <c r="N159" s="89"/>
      <c r="O159" s="89"/>
      <c r="P159" s="89"/>
      <c r="Q159" s="89"/>
      <c r="R159" s="89"/>
      <c r="S159" s="89"/>
      <c r="T159" s="89"/>
      <c r="U159" s="89"/>
    </row>
    <row r="160" spans="1:21" ht="12.75" hidden="1">
      <c r="A160" s="84">
        <v>1</v>
      </c>
      <c r="B160" s="378" t="s">
        <v>468</v>
      </c>
      <c r="C160" s="393"/>
      <c r="D160" s="393"/>
      <c r="E160" s="393"/>
      <c r="F160" s="401" t="e">
        <f>(F113-#REF!)/#REF!</f>
        <v>#REF!</v>
      </c>
      <c r="G160" s="402">
        <f t="shared" ref="G160" si="59">(G113-F113)/F113</f>
        <v>0.10766400203019921</v>
      </c>
      <c r="H160" s="374"/>
      <c r="I160" s="401"/>
      <c r="J160" s="401"/>
      <c r="K160" s="402"/>
      <c r="L160" s="401"/>
      <c r="N160" s="89"/>
      <c r="O160" s="89"/>
      <c r="P160" s="89"/>
      <c r="Q160" s="89"/>
      <c r="R160" s="89"/>
      <c r="S160" s="89"/>
      <c r="T160" s="89"/>
      <c r="U160" s="89"/>
    </row>
    <row r="161" spans="1:21" ht="12.75" hidden="1">
      <c r="B161" s="393"/>
      <c r="C161" s="393"/>
      <c r="D161" s="393"/>
      <c r="E161" s="393"/>
      <c r="F161" s="386"/>
      <c r="G161" s="351"/>
      <c r="H161" s="374"/>
      <c r="I161" s="386"/>
      <c r="J161" s="386"/>
      <c r="K161" s="351"/>
      <c r="L161" s="386"/>
      <c r="N161" s="89"/>
      <c r="O161" s="89"/>
      <c r="P161" s="89"/>
      <c r="Q161" s="89"/>
      <c r="R161" s="89"/>
      <c r="S161" s="89"/>
      <c r="T161" s="89"/>
      <c r="U161" s="89"/>
    </row>
    <row r="162" spans="1:21" ht="12.75" hidden="1">
      <c r="A162" s="84">
        <v>2</v>
      </c>
      <c r="B162" s="378" t="s">
        <v>501</v>
      </c>
      <c r="C162" s="393"/>
      <c r="D162" s="393"/>
      <c r="E162" s="393"/>
      <c r="F162" s="401" t="e">
        <f>(F120-#REF!)/#REF!</f>
        <v>#REF!</v>
      </c>
      <c r="G162" s="402">
        <f t="shared" ref="G162" si="60">(G120-F120)/F120</f>
        <v>0.1407095610342754</v>
      </c>
      <c r="H162" s="374"/>
      <c r="I162" s="401"/>
      <c r="J162" s="401"/>
      <c r="K162" s="402"/>
      <c r="L162" s="401"/>
      <c r="N162" s="89"/>
      <c r="O162" s="89"/>
      <c r="P162" s="89"/>
      <c r="Q162" s="89"/>
      <c r="R162" s="89"/>
      <c r="S162" s="89"/>
      <c r="T162" s="89"/>
      <c r="U162" s="89"/>
    </row>
    <row r="163" spans="1:21" ht="12.75" hidden="1">
      <c r="B163" s="393"/>
      <c r="C163" s="393"/>
      <c r="D163" s="393"/>
      <c r="E163" s="393"/>
      <c r="F163" s="386"/>
      <c r="G163" s="351"/>
      <c r="H163" s="374"/>
      <c r="I163" s="386"/>
      <c r="J163" s="386"/>
      <c r="K163" s="351"/>
      <c r="L163" s="386"/>
      <c r="N163" s="89"/>
      <c r="O163" s="89"/>
      <c r="P163" s="89"/>
      <c r="Q163" s="89"/>
      <c r="R163" s="89"/>
      <c r="S163" s="89"/>
      <c r="T163" s="89"/>
      <c r="U163" s="89"/>
    </row>
    <row r="164" spans="1:21" ht="12.75" hidden="1">
      <c r="A164" s="84">
        <v>3</v>
      </c>
      <c r="B164" s="389" t="s">
        <v>502</v>
      </c>
      <c r="C164" s="393"/>
      <c r="D164" s="393"/>
      <c r="E164" s="393"/>
      <c r="F164" s="401" t="e">
        <f>(F136-#REF!)/#REF!</f>
        <v>#REF!</v>
      </c>
      <c r="G164" s="402">
        <f t="shared" ref="G164" si="61">(G136-F136)/F136</f>
        <v>5.4318305268875608E-3</v>
      </c>
      <c r="H164" s="374"/>
      <c r="I164" s="401"/>
      <c r="J164" s="401"/>
      <c r="K164" s="402"/>
      <c r="L164" s="401"/>
      <c r="N164" s="89"/>
      <c r="O164" s="89"/>
      <c r="P164" s="89"/>
      <c r="Q164" s="89"/>
      <c r="R164" s="89"/>
      <c r="S164" s="89"/>
      <c r="T164" s="89"/>
      <c r="U164" s="89"/>
    </row>
    <row r="165" spans="1:21" ht="12.75" hidden="1">
      <c r="B165" s="393"/>
      <c r="C165" s="393"/>
      <c r="D165" s="393"/>
      <c r="E165" s="393"/>
      <c r="F165" s="386"/>
      <c r="G165" s="351"/>
      <c r="H165" s="374"/>
      <c r="I165" s="386"/>
      <c r="J165" s="386"/>
      <c r="K165" s="351"/>
      <c r="L165" s="386"/>
      <c r="N165" s="89"/>
      <c r="O165" s="89"/>
      <c r="P165" s="89"/>
      <c r="Q165" s="89"/>
      <c r="R165" s="89"/>
      <c r="S165" s="89"/>
      <c r="T165" s="89"/>
      <c r="U165" s="89"/>
    </row>
    <row r="166" spans="1:21" ht="15" hidden="1" customHeight="1">
      <c r="A166" s="84">
        <v>4</v>
      </c>
      <c r="B166" s="403" t="s">
        <v>174</v>
      </c>
      <c r="C166" s="393"/>
      <c r="D166" s="393"/>
      <c r="E166" s="393"/>
      <c r="F166" s="401" t="e">
        <f>(F139-#REF!)/#REF!</f>
        <v>#REF!</v>
      </c>
      <c r="G166" s="402">
        <f t="shared" ref="G166" si="62">(G139-F139)/F139</f>
        <v>8.2983253726189796E-2</v>
      </c>
      <c r="H166" s="374"/>
      <c r="I166" s="401"/>
      <c r="J166" s="401"/>
      <c r="K166" s="402"/>
      <c r="L166" s="401"/>
      <c r="N166" s="89"/>
      <c r="O166" s="89"/>
      <c r="P166" s="89"/>
      <c r="Q166" s="89"/>
      <c r="R166" s="89"/>
      <c r="S166" s="89"/>
      <c r="T166" s="89"/>
      <c r="U166" s="89"/>
    </row>
    <row r="167" spans="1:21" ht="12.75" hidden="1">
      <c r="B167" s="403"/>
      <c r="C167" s="393"/>
      <c r="D167" s="393"/>
      <c r="E167" s="393"/>
      <c r="F167" s="401"/>
      <c r="G167" s="402"/>
      <c r="H167" s="374"/>
      <c r="I167" s="401"/>
      <c r="J167" s="401"/>
      <c r="K167" s="401"/>
      <c r="L167" s="401"/>
      <c r="N167" s="89"/>
      <c r="O167" s="89"/>
      <c r="P167" s="89"/>
      <c r="Q167" s="89"/>
      <c r="R167" s="89"/>
      <c r="S167" s="89"/>
      <c r="T167" s="89"/>
      <c r="U167" s="89"/>
    </row>
    <row r="168" spans="1:21" ht="12.75" hidden="1">
      <c r="A168" s="84">
        <v>5</v>
      </c>
      <c r="B168" s="403" t="s">
        <v>503</v>
      </c>
      <c r="C168" s="393"/>
      <c r="D168" s="393"/>
      <c r="E168" s="393"/>
      <c r="F168" s="401" t="e">
        <f>(F91-#REF!)/#REF!</f>
        <v>#REF!</v>
      </c>
      <c r="G168" s="402">
        <f>(G91-F91)/F91</f>
        <v>9.076269594856487E-2</v>
      </c>
      <c r="H168" s="374"/>
      <c r="I168" s="401"/>
      <c r="J168" s="401"/>
      <c r="K168" s="401"/>
      <c r="L168" s="401"/>
      <c r="N168" s="89"/>
      <c r="O168" s="89"/>
      <c r="P168" s="89"/>
      <c r="Q168" s="89"/>
      <c r="R168" s="89"/>
      <c r="S168" s="89"/>
      <c r="T168" s="89"/>
      <c r="U168" s="89"/>
    </row>
    <row r="169" spans="1:21" ht="12.75" hidden="1">
      <c r="B169" s="403"/>
      <c r="C169" s="393"/>
      <c r="D169" s="393"/>
      <c r="E169" s="393"/>
      <c r="F169" s="401"/>
      <c r="G169" s="402"/>
      <c r="H169" s="374"/>
      <c r="I169" s="401"/>
      <c r="J169" s="401"/>
      <c r="K169" s="401"/>
      <c r="L169" s="401"/>
      <c r="N169" s="89"/>
      <c r="O169" s="89"/>
      <c r="P169" s="89"/>
      <c r="Q169" s="89"/>
      <c r="R169" s="89"/>
      <c r="S169" s="89"/>
      <c r="T169" s="89"/>
      <c r="U169" s="89"/>
    </row>
    <row r="170" spans="1:21" ht="12.75" hidden="1">
      <c r="A170" s="84">
        <v>6</v>
      </c>
      <c r="B170" s="403" t="s">
        <v>504</v>
      </c>
      <c r="C170" s="393"/>
      <c r="D170" s="393"/>
      <c r="E170" s="393"/>
      <c r="F170" s="401"/>
      <c r="G170" s="402"/>
      <c r="H170" s="374"/>
      <c r="I170" s="401"/>
      <c r="J170" s="401"/>
      <c r="K170" s="401"/>
      <c r="L170" s="401"/>
      <c r="M170" s="404"/>
      <c r="N170" s="89"/>
      <c r="O170" s="89"/>
      <c r="P170" s="89"/>
      <c r="Q170" s="89"/>
      <c r="R170" s="89"/>
      <c r="S170" s="89"/>
      <c r="T170" s="89"/>
      <c r="U170" s="89"/>
    </row>
    <row r="171" spans="1:21" ht="12.75" hidden="1">
      <c r="B171" s="393"/>
      <c r="C171" s="393"/>
      <c r="D171" s="393"/>
      <c r="E171" s="393"/>
      <c r="F171" s="386"/>
      <c r="G171" s="351"/>
      <c r="H171" s="374"/>
      <c r="I171" s="386"/>
      <c r="J171" s="386"/>
      <c r="K171" s="386"/>
      <c r="L171" s="386"/>
      <c r="N171" s="89"/>
      <c r="O171" s="89"/>
      <c r="P171" s="89"/>
      <c r="Q171" s="89"/>
      <c r="R171" s="89"/>
      <c r="S171" s="89"/>
      <c r="T171" s="89"/>
      <c r="U171" s="89"/>
    </row>
    <row r="172" spans="1:21" ht="13.5" thickBot="1">
      <c r="A172" s="84" t="s">
        <v>556</v>
      </c>
      <c r="B172" s="396" t="s">
        <v>661</v>
      </c>
      <c r="C172" s="396"/>
      <c r="D172" s="397"/>
      <c r="E172" s="397"/>
      <c r="F172" s="721" t="s">
        <v>597</v>
      </c>
      <c r="G172" s="398"/>
      <c r="H172" s="398"/>
      <c r="I172" s="398"/>
      <c r="J172" s="398"/>
      <c r="K172" s="398"/>
      <c r="L172" s="719"/>
      <c r="N172" s="89"/>
      <c r="O172" s="89"/>
      <c r="P172" s="89"/>
      <c r="Q172" s="89"/>
      <c r="R172" s="89"/>
      <c r="S172" s="89"/>
      <c r="T172" s="89"/>
      <c r="U172" s="89"/>
    </row>
    <row r="173" spans="1:21" ht="0.75" customHeight="1" thickBot="1">
      <c r="B173" s="393"/>
      <c r="C173" s="393"/>
      <c r="D173" s="393"/>
      <c r="E173" s="393"/>
      <c r="F173" s="685"/>
      <c r="G173" s="386"/>
      <c r="H173" s="723"/>
      <c r="I173" s="910" t="s">
        <v>603</v>
      </c>
      <c r="J173" s="386"/>
      <c r="N173" s="89"/>
      <c r="O173" s="89"/>
      <c r="P173" s="89"/>
      <c r="Q173" s="89"/>
      <c r="R173" s="89"/>
      <c r="S173" s="89"/>
      <c r="T173" s="89"/>
      <c r="U173" s="89"/>
    </row>
    <row r="174" spans="1:21" ht="15" customHeight="1" thickBot="1">
      <c r="A174" s="84">
        <v>5</v>
      </c>
      <c r="B174" s="378" t="s">
        <v>468</v>
      </c>
      <c r="C174" s="393"/>
      <c r="D174" s="393"/>
      <c r="E174" s="393"/>
      <c r="F174" s="801">
        <f>RATE(4,,-F113,$J113)</f>
        <v>4.2944159625122179E-2</v>
      </c>
      <c r="G174" s="64"/>
      <c r="H174" s="800">
        <f>F174-0.3%</f>
        <v>3.9944159625122176E-2</v>
      </c>
      <c r="I174" s="911"/>
      <c r="J174" s="401"/>
      <c r="K174" s="667"/>
      <c r="N174" s="89"/>
      <c r="O174" s="89"/>
      <c r="P174" s="89"/>
      <c r="Q174" s="790"/>
      <c r="R174" s="89"/>
      <c r="S174" s="89"/>
      <c r="T174" s="89"/>
      <c r="U174" s="89"/>
    </row>
    <row r="175" spans="1:21" ht="1.5" customHeight="1">
      <c r="B175" s="378"/>
      <c r="C175" s="393"/>
      <c r="D175" s="393"/>
      <c r="E175" s="393"/>
      <c r="F175" s="794"/>
      <c r="G175" s="401"/>
      <c r="H175" s="720"/>
      <c r="I175" s="911"/>
      <c r="J175" s="401"/>
      <c r="K175" s="402"/>
      <c r="N175" s="89"/>
      <c r="O175" s="89"/>
      <c r="P175" s="89"/>
      <c r="Q175" s="89"/>
      <c r="R175" s="89"/>
      <c r="S175" s="89"/>
      <c r="T175" s="89"/>
      <c r="U175" s="89"/>
    </row>
    <row r="176" spans="1:21" ht="9" hidden="1" customHeight="1">
      <c r="B176" s="378"/>
      <c r="C176" s="393"/>
      <c r="D176" s="393"/>
      <c r="E176" s="393"/>
      <c r="F176" s="794"/>
      <c r="G176" s="401"/>
      <c r="H176" s="720"/>
      <c r="I176" s="911"/>
      <c r="J176" s="401"/>
      <c r="K176" s="402"/>
      <c r="N176" s="89"/>
      <c r="O176" s="89"/>
      <c r="P176" s="89"/>
      <c r="Q176" s="89"/>
      <c r="R176" s="89"/>
      <c r="S176" s="89"/>
      <c r="T176" s="89"/>
      <c r="U176" s="89"/>
    </row>
    <row r="177" spans="1:21" ht="18" customHeight="1" thickBot="1">
      <c r="A177" s="84">
        <v>6</v>
      </c>
      <c r="B177" s="378" t="s">
        <v>501</v>
      </c>
      <c r="C177" s="393"/>
      <c r="D177" s="393"/>
      <c r="E177" s="393"/>
      <c r="F177" s="794">
        <f>RATE(4,,-F120,$J120)</f>
        <v>0.11033773145266572</v>
      </c>
      <c r="G177" s="401"/>
      <c r="H177" s="402"/>
      <c r="I177" s="912"/>
      <c r="J177" s="401"/>
      <c r="K177" s="402"/>
      <c r="N177" s="89"/>
      <c r="O177" s="89"/>
      <c r="P177" s="89"/>
      <c r="Q177" s="89"/>
      <c r="R177" s="89"/>
      <c r="S177" s="89"/>
      <c r="T177" s="89"/>
      <c r="U177" s="89"/>
    </row>
    <row r="178" spans="1:21" ht="0.75" customHeight="1">
      <c r="B178" s="378"/>
      <c r="C178" s="393"/>
      <c r="D178" s="405"/>
      <c r="E178" s="405"/>
      <c r="F178" s="795"/>
      <c r="G178" s="406"/>
      <c r="H178" s="406"/>
      <c r="I178" s="406"/>
      <c r="J178" s="406"/>
      <c r="K178" s="402"/>
      <c r="L178" s="402"/>
    </row>
    <row r="179" spans="1:21" ht="15" customHeight="1">
      <c r="A179" s="84">
        <v>7</v>
      </c>
      <c r="B179" s="389" t="s">
        <v>502</v>
      </c>
      <c r="C179" s="393"/>
      <c r="D179" s="393"/>
      <c r="E179" s="393"/>
      <c r="F179" s="794">
        <f>RATE(4,,-F136,$J136)</f>
        <v>8.3576199563390324E-2</v>
      </c>
      <c r="G179" s="401"/>
      <c r="H179" s="401"/>
      <c r="I179" s="401"/>
      <c r="J179" s="401"/>
      <c r="K179" s="402"/>
      <c r="L179" s="402"/>
    </row>
    <row r="180" spans="1:21" ht="0.75" customHeight="1" thickBot="1">
      <c r="B180" s="393"/>
      <c r="C180" s="393"/>
      <c r="D180" s="405"/>
      <c r="E180" s="405"/>
      <c r="F180" s="795"/>
      <c r="G180" s="406"/>
      <c r="H180" s="406"/>
      <c r="I180" s="406"/>
      <c r="J180" s="406"/>
      <c r="K180" s="402"/>
      <c r="L180" s="402"/>
    </row>
    <row r="181" spans="1:21" ht="24.75" customHeight="1">
      <c r="A181" s="84">
        <v>8</v>
      </c>
      <c r="B181" s="403" t="s">
        <v>505</v>
      </c>
      <c r="D181" s="405"/>
      <c r="E181" s="405"/>
      <c r="F181" s="794">
        <f>RATE(4,,-F139,$J139)</f>
        <v>9.1069446928775888E-2</v>
      </c>
      <c r="G181" s="401"/>
      <c r="H181" s="401"/>
      <c r="I181" s="913" t="s">
        <v>670</v>
      </c>
      <c r="J181" s="401"/>
      <c r="K181" s="402"/>
      <c r="L181" s="402"/>
      <c r="M181" s="909"/>
      <c r="O181" s="860"/>
      <c r="P181" s="164"/>
      <c r="Q181" s="862"/>
    </row>
    <row r="182" spans="1:21" ht="6" hidden="1" customHeight="1">
      <c r="B182" s="403"/>
      <c r="D182" s="405"/>
      <c r="E182" s="405"/>
      <c r="F182" s="402"/>
      <c r="G182" s="401"/>
      <c r="H182" s="401"/>
      <c r="I182" s="914"/>
      <c r="J182" s="401"/>
      <c r="K182" s="401"/>
      <c r="L182" s="401"/>
      <c r="M182" s="909"/>
      <c r="O182" s="164">
        <v>4.2900000000000001E-2</v>
      </c>
      <c r="P182" s="164">
        <f>1-P181</f>
        <v>1</v>
      </c>
      <c r="Q182" s="862">
        <f>O182*P182</f>
        <v>4.2900000000000001E-2</v>
      </c>
    </row>
    <row r="183" spans="1:21" ht="12.75" hidden="1" customHeight="1">
      <c r="A183" s="84">
        <v>12</v>
      </c>
      <c r="B183" s="403" t="s">
        <v>503</v>
      </c>
      <c r="C183" s="393"/>
      <c r="D183" s="393"/>
      <c r="E183" s="393"/>
      <c r="F183" s="402">
        <f>RATE(1,,-F91,$F91)</f>
        <v>3.3578815316010048E-17</v>
      </c>
      <c r="G183" s="401"/>
      <c r="H183" s="401"/>
      <c r="I183" s="401"/>
      <c r="J183" s="401"/>
      <c r="K183" s="401"/>
      <c r="L183" s="401"/>
      <c r="M183" s="909"/>
      <c r="O183" s="164"/>
      <c r="P183" s="164"/>
      <c r="Q183" s="164">
        <f>Q181+Q182</f>
        <v>4.2900000000000001E-2</v>
      </c>
    </row>
    <row r="184" spans="1:21" ht="3" hidden="1" customHeight="1">
      <c r="B184" s="403"/>
      <c r="D184" s="405"/>
      <c r="E184" s="405"/>
      <c r="F184" s="716"/>
      <c r="G184" s="406"/>
      <c r="H184" s="406"/>
      <c r="I184" s="406"/>
      <c r="J184" s="406"/>
      <c r="K184" s="406"/>
      <c r="L184" s="406"/>
      <c r="M184" s="909"/>
    </row>
    <row r="185" spans="1:21" ht="1.5" hidden="1" customHeight="1">
      <c r="B185" s="403"/>
      <c r="D185" s="405"/>
      <c r="E185" s="405"/>
      <c r="F185" s="402"/>
      <c r="G185" s="401"/>
      <c r="H185" s="401"/>
      <c r="I185" s="401"/>
      <c r="J185" s="401"/>
      <c r="K185" s="401"/>
      <c r="L185" s="401"/>
      <c r="M185" s="89"/>
    </row>
    <row r="186" spans="1:21" ht="12.75" hidden="1">
      <c r="D186" s="405"/>
      <c r="E186" s="405"/>
      <c r="F186" s="716"/>
      <c r="G186" s="406"/>
      <c r="H186" s="406"/>
      <c r="I186" s="406"/>
      <c r="J186" s="406"/>
      <c r="K186" s="406"/>
      <c r="L186" s="406"/>
      <c r="M186" s="89"/>
    </row>
    <row r="187" spans="1:21" ht="12.75" hidden="1">
      <c r="B187" s="396" t="s">
        <v>506</v>
      </c>
      <c r="C187" s="396"/>
      <c r="D187" s="408"/>
      <c r="E187" s="397"/>
      <c r="F187" s="399" t="s">
        <v>442</v>
      </c>
      <c r="G187" s="398"/>
      <c r="H187" s="398"/>
      <c r="I187" s="398"/>
      <c r="J187" s="398"/>
      <c r="K187" s="398"/>
      <c r="L187" s="398"/>
      <c r="M187" s="89"/>
    </row>
    <row r="188" spans="1:21" ht="9" hidden="1" customHeight="1">
      <c r="B188" s="409"/>
      <c r="C188" s="409"/>
      <c r="D188" s="409"/>
      <c r="F188" s="351"/>
      <c r="G188" s="386"/>
      <c r="H188" s="386"/>
      <c r="I188" s="386"/>
      <c r="J188" s="386"/>
      <c r="K188" s="386"/>
      <c r="L188" s="386"/>
    </row>
    <row r="189" spans="1:21" ht="12" hidden="1" customHeight="1">
      <c r="A189" s="84">
        <v>9</v>
      </c>
      <c r="B189" s="410" t="s">
        <v>468</v>
      </c>
      <c r="C189" s="409"/>
      <c r="D189" s="409"/>
      <c r="F189" s="402">
        <f>2.333*F174</f>
        <v>0.10018872440541005</v>
      </c>
      <c r="G189" s="401"/>
      <c r="H189" s="401"/>
      <c r="I189" s="401"/>
      <c r="J189" s="401"/>
      <c r="K189" s="401"/>
      <c r="L189" s="401"/>
    </row>
    <row r="190" spans="1:21" ht="0.75" hidden="1" customHeight="1">
      <c r="B190" s="410"/>
      <c r="C190" s="409"/>
      <c r="D190" s="409"/>
      <c r="F190" s="402"/>
      <c r="G190" s="401"/>
      <c r="H190" s="401"/>
      <c r="I190" s="401"/>
      <c r="J190" s="401"/>
      <c r="K190" s="401"/>
      <c r="L190" s="401"/>
    </row>
    <row r="191" spans="1:21" ht="12.75" hidden="1">
      <c r="B191" s="411"/>
      <c r="C191" s="409"/>
      <c r="D191" s="409"/>
      <c r="F191" s="402"/>
      <c r="G191" s="401"/>
      <c r="H191" s="401"/>
      <c r="I191" s="401"/>
      <c r="J191" s="401"/>
      <c r="K191" s="401"/>
      <c r="L191" s="401"/>
    </row>
    <row r="192" spans="1:21" ht="12.75" hidden="1">
      <c r="B192" s="410"/>
      <c r="C192" s="409"/>
      <c r="D192" s="409"/>
      <c r="F192" s="402"/>
      <c r="G192" s="401"/>
      <c r="H192" s="401"/>
      <c r="I192" s="401"/>
      <c r="J192" s="401"/>
      <c r="K192" s="401"/>
      <c r="L192" s="401"/>
    </row>
    <row r="193" spans="1:21" ht="12.75" hidden="1">
      <c r="A193" s="84">
        <v>10</v>
      </c>
      <c r="B193" s="410" t="s">
        <v>501</v>
      </c>
      <c r="C193" s="409"/>
      <c r="D193" s="409"/>
      <c r="F193" s="402">
        <f>2.333*F177</f>
        <v>0.25741792747906916</v>
      </c>
      <c r="G193" s="401"/>
      <c r="H193" s="401"/>
      <c r="I193" s="401"/>
      <c r="J193" s="401"/>
      <c r="K193" s="401"/>
      <c r="L193" s="401"/>
      <c r="M193" s="89"/>
    </row>
    <row r="194" spans="1:21" ht="9.75" hidden="1" customHeight="1">
      <c r="B194" s="410"/>
      <c r="C194" s="409"/>
      <c r="D194" s="409"/>
      <c r="F194" s="716"/>
      <c r="G194" s="406"/>
      <c r="H194" s="406"/>
      <c r="I194" s="406"/>
      <c r="J194" s="406"/>
      <c r="K194" s="406"/>
      <c r="L194" s="406"/>
      <c r="M194" s="89"/>
    </row>
    <row r="195" spans="1:21" ht="12.75" hidden="1">
      <c r="A195" s="84">
        <v>11</v>
      </c>
      <c r="B195" s="412" t="s">
        <v>507</v>
      </c>
      <c r="C195" s="412"/>
      <c r="D195" s="409"/>
      <c r="F195" s="402">
        <f>2.333*F179</f>
        <v>0.19498327358138964</v>
      </c>
      <c r="G195" s="401"/>
      <c r="H195" s="401"/>
      <c r="I195" s="401"/>
      <c r="J195" s="401"/>
      <c r="K195" s="401"/>
      <c r="L195" s="401"/>
      <c r="M195" s="413"/>
    </row>
    <row r="196" spans="1:21" ht="12.75" hidden="1">
      <c r="B196" s="405"/>
      <c r="C196" s="409"/>
      <c r="D196" s="409"/>
      <c r="F196" s="716"/>
      <c r="G196" s="406"/>
      <c r="H196" s="406"/>
      <c r="I196" s="406"/>
      <c r="J196" s="406"/>
      <c r="K196" s="406"/>
      <c r="L196" s="406"/>
      <c r="M196" s="89"/>
    </row>
    <row r="197" spans="1:21" ht="12" hidden="1" customHeight="1">
      <c r="A197" s="84">
        <v>12</v>
      </c>
      <c r="B197" s="415" t="s">
        <v>505</v>
      </c>
      <c r="C197" s="409"/>
      <c r="D197" s="409"/>
      <c r="F197" s="402">
        <f>2.333*F181</f>
        <v>0.21246501968483417</v>
      </c>
      <c r="G197" s="401"/>
      <c r="H197" s="401"/>
      <c r="I197" s="401"/>
      <c r="J197" s="401"/>
      <c r="K197" s="401"/>
      <c r="L197" s="401"/>
      <c r="M197" s="414"/>
    </row>
    <row r="198" spans="1:21" ht="3" hidden="1" customHeight="1">
      <c r="B198" s="415"/>
      <c r="C198" s="409"/>
      <c r="D198" s="409"/>
      <c r="F198" s="402"/>
      <c r="G198" s="401"/>
      <c r="H198" s="401"/>
      <c r="I198" s="401"/>
      <c r="J198" s="401"/>
      <c r="K198" s="402"/>
      <c r="L198" s="402"/>
      <c r="M198" s="414"/>
    </row>
    <row r="199" spans="1:21" ht="2.25" customHeight="1">
      <c r="B199" s="415"/>
      <c r="C199" s="409"/>
      <c r="D199" s="409"/>
      <c r="F199" s="402"/>
      <c r="G199" s="401"/>
      <c r="H199" s="401"/>
      <c r="I199" s="401"/>
      <c r="J199" s="401"/>
      <c r="K199" s="401"/>
      <c r="L199" s="476"/>
      <c r="M199" s="414"/>
    </row>
    <row r="200" spans="1:21" ht="4.5" customHeight="1" thickBot="1">
      <c r="B200" s="415"/>
      <c r="C200" s="409"/>
      <c r="D200" s="409"/>
      <c r="F200" s="402"/>
      <c r="G200" s="401"/>
      <c r="H200" s="401"/>
      <c r="I200" s="401"/>
      <c r="J200" s="401"/>
      <c r="K200" s="401"/>
      <c r="L200" s="476"/>
      <c r="M200" s="414"/>
    </row>
    <row r="201" spans="1:21" ht="12.75" thickBot="1">
      <c r="B201" s="403"/>
      <c r="D201" s="791"/>
      <c r="E201" s="792" t="s">
        <v>441</v>
      </c>
      <c r="F201" s="728" t="s">
        <v>597</v>
      </c>
      <c r="H201" s="398"/>
      <c r="I201" s="416" t="s">
        <v>671</v>
      </c>
      <c r="J201" s="398"/>
      <c r="K201" s="398"/>
    </row>
    <row r="202" spans="1:21" ht="13.5" thickBot="1">
      <c r="A202" s="84">
        <v>9</v>
      </c>
      <c r="B202" s="403"/>
      <c r="D202" s="478" t="s">
        <v>37</v>
      </c>
      <c r="E202" s="793">
        <f>'ADJ DETAIL INPUT-Restated CB'!AD41</f>
        <v>0.22376603180284788</v>
      </c>
      <c r="F202" s="717">
        <f>F177*$E$202</f>
        <v>2.4689836325291287E-2</v>
      </c>
      <c r="H202" s="910" t="s">
        <v>676</v>
      </c>
      <c r="I202" s="796">
        <f>F202</f>
        <v>2.4689836325291287E-2</v>
      </c>
      <c r="J202" s="417"/>
      <c r="K202" s="417"/>
    </row>
    <row r="203" spans="1:21" ht="13.5" thickBot="1">
      <c r="A203" s="84">
        <v>10</v>
      </c>
      <c r="B203" s="403"/>
      <c r="D203" s="478" t="s">
        <v>392</v>
      </c>
      <c r="E203" s="793">
        <f>'ADJ DETAIL INPUT-Restated CB'!AD42</f>
        <v>0.39527900672865707</v>
      </c>
      <c r="F203" s="717">
        <f>F174*E203</f>
        <v>1.6974924761415194E-2</v>
      </c>
      <c r="H203" s="911"/>
      <c r="I203" s="797">
        <f>$E$203*$H$174</f>
        <v>1.5789087741229221E-2</v>
      </c>
      <c r="J203" s="417"/>
      <c r="K203" s="417"/>
      <c r="M203" s="418"/>
      <c r="N203" s="164"/>
      <c r="O203" s="164"/>
      <c r="P203" s="164"/>
      <c r="Q203" s="164"/>
      <c r="R203" s="164"/>
    </row>
    <row r="204" spans="1:21" ht="13.5" thickBot="1">
      <c r="A204" s="84">
        <v>11</v>
      </c>
      <c r="B204" s="403"/>
      <c r="D204" s="478" t="s">
        <v>445</v>
      </c>
      <c r="E204" s="793">
        <f>'ADJ DETAIL INPUT-Restated CB'!AD43</f>
        <v>7.9700741036391257E-2</v>
      </c>
      <c r="F204" s="717">
        <f>F179*$E$204</f>
        <v>6.661085038207528E-3</v>
      </c>
      <c r="H204" s="912"/>
      <c r="I204" s="796">
        <f>F204</f>
        <v>6.661085038207528E-3</v>
      </c>
      <c r="J204" s="417"/>
      <c r="K204" s="417"/>
      <c r="M204" s="418"/>
      <c r="N204" s="164"/>
      <c r="O204" s="860"/>
      <c r="P204" s="164"/>
      <c r="Q204" s="862"/>
      <c r="R204" s="164"/>
      <c r="S204" s="860"/>
      <c r="T204" s="164"/>
      <c r="U204" s="862"/>
    </row>
    <row r="205" spans="1:21" ht="12.75">
      <c r="A205" s="84">
        <v>12</v>
      </c>
      <c r="D205" s="479" t="s">
        <v>446</v>
      </c>
      <c r="E205" s="793">
        <f>'ADJ DETAIL INPUT-Restated CB'!AD45</f>
        <v>0.30125422043210381</v>
      </c>
      <c r="F205" s="717">
        <f>$E$205*F181</f>
        <v>2.743505523971123E-2</v>
      </c>
      <c r="H205" s="417"/>
      <c r="I205" s="796">
        <f>F205</f>
        <v>2.743505523971123E-2</v>
      </c>
      <c r="J205" s="417"/>
      <c r="K205" s="417"/>
      <c r="M205" s="418"/>
      <c r="N205" s="164"/>
      <c r="O205" s="164"/>
      <c r="P205" s="164"/>
      <c r="Q205" s="862"/>
      <c r="R205" s="164"/>
      <c r="S205" s="164"/>
      <c r="T205" s="164"/>
      <c r="U205" s="862"/>
    </row>
    <row r="206" spans="1:21" ht="12.75">
      <c r="A206" s="84">
        <v>13</v>
      </c>
      <c r="D206" s="479" t="s">
        <v>132</v>
      </c>
      <c r="E206" s="480"/>
      <c r="F206" s="717">
        <f>$I$206</f>
        <v>-1.3439700268445284E-2</v>
      </c>
      <c r="H206" s="417"/>
      <c r="I206" s="798">
        <f>-'ADJ DETAIL INPUT-Restated CB'!AD54</f>
        <v>-1.3439700268445284E-2</v>
      </c>
      <c r="J206" s="417"/>
      <c r="K206" s="407"/>
      <c r="N206" s="164"/>
      <c r="O206" s="164"/>
      <c r="P206" s="164"/>
      <c r="Q206" s="164"/>
      <c r="R206" s="164"/>
      <c r="S206" s="164"/>
      <c r="T206" s="164"/>
      <c r="U206" s="164"/>
    </row>
    <row r="207" spans="1:21" ht="12.75">
      <c r="D207" s="479"/>
      <c r="E207" s="386"/>
      <c r="F207" s="718"/>
      <c r="H207" s="477"/>
      <c r="I207" s="724"/>
      <c r="J207" s="477"/>
      <c r="K207" s="477"/>
      <c r="N207" s="164"/>
      <c r="O207" s="164"/>
      <c r="P207" s="164"/>
      <c r="Q207" s="164"/>
      <c r="R207" s="164"/>
    </row>
    <row r="208" spans="1:21" ht="13.5" thickBot="1">
      <c r="A208" s="84">
        <v>14</v>
      </c>
      <c r="D208" s="874" t="s">
        <v>508</v>
      </c>
      <c r="E208" s="875"/>
      <c r="F208" s="876">
        <f>SUM(F202:F207)</f>
        <v>6.2321201096179953E-2</v>
      </c>
      <c r="H208" s="407"/>
      <c r="I208" s="877">
        <f>SUM(I202:I207)</f>
        <v>6.1135364075993993E-2</v>
      </c>
      <c r="J208" s="407"/>
      <c r="K208" s="407"/>
      <c r="N208" s="164"/>
      <c r="O208" s="164"/>
      <c r="P208" s="164"/>
      <c r="Q208" s="164"/>
      <c r="R208" s="164"/>
    </row>
    <row r="209" spans="1:18" ht="12.75">
      <c r="A209" s="872"/>
      <c r="B209" s="872"/>
      <c r="C209" s="872"/>
      <c r="D209" s="872"/>
      <c r="E209" s="872"/>
      <c r="F209" s="872"/>
      <c r="G209" s="872"/>
      <c r="H209" s="872"/>
      <c r="I209" s="872"/>
      <c r="J209" s="872"/>
      <c r="N209" s="860"/>
      <c r="P209" s="860"/>
      <c r="Q209" s="164"/>
      <c r="R209" s="164"/>
    </row>
    <row r="210" spans="1:18">
      <c r="A210" s="87"/>
      <c r="B210" s="89"/>
      <c r="C210" s="89"/>
      <c r="D210" s="89"/>
      <c r="E210" s="873"/>
      <c r="F210" s="873"/>
      <c r="G210" s="873"/>
      <c r="H210" s="873"/>
      <c r="I210" s="873"/>
      <c r="J210" s="873"/>
      <c r="K210" s="802"/>
      <c r="L210" s="802"/>
      <c r="M210" s="802"/>
      <c r="N210" s="861"/>
      <c r="O210" s="861"/>
      <c r="P210" s="860"/>
      <c r="Q210" s="164"/>
      <c r="R210" s="164"/>
    </row>
    <row r="211" spans="1:18">
      <c r="N211" s="164"/>
      <c r="O211" s="164"/>
      <c r="P211" s="164"/>
      <c r="Q211" s="164"/>
      <c r="R211" s="164"/>
    </row>
    <row r="212" spans="1:18">
      <c r="F212" s="164"/>
      <c r="G212" s="725"/>
      <c r="N212" s="164"/>
      <c r="O212" s="164"/>
      <c r="P212" s="164"/>
      <c r="Q212" s="164"/>
      <c r="R212" s="164"/>
    </row>
    <row r="213" spans="1:18">
      <c r="F213" s="164"/>
      <c r="G213" s="164"/>
      <c r="N213" s="164"/>
      <c r="O213" s="164"/>
      <c r="P213" s="164"/>
      <c r="Q213" s="164"/>
      <c r="R213" s="164"/>
    </row>
    <row r="215" spans="1:18">
      <c r="F215" s="164"/>
      <c r="G215" s="164"/>
    </row>
    <row r="216" spans="1:18">
      <c r="F216" s="164"/>
      <c r="G216" s="164"/>
    </row>
  </sheetData>
  <mergeCells count="10">
    <mergeCell ref="M181:M184"/>
    <mergeCell ref="I173:I177"/>
    <mergeCell ref="N136:P136"/>
    <mergeCell ref="I181:I182"/>
    <mergeCell ref="H202:H204"/>
    <mergeCell ref="A1:E1"/>
    <mergeCell ref="A5:E5"/>
    <mergeCell ref="A59:E59"/>
    <mergeCell ref="A62:E62"/>
    <mergeCell ref="N118:P118"/>
  </mergeCells>
  <pageMargins left="0.75" right="0.75" top="0.9" bottom="0.6" header="0.5" footer="0.4"/>
  <pageSetup scale="75" fitToHeight="2" orientation="portrait" r:id="rId1"/>
  <headerFooter scaleWithDoc="0" alignWithMargins="0">
    <oddHeader>&amp;LNatural Gas - Revenue Growth Rate Calculation&amp;RExh. EMA-5</oddHeader>
    <oddFooter>&amp;RPage &amp;P of &amp;N</oddFooter>
  </headerFooter>
  <rowBreaks count="1" manualBreakCount="1">
    <brk id="9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ColWidth="9.140625" defaultRowHeight="12.75"/>
  <cols>
    <col min="1" max="16384" width="9.140625" style="322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Q272"/>
  <sheetViews>
    <sheetView view="pageBreakPreview" zoomScaleNormal="100" zoomScaleSheetLayoutView="100" workbookViewId="0">
      <selection activeCell="E23" sqref="E23"/>
    </sheetView>
  </sheetViews>
  <sheetFormatPr defaultColWidth="8.85546875" defaultRowHeight="15.75"/>
  <cols>
    <col min="1" max="1" width="21.5703125" style="731" customWidth="1"/>
    <col min="2" max="2" width="8.85546875" style="731"/>
    <col min="3" max="3" width="10.7109375" style="731" customWidth="1"/>
    <col min="4" max="4" width="16.28515625" style="731" customWidth="1"/>
    <col min="5" max="5" width="18.28515625" style="731" customWidth="1"/>
    <col min="6" max="6" width="16.42578125" style="731" customWidth="1"/>
    <col min="7" max="7" width="18.85546875" style="731" customWidth="1"/>
    <col min="8" max="8" width="16.85546875" style="731" customWidth="1"/>
    <col min="9" max="9" width="18.140625" style="731" customWidth="1"/>
    <col min="10" max="10" width="19.140625" style="731" customWidth="1"/>
    <col min="11" max="11" width="11.85546875" style="731" customWidth="1"/>
    <col min="12" max="12" width="13.85546875" style="731" customWidth="1"/>
    <col min="13" max="13" width="17" style="731" customWidth="1"/>
    <col min="14" max="14" width="15" style="731" customWidth="1"/>
    <col min="15" max="15" width="8.85546875" style="731"/>
    <col min="16" max="16" width="15.7109375" style="731" customWidth="1"/>
    <col min="17" max="17" width="14.7109375" style="731" customWidth="1"/>
    <col min="18" max="18" width="14.28515625" style="731" bestFit="1" customWidth="1"/>
    <col min="19" max="21" width="8.85546875" style="731"/>
    <col min="22" max="22" width="11" style="731" bestFit="1" customWidth="1"/>
    <col min="23" max="32" width="9.85546875" style="731" bestFit="1" customWidth="1"/>
    <col min="33" max="34" width="11" style="731" bestFit="1" customWidth="1"/>
    <col min="35" max="44" width="9.85546875" style="731" bestFit="1" customWidth="1"/>
    <col min="45" max="46" width="11" style="731" bestFit="1" customWidth="1"/>
    <col min="47" max="56" width="9.85546875" style="731" bestFit="1" customWidth="1"/>
    <col min="57" max="58" width="11" style="731" bestFit="1" customWidth="1"/>
    <col min="59" max="68" width="9.85546875" style="731" bestFit="1" customWidth="1"/>
    <col min="69" max="69" width="11" style="731" bestFit="1" customWidth="1"/>
    <col min="70" max="16384" width="8.85546875" style="731"/>
  </cols>
  <sheetData>
    <row r="1" spans="1:69">
      <c r="A1" s="731" t="s">
        <v>604</v>
      </c>
      <c r="V1" s="732">
        <v>43466</v>
      </c>
      <c r="W1" s="732">
        <v>43497</v>
      </c>
      <c r="X1" s="732">
        <v>43525</v>
      </c>
      <c r="Y1" s="732">
        <v>43556</v>
      </c>
      <c r="Z1" s="732">
        <v>43586</v>
      </c>
      <c r="AA1" s="732">
        <v>43617</v>
      </c>
      <c r="AB1" s="732">
        <v>43647</v>
      </c>
      <c r="AC1" s="732">
        <v>43678</v>
      </c>
      <c r="AD1" s="732">
        <v>43709</v>
      </c>
      <c r="AE1" s="732">
        <v>43739</v>
      </c>
      <c r="AF1" s="732">
        <v>43770</v>
      </c>
      <c r="AG1" s="732">
        <v>43800</v>
      </c>
      <c r="AH1" s="732">
        <v>43831</v>
      </c>
      <c r="AI1" s="732">
        <v>43862</v>
      </c>
      <c r="AJ1" s="732">
        <v>43891</v>
      </c>
      <c r="AK1" s="732">
        <v>43922</v>
      </c>
      <c r="AL1" s="732">
        <v>43952</v>
      </c>
      <c r="AM1" s="732">
        <v>43983</v>
      </c>
      <c r="AN1" s="732">
        <v>44013</v>
      </c>
      <c r="AO1" s="732">
        <v>44044</v>
      </c>
      <c r="AP1" s="732">
        <v>44075</v>
      </c>
      <c r="AQ1" s="732">
        <v>44105</v>
      </c>
      <c r="AR1" s="732">
        <v>44136</v>
      </c>
      <c r="AS1" s="732">
        <v>44166</v>
      </c>
      <c r="AT1" s="732">
        <v>44197</v>
      </c>
      <c r="AU1" s="732">
        <v>44228</v>
      </c>
      <c r="AV1" s="732">
        <v>44256</v>
      </c>
      <c r="AW1" s="732">
        <v>44287</v>
      </c>
      <c r="AX1" s="732">
        <v>44317</v>
      </c>
      <c r="AY1" s="732">
        <v>44348</v>
      </c>
      <c r="AZ1" s="732">
        <v>44378</v>
      </c>
      <c r="BA1" s="732">
        <v>44409</v>
      </c>
      <c r="BB1" s="732">
        <v>44440</v>
      </c>
      <c r="BC1" s="732">
        <v>44470</v>
      </c>
      <c r="BD1" s="732">
        <v>44501</v>
      </c>
      <c r="BE1" s="732">
        <v>44531</v>
      </c>
      <c r="BF1" s="732">
        <v>44562</v>
      </c>
      <c r="BG1" s="732">
        <v>44593</v>
      </c>
      <c r="BH1" s="732">
        <v>44621</v>
      </c>
      <c r="BI1" s="732">
        <v>44652</v>
      </c>
      <c r="BJ1" s="732">
        <v>44682</v>
      </c>
      <c r="BK1" s="732">
        <v>44713</v>
      </c>
      <c r="BL1" s="732">
        <v>44743</v>
      </c>
      <c r="BM1" s="732">
        <v>44774</v>
      </c>
      <c r="BN1" s="732">
        <v>44805</v>
      </c>
      <c r="BO1" s="732">
        <v>44835</v>
      </c>
      <c r="BP1" s="732">
        <v>44866</v>
      </c>
      <c r="BQ1" s="732">
        <v>44896</v>
      </c>
    </row>
    <row r="2" spans="1:69">
      <c r="T2" s="731" t="s">
        <v>605</v>
      </c>
    </row>
    <row r="3" spans="1:69">
      <c r="A3" s="731" t="s">
        <v>606</v>
      </c>
      <c r="D3" s="731" t="s">
        <v>607</v>
      </c>
      <c r="T3" s="731" t="s">
        <v>608</v>
      </c>
      <c r="V3" s="733">
        <v>11275916.525761975</v>
      </c>
      <c r="W3" s="733">
        <v>9056725.0596032161</v>
      </c>
      <c r="X3" s="733">
        <v>7830920.0368241621</v>
      </c>
      <c r="Y3" s="733">
        <v>5314686.4461775031</v>
      </c>
      <c r="Z3" s="733">
        <v>3492372.0534781795</v>
      </c>
      <c r="AA3" s="733">
        <v>2626543.9349085307</v>
      </c>
      <c r="AB3" s="733">
        <v>2380922.2518180436</v>
      </c>
      <c r="AC3" s="733">
        <v>2491466.498434043</v>
      </c>
      <c r="AD3" s="733">
        <v>2516238.2448811997</v>
      </c>
      <c r="AE3" s="733">
        <v>4619024.1151964292</v>
      </c>
      <c r="AF3" s="733">
        <v>7825112.2105655381</v>
      </c>
      <c r="AG3" s="733">
        <v>11227838.646222863</v>
      </c>
      <c r="AH3" s="733">
        <v>11604212.007518034</v>
      </c>
      <c r="AI3" s="733">
        <v>9274374.3102180008</v>
      </c>
      <c r="AJ3" s="733">
        <v>8017585.5890790056</v>
      </c>
      <c r="AK3" s="733">
        <v>5361597.6393943336</v>
      </c>
      <c r="AL3" s="733">
        <v>3536147.7743526595</v>
      </c>
      <c r="AM3" s="733">
        <v>2647558.1111019119</v>
      </c>
      <c r="AN3" s="733">
        <v>2513084.6214772421</v>
      </c>
      <c r="AO3" s="733">
        <v>2356396.8413674464</v>
      </c>
      <c r="AP3" s="733">
        <v>2701132.2807467021</v>
      </c>
      <c r="AQ3" s="733">
        <v>4530989.5503787016</v>
      </c>
      <c r="AR3" s="733">
        <v>7906891.8854718544</v>
      </c>
      <c r="AS3" s="733">
        <v>11435228.773859739</v>
      </c>
      <c r="AT3" s="733">
        <v>11707257.023864664</v>
      </c>
      <c r="AU3" s="733">
        <v>9232154.9526306745</v>
      </c>
      <c r="AV3" s="733">
        <v>8119600.5442731166</v>
      </c>
      <c r="AW3" s="733">
        <v>5441928.1730965739</v>
      </c>
      <c r="AX3" s="733">
        <v>3599054.1471822411</v>
      </c>
      <c r="AY3" s="733">
        <v>2702871.6221117578</v>
      </c>
      <c r="AZ3" s="733">
        <v>2505056.4351138799</v>
      </c>
      <c r="BA3" s="733">
        <v>2502623.1177382683</v>
      </c>
      <c r="BB3" s="733">
        <v>2638592.7384673283</v>
      </c>
      <c r="BC3" s="733">
        <v>4689517.4517098349</v>
      </c>
      <c r="BD3" s="733">
        <v>8002757.1104649203</v>
      </c>
      <c r="BE3" s="733">
        <v>11580890.607089201</v>
      </c>
      <c r="BF3" s="733">
        <v>11896430.345349601</v>
      </c>
      <c r="BG3" s="733">
        <v>9331492.2285026759</v>
      </c>
      <c r="BH3" s="733">
        <v>8226589.5377790984</v>
      </c>
      <c r="BI3" s="733">
        <v>5523304.3597430382</v>
      </c>
      <c r="BJ3" s="733">
        <v>3637115.7430505687</v>
      </c>
      <c r="BK3" s="733">
        <v>2741336.3123814953</v>
      </c>
      <c r="BL3" s="733">
        <v>2569443.6144314655</v>
      </c>
      <c r="BM3" s="733">
        <v>2485332.9468423077</v>
      </c>
      <c r="BN3" s="733">
        <v>2741574.6013459074</v>
      </c>
      <c r="BO3" s="733">
        <v>4688986.677763965</v>
      </c>
      <c r="BP3" s="733">
        <v>8125873.7859105263</v>
      </c>
      <c r="BQ3" s="733">
        <v>11742735.213545518</v>
      </c>
    </row>
    <row r="4" spans="1:69">
      <c r="A4" s="731" t="s">
        <v>609</v>
      </c>
      <c r="D4" s="734" t="s">
        <v>101</v>
      </c>
      <c r="E4" s="735" t="s">
        <v>610</v>
      </c>
      <c r="F4" s="735" t="s">
        <v>611</v>
      </c>
      <c r="G4" s="735" t="s">
        <v>612</v>
      </c>
      <c r="H4" s="735" t="s">
        <v>613</v>
      </c>
      <c r="I4" s="736" t="s">
        <v>614</v>
      </c>
      <c r="J4" s="735" t="s">
        <v>614</v>
      </c>
      <c r="K4" s="737"/>
      <c r="T4" s="731" t="s">
        <v>615</v>
      </c>
      <c r="V4" s="733">
        <v>2597905.2015113262</v>
      </c>
      <c r="W4" s="733">
        <v>1992863.4504914416</v>
      </c>
      <c r="X4" s="733">
        <v>1836256.273410613</v>
      </c>
      <c r="Y4" s="733">
        <v>1252855.8080387234</v>
      </c>
      <c r="Z4" s="733">
        <v>857990.13740815152</v>
      </c>
      <c r="AA4" s="733">
        <v>654383.02652685961</v>
      </c>
      <c r="AB4" s="733">
        <v>659371.36032009788</v>
      </c>
      <c r="AC4" s="733">
        <v>601506.55742551805</v>
      </c>
      <c r="AD4" s="733">
        <v>785945.23422158207</v>
      </c>
      <c r="AE4" s="733">
        <v>1423589.6522522743</v>
      </c>
      <c r="AF4" s="733">
        <v>2157858.3292171173</v>
      </c>
      <c r="AG4" s="733">
        <v>2728430.0615591779</v>
      </c>
      <c r="AH4" s="733">
        <v>2545913.1092671389</v>
      </c>
      <c r="AI4" s="733">
        <v>2180053.7149508335</v>
      </c>
      <c r="AJ4" s="733">
        <v>1823247.0388029786</v>
      </c>
      <c r="AK4" s="733">
        <v>1284716.9819487727</v>
      </c>
      <c r="AL4" s="733">
        <v>867729.84133791632</v>
      </c>
      <c r="AM4" s="733">
        <v>664060.52390142565</v>
      </c>
      <c r="AN4" s="733">
        <v>615617.64001039101</v>
      </c>
      <c r="AO4" s="733">
        <v>685634.73034255765</v>
      </c>
      <c r="AP4" s="733">
        <v>715392.71220978594</v>
      </c>
      <c r="AQ4" s="733">
        <v>1550370.7857219714</v>
      </c>
      <c r="AR4" s="733">
        <v>2216402.2439813348</v>
      </c>
      <c r="AS4" s="733">
        <v>2754278.1370203467</v>
      </c>
      <c r="AT4" s="733">
        <v>2653889.7839237535</v>
      </c>
      <c r="AU4" s="733">
        <v>2128017.8217433617</v>
      </c>
      <c r="AV4" s="733">
        <v>1874463.7753304609</v>
      </c>
      <c r="AW4" s="733">
        <v>1309548.3326763096</v>
      </c>
      <c r="AX4" s="733">
        <v>874417.5333827635</v>
      </c>
      <c r="AY4" s="733">
        <v>663039.25360698649</v>
      </c>
      <c r="AZ4" s="733">
        <v>643232.19833859871</v>
      </c>
      <c r="BA4" s="733">
        <v>637634.00761034223</v>
      </c>
      <c r="BB4" s="733">
        <v>775123.21882772981</v>
      </c>
      <c r="BC4" s="733">
        <v>1511911.167025768</v>
      </c>
      <c r="BD4" s="733">
        <v>2279751.0328574469</v>
      </c>
      <c r="BE4" s="733">
        <v>2830847.0501459553</v>
      </c>
      <c r="BF4" s="733">
        <v>2690453.5067580338</v>
      </c>
      <c r="BG4" s="733">
        <v>2186065.5457947785</v>
      </c>
      <c r="BH4" s="733">
        <v>1911486.4069196885</v>
      </c>
      <c r="BI4" s="733">
        <v>1326568.0314841738</v>
      </c>
      <c r="BJ4" s="733">
        <v>892236.71771690063</v>
      </c>
      <c r="BK4" s="733">
        <v>669239.28731491999</v>
      </c>
      <c r="BL4" s="733">
        <v>634510.04053913895</v>
      </c>
      <c r="BM4" s="733">
        <v>668048.21123032738</v>
      </c>
      <c r="BN4" s="733">
        <v>749100.6489547987</v>
      </c>
      <c r="BO4" s="733">
        <v>1579427.8532019972</v>
      </c>
      <c r="BP4" s="733">
        <v>2309389.5399427493</v>
      </c>
      <c r="BQ4" s="733">
        <v>2879804.1012336337</v>
      </c>
    </row>
    <row r="5" spans="1:69">
      <c r="D5" s="738" t="s">
        <v>180</v>
      </c>
      <c r="E5" s="739" t="s">
        <v>616</v>
      </c>
      <c r="F5" s="739" t="s">
        <v>617</v>
      </c>
      <c r="G5" s="739" t="s">
        <v>618</v>
      </c>
      <c r="H5" s="739" t="s">
        <v>619</v>
      </c>
      <c r="I5" s="740">
        <v>132</v>
      </c>
      <c r="J5" s="739" t="s">
        <v>620</v>
      </c>
      <c r="K5" s="737"/>
      <c r="T5" s="731" t="s">
        <v>621</v>
      </c>
      <c r="V5" s="733">
        <v>1963.9922427395315</v>
      </c>
      <c r="W5" s="733">
        <v>1256.1207122534613</v>
      </c>
      <c r="X5" s="733">
        <v>1113.2538373528196</v>
      </c>
      <c r="Y5" s="733">
        <v>741.67264159351669</v>
      </c>
      <c r="Z5" s="733">
        <v>450.63645381623195</v>
      </c>
      <c r="AA5" s="733">
        <v>349.64377881815312</v>
      </c>
      <c r="AB5" s="733">
        <v>452.12792198786786</v>
      </c>
      <c r="AC5" s="733">
        <v>434.17549652549144</v>
      </c>
      <c r="AD5" s="733">
        <v>759.43117429582628</v>
      </c>
      <c r="AE5" s="733">
        <v>1480.7178938703744</v>
      </c>
      <c r="AF5" s="733">
        <v>2136.7289071150371</v>
      </c>
      <c r="AG5" s="733">
        <v>2358.6632515005367</v>
      </c>
      <c r="AH5" s="733">
        <v>1868.6356892027704</v>
      </c>
      <c r="AI5" s="733">
        <v>1342.8309395045444</v>
      </c>
      <c r="AJ5" s="733">
        <v>1081.4099158273709</v>
      </c>
      <c r="AK5" s="733">
        <v>752.22054678507016</v>
      </c>
      <c r="AL5" s="733">
        <v>452.29372248037231</v>
      </c>
      <c r="AM5" s="733">
        <v>358.06060485886252</v>
      </c>
      <c r="AN5" s="733">
        <v>389.97411294816271</v>
      </c>
      <c r="AO5" s="733">
        <v>552.77438211309607</v>
      </c>
      <c r="AP5" s="733">
        <v>650.84662179383372</v>
      </c>
      <c r="AQ5" s="733">
        <v>1603.6118241189838</v>
      </c>
      <c r="AR5" s="733">
        <v>2159.0933376302892</v>
      </c>
      <c r="AS5" s="733">
        <v>2324.8493015330441</v>
      </c>
      <c r="AT5" s="733">
        <v>1905.7292418131251</v>
      </c>
      <c r="AU5" s="733">
        <v>1281.6211472855791</v>
      </c>
      <c r="AV5" s="733">
        <v>1092.41501327423</v>
      </c>
      <c r="AW5" s="733">
        <v>754.83163693798838</v>
      </c>
      <c r="AX5" s="733">
        <v>448.44733006454567</v>
      </c>
      <c r="AY5" s="733">
        <v>349.92204870164261</v>
      </c>
      <c r="AZ5" s="733">
        <v>423.31957680889383</v>
      </c>
      <c r="BA5" s="733">
        <v>485.74902080933845</v>
      </c>
      <c r="BB5" s="733">
        <v>739.45440747276928</v>
      </c>
      <c r="BC5" s="733">
        <v>1543.2549333464385</v>
      </c>
      <c r="BD5" s="733">
        <v>2179.1006016135243</v>
      </c>
      <c r="BE5" s="733">
        <v>2343.4679961697884</v>
      </c>
      <c r="BF5" s="733">
        <v>1892.4388799231072</v>
      </c>
      <c r="BG5" s="733">
        <v>1289.6987935856998</v>
      </c>
      <c r="BH5" s="733">
        <v>1092.1856880995363</v>
      </c>
      <c r="BI5" s="733">
        <v>749.83552698539665</v>
      </c>
      <c r="BJ5" s="733">
        <v>451.18671801783938</v>
      </c>
      <c r="BK5" s="733">
        <v>349.50018134320959</v>
      </c>
      <c r="BL5" s="733">
        <v>409.24885040124337</v>
      </c>
      <c r="BM5" s="733">
        <v>529.78024392450595</v>
      </c>
      <c r="BN5" s="733">
        <v>693.01636047439968</v>
      </c>
      <c r="BO5" s="733">
        <v>1601.9634791710382</v>
      </c>
      <c r="BP5" s="733">
        <v>2172.2883175749462</v>
      </c>
      <c r="BQ5" s="733">
        <v>2341.7873887269971</v>
      </c>
    </row>
    <row r="6" spans="1:69">
      <c r="I6" s="741"/>
      <c r="K6" s="737"/>
      <c r="T6" s="731" t="s">
        <v>622</v>
      </c>
      <c r="V6" s="733">
        <v>133288.97334984332</v>
      </c>
      <c r="W6" s="733">
        <v>112862.57455236236</v>
      </c>
      <c r="X6" s="733">
        <v>104601.94870984083</v>
      </c>
      <c r="Y6" s="733">
        <v>79308.249355867883</v>
      </c>
      <c r="Z6" s="733">
        <v>66070.962853138582</v>
      </c>
      <c r="AA6" s="733">
        <v>55213.497338827809</v>
      </c>
      <c r="AB6" s="733">
        <v>74354.447708278298</v>
      </c>
      <c r="AC6" s="733">
        <v>63271.454118276641</v>
      </c>
      <c r="AD6" s="733">
        <v>84473.851046014941</v>
      </c>
      <c r="AE6" s="733">
        <v>129734.46990780276</v>
      </c>
      <c r="AF6" s="733">
        <v>141358.3285268269</v>
      </c>
      <c r="AG6" s="733">
        <v>131237.65459954515</v>
      </c>
      <c r="AH6" s="733">
        <v>129448.70583809045</v>
      </c>
      <c r="AI6" s="733">
        <v>123657.98504577682</v>
      </c>
      <c r="AJ6" s="733">
        <v>102389.92290273159</v>
      </c>
      <c r="AK6" s="733">
        <v>81571.517568131589</v>
      </c>
      <c r="AL6" s="733">
        <v>65620.804818776698</v>
      </c>
      <c r="AM6" s="733">
        <v>57775.812697418747</v>
      </c>
      <c r="AN6" s="733">
        <v>63755.58809009695</v>
      </c>
      <c r="AO6" s="733">
        <v>80940.035234694544</v>
      </c>
      <c r="AP6" s="733">
        <v>73014.586177287143</v>
      </c>
      <c r="AQ6" s="733">
        <v>140193.62859357099</v>
      </c>
      <c r="AR6" s="733">
        <v>143463.18585437993</v>
      </c>
      <c r="AS6" s="733">
        <v>130733.9719864623</v>
      </c>
      <c r="AT6" s="733">
        <v>132349.71289647877</v>
      </c>
      <c r="AU6" s="733">
        <v>119139.61977277987</v>
      </c>
      <c r="AV6" s="733">
        <v>103441.94055875062</v>
      </c>
      <c r="AW6" s="733">
        <v>82410.620017496563</v>
      </c>
      <c r="AX6" s="733">
        <v>65260.240975019988</v>
      </c>
      <c r="AY6" s="733">
        <v>56896.784988471118</v>
      </c>
      <c r="AZ6" s="733">
        <v>68994.739647109629</v>
      </c>
      <c r="BA6" s="733">
        <v>71719.091773704044</v>
      </c>
      <c r="BB6" s="733">
        <v>82718.424720831594</v>
      </c>
      <c r="BC6" s="733">
        <v>136632.15990346362</v>
      </c>
      <c r="BD6" s="733">
        <v>144882.93630903389</v>
      </c>
      <c r="BE6" s="733">
        <v>132211.12818954492</v>
      </c>
      <c r="BF6" s="733">
        <v>131720.87228848756</v>
      </c>
      <c r="BG6" s="733">
        <v>120177.9312896608</v>
      </c>
      <c r="BH6" s="733">
        <v>103635.135425139</v>
      </c>
      <c r="BI6" s="733">
        <v>82104.327079167095</v>
      </c>
      <c r="BJ6" s="733">
        <v>65752.527551514606</v>
      </c>
      <c r="BK6" s="733">
        <v>57009.569712907592</v>
      </c>
      <c r="BL6" s="733">
        <v>66970.157805697905</v>
      </c>
      <c r="BM6" s="733">
        <v>78364.756850685953</v>
      </c>
      <c r="BN6" s="733">
        <v>77779.330328082622</v>
      </c>
      <c r="BO6" s="733">
        <v>141221.51224830037</v>
      </c>
      <c r="BP6" s="733">
        <v>144698.83595288964</v>
      </c>
      <c r="BQ6" s="733">
        <v>132300.50289507332</v>
      </c>
    </row>
    <row r="7" spans="1:69">
      <c r="A7" s="731" t="s">
        <v>623</v>
      </c>
      <c r="D7" s="742">
        <f>SUM(E7:K7)</f>
        <v>93707000</v>
      </c>
      <c r="E7" s="743">
        <v>71132000</v>
      </c>
      <c r="F7" s="743">
        <v>17111000</v>
      </c>
      <c r="G7" s="743">
        <v>307000</v>
      </c>
      <c r="H7" s="743">
        <v>0</v>
      </c>
      <c r="I7" s="744">
        <v>201000</v>
      </c>
      <c r="J7" s="743">
        <v>4956000</v>
      </c>
      <c r="K7" s="737"/>
      <c r="T7" s="731" t="s">
        <v>624</v>
      </c>
      <c r="V7" s="733">
        <v>27148.116706792731</v>
      </c>
      <c r="W7" s="733">
        <v>21943.702197908224</v>
      </c>
      <c r="X7" s="733">
        <v>20054.102120030522</v>
      </c>
      <c r="Y7" s="733">
        <v>14241.421125603898</v>
      </c>
      <c r="Z7" s="733">
        <v>10634.805409536833</v>
      </c>
      <c r="AA7" s="733">
        <v>8192.9519520073864</v>
      </c>
      <c r="AB7" s="733">
        <v>9257.1391005935384</v>
      </c>
      <c r="AC7" s="733">
        <v>5418.9268189521054</v>
      </c>
      <c r="AD7" s="733">
        <v>7487.3241381143416</v>
      </c>
      <c r="AE7" s="733">
        <v>14662.654974876437</v>
      </c>
      <c r="AF7" s="733">
        <v>22845.264942040772</v>
      </c>
      <c r="AG7" s="733">
        <v>26538.677703742764</v>
      </c>
      <c r="AH7" s="733">
        <v>25864.893398536118</v>
      </c>
      <c r="AI7" s="733">
        <v>23657.756211026335</v>
      </c>
      <c r="AJ7" s="733">
        <v>19812.159392695048</v>
      </c>
      <c r="AK7" s="733">
        <v>14708.210729744471</v>
      </c>
      <c r="AL7" s="733">
        <v>10840.036755450094</v>
      </c>
      <c r="AM7" s="733">
        <v>8499.2156737973146</v>
      </c>
      <c r="AN7" s="733">
        <v>7997.3375395462499</v>
      </c>
      <c r="AO7" s="733">
        <v>6774.3237273623954</v>
      </c>
      <c r="AP7" s="733">
        <v>6204.7224391872296</v>
      </c>
      <c r="AQ7" s="733">
        <v>15394.906647811033</v>
      </c>
      <c r="AR7" s="733">
        <v>22812.152735874512</v>
      </c>
      <c r="AS7" s="733">
        <v>26065.548147181325</v>
      </c>
      <c r="AT7" s="733">
        <v>26329.355836688519</v>
      </c>
      <c r="AU7" s="733">
        <v>22626.338240028173</v>
      </c>
      <c r="AV7" s="733">
        <v>20098.980203079511</v>
      </c>
      <c r="AW7" s="733">
        <v>14855.295049213619</v>
      </c>
      <c r="AX7" s="733">
        <v>10824.637537098202</v>
      </c>
      <c r="AY7" s="733">
        <v>8364.507092619715</v>
      </c>
      <c r="AZ7" s="733">
        <v>8718.1783092820478</v>
      </c>
      <c r="BA7" s="733">
        <v>5936.9388908406854</v>
      </c>
      <c r="BB7" s="733">
        <v>6991.4752271276066</v>
      </c>
      <c r="BC7" s="733">
        <v>14758.968537676728</v>
      </c>
      <c r="BD7" s="733">
        <v>22900.238226657904</v>
      </c>
      <c r="BE7" s="733">
        <v>26201.082010039845</v>
      </c>
      <c r="BF7" s="733">
        <v>26122.996732048778</v>
      </c>
      <c r="BG7" s="733">
        <v>22767.79375018823</v>
      </c>
      <c r="BH7" s="733">
        <v>20114.575837280649</v>
      </c>
      <c r="BI7" s="733">
        <v>14786.434117729983</v>
      </c>
      <c r="BJ7" s="733">
        <v>10919.792567682434</v>
      </c>
      <c r="BK7" s="733">
        <v>8381.2476869951479</v>
      </c>
      <c r="BL7" s="733">
        <v>8449.269538553408</v>
      </c>
      <c r="BM7" s="733">
        <v>6485.0981148989249</v>
      </c>
      <c r="BN7" s="733">
        <v>6540.7036390559715</v>
      </c>
      <c r="BO7" s="733">
        <v>15228.228732964175</v>
      </c>
      <c r="BP7" s="733">
        <v>22800.41759456211</v>
      </c>
      <c r="BQ7" s="733">
        <v>26158.473806565256</v>
      </c>
    </row>
    <row r="8" spans="1:69">
      <c r="A8" s="731" t="s">
        <v>625</v>
      </c>
      <c r="D8" s="745">
        <f>SUM(E8:K8)</f>
        <v>275981665</v>
      </c>
      <c r="E8" s="746">
        <v>128985980</v>
      </c>
      <c r="F8" s="746">
        <v>54329806</v>
      </c>
      <c r="G8" s="746">
        <v>1555071</v>
      </c>
      <c r="H8" s="746">
        <v>0</v>
      </c>
      <c r="I8" s="747">
        <v>985267</v>
      </c>
      <c r="J8" s="746">
        <v>90125541</v>
      </c>
      <c r="K8" s="737"/>
      <c r="T8" s="731" t="s">
        <v>626</v>
      </c>
      <c r="V8" s="733">
        <v>346544.17819434428</v>
      </c>
      <c r="W8" s="733">
        <v>366134.37095374218</v>
      </c>
      <c r="X8" s="733">
        <v>319241.97087615012</v>
      </c>
      <c r="Y8" s="733">
        <v>315779.11300190695</v>
      </c>
      <c r="Z8" s="733">
        <v>275095.3975727089</v>
      </c>
      <c r="AA8" s="733">
        <v>240156.99184642592</v>
      </c>
      <c r="AB8" s="733">
        <v>218775.29340842733</v>
      </c>
      <c r="AC8" s="733">
        <v>204495.98480212927</v>
      </c>
      <c r="AD8" s="733">
        <v>208110.10518310178</v>
      </c>
      <c r="AE8" s="733">
        <v>226079.27584800235</v>
      </c>
      <c r="AF8" s="733">
        <v>279948.40629145154</v>
      </c>
      <c r="AG8" s="733">
        <v>306943.00550484553</v>
      </c>
      <c r="AH8" s="733">
        <v>347496.2016325646</v>
      </c>
      <c r="AI8" s="733">
        <v>372934.47798685031</v>
      </c>
      <c r="AJ8" s="733">
        <v>321156.78727847029</v>
      </c>
      <c r="AK8" s="733">
        <v>318516.13371809054</v>
      </c>
      <c r="AL8" s="733">
        <v>279277.79178475082</v>
      </c>
      <c r="AM8" s="733">
        <v>246254.57148957945</v>
      </c>
      <c r="AN8" s="733">
        <v>223960.68794666251</v>
      </c>
      <c r="AO8" s="733">
        <v>207986.00430102204</v>
      </c>
      <c r="AP8" s="733">
        <v>211490.90167510652</v>
      </c>
      <c r="AQ8" s="733">
        <v>227941.4788356869</v>
      </c>
      <c r="AR8" s="733">
        <v>282292.95685736585</v>
      </c>
      <c r="AS8" s="733">
        <v>309859.79148120608</v>
      </c>
      <c r="AT8" s="733">
        <v>352024.24193570175</v>
      </c>
      <c r="AU8" s="733">
        <v>374565.36389841407</v>
      </c>
      <c r="AV8" s="733">
        <v>322712.79123783333</v>
      </c>
      <c r="AW8" s="733">
        <v>321035.57423853967</v>
      </c>
      <c r="AX8" s="733">
        <v>281068.48913856206</v>
      </c>
      <c r="AY8" s="733">
        <v>248808.84426432601</v>
      </c>
      <c r="AZ8" s="733">
        <v>225790.62018954157</v>
      </c>
      <c r="BA8" s="733">
        <v>209149.92493270471</v>
      </c>
      <c r="BB8" s="733">
        <v>213842.45671701687</v>
      </c>
      <c r="BC8" s="733">
        <v>227387.08252637624</v>
      </c>
      <c r="BD8" s="733">
        <v>285266.99844060768</v>
      </c>
      <c r="BE8" s="733">
        <v>312589.56000378815</v>
      </c>
      <c r="BF8" s="733">
        <v>354607.57955720724</v>
      </c>
      <c r="BG8" s="733">
        <v>374290.47665329947</v>
      </c>
      <c r="BH8" s="733">
        <v>323978.98514711537</v>
      </c>
      <c r="BI8" s="733">
        <v>322353.14320159837</v>
      </c>
      <c r="BJ8" s="733">
        <v>281704.6348128306</v>
      </c>
      <c r="BK8" s="733">
        <v>249118.02721367634</v>
      </c>
      <c r="BL8" s="733">
        <v>226110.85833204541</v>
      </c>
      <c r="BM8" s="733">
        <v>209758.02119087425</v>
      </c>
      <c r="BN8" s="733">
        <v>214887.39846041775</v>
      </c>
      <c r="BO8" s="733">
        <v>227921.93281196119</v>
      </c>
      <c r="BP8" s="733">
        <v>286846.79545654549</v>
      </c>
      <c r="BQ8" s="733">
        <v>313867.7985640167</v>
      </c>
    </row>
    <row r="9" spans="1:69">
      <c r="A9" s="731" t="s">
        <v>627</v>
      </c>
      <c r="D9" s="745">
        <f>SUM(E9:K9)</f>
        <v>1978935</v>
      </c>
      <c r="E9" s="746">
        <v>1941495</v>
      </c>
      <c r="F9" s="746">
        <v>36840</v>
      </c>
      <c r="G9" s="746">
        <v>36</v>
      </c>
      <c r="H9" s="746">
        <v>0</v>
      </c>
      <c r="I9" s="747">
        <v>24</v>
      </c>
      <c r="J9" s="746">
        <v>540</v>
      </c>
      <c r="K9" s="737"/>
      <c r="T9" s="731" t="s">
        <v>628</v>
      </c>
      <c r="V9" s="733">
        <v>139001.65735415916</v>
      </c>
      <c r="W9" s="733">
        <v>145764.23425559278</v>
      </c>
      <c r="X9" s="733">
        <v>130774.61820408163</v>
      </c>
      <c r="Y9" s="733">
        <v>131266.18844033172</v>
      </c>
      <c r="Z9" s="733">
        <v>126341.51429718397</v>
      </c>
      <c r="AA9" s="733">
        <v>121921.2766266634</v>
      </c>
      <c r="AB9" s="733">
        <v>121807.76559287625</v>
      </c>
      <c r="AC9" s="733">
        <v>118080.21253699782</v>
      </c>
      <c r="AD9" s="733">
        <v>122200.9451016269</v>
      </c>
      <c r="AE9" s="733">
        <v>120515.25914378473</v>
      </c>
      <c r="AF9" s="733">
        <v>129747.42298919809</v>
      </c>
      <c r="AG9" s="733">
        <v>136623.9914739347</v>
      </c>
      <c r="AH9" s="733">
        <v>140145.30671459049</v>
      </c>
      <c r="AI9" s="733">
        <v>146875.6252214282</v>
      </c>
      <c r="AJ9" s="733">
        <v>131795.48864321178</v>
      </c>
      <c r="AK9" s="733">
        <v>132287.07303298218</v>
      </c>
      <c r="AL9" s="733">
        <v>127299.61004556649</v>
      </c>
      <c r="AM9" s="733">
        <v>122901.439001077</v>
      </c>
      <c r="AN9" s="733">
        <v>122776.47925189984</v>
      </c>
      <c r="AO9" s="733">
        <v>119048.59306030898</v>
      </c>
      <c r="AP9" s="733">
        <v>123144.41180079851</v>
      </c>
      <c r="AQ9" s="733">
        <v>121408.32395713139</v>
      </c>
      <c r="AR9" s="733">
        <v>130580.88447596203</v>
      </c>
      <c r="AS9" s="733">
        <v>137403.77787242457</v>
      </c>
      <c r="AT9" s="733">
        <v>140878.58736809954</v>
      </c>
      <c r="AU9" s="733">
        <v>147626.27063421893</v>
      </c>
      <c r="AV9" s="733">
        <v>132515.26940975487</v>
      </c>
      <c r="AW9" s="733">
        <v>132998.71655411075</v>
      </c>
      <c r="AX9" s="733">
        <v>128028.70113654173</v>
      </c>
      <c r="AY9" s="733">
        <v>123645.20433489434</v>
      </c>
      <c r="AZ9" s="733">
        <v>123543.3434572073</v>
      </c>
      <c r="BA9" s="733">
        <v>119811.09825050177</v>
      </c>
      <c r="BB9" s="733">
        <v>123909.48741366349</v>
      </c>
      <c r="BC9" s="733">
        <v>122134.99702165159</v>
      </c>
      <c r="BD9" s="733">
        <v>131267.75339440568</v>
      </c>
      <c r="BE9" s="733">
        <v>138069.84390470138</v>
      </c>
      <c r="BF9" s="733">
        <v>141513.91737257253</v>
      </c>
      <c r="BG9" s="733">
        <v>148284.87002190127</v>
      </c>
      <c r="BH9" s="733">
        <v>133165.71414274944</v>
      </c>
      <c r="BI9" s="733">
        <v>133650.42177529205</v>
      </c>
      <c r="BJ9" s="733">
        <v>128710.72873683884</v>
      </c>
      <c r="BK9" s="733">
        <v>124359.94157752352</v>
      </c>
      <c r="BL9" s="733">
        <v>124284.46155872443</v>
      </c>
      <c r="BM9" s="733">
        <v>120564.89733632351</v>
      </c>
      <c r="BN9" s="733">
        <v>124673.72829087931</v>
      </c>
      <c r="BO9" s="733">
        <v>122873.42025788857</v>
      </c>
      <c r="BP9" s="733">
        <v>131983.59847121759</v>
      </c>
      <c r="BQ9" s="733">
        <v>138768.6648963099</v>
      </c>
    </row>
    <row r="10" spans="1:69">
      <c r="A10" s="748" t="s">
        <v>629</v>
      </c>
      <c r="E10" s="749">
        <v>9.5</v>
      </c>
      <c r="F10" s="749">
        <v>97.25</v>
      </c>
      <c r="G10" s="749">
        <v>240.44</v>
      </c>
      <c r="H10" s="749"/>
      <c r="I10" s="750"/>
      <c r="K10" s="737"/>
    </row>
    <row r="11" spans="1:69">
      <c r="A11" s="748" t="s">
        <v>630</v>
      </c>
      <c r="E11" s="751">
        <v>0</v>
      </c>
      <c r="F11" s="751">
        <v>0</v>
      </c>
      <c r="G11" s="751">
        <v>0</v>
      </c>
      <c r="H11" s="749"/>
      <c r="I11" s="750"/>
      <c r="K11" s="737"/>
    </row>
    <row r="12" spans="1:69">
      <c r="A12" s="731" t="s">
        <v>631</v>
      </c>
      <c r="C12" s="752"/>
      <c r="D12" s="742">
        <f>SUM(E12:K12)</f>
        <v>0</v>
      </c>
      <c r="E12" s="743">
        <f>E8*E11</f>
        <v>0</v>
      </c>
      <c r="F12" s="743">
        <f t="shared" ref="F12:G12" si="0">F8*F11</f>
        <v>0</v>
      </c>
      <c r="G12" s="743">
        <f t="shared" si="0"/>
        <v>0</v>
      </c>
      <c r="H12" s="743"/>
      <c r="I12" s="744"/>
      <c r="J12" s="743"/>
      <c r="K12" s="737"/>
      <c r="T12" s="731" t="s">
        <v>632</v>
      </c>
    </row>
    <row r="13" spans="1:69">
      <c r="A13" s="731" t="s">
        <v>633</v>
      </c>
      <c r="D13" s="742">
        <f>SUM(E13:K13)</f>
        <v>22035548.34</v>
      </c>
      <c r="E13" s="743">
        <f>E9*E10</f>
        <v>18444202.5</v>
      </c>
      <c r="F13" s="743">
        <f t="shared" ref="F13:G13" si="1">F9*F10</f>
        <v>3582690</v>
      </c>
      <c r="G13" s="743">
        <f t="shared" si="1"/>
        <v>8655.84</v>
      </c>
      <c r="H13" s="743"/>
      <c r="I13" s="744"/>
      <c r="J13" s="743"/>
      <c r="K13" s="737"/>
      <c r="T13" s="731" t="s">
        <v>608</v>
      </c>
      <c r="V13" s="753">
        <v>22659659.372479931</v>
      </c>
      <c r="W13" s="753">
        <v>18125715.98864127</v>
      </c>
      <c r="X13" s="753">
        <v>15033044.820133487</v>
      </c>
      <c r="Y13" s="753">
        <v>9497249.38565493</v>
      </c>
      <c r="Z13" s="753">
        <v>5057421.2988135302</v>
      </c>
      <c r="AA13" s="753">
        <v>2861262.5041613695</v>
      </c>
      <c r="AB13" s="753">
        <v>2193485.5075411289</v>
      </c>
      <c r="AC13" s="753">
        <v>2490800.6721167457</v>
      </c>
      <c r="AD13" s="753">
        <v>2537629.1803711448</v>
      </c>
      <c r="AE13" s="753">
        <v>8083359.7827961203</v>
      </c>
      <c r="AF13" s="753">
        <v>15735548.779149588</v>
      </c>
      <c r="AG13" s="753">
        <v>22898409.369904723</v>
      </c>
      <c r="AH13" s="753">
        <v>23385530.387359805</v>
      </c>
      <c r="AI13" s="753">
        <v>18608677.815918069</v>
      </c>
      <c r="AJ13" s="753">
        <v>15440273.500018638</v>
      </c>
      <c r="AK13" s="753">
        <v>9571568.850759903</v>
      </c>
      <c r="AL13" s="753">
        <v>5127349.9933950882</v>
      </c>
      <c r="AM13" s="753">
        <v>2872177.448569085</v>
      </c>
      <c r="AN13" s="753">
        <v>2503023.9299923512</v>
      </c>
      <c r="AO13" s="753">
        <v>2084881.7652356273</v>
      </c>
      <c r="AP13" s="753">
        <v>2984815.0020103883</v>
      </c>
      <c r="AQ13" s="753">
        <v>7807394.3990552668</v>
      </c>
      <c r="AR13" s="753">
        <v>15900610.890801232</v>
      </c>
      <c r="AS13" s="753">
        <v>23326612.342601817</v>
      </c>
      <c r="AT13" s="753">
        <v>23572499.046756923</v>
      </c>
      <c r="AU13" s="753">
        <v>18452080.826143943</v>
      </c>
      <c r="AV13" s="753">
        <v>15630325.724624043</v>
      </c>
      <c r="AW13" s="753">
        <v>9717079.0659439471</v>
      </c>
      <c r="AX13" s="753">
        <v>5233677.7966828514</v>
      </c>
      <c r="AY13" s="753">
        <v>2960083.572531437</v>
      </c>
      <c r="AZ13" s="753">
        <v>2421980.0239204071</v>
      </c>
      <c r="BA13" s="753">
        <v>2416293.6923664436</v>
      </c>
      <c r="BB13" s="753">
        <v>2759902.1597907413</v>
      </c>
      <c r="BC13" s="753">
        <v>8169709.5408357019</v>
      </c>
      <c r="BD13" s="753">
        <v>16087214.69347487</v>
      </c>
      <c r="BE13" s="753">
        <v>23623290.998555772</v>
      </c>
      <c r="BF13" s="753">
        <v>23963386.538099002</v>
      </c>
      <c r="BG13" s="753">
        <v>18640659.866863754</v>
      </c>
      <c r="BH13" s="753">
        <v>15835740.069522627</v>
      </c>
      <c r="BI13" s="753">
        <v>9869892.8878403809</v>
      </c>
      <c r="BJ13" s="753">
        <v>5278372.6062804312</v>
      </c>
      <c r="BK13" s="753">
        <v>3007005.5001486028</v>
      </c>
      <c r="BL13" s="753">
        <v>2538491.4571108888</v>
      </c>
      <c r="BM13" s="753">
        <v>2314617.8496527025</v>
      </c>
      <c r="BN13" s="753">
        <v>2979508.8560296367</v>
      </c>
      <c r="BO13" s="753">
        <v>8113846.4858739143</v>
      </c>
      <c r="BP13" s="753">
        <v>16345869.649844769</v>
      </c>
      <c r="BQ13" s="753">
        <v>23954292.828941945</v>
      </c>
    </row>
    <row r="14" spans="1:69">
      <c r="A14" s="731" t="s">
        <v>634</v>
      </c>
      <c r="D14" s="742">
        <f>SUM(E14:K14)</f>
        <v>5157000</v>
      </c>
      <c r="E14" s="743"/>
      <c r="F14" s="743"/>
      <c r="G14" s="743"/>
      <c r="H14" s="743">
        <f>H7</f>
        <v>0</v>
      </c>
      <c r="I14" s="744">
        <f>I7</f>
        <v>201000</v>
      </c>
      <c r="J14" s="743">
        <f>J7</f>
        <v>4956000</v>
      </c>
      <c r="K14" s="737"/>
      <c r="T14" s="731" t="s">
        <v>615</v>
      </c>
      <c r="V14" s="753">
        <v>8922144.3588616326</v>
      </c>
      <c r="W14" s="753">
        <v>6636867.8508475069</v>
      </c>
      <c r="X14" s="753">
        <v>6019013.4279683298</v>
      </c>
      <c r="Y14" s="753">
        <v>3792538.8373198803</v>
      </c>
      <c r="Z14" s="753">
        <v>2299837.7613783632</v>
      </c>
      <c r="AA14" s="753">
        <v>1560189.0343624263</v>
      </c>
      <c r="AB14" s="753">
        <v>1648238.006907054</v>
      </c>
      <c r="AC14" s="753">
        <v>1400437.3130040073</v>
      </c>
      <c r="AD14" s="753">
        <v>2188764.0970326914</v>
      </c>
      <c r="AE14" s="753">
        <v>4393536.2310198462</v>
      </c>
      <c r="AF14" s="753">
        <v>7065733.130457405</v>
      </c>
      <c r="AG14" s="753">
        <v>9235840.4505345654</v>
      </c>
      <c r="AH14" s="753">
        <v>8731137.2825534791</v>
      </c>
      <c r="AI14" s="753">
        <v>7302695.2045650715</v>
      </c>
      <c r="AJ14" s="753">
        <v>5947731.4907014035</v>
      </c>
      <c r="AK14" s="753">
        <v>3898502.9170361264</v>
      </c>
      <c r="AL14" s="753">
        <v>2318877.0663845045</v>
      </c>
      <c r="AM14" s="753">
        <v>1579764.8840469313</v>
      </c>
      <c r="AN14" s="753">
        <v>1425392.9029550967</v>
      </c>
      <c r="AO14" s="753">
        <v>1763397.722040836</v>
      </c>
      <c r="AP14" s="753">
        <v>1850269.1084488421</v>
      </c>
      <c r="AQ14" s="753">
        <v>4806967.9600809384</v>
      </c>
      <c r="AR14" s="753">
        <v>7260636.5321553657</v>
      </c>
      <c r="AS14" s="753">
        <v>9320731.4678638577</v>
      </c>
      <c r="AT14" s="753">
        <v>9110016.9444728848</v>
      </c>
      <c r="AU14" s="753">
        <v>7114799.8743097242</v>
      </c>
      <c r="AV14" s="753">
        <v>6128213.8909187457</v>
      </c>
      <c r="AW14" s="753">
        <v>3976865.8972975626</v>
      </c>
      <c r="AX14" s="753">
        <v>2324928.3229435817</v>
      </c>
      <c r="AY14" s="753">
        <v>1552906.8334235682</v>
      </c>
      <c r="AZ14" s="753">
        <v>1527789.3709478253</v>
      </c>
      <c r="BA14" s="753">
        <v>1519100.7358623038</v>
      </c>
      <c r="BB14" s="753">
        <v>2094148.5174459061</v>
      </c>
      <c r="BC14" s="753">
        <v>4674530.0619717902</v>
      </c>
      <c r="BD14" s="753">
        <v>7471869.0934920376</v>
      </c>
      <c r="BE14" s="753">
        <v>9583550.0987616107</v>
      </c>
      <c r="BF14" s="753">
        <v>9234410.6092040576</v>
      </c>
      <c r="BG14" s="753">
        <v>7312381.9838244822</v>
      </c>
      <c r="BH14" s="753">
        <v>6252701.8756943475</v>
      </c>
      <c r="BI14" s="753">
        <v>4024134.2966656284</v>
      </c>
      <c r="BJ14" s="753">
        <v>2377051.1333735427</v>
      </c>
      <c r="BK14" s="753">
        <v>1557591.6385736363</v>
      </c>
      <c r="BL14" s="753">
        <v>1464736.2563856051</v>
      </c>
      <c r="BM14" s="753">
        <v>1635376.540568996</v>
      </c>
      <c r="BN14" s="753">
        <v>1954769.5872890507</v>
      </c>
      <c r="BO14" s="753">
        <v>4892200.0374163231</v>
      </c>
      <c r="BP14" s="753">
        <v>7567804.2860044874</v>
      </c>
      <c r="BQ14" s="753">
        <v>9749547.0195769146</v>
      </c>
    </row>
    <row r="15" spans="1:69">
      <c r="A15" s="731" t="s">
        <v>635</v>
      </c>
      <c r="D15" s="754">
        <f>SUM(E15:K15)</f>
        <v>66514451.659999996</v>
      </c>
      <c r="E15" s="755">
        <f>E7-SUM(E12:E14)</f>
        <v>52687797.5</v>
      </c>
      <c r="F15" s="755">
        <f t="shared" ref="F15:J15" si="2">F7-SUM(F12:F14)</f>
        <v>13528310</v>
      </c>
      <c r="G15" s="755">
        <f t="shared" si="2"/>
        <v>298344.15999999997</v>
      </c>
      <c r="H15" s="755">
        <f t="shared" si="2"/>
        <v>0</v>
      </c>
      <c r="I15" s="756">
        <f t="shared" si="2"/>
        <v>0</v>
      </c>
      <c r="J15" s="755">
        <f t="shared" si="2"/>
        <v>0</v>
      </c>
      <c r="K15" s="737"/>
      <c r="T15" s="731" t="s">
        <v>621</v>
      </c>
      <c r="V15" s="753">
        <v>20250.577434154729</v>
      </c>
      <c r="W15" s="753">
        <v>13010.31202546327</v>
      </c>
      <c r="X15" s="753">
        <v>11499.712882920985</v>
      </c>
      <c r="Y15" s="753">
        <v>7665.597121790709</v>
      </c>
      <c r="Z15" s="753">
        <v>4650.3698735219668</v>
      </c>
      <c r="AA15" s="753">
        <v>3604.0537165676715</v>
      </c>
      <c r="AB15" s="753">
        <v>4665.8219570081774</v>
      </c>
      <c r="AC15" s="753">
        <v>4479.8291330914062</v>
      </c>
      <c r="AD15" s="753">
        <v>7849.5811551929464</v>
      </c>
      <c r="AE15" s="753">
        <v>15322.340427108202</v>
      </c>
      <c r="AF15" s="753">
        <v>21500.829780125423</v>
      </c>
      <c r="AG15" s="753">
        <v>24295.600567761445</v>
      </c>
      <c r="AH15" s="753">
        <v>19298.830599559758</v>
      </c>
      <c r="AI15" s="753">
        <v>13909.685398125686</v>
      </c>
      <c r="AJ15" s="753">
        <v>11170.246214302784</v>
      </c>
      <c r="AK15" s="753">
        <v>7774.8767663209073</v>
      </c>
      <c r="AL15" s="753">
        <v>4667.5397027173767</v>
      </c>
      <c r="AM15" s="753">
        <v>3691.2547049248524</v>
      </c>
      <c r="AN15" s="753">
        <v>4021.8887745696206</v>
      </c>
      <c r="AO15" s="753">
        <v>5708.5512180291962</v>
      </c>
      <c r="AP15" s="753">
        <v>6724.6107384706684</v>
      </c>
      <c r="AQ15" s="753">
        <v>16549.011168655023</v>
      </c>
      <c r="AR15" s="753">
        <v>21719.234491399715</v>
      </c>
      <c r="AS15" s="753">
        <v>23956.629307270832</v>
      </c>
      <c r="AT15" s="753">
        <v>19669.058653860986</v>
      </c>
      <c r="AU15" s="753">
        <v>13274.806918237406</v>
      </c>
      <c r="AV15" s="753">
        <v>11284.108220611834</v>
      </c>
      <c r="AW15" s="753">
        <v>7801.9284887781268</v>
      </c>
      <c r="AX15" s="753">
        <v>4627.689856867245</v>
      </c>
      <c r="AY15" s="753">
        <v>3606.9366808529085</v>
      </c>
      <c r="AZ15" s="753">
        <v>4367.3583603517854</v>
      </c>
      <c r="BA15" s="753">
        <v>5014.147208439832</v>
      </c>
      <c r="BB15" s="753">
        <v>7642.6155124760744</v>
      </c>
      <c r="BC15" s="753">
        <v>15950.378439063436</v>
      </c>
      <c r="BD15" s="753">
        <v>21914.619780136356</v>
      </c>
      <c r="BE15" s="753">
        <v>24143.274239193066</v>
      </c>
      <c r="BF15" s="753">
        <v>19536.408517186646</v>
      </c>
      <c r="BG15" s="753">
        <v>13358.589653289844</v>
      </c>
      <c r="BH15" s="753">
        <v>11281.735554253004</v>
      </c>
      <c r="BI15" s="753">
        <v>7750.1672044531524</v>
      </c>
      <c r="BJ15" s="753">
        <v>4656.0707852439982</v>
      </c>
      <c r="BK15" s="753">
        <v>3602.5660011652103</v>
      </c>
      <c r="BL15" s="753">
        <v>4221.5811702665815</v>
      </c>
      <c r="BM15" s="753">
        <v>5470.3246505833858</v>
      </c>
      <c r="BN15" s="753">
        <v>7161.5026112411997</v>
      </c>
      <c r="BO15" s="753">
        <v>16532.662526058371</v>
      </c>
      <c r="BP15" s="753">
        <v>21848.0929384378</v>
      </c>
      <c r="BQ15" s="753">
        <v>24126.426824921291</v>
      </c>
    </row>
    <row r="16" spans="1:69">
      <c r="D16" s="757"/>
      <c r="E16" s="758"/>
      <c r="F16" s="758"/>
      <c r="G16" s="758"/>
      <c r="H16" s="758"/>
      <c r="I16" s="758"/>
      <c r="J16" s="758"/>
      <c r="K16" s="737"/>
      <c r="T16" s="731" t="s">
        <v>622</v>
      </c>
      <c r="V16" s="753">
        <v>575525.41371634277</v>
      </c>
      <c r="W16" s="753">
        <v>472333.13873360242</v>
      </c>
      <c r="X16" s="753">
        <v>434669.27177471819</v>
      </c>
      <c r="Y16" s="753">
        <v>313430.15285417554</v>
      </c>
      <c r="Z16" s="753">
        <v>252835.90419457926</v>
      </c>
      <c r="AA16" s="753">
        <v>211227.15637691299</v>
      </c>
      <c r="AB16" s="753">
        <v>281350.79628296639</v>
      </c>
      <c r="AC16" s="753">
        <v>238625.7694304933</v>
      </c>
      <c r="AD16" s="753">
        <v>327760.47391709295</v>
      </c>
      <c r="AE16" s="753">
        <v>494685.72381366143</v>
      </c>
      <c r="AF16" s="753">
        <v>596974.56379795086</v>
      </c>
      <c r="AG16" s="753">
        <v>567151.68341207656</v>
      </c>
      <c r="AH16" s="753">
        <v>558660.28597495391</v>
      </c>
      <c r="AI16" s="753">
        <v>518132.19174880744</v>
      </c>
      <c r="AJ16" s="753">
        <v>424889.04190052097</v>
      </c>
      <c r="AK16" s="753">
        <v>323237.50948291621</v>
      </c>
      <c r="AL16" s="753">
        <v>251045.15866068864</v>
      </c>
      <c r="AM16" s="753">
        <v>222293.8854430732</v>
      </c>
      <c r="AN16" s="753">
        <v>239086.61576355246</v>
      </c>
      <c r="AO16" s="753">
        <v>309846.81353137415</v>
      </c>
      <c r="AP16" s="753">
        <v>281423.51841503108</v>
      </c>
      <c r="AQ16" s="753">
        <v>541395.77772003156</v>
      </c>
      <c r="AR16" s="753">
        <v>606780.33889551065</v>
      </c>
      <c r="AS16" s="753">
        <v>564840.17374783487</v>
      </c>
      <c r="AT16" s="753">
        <v>571336.08152191958</v>
      </c>
      <c r="AU16" s="753">
        <v>498945.17327462236</v>
      </c>
      <c r="AV16" s="753">
        <v>429543.02602678823</v>
      </c>
      <c r="AW16" s="753">
        <v>326846.62489302777</v>
      </c>
      <c r="AX16" s="753">
        <v>249538.75512639218</v>
      </c>
      <c r="AY16" s="753">
        <v>218524.84855672822</v>
      </c>
      <c r="AZ16" s="753">
        <v>260618.48662193544</v>
      </c>
      <c r="BA16" s="753">
        <v>273813.83123366104</v>
      </c>
      <c r="BB16" s="753">
        <v>320809.0618463502</v>
      </c>
      <c r="BC16" s="753">
        <v>525445.02053751296</v>
      </c>
      <c r="BD16" s="753">
        <v>613439.90205150156</v>
      </c>
      <c r="BE16" s="753">
        <v>571527.22350869421</v>
      </c>
      <c r="BF16" s="753">
        <v>568587.60645547009</v>
      </c>
      <c r="BG16" s="753">
        <v>503355.29389906378</v>
      </c>
      <c r="BH16" s="753">
        <v>430397.57681416755</v>
      </c>
      <c r="BI16" s="753">
        <v>325538.54763857869</v>
      </c>
      <c r="BJ16" s="753">
        <v>251611.37822622032</v>
      </c>
      <c r="BK16" s="753">
        <v>219008.21878870271</v>
      </c>
      <c r="BL16" s="753">
        <v>252387.09729555127</v>
      </c>
      <c r="BM16" s="753">
        <v>299782.19888435456</v>
      </c>
      <c r="BN16" s="753">
        <v>301264.28931579669</v>
      </c>
      <c r="BO16" s="753">
        <v>545976.61107674823</v>
      </c>
      <c r="BP16" s="753">
        <v>612575.41768591909</v>
      </c>
      <c r="BQ16" s="753">
        <v>571932.27564602124</v>
      </c>
    </row>
    <row r="17" spans="1:69">
      <c r="A17" s="731" t="s">
        <v>636</v>
      </c>
      <c r="D17" s="742"/>
      <c r="E17" s="759">
        <f>ROUND(E23,2)</f>
        <v>325.64999999999998</v>
      </c>
      <c r="F17" s="759">
        <f>ROUND(F23,2)</f>
        <v>4499.3999999999996</v>
      </c>
      <c r="G17" s="743"/>
      <c r="H17" s="760" t="s">
        <v>637</v>
      </c>
      <c r="I17" s="761" t="s">
        <v>638</v>
      </c>
      <c r="J17" s="762" t="s">
        <v>639</v>
      </c>
      <c r="K17" s="737"/>
      <c r="T17" s="731" t="s">
        <v>624</v>
      </c>
      <c r="V17" s="753">
        <v>138402.46382919731</v>
      </c>
      <c r="W17" s="753">
        <v>110424.38526851442</v>
      </c>
      <c r="X17" s="753">
        <v>100573.31351941936</v>
      </c>
      <c r="Y17" s="753">
        <v>69932.360650378381</v>
      </c>
      <c r="Z17" s="753">
        <v>51173.851866115787</v>
      </c>
      <c r="AA17" s="753">
        <v>38319.32726484086</v>
      </c>
      <c r="AB17" s="753">
        <v>44255.702001881873</v>
      </c>
      <c r="AC17" s="753">
        <v>24592.75146685561</v>
      </c>
      <c r="AD17" s="753">
        <v>35201.434761008131</v>
      </c>
      <c r="AE17" s="753">
        <v>70611.147898500683</v>
      </c>
      <c r="AF17" s="753">
        <v>113373.124671743</v>
      </c>
      <c r="AG17" s="753">
        <v>134031.65063612064</v>
      </c>
      <c r="AH17" s="753">
        <v>131860.52689029608</v>
      </c>
      <c r="AI17" s="753">
        <v>119124.76195874538</v>
      </c>
      <c r="AJ17" s="753">
        <v>99359.946716736653</v>
      </c>
      <c r="AK17" s="753">
        <v>72224.526485283539</v>
      </c>
      <c r="AL17" s="753">
        <v>52161.409051189483</v>
      </c>
      <c r="AM17" s="753">
        <v>39751.755997898545</v>
      </c>
      <c r="AN17" s="753">
        <v>38232.955464170278</v>
      </c>
      <c r="AO17" s="753">
        <v>30743.958231800363</v>
      </c>
      <c r="AP17" s="753">
        <v>29171.320504393123</v>
      </c>
      <c r="AQ17" s="753">
        <v>74387.986725765935</v>
      </c>
      <c r="AR17" s="753">
        <v>113194.67439941452</v>
      </c>
      <c r="AS17" s="753">
        <v>131551.24139362737</v>
      </c>
      <c r="AT17" s="753">
        <v>134228.37975061344</v>
      </c>
      <c r="AU17" s="753">
        <v>113859.52418141914</v>
      </c>
      <c r="AV17" s="753">
        <v>100798.38156233754</v>
      </c>
      <c r="AW17" s="753">
        <v>72946.782612984127</v>
      </c>
      <c r="AX17" s="753">
        <v>52087.309216876864</v>
      </c>
      <c r="AY17" s="753">
        <v>39121.709314143482</v>
      </c>
      <c r="AZ17" s="753">
        <v>41679.086493376613</v>
      </c>
      <c r="BA17" s="753">
        <v>26943.649083009484</v>
      </c>
      <c r="BB17" s="753">
        <v>32870.215653962448</v>
      </c>
      <c r="BC17" s="753">
        <v>71107.918089709099</v>
      </c>
      <c r="BD17" s="753">
        <v>113669.38996924262</v>
      </c>
      <c r="BE17" s="753">
        <v>132261.7855594756</v>
      </c>
      <c r="BF17" s="753">
        <v>133176.35066055943</v>
      </c>
      <c r="BG17" s="753">
        <v>114571.35200388008</v>
      </c>
      <c r="BH17" s="753">
        <v>100876.59521651451</v>
      </c>
      <c r="BI17" s="753">
        <v>72608.641675168794</v>
      </c>
      <c r="BJ17" s="753">
        <v>52545.187781826105</v>
      </c>
      <c r="BK17" s="753">
        <v>39200.006894580649</v>
      </c>
      <c r="BL17" s="753">
        <v>40393.51151240911</v>
      </c>
      <c r="BM17" s="753">
        <v>29431.363719490881</v>
      </c>
      <c r="BN17" s="753">
        <v>30750.926258056057</v>
      </c>
      <c r="BO17" s="753">
        <v>73528.288286405121</v>
      </c>
      <c r="BP17" s="753">
        <v>113131.43067737151</v>
      </c>
      <c r="BQ17" s="753">
        <v>132038.40957241511</v>
      </c>
    </row>
    <row r="18" spans="1:69">
      <c r="A18" s="731" t="s">
        <v>640</v>
      </c>
      <c r="D18" s="742">
        <f>SUM(E18:F18)</f>
        <v>66513976.762499996</v>
      </c>
      <c r="E18" s="743">
        <f>E17*E9/12</f>
        <v>52687320.5625</v>
      </c>
      <c r="F18" s="743">
        <f>F17*SUM(F9:H9)/12</f>
        <v>13826656.199999997</v>
      </c>
      <c r="H18" s="731" t="s">
        <v>211</v>
      </c>
      <c r="I18" s="763">
        <f>E17/J18</f>
        <v>0.40847260415434294</v>
      </c>
      <c r="J18" s="746">
        <f>E8/ROUND(E9/12,0)</f>
        <v>797.2382889035855</v>
      </c>
      <c r="K18" s="737"/>
      <c r="T18" s="731" t="s">
        <v>626</v>
      </c>
      <c r="V18" s="753">
        <v>4016476</v>
      </c>
      <c r="W18" s="753">
        <v>4194866</v>
      </c>
      <c r="X18" s="753">
        <v>3611777</v>
      </c>
      <c r="Y18" s="753">
        <v>3565969</v>
      </c>
      <c r="Z18" s="753">
        <v>3017941</v>
      </c>
      <c r="AA18" s="753">
        <v>2601293</v>
      </c>
      <c r="AB18" s="753">
        <v>2341923</v>
      </c>
      <c r="AC18" s="753">
        <v>2192880</v>
      </c>
      <c r="AD18" s="753">
        <v>2233771</v>
      </c>
      <c r="AE18" s="753">
        <v>2405362</v>
      </c>
      <c r="AF18" s="753">
        <v>3117039</v>
      </c>
      <c r="AG18" s="753">
        <v>3480828</v>
      </c>
      <c r="AH18" s="753">
        <v>4028278</v>
      </c>
      <c r="AI18" s="753">
        <v>4280063</v>
      </c>
      <c r="AJ18" s="753">
        <v>3635087</v>
      </c>
      <c r="AK18" s="753">
        <v>3599254</v>
      </c>
      <c r="AL18" s="753">
        <v>3067921</v>
      </c>
      <c r="AM18" s="753">
        <v>2674184</v>
      </c>
      <c r="AN18" s="753">
        <v>2403810</v>
      </c>
      <c r="AO18" s="753">
        <v>2234943</v>
      </c>
      <c r="AP18" s="753">
        <v>2274469</v>
      </c>
      <c r="AQ18" s="753">
        <v>2427370</v>
      </c>
      <c r="AR18" s="753">
        <v>3145431</v>
      </c>
      <c r="AS18" s="753">
        <v>3516528</v>
      </c>
      <c r="AT18" s="753">
        <v>4084411</v>
      </c>
      <c r="AU18" s="753">
        <v>4300496</v>
      </c>
      <c r="AV18" s="753">
        <v>3654029</v>
      </c>
      <c r="AW18" s="753">
        <v>3629893</v>
      </c>
      <c r="AX18" s="753">
        <v>3089320</v>
      </c>
      <c r="AY18" s="753">
        <v>2704718</v>
      </c>
      <c r="AZ18" s="753">
        <v>2425650</v>
      </c>
      <c r="BA18" s="753">
        <v>2248971</v>
      </c>
      <c r="BB18" s="753">
        <v>2302777</v>
      </c>
      <c r="BC18" s="753">
        <v>2420818</v>
      </c>
      <c r="BD18" s="753">
        <v>3181446</v>
      </c>
      <c r="BE18" s="753">
        <v>3549939</v>
      </c>
      <c r="BF18" s="753">
        <v>4116436</v>
      </c>
      <c r="BG18" s="753">
        <v>4297052</v>
      </c>
      <c r="BH18" s="753">
        <v>3669443</v>
      </c>
      <c r="BI18" s="753">
        <v>3645916</v>
      </c>
      <c r="BJ18" s="753">
        <v>3096922</v>
      </c>
      <c r="BK18" s="753">
        <v>2708414</v>
      </c>
      <c r="BL18" s="753">
        <v>2429472</v>
      </c>
      <c r="BM18" s="753">
        <v>2256300</v>
      </c>
      <c r="BN18" s="753">
        <v>2315356</v>
      </c>
      <c r="BO18" s="753">
        <v>2427139</v>
      </c>
      <c r="BP18" s="753">
        <v>3200577</v>
      </c>
      <c r="BQ18" s="753">
        <v>3565584</v>
      </c>
    </row>
    <row r="19" spans="1:69">
      <c r="A19" s="731" t="s">
        <v>641</v>
      </c>
      <c r="D19" s="742">
        <f>SUM(E19:F19)</f>
        <v>-474.89750000275671</v>
      </c>
      <c r="E19" s="742">
        <f>E18-E15</f>
        <v>-476.9375</v>
      </c>
      <c r="F19" s="742">
        <f>F18-SUM(F15:H15)</f>
        <v>2.0399999972432852</v>
      </c>
      <c r="H19" s="731" t="s">
        <v>642</v>
      </c>
      <c r="I19" s="763">
        <f>F17/J19</f>
        <v>0.24741319910214704</v>
      </c>
      <c r="J19" s="746">
        <f>SUM(F8:H8)/ROUND(SUM(F9:H9)/12,0)</f>
        <v>18185.771884152295</v>
      </c>
      <c r="K19" s="737"/>
      <c r="T19" s="731" t="s">
        <v>628</v>
      </c>
      <c r="V19" s="753">
        <v>4859180</v>
      </c>
      <c r="W19" s="753">
        <v>4952310</v>
      </c>
      <c r="X19" s="753">
        <v>4425620</v>
      </c>
      <c r="Y19" s="753">
        <v>4424842</v>
      </c>
      <c r="Z19" s="753">
        <v>4047057</v>
      </c>
      <c r="AA19" s="753">
        <v>3733720</v>
      </c>
      <c r="AB19" s="753">
        <v>3592927</v>
      </c>
      <c r="AC19" s="753">
        <v>3413044</v>
      </c>
      <c r="AD19" s="753">
        <v>3538051</v>
      </c>
      <c r="AE19" s="753">
        <v>3615845</v>
      </c>
      <c r="AF19" s="753">
        <v>4144387</v>
      </c>
      <c r="AG19" s="753">
        <v>4520970</v>
      </c>
      <c r="AH19" s="753">
        <v>4908767</v>
      </c>
      <c r="AI19" s="753">
        <v>4998627</v>
      </c>
      <c r="AJ19" s="753">
        <v>4469128</v>
      </c>
      <c r="AK19" s="753">
        <v>4468138</v>
      </c>
      <c r="AL19" s="753">
        <v>4086062</v>
      </c>
      <c r="AM19" s="753">
        <v>3772247</v>
      </c>
      <c r="AN19" s="753">
        <v>3629612</v>
      </c>
      <c r="AO19" s="753">
        <v>3449305</v>
      </c>
      <c r="AP19" s="753">
        <v>3573089</v>
      </c>
      <c r="AQ19" s="753">
        <v>3650351</v>
      </c>
      <c r="AR19" s="753">
        <v>4177983</v>
      </c>
      <c r="AS19" s="753">
        <v>4553109</v>
      </c>
      <c r="AT19" s="753">
        <v>4940561</v>
      </c>
      <c r="AU19" s="753">
        <v>5029910</v>
      </c>
      <c r="AV19" s="753">
        <v>4499804</v>
      </c>
      <c r="AW19" s="753">
        <v>4498319</v>
      </c>
      <c r="AX19" s="753">
        <v>4115744</v>
      </c>
      <c r="AY19" s="753">
        <v>3801482</v>
      </c>
      <c r="AZ19" s="753">
        <v>3658653</v>
      </c>
      <c r="BA19" s="753">
        <v>3477857</v>
      </c>
      <c r="BB19" s="753">
        <v>3601502</v>
      </c>
      <c r="BC19" s="753">
        <v>3678428</v>
      </c>
      <c r="BD19" s="753">
        <v>4205670</v>
      </c>
      <c r="BE19" s="753">
        <v>4580561</v>
      </c>
      <c r="BF19" s="753">
        <v>4968108</v>
      </c>
      <c r="BG19" s="753">
        <v>5057357</v>
      </c>
      <c r="BH19" s="753">
        <v>4527525</v>
      </c>
      <c r="BI19" s="753">
        <v>4525958</v>
      </c>
      <c r="BJ19" s="753">
        <v>4143510</v>
      </c>
      <c r="BK19" s="753">
        <v>3829576</v>
      </c>
      <c r="BL19" s="753">
        <v>3686719</v>
      </c>
      <c r="BM19" s="753">
        <v>3506083</v>
      </c>
      <c r="BN19" s="753">
        <v>3629884</v>
      </c>
      <c r="BO19" s="753">
        <v>3706959</v>
      </c>
      <c r="BP19" s="753">
        <v>4234525</v>
      </c>
      <c r="BQ19" s="753">
        <v>4609363</v>
      </c>
    </row>
    <row r="20" spans="1:69">
      <c r="E20" s="743"/>
      <c r="F20" s="743"/>
      <c r="G20" s="743"/>
      <c r="H20" s="762" t="s">
        <v>643</v>
      </c>
    </row>
    <row r="21" spans="1:69">
      <c r="A21" s="731" t="s">
        <v>644</v>
      </c>
      <c r="D21" s="742">
        <f>D7+D19-D12</f>
        <v>93706525.102499992</v>
      </c>
      <c r="H21" s="731" t="s">
        <v>211</v>
      </c>
      <c r="J21" s="746">
        <f>E9/12</f>
        <v>161791.25</v>
      </c>
    </row>
    <row r="22" spans="1:69">
      <c r="D22" s="742"/>
      <c r="H22" s="731" t="s">
        <v>642</v>
      </c>
      <c r="J22" s="746">
        <f>SUM(F9:H9)/12</f>
        <v>3073</v>
      </c>
      <c r="T22" s="731" t="s">
        <v>645</v>
      </c>
    </row>
    <row r="23" spans="1:69">
      <c r="A23" s="731" t="s">
        <v>646</v>
      </c>
      <c r="D23" s="742"/>
      <c r="E23" s="759">
        <f>E15/(E9/12)</f>
        <v>325.65294785719254</v>
      </c>
      <c r="F23" s="759">
        <f>SUM(F15:G15)/(SUM(F9:G9)/12)</f>
        <v>4499.3993361535959</v>
      </c>
      <c r="T23" s="731" t="s">
        <v>608</v>
      </c>
      <c r="V23" s="733">
        <v>164055.6654</v>
      </c>
      <c r="W23" s="733">
        <v>164054.473</v>
      </c>
      <c r="X23" s="733">
        <v>164178.40830000001</v>
      </c>
      <c r="Y23" s="733">
        <v>164045.24129999999</v>
      </c>
      <c r="Z23" s="733">
        <v>164097.1539</v>
      </c>
      <c r="AA23" s="733">
        <v>163969.13339999999</v>
      </c>
      <c r="AB23" s="733">
        <v>164177.96840000001</v>
      </c>
      <c r="AC23" s="733">
        <v>164296.91880000001</v>
      </c>
      <c r="AD23" s="733">
        <v>164597.80600000001</v>
      </c>
      <c r="AE23" s="733">
        <v>165161.70800000001</v>
      </c>
      <c r="AF23" s="733">
        <v>165767.6133</v>
      </c>
      <c r="AG23" s="733">
        <v>166308.51879999999</v>
      </c>
      <c r="AH23" s="733">
        <v>165846.4375</v>
      </c>
      <c r="AI23" s="733">
        <v>165934.32889999999</v>
      </c>
      <c r="AJ23" s="733">
        <v>165945.24489999999</v>
      </c>
      <c r="AK23" s="733">
        <v>165889.1471</v>
      </c>
      <c r="AL23" s="733">
        <v>165891.05110000001</v>
      </c>
      <c r="AM23" s="733">
        <v>165751.95980000001</v>
      </c>
      <c r="AN23" s="733">
        <v>165890.8646</v>
      </c>
      <c r="AO23" s="733">
        <v>166043.77290000001</v>
      </c>
      <c r="AP23" s="733">
        <v>166390.6764</v>
      </c>
      <c r="AQ23" s="733">
        <v>166855.58439999999</v>
      </c>
      <c r="AR23" s="733">
        <v>167474.48980000001</v>
      </c>
      <c r="AS23" s="733">
        <v>167986.39540000001</v>
      </c>
      <c r="AT23" s="733">
        <v>168253.30239999999</v>
      </c>
      <c r="AU23" s="733">
        <v>168309.20800000001</v>
      </c>
      <c r="AV23" s="733">
        <v>168338.1145</v>
      </c>
      <c r="AW23" s="733">
        <v>168287.0203</v>
      </c>
      <c r="AX23" s="733">
        <v>168233.92670000001</v>
      </c>
      <c r="AY23" s="733">
        <v>168117.8327</v>
      </c>
      <c r="AZ23" s="733">
        <v>168239.73869999999</v>
      </c>
      <c r="BA23" s="733">
        <v>168401.64499999999</v>
      </c>
      <c r="BB23" s="733">
        <v>168694.55100000001</v>
      </c>
      <c r="BC23" s="733">
        <v>169152.4572</v>
      </c>
      <c r="BD23" s="733">
        <v>169763.3633</v>
      </c>
      <c r="BE23" s="733">
        <v>170247.26939999999</v>
      </c>
      <c r="BF23" s="733">
        <v>170521.17559999999</v>
      </c>
      <c r="BG23" s="733">
        <v>170554.08170000001</v>
      </c>
      <c r="BH23" s="733">
        <v>170579.9878</v>
      </c>
      <c r="BI23" s="733">
        <v>170490.8939</v>
      </c>
      <c r="BJ23" s="733">
        <v>170441.80009999999</v>
      </c>
      <c r="BK23" s="733">
        <v>170321.70619999999</v>
      </c>
      <c r="BL23" s="733">
        <v>170425.61230000001</v>
      </c>
      <c r="BM23" s="733">
        <v>170580.5184</v>
      </c>
      <c r="BN23" s="733">
        <v>170857.4246</v>
      </c>
      <c r="BO23" s="733">
        <v>171315.33069999999</v>
      </c>
      <c r="BP23" s="733">
        <v>171908.23680000001</v>
      </c>
      <c r="BQ23" s="733">
        <v>172397.14290000001</v>
      </c>
    </row>
    <row r="24" spans="1:69" s="764" customFormat="1">
      <c r="T24" s="764" t="s">
        <v>615</v>
      </c>
      <c r="V24" s="765">
        <v>3045.0207999999998</v>
      </c>
      <c r="W24" s="765">
        <v>3064.1387</v>
      </c>
      <c r="X24" s="765">
        <v>3072.2961</v>
      </c>
      <c r="Y24" s="765">
        <v>3071.3930999999998</v>
      </c>
      <c r="Z24" s="765">
        <v>3064.5268999999998</v>
      </c>
      <c r="AA24" s="765">
        <v>3061.6414999999997</v>
      </c>
      <c r="AB24" s="765">
        <v>3056.7694999999999</v>
      </c>
      <c r="AC24" s="765">
        <v>3053.8836999999999</v>
      </c>
      <c r="AD24" s="765">
        <v>3051.0086000000001</v>
      </c>
      <c r="AE24" s="765">
        <v>3056.1286</v>
      </c>
      <c r="AF24" s="765">
        <v>3067.2534000000001</v>
      </c>
      <c r="AG24" s="765">
        <v>3085.3756000000003</v>
      </c>
      <c r="AH24" s="765">
        <v>3098.5014000000001</v>
      </c>
      <c r="AI24" s="765">
        <v>3117.6266000000001</v>
      </c>
      <c r="AJ24" s="765">
        <v>3125.7539000000002</v>
      </c>
      <c r="AK24" s="765">
        <v>3124.8813</v>
      </c>
      <c r="AL24" s="765">
        <v>3117.0102999999999</v>
      </c>
      <c r="AM24" s="765">
        <v>3115.1399000000001</v>
      </c>
      <c r="AN24" s="765">
        <v>3110.2708000000002</v>
      </c>
      <c r="AO24" s="765">
        <v>3107.4023999999999</v>
      </c>
      <c r="AP24" s="765">
        <v>3103.5351000000001</v>
      </c>
      <c r="AQ24" s="765">
        <v>3108.6686</v>
      </c>
      <c r="AR24" s="765">
        <v>3119.8030999999996</v>
      </c>
      <c r="AS24" s="765">
        <v>3138.9384999999997</v>
      </c>
      <c r="AT24" s="765">
        <v>3151.0747000000001</v>
      </c>
      <c r="AU24" s="765">
        <v>3170.2116999999998</v>
      </c>
      <c r="AV24" s="765">
        <v>3178.3498</v>
      </c>
      <c r="AW24" s="765">
        <v>3177.4884999999999</v>
      </c>
      <c r="AX24" s="765">
        <v>3170.6281000000004</v>
      </c>
      <c r="AY24" s="765">
        <v>3167.7683999999999</v>
      </c>
      <c r="AZ24" s="765">
        <v>3162.9096999999997</v>
      </c>
      <c r="BA24" s="765">
        <v>3160.0516000000002</v>
      </c>
      <c r="BB24" s="765">
        <v>3157.1941999999999</v>
      </c>
      <c r="BC24" s="765">
        <v>3162.3375999999998</v>
      </c>
      <c r="BD24" s="765">
        <v>3173.4818999999998</v>
      </c>
      <c r="BE24" s="765">
        <v>3191.6267000000003</v>
      </c>
      <c r="BF24" s="765">
        <v>3204.7723000000001</v>
      </c>
      <c r="BG24" s="765">
        <v>3223.9185000000002</v>
      </c>
      <c r="BH24" s="765">
        <v>3232.0655999999999</v>
      </c>
      <c r="BI24" s="765">
        <v>3230.2131000000004</v>
      </c>
      <c r="BJ24" s="765">
        <v>3223.3613999999998</v>
      </c>
      <c r="BK24" s="765">
        <v>3220.5103000000004</v>
      </c>
      <c r="BL24" s="765">
        <v>3215.6597999999999</v>
      </c>
      <c r="BM24" s="765">
        <v>3212.81</v>
      </c>
      <c r="BN24" s="765">
        <v>3209.9607000000001</v>
      </c>
      <c r="BO24" s="765">
        <v>3215.1119999999996</v>
      </c>
      <c r="BP24" s="765">
        <v>3226.2638999999999</v>
      </c>
      <c r="BQ24" s="765">
        <v>3244.4164999999998</v>
      </c>
    </row>
    <row r="25" spans="1:69">
      <c r="A25" s="766" t="s">
        <v>647</v>
      </c>
      <c r="E25" s="748" t="s">
        <v>648</v>
      </c>
      <c r="F25" s="731" t="s">
        <v>649</v>
      </c>
      <c r="T25" s="731" t="s">
        <v>621</v>
      </c>
      <c r="V25" s="733">
        <v>1</v>
      </c>
      <c r="W25" s="733">
        <v>1</v>
      </c>
      <c r="X25" s="733">
        <v>1</v>
      </c>
      <c r="Y25" s="733">
        <v>1</v>
      </c>
      <c r="Z25" s="733">
        <v>1</v>
      </c>
      <c r="AA25" s="733">
        <v>1</v>
      </c>
      <c r="AB25" s="733">
        <v>1</v>
      </c>
      <c r="AC25" s="733">
        <v>1</v>
      </c>
      <c r="AD25" s="733">
        <v>1</v>
      </c>
      <c r="AE25" s="733">
        <v>1</v>
      </c>
      <c r="AF25" s="733">
        <v>1</v>
      </c>
      <c r="AG25" s="733">
        <v>1</v>
      </c>
      <c r="AH25" s="733">
        <v>1</v>
      </c>
      <c r="AI25" s="733">
        <v>1</v>
      </c>
      <c r="AJ25" s="733">
        <v>1</v>
      </c>
      <c r="AK25" s="733">
        <v>1</v>
      </c>
      <c r="AL25" s="733">
        <v>1</v>
      </c>
      <c r="AM25" s="733">
        <v>1</v>
      </c>
      <c r="AN25" s="733">
        <v>1</v>
      </c>
      <c r="AO25" s="733">
        <v>1</v>
      </c>
      <c r="AP25" s="733">
        <v>1</v>
      </c>
      <c r="AQ25" s="733">
        <v>1</v>
      </c>
      <c r="AR25" s="733">
        <v>1</v>
      </c>
      <c r="AS25" s="733">
        <v>1</v>
      </c>
      <c r="AT25" s="733">
        <v>1</v>
      </c>
      <c r="AU25" s="733">
        <v>1</v>
      </c>
      <c r="AV25" s="733">
        <v>1</v>
      </c>
      <c r="AW25" s="733">
        <v>1</v>
      </c>
      <c r="AX25" s="733">
        <v>1</v>
      </c>
      <c r="AY25" s="733">
        <v>1</v>
      </c>
      <c r="AZ25" s="733">
        <v>1</v>
      </c>
      <c r="BA25" s="733">
        <v>1</v>
      </c>
      <c r="BB25" s="733">
        <v>1</v>
      </c>
      <c r="BC25" s="733">
        <v>1</v>
      </c>
      <c r="BD25" s="733">
        <v>1</v>
      </c>
      <c r="BE25" s="733">
        <v>1</v>
      </c>
      <c r="BF25" s="733">
        <v>1</v>
      </c>
      <c r="BG25" s="733">
        <v>1</v>
      </c>
      <c r="BH25" s="733">
        <v>1</v>
      </c>
      <c r="BI25" s="733">
        <v>1</v>
      </c>
      <c r="BJ25" s="733">
        <v>1</v>
      </c>
      <c r="BK25" s="733">
        <v>1</v>
      </c>
      <c r="BL25" s="733">
        <v>1</v>
      </c>
      <c r="BM25" s="733">
        <v>1</v>
      </c>
      <c r="BN25" s="733">
        <v>1</v>
      </c>
      <c r="BO25" s="733">
        <v>1</v>
      </c>
      <c r="BP25" s="733">
        <v>1</v>
      </c>
      <c r="BQ25" s="733">
        <v>1</v>
      </c>
    </row>
    <row r="26" spans="1:69">
      <c r="A26" s="731" t="s">
        <v>609</v>
      </c>
      <c r="D26" s="734" t="s">
        <v>101</v>
      </c>
      <c r="E26" s="735" t="s">
        <v>610</v>
      </c>
      <c r="F26" s="735" t="s">
        <v>611</v>
      </c>
      <c r="G26" s="735" t="s">
        <v>612</v>
      </c>
      <c r="H26" s="735" t="s">
        <v>613</v>
      </c>
      <c r="I26" s="736" t="s">
        <v>614</v>
      </c>
      <c r="J26" s="735" t="s">
        <v>614</v>
      </c>
      <c r="K26" s="737"/>
      <c r="O26" s="731" t="s">
        <v>650</v>
      </c>
      <c r="T26" s="731" t="s">
        <v>622</v>
      </c>
      <c r="V26" s="733">
        <v>24.597542156464389</v>
      </c>
      <c r="W26" s="733">
        <v>24.730670669503084</v>
      </c>
      <c r="X26" s="733">
        <v>24.874893225295008</v>
      </c>
      <c r="Y26" s="733">
        <v>25.031134327402931</v>
      </c>
      <c r="Z26" s="733">
        <v>24.999006632464283</v>
      </c>
      <c r="AA26" s="733">
        <v>24.954363666651119</v>
      </c>
      <c r="AB26" s="733">
        <v>24.91617599381032</v>
      </c>
      <c r="AC26" s="733">
        <v>24.885829516699857</v>
      </c>
      <c r="AD26" s="733">
        <v>24.864896293447313</v>
      </c>
      <c r="AE26" s="733">
        <v>24.855155939120042</v>
      </c>
      <c r="AF26" s="733">
        <v>24.851674857033721</v>
      </c>
      <c r="AG26" s="733">
        <v>24.855563900578009</v>
      </c>
      <c r="AH26" s="733">
        <v>24.868075598205838</v>
      </c>
      <c r="AI26" s="733">
        <v>24.890620051684298</v>
      </c>
      <c r="AJ26" s="733">
        <v>24.903949166866063</v>
      </c>
      <c r="AK26" s="733">
        <v>24.906370495330314</v>
      </c>
      <c r="AL26" s="733">
        <v>24.895973509324264</v>
      </c>
      <c r="AM26" s="733">
        <v>24.887387415729268</v>
      </c>
      <c r="AN26" s="733">
        <v>24.881806061485776</v>
      </c>
      <c r="AO26" s="733">
        <v>24.878941900458727</v>
      </c>
      <c r="AP26" s="733">
        <v>24.878367932438636</v>
      </c>
      <c r="AQ26" s="733">
        <v>24.879490569021243</v>
      </c>
      <c r="AR26" s="733">
        <v>24.881518454846344</v>
      </c>
      <c r="AS26" s="733">
        <v>24.884005421330727</v>
      </c>
      <c r="AT26" s="733">
        <v>24.886375548060126</v>
      </c>
      <c r="AU26" s="733">
        <v>24.887900543881319</v>
      </c>
      <c r="AV26" s="733">
        <v>24.887673918231069</v>
      </c>
      <c r="AW26" s="733">
        <v>24.886317647511486</v>
      </c>
      <c r="AX26" s="733">
        <v>24.884646576859915</v>
      </c>
      <c r="AY26" s="733">
        <v>24.883702665821218</v>
      </c>
      <c r="AZ26" s="733">
        <v>24.883395603328879</v>
      </c>
      <c r="BA26" s="733">
        <v>24.88352806514914</v>
      </c>
      <c r="BB26" s="733">
        <v>24.883910245540001</v>
      </c>
      <c r="BC26" s="733">
        <v>24.88437210496512</v>
      </c>
      <c r="BD26" s="733">
        <v>24.884778899627111</v>
      </c>
      <c r="BE26" s="733">
        <v>24.885050603358842</v>
      </c>
      <c r="BF26" s="733">
        <v>24.88513770186119</v>
      </c>
      <c r="BG26" s="733">
        <v>24.885034548011276</v>
      </c>
      <c r="BH26" s="733">
        <v>24.884795715022101</v>
      </c>
      <c r="BI26" s="733">
        <v>24.884555864754692</v>
      </c>
      <c r="BJ26" s="733">
        <v>24.884409049524958</v>
      </c>
      <c r="BK26" s="733">
        <v>24.884389255580377</v>
      </c>
      <c r="BL26" s="733">
        <v>24.884446471393638</v>
      </c>
      <c r="BM26" s="733">
        <v>24.884534043732369</v>
      </c>
      <c r="BN26" s="733">
        <v>24.884617875280973</v>
      </c>
      <c r="BO26" s="733">
        <v>24.884676844426053</v>
      </c>
      <c r="BP26" s="733">
        <v>24.884702239381134</v>
      </c>
      <c r="BQ26" s="733">
        <v>24.884695851027299</v>
      </c>
    </row>
    <row r="27" spans="1:69">
      <c r="D27" s="738" t="s">
        <v>180</v>
      </c>
      <c r="E27" s="739" t="s">
        <v>616</v>
      </c>
      <c r="F27" s="739" t="s">
        <v>617</v>
      </c>
      <c r="G27" s="739" t="s">
        <v>618</v>
      </c>
      <c r="H27" s="739" t="s">
        <v>619</v>
      </c>
      <c r="I27" s="740">
        <v>132</v>
      </c>
      <c r="J27" s="739" t="s">
        <v>620</v>
      </c>
      <c r="K27" s="737"/>
      <c r="N27" s="731" t="str">
        <f>F25</f>
        <v>GSFM December MidMonth_(12 13 18 pricing) - v4 GRC update 1-18-19.xlsm</v>
      </c>
      <c r="T27" s="731" t="s">
        <v>624</v>
      </c>
      <c r="V27" s="733">
        <v>2</v>
      </c>
      <c r="W27" s="733">
        <v>2</v>
      </c>
      <c r="X27" s="733">
        <v>2</v>
      </c>
      <c r="Y27" s="733">
        <v>2</v>
      </c>
      <c r="Z27" s="733">
        <v>2</v>
      </c>
      <c r="AA27" s="733">
        <v>2</v>
      </c>
      <c r="AB27" s="733">
        <v>2</v>
      </c>
      <c r="AC27" s="733">
        <v>2</v>
      </c>
      <c r="AD27" s="733">
        <v>2</v>
      </c>
      <c r="AE27" s="733">
        <v>2</v>
      </c>
      <c r="AF27" s="733">
        <v>2</v>
      </c>
      <c r="AG27" s="733">
        <v>2</v>
      </c>
      <c r="AH27" s="733">
        <v>2</v>
      </c>
      <c r="AI27" s="733">
        <v>2</v>
      </c>
      <c r="AJ27" s="733">
        <v>2</v>
      </c>
      <c r="AK27" s="733">
        <v>2</v>
      </c>
      <c r="AL27" s="733">
        <v>2</v>
      </c>
      <c r="AM27" s="733">
        <v>2</v>
      </c>
      <c r="AN27" s="733">
        <v>2</v>
      </c>
      <c r="AO27" s="733">
        <v>2</v>
      </c>
      <c r="AP27" s="733">
        <v>2</v>
      </c>
      <c r="AQ27" s="733">
        <v>2</v>
      </c>
      <c r="AR27" s="733">
        <v>2</v>
      </c>
      <c r="AS27" s="733">
        <v>2</v>
      </c>
      <c r="AT27" s="733">
        <v>2</v>
      </c>
      <c r="AU27" s="733">
        <v>2</v>
      </c>
      <c r="AV27" s="733">
        <v>2</v>
      </c>
      <c r="AW27" s="733">
        <v>2</v>
      </c>
      <c r="AX27" s="733">
        <v>2</v>
      </c>
      <c r="AY27" s="733">
        <v>2</v>
      </c>
      <c r="AZ27" s="733">
        <v>2</v>
      </c>
      <c r="BA27" s="733">
        <v>2</v>
      </c>
      <c r="BB27" s="733">
        <v>2</v>
      </c>
      <c r="BC27" s="733">
        <v>2</v>
      </c>
      <c r="BD27" s="733">
        <v>2</v>
      </c>
      <c r="BE27" s="733">
        <v>2</v>
      </c>
      <c r="BF27" s="733">
        <v>2</v>
      </c>
      <c r="BG27" s="733">
        <v>2</v>
      </c>
      <c r="BH27" s="733">
        <v>2</v>
      </c>
      <c r="BI27" s="733">
        <v>2</v>
      </c>
      <c r="BJ27" s="733">
        <v>2</v>
      </c>
      <c r="BK27" s="733">
        <v>2</v>
      </c>
      <c r="BL27" s="733">
        <v>2</v>
      </c>
      <c r="BM27" s="733">
        <v>2</v>
      </c>
      <c r="BN27" s="733">
        <v>2</v>
      </c>
      <c r="BO27" s="733">
        <v>2</v>
      </c>
      <c r="BP27" s="733">
        <v>2</v>
      </c>
      <c r="BQ27" s="733">
        <v>2</v>
      </c>
    </row>
    <row r="28" spans="1:69">
      <c r="I28" s="741"/>
      <c r="K28" s="737"/>
      <c r="N28" s="767" t="s">
        <v>651</v>
      </c>
      <c r="P28" s="767" t="s">
        <v>652</v>
      </c>
      <c r="Q28" s="767" t="s">
        <v>653</v>
      </c>
      <c r="R28" s="767" t="s">
        <v>654</v>
      </c>
      <c r="T28" s="731" t="s">
        <v>626</v>
      </c>
      <c r="V28" s="733">
        <v>41</v>
      </c>
      <c r="W28" s="733">
        <v>41</v>
      </c>
      <c r="X28" s="733">
        <v>41</v>
      </c>
      <c r="Y28" s="733">
        <v>41</v>
      </c>
      <c r="Z28" s="733">
        <v>41</v>
      </c>
      <c r="AA28" s="733">
        <v>41</v>
      </c>
      <c r="AB28" s="733">
        <v>41</v>
      </c>
      <c r="AC28" s="733">
        <v>41</v>
      </c>
      <c r="AD28" s="733">
        <v>41</v>
      </c>
      <c r="AE28" s="733">
        <v>41</v>
      </c>
      <c r="AF28" s="733">
        <v>41</v>
      </c>
      <c r="AG28" s="733">
        <v>41</v>
      </c>
      <c r="AH28" s="733">
        <v>41</v>
      </c>
      <c r="AI28" s="733">
        <v>41</v>
      </c>
      <c r="AJ28" s="733">
        <v>41</v>
      </c>
      <c r="AK28" s="733">
        <v>41</v>
      </c>
      <c r="AL28" s="733">
        <v>41</v>
      </c>
      <c r="AM28" s="733">
        <v>41</v>
      </c>
      <c r="AN28" s="733">
        <v>41</v>
      </c>
      <c r="AO28" s="733">
        <v>41</v>
      </c>
      <c r="AP28" s="733">
        <v>41</v>
      </c>
      <c r="AQ28" s="733">
        <v>41</v>
      </c>
      <c r="AR28" s="733">
        <v>41</v>
      </c>
      <c r="AS28" s="733">
        <v>41</v>
      </c>
      <c r="AT28" s="733">
        <v>41</v>
      </c>
      <c r="AU28" s="733">
        <v>41</v>
      </c>
      <c r="AV28" s="733">
        <v>41</v>
      </c>
      <c r="AW28" s="733">
        <v>41</v>
      </c>
      <c r="AX28" s="733">
        <v>41</v>
      </c>
      <c r="AY28" s="733">
        <v>41</v>
      </c>
      <c r="AZ28" s="733">
        <v>41</v>
      </c>
      <c r="BA28" s="733">
        <v>41</v>
      </c>
      <c r="BB28" s="733">
        <v>41</v>
      </c>
      <c r="BC28" s="733">
        <v>41</v>
      </c>
      <c r="BD28" s="733">
        <v>41</v>
      </c>
      <c r="BE28" s="733">
        <v>41</v>
      </c>
      <c r="BF28" s="733">
        <v>41</v>
      </c>
      <c r="BG28" s="733">
        <v>41</v>
      </c>
      <c r="BH28" s="733">
        <v>41</v>
      </c>
      <c r="BI28" s="733">
        <v>41</v>
      </c>
      <c r="BJ28" s="733">
        <v>41</v>
      </c>
      <c r="BK28" s="733">
        <v>41</v>
      </c>
      <c r="BL28" s="733">
        <v>41</v>
      </c>
      <c r="BM28" s="733">
        <v>41</v>
      </c>
      <c r="BN28" s="733">
        <v>41</v>
      </c>
      <c r="BO28" s="733">
        <v>41</v>
      </c>
      <c r="BP28" s="733">
        <v>41</v>
      </c>
      <c r="BQ28" s="733">
        <v>41</v>
      </c>
    </row>
    <row r="29" spans="1:69">
      <c r="A29" s="731" t="s">
        <v>623</v>
      </c>
      <c r="D29" s="742">
        <f>SUM(E29:K29)</f>
        <v>97774861.631005332</v>
      </c>
      <c r="E29" s="768">
        <f>N29</f>
        <v>73117803.514605388</v>
      </c>
      <c r="F29" s="768">
        <f>N30+N31</f>
        <v>18327051.124857936</v>
      </c>
      <c r="G29" s="768">
        <f>N32</f>
        <v>1197260.0655279625</v>
      </c>
      <c r="H29" s="768">
        <v>0</v>
      </c>
      <c r="I29" s="769">
        <f>N33</f>
        <v>188556.687200074</v>
      </c>
      <c r="J29" s="768">
        <f>N34+N35</f>
        <v>4944190.238813987</v>
      </c>
      <c r="K29" s="737"/>
      <c r="N29" s="743">
        <f>SUM(AW3:BH3)</f>
        <v>73117803.514605388</v>
      </c>
      <c r="O29" s="770" t="s">
        <v>608</v>
      </c>
      <c r="P29" s="746">
        <f>SUM(AW13:BH13)</f>
        <v>131829018.01858756</v>
      </c>
      <c r="Q29" s="746">
        <f>R29/12</f>
        <v>169232.75411666665</v>
      </c>
      <c r="R29" s="745">
        <f>SUM(AW23:BH23)</f>
        <v>2030793.0493999999</v>
      </c>
      <c r="T29" s="731" t="s">
        <v>628</v>
      </c>
      <c r="V29" s="733">
        <v>5</v>
      </c>
      <c r="W29" s="733">
        <v>5</v>
      </c>
      <c r="X29" s="733">
        <v>5</v>
      </c>
      <c r="Y29" s="733">
        <v>5</v>
      </c>
      <c r="Z29" s="733">
        <v>5</v>
      </c>
      <c r="AA29" s="733">
        <v>5</v>
      </c>
      <c r="AB29" s="733">
        <v>5</v>
      </c>
      <c r="AC29" s="733">
        <v>5</v>
      </c>
      <c r="AD29" s="733">
        <v>5</v>
      </c>
      <c r="AE29" s="733">
        <v>5</v>
      </c>
      <c r="AF29" s="733">
        <v>5</v>
      </c>
      <c r="AG29" s="733">
        <v>5</v>
      </c>
      <c r="AH29" s="733">
        <v>5</v>
      </c>
      <c r="AI29" s="733">
        <v>5</v>
      </c>
      <c r="AJ29" s="733">
        <v>5</v>
      </c>
      <c r="AK29" s="733">
        <v>5</v>
      </c>
      <c r="AL29" s="733">
        <v>5</v>
      </c>
      <c r="AM29" s="733">
        <v>5</v>
      </c>
      <c r="AN29" s="733">
        <v>5</v>
      </c>
      <c r="AO29" s="733">
        <v>5</v>
      </c>
      <c r="AP29" s="733">
        <v>5</v>
      </c>
      <c r="AQ29" s="733">
        <v>5</v>
      </c>
      <c r="AR29" s="733">
        <v>5</v>
      </c>
      <c r="AS29" s="733">
        <v>5</v>
      </c>
      <c r="AT29" s="733">
        <v>5</v>
      </c>
      <c r="AU29" s="733">
        <v>5</v>
      </c>
      <c r="AV29" s="733">
        <v>5</v>
      </c>
      <c r="AW29" s="733">
        <v>5</v>
      </c>
      <c r="AX29" s="733">
        <v>5</v>
      </c>
      <c r="AY29" s="733">
        <v>5</v>
      </c>
      <c r="AZ29" s="733">
        <v>5</v>
      </c>
      <c r="BA29" s="733">
        <v>5</v>
      </c>
      <c r="BB29" s="733">
        <v>5</v>
      </c>
      <c r="BC29" s="733">
        <v>5</v>
      </c>
      <c r="BD29" s="733">
        <v>5</v>
      </c>
      <c r="BE29" s="733">
        <v>5</v>
      </c>
      <c r="BF29" s="733">
        <v>5</v>
      </c>
      <c r="BG29" s="733">
        <v>5</v>
      </c>
      <c r="BH29" s="733">
        <v>5</v>
      </c>
      <c r="BI29" s="733">
        <v>5</v>
      </c>
      <c r="BJ29" s="733">
        <v>5</v>
      </c>
      <c r="BK29" s="733">
        <v>5</v>
      </c>
      <c r="BL29" s="733">
        <v>5</v>
      </c>
      <c r="BM29" s="733">
        <v>5</v>
      </c>
      <c r="BN29" s="733">
        <v>5</v>
      </c>
      <c r="BO29" s="733">
        <v>5</v>
      </c>
      <c r="BP29" s="733">
        <v>5</v>
      </c>
      <c r="BQ29" s="733">
        <v>5</v>
      </c>
    </row>
    <row r="30" spans="1:69">
      <c r="A30" s="731" t="s">
        <v>625</v>
      </c>
      <c r="D30" s="745">
        <f>SUM(E30:K30)</f>
        <v>232924161.47716573</v>
      </c>
      <c r="E30" s="771">
        <f>P29</f>
        <v>131829018.01858756</v>
      </c>
      <c r="F30" s="771">
        <f>P30+P31</f>
        <v>57664429.083159968</v>
      </c>
      <c r="G30" s="771">
        <f>P32</f>
        <v>4862904.2315445039</v>
      </c>
      <c r="H30" s="771">
        <v>0</v>
      </c>
      <c r="I30" s="772">
        <f>P33</f>
        <v>931312.1438737344</v>
      </c>
      <c r="J30" s="771">
        <f>P34+35</f>
        <v>37636498</v>
      </c>
      <c r="K30" s="737"/>
      <c r="N30" s="743">
        <f t="shared" ref="N30:N35" si="3">SUM(AW4:BH4)</f>
        <v>18313509.253944404</v>
      </c>
      <c r="O30" s="770" t="s">
        <v>615</v>
      </c>
      <c r="P30" s="746">
        <f t="shared" ref="P30:P35" si="4">SUM(AW14:BH14)</f>
        <v>57525183.400869079</v>
      </c>
      <c r="Q30" s="746">
        <f t="shared" ref="Q30:Q35" si="5">R30/12</f>
        <v>3182.0202583333339</v>
      </c>
      <c r="R30" s="745">
        <f t="shared" ref="R30:R35" si="6">SUM(AW24:BH24)</f>
        <v>38184.243100000007</v>
      </c>
    </row>
    <row r="31" spans="1:69">
      <c r="A31" s="731" t="s">
        <v>627</v>
      </c>
      <c r="D31" s="745">
        <f>SUM(E31:K31)</f>
        <v>2069838.907170377</v>
      </c>
      <c r="E31" s="773">
        <f>R29</f>
        <v>2030793.0493999999</v>
      </c>
      <c r="F31" s="773">
        <f>R30+R31</f>
        <v>38196.243100000007</v>
      </c>
      <c r="G31" s="773">
        <f>R32</f>
        <v>298.61467037705626</v>
      </c>
      <c r="H31" s="773">
        <v>0</v>
      </c>
      <c r="I31" s="772">
        <f>R33</f>
        <v>24</v>
      </c>
      <c r="J31" s="771">
        <f>R34+35</f>
        <v>527</v>
      </c>
      <c r="K31" s="737"/>
      <c r="N31" s="743">
        <f t="shared" si="3"/>
        <v>13541.870913533274</v>
      </c>
      <c r="O31" s="770" t="s">
        <v>621</v>
      </c>
      <c r="P31" s="746">
        <f t="shared" si="4"/>
        <v>139245.68229088833</v>
      </c>
      <c r="Q31" s="746">
        <f t="shared" si="5"/>
        <v>1</v>
      </c>
      <c r="R31" s="745">
        <f t="shared" si="6"/>
        <v>12</v>
      </c>
    </row>
    <row r="32" spans="1:69">
      <c r="A32" s="748" t="s">
        <v>629</v>
      </c>
      <c r="E32" s="774">
        <v>9.5</v>
      </c>
      <c r="F32" s="774">
        <v>97.25</v>
      </c>
      <c r="G32" s="774">
        <v>240.44</v>
      </c>
      <c r="H32" s="774"/>
      <c r="I32" s="775"/>
      <c r="J32" s="764"/>
      <c r="K32" s="737"/>
      <c r="N32" s="743">
        <f t="shared" si="3"/>
        <v>1197260.0655279625</v>
      </c>
      <c r="O32" s="770" t="s">
        <v>622</v>
      </c>
      <c r="P32" s="746">
        <f t="shared" si="4"/>
        <v>4862904.2315445039</v>
      </c>
      <c r="Q32" s="746">
        <f t="shared" si="5"/>
        <v>24.884555864754688</v>
      </c>
      <c r="R32" s="745">
        <f t="shared" si="6"/>
        <v>298.61467037705626</v>
      </c>
    </row>
    <row r="33" spans="1:18">
      <c r="A33" s="748" t="s">
        <v>630</v>
      </c>
      <c r="E33" s="776">
        <v>0</v>
      </c>
      <c r="F33" s="776">
        <v>0</v>
      </c>
      <c r="G33" s="776">
        <v>0</v>
      </c>
      <c r="H33" s="774"/>
      <c r="I33" s="775"/>
      <c r="J33" s="764"/>
      <c r="K33" s="737"/>
      <c r="N33" s="743">
        <f t="shared" si="3"/>
        <v>188556.687200074</v>
      </c>
      <c r="O33" s="770" t="s">
        <v>624</v>
      </c>
      <c r="P33" s="746">
        <f t="shared" si="4"/>
        <v>931312.1438737344</v>
      </c>
      <c r="Q33" s="746">
        <f t="shared" si="5"/>
        <v>2</v>
      </c>
      <c r="R33" s="745">
        <f t="shared" si="6"/>
        <v>24</v>
      </c>
    </row>
    <row r="34" spans="1:18">
      <c r="A34" s="731" t="s">
        <v>631</v>
      </c>
      <c r="C34" s="752"/>
      <c r="D34" s="742">
        <f>SUM(E34:K34)</f>
        <v>0</v>
      </c>
      <c r="E34" s="777">
        <f>E30*E33</f>
        <v>0</v>
      </c>
      <c r="F34" s="777">
        <f t="shared" ref="F34:G34" si="7">F30*F33</f>
        <v>0</v>
      </c>
      <c r="G34" s="777">
        <f t="shared" si="7"/>
        <v>0</v>
      </c>
      <c r="H34" s="777"/>
      <c r="I34" s="778"/>
      <c r="J34" s="777"/>
      <c r="K34" s="737"/>
      <c r="N34" s="743">
        <f t="shared" si="3"/>
        <v>3377816.5918090851</v>
      </c>
      <c r="O34" s="770" t="s">
        <v>626</v>
      </c>
      <c r="P34" s="746">
        <f t="shared" si="4"/>
        <v>37636463</v>
      </c>
      <c r="Q34" s="746">
        <f t="shared" si="5"/>
        <v>41</v>
      </c>
      <c r="R34" s="745">
        <f t="shared" si="6"/>
        <v>492</v>
      </c>
    </row>
    <row r="35" spans="1:18">
      <c r="A35" s="731" t="s">
        <v>633</v>
      </c>
      <c r="D35" s="742">
        <f>SUM(E35:K35)</f>
        <v>23078917.522120457</v>
      </c>
      <c r="E35" s="777">
        <f>E31*E32</f>
        <v>19292533.969299998</v>
      </c>
      <c r="F35" s="777">
        <f t="shared" ref="F35:G35" si="8">F31*F32</f>
        <v>3714584.6414750009</v>
      </c>
      <c r="G35" s="777">
        <f t="shared" si="8"/>
        <v>71798.911345459404</v>
      </c>
      <c r="H35" s="777"/>
      <c r="I35" s="778"/>
      <c r="J35" s="777"/>
      <c r="K35" s="737"/>
      <c r="N35" s="743">
        <f t="shared" si="3"/>
        <v>1566373.6470049014</v>
      </c>
      <c r="O35" s="779" t="s">
        <v>628</v>
      </c>
      <c r="P35" s="746">
        <f t="shared" si="4"/>
        <v>50171206</v>
      </c>
      <c r="Q35" s="746">
        <f t="shared" si="5"/>
        <v>5</v>
      </c>
      <c r="R35" s="745">
        <f t="shared" si="6"/>
        <v>60</v>
      </c>
    </row>
    <row r="36" spans="1:18">
      <c r="A36" s="731" t="s">
        <v>634</v>
      </c>
      <c r="D36" s="742">
        <f>SUM(E36:K36)</f>
        <v>5132746.9260140611</v>
      </c>
      <c r="E36" s="777"/>
      <c r="F36" s="777"/>
      <c r="G36" s="777"/>
      <c r="H36" s="777">
        <f>H29</f>
        <v>0</v>
      </c>
      <c r="I36" s="778">
        <f>I29</f>
        <v>188556.687200074</v>
      </c>
      <c r="J36" s="777">
        <f>J29</f>
        <v>4944190.238813987</v>
      </c>
      <c r="K36" s="737"/>
      <c r="N36" s="755">
        <f>SUM(N29:N35)</f>
        <v>97774861.631005347</v>
      </c>
      <c r="O36" s="779"/>
      <c r="P36" s="780">
        <f>SUM(P29:P35)</f>
        <v>283095332.4771657</v>
      </c>
      <c r="Q36" s="780">
        <f t="shared" ref="Q36:R36" si="9">SUM(Q29:Q35)</f>
        <v>172488.65893086474</v>
      </c>
      <c r="R36" s="780">
        <f t="shared" si="9"/>
        <v>2069863.907170377</v>
      </c>
    </row>
    <row r="37" spans="1:18">
      <c r="A37" s="731" t="s">
        <v>635</v>
      </c>
      <c r="D37" s="754">
        <f>SUM(E37:K37)</f>
        <v>69563197.182870835</v>
      </c>
      <c r="E37" s="781">
        <f>E29-SUM(E34:E36)</f>
        <v>53825269.545305386</v>
      </c>
      <c r="F37" s="781">
        <f t="shared" ref="F37:J37" si="10">F29-SUM(F34:F36)</f>
        <v>14612466.483382935</v>
      </c>
      <c r="G37" s="781">
        <f t="shared" si="10"/>
        <v>1125461.154182503</v>
      </c>
      <c r="H37" s="781">
        <f t="shared" si="10"/>
        <v>0</v>
      </c>
      <c r="I37" s="782">
        <f t="shared" si="10"/>
        <v>0</v>
      </c>
      <c r="J37" s="781">
        <f t="shared" si="10"/>
        <v>0</v>
      </c>
      <c r="K37" s="737"/>
    </row>
    <row r="38" spans="1:18">
      <c r="D38" s="757"/>
      <c r="E38" s="758"/>
      <c r="F38" s="758"/>
      <c r="G38" s="758"/>
      <c r="H38" s="758"/>
      <c r="I38" s="758"/>
      <c r="J38" s="758"/>
      <c r="K38" s="737"/>
    </row>
    <row r="39" spans="1:18">
      <c r="A39" s="731" t="s">
        <v>636</v>
      </c>
      <c r="D39" s="742"/>
      <c r="E39" s="759">
        <f>$E$23</f>
        <v>325.65294785719254</v>
      </c>
      <c r="F39" s="759">
        <f>$F$23</f>
        <v>4499.3993361535959</v>
      </c>
      <c r="G39" s="743"/>
      <c r="H39" s="760"/>
      <c r="I39" s="745"/>
      <c r="J39" s="761"/>
    </row>
    <row r="40" spans="1:18">
      <c r="A40" s="731" t="s">
        <v>640</v>
      </c>
      <c r="D40" s="742">
        <f>SUM(E40:F40)</f>
        <v>69544790.043530732</v>
      </c>
      <c r="E40" s="743">
        <f>E39*E31/12</f>
        <v>55111145.252083935</v>
      </c>
      <c r="F40" s="743">
        <f>F39*SUM(F31:H31)/12</f>
        <v>14433644.791446805</v>
      </c>
      <c r="I40" s="745"/>
      <c r="J40" s="746"/>
      <c r="K40" s="745"/>
      <c r="L40" s="783"/>
    </row>
    <row r="41" spans="1:18">
      <c r="A41" s="731" t="s">
        <v>641</v>
      </c>
      <c r="D41" s="742">
        <f>SUM(E41:F41)</f>
        <v>-18407.139340084046</v>
      </c>
      <c r="E41" s="742">
        <f>E40-E37</f>
        <v>1285875.7067785487</v>
      </c>
      <c r="F41" s="742">
        <f>F40-SUM(F37:I37)</f>
        <v>-1304282.8461186327</v>
      </c>
      <c r="I41" s="745"/>
      <c r="J41" s="746"/>
      <c r="K41" s="745"/>
      <c r="L41" s="783"/>
      <c r="N41" s="784"/>
    </row>
    <row r="42" spans="1:18">
      <c r="D42" s="743"/>
      <c r="E42" s="743"/>
      <c r="F42" s="743"/>
      <c r="G42" s="743"/>
      <c r="H42" s="762"/>
      <c r="L42" s="748"/>
      <c r="N42" s="770"/>
    </row>
    <row r="43" spans="1:18">
      <c r="A43" s="731" t="s">
        <v>655</v>
      </c>
      <c r="D43" s="742">
        <f>D29+D41</f>
        <v>97756454.491665244</v>
      </c>
      <c r="I43" s="745"/>
      <c r="J43" s="746"/>
      <c r="L43" s="785"/>
      <c r="N43" s="770"/>
    </row>
    <row r="44" spans="1:18" ht="16.5" thickBot="1">
      <c r="A44" s="737"/>
      <c r="B44" s="737"/>
      <c r="C44" s="737"/>
      <c r="D44" s="737"/>
      <c r="E44" s="737"/>
      <c r="F44" s="737"/>
      <c r="G44" s="737"/>
      <c r="H44" s="737"/>
      <c r="I44" s="745"/>
      <c r="J44" s="746"/>
      <c r="L44" s="785"/>
      <c r="N44" s="770"/>
    </row>
    <row r="45" spans="1:18">
      <c r="A45" s="865" t="s">
        <v>656</v>
      </c>
      <c r="B45" s="866"/>
      <c r="C45" s="866"/>
      <c r="D45" s="870">
        <f>D43-D21</f>
        <v>4049929.3891652524</v>
      </c>
      <c r="E45" s="737"/>
      <c r="F45" s="737"/>
      <c r="G45" s="737"/>
      <c r="H45" s="737"/>
      <c r="K45" s="737"/>
      <c r="N45" s="770"/>
    </row>
    <row r="46" spans="1:18" ht="16.5" thickBot="1">
      <c r="A46" s="867" t="s">
        <v>657</v>
      </c>
      <c r="B46" s="868"/>
      <c r="C46" s="869" t="s">
        <v>658</v>
      </c>
      <c r="D46" s="871">
        <f>D45/3.25</f>
        <v>1246132.1197431546</v>
      </c>
      <c r="E46" s="737"/>
      <c r="F46" s="737"/>
      <c r="G46" s="737"/>
      <c r="H46" s="737"/>
      <c r="I46" s="786"/>
      <c r="J46" s="786"/>
      <c r="K46" s="787"/>
      <c r="L46" s="785"/>
      <c r="N46" s="770"/>
    </row>
    <row r="47" spans="1:18">
      <c r="A47" s="737"/>
      <c r="B47" s="737"/>
      <c r="C47" s="737"/>
      <c r="D47" s="737"/>
      <c r="E47" s="737"/>
      <c r="F47" s="737"/>
      <c r="G47" s="737"/>
      <c r="H47" s="737"/>
      <c r="I47" s="786"/>
      <c r="J47" s="786"/>
      <c r="K47" s="787"/>
      <c r="L47" s="785"/>
      <c r="N47" s="770"/>
    </row>
    <row r="48" spans="1:18">
      <c r="A48" s="737"/>
      <c r="B48" s="737"/>
      <c r="C48" s="737"/>
      <c r="D48" s="737"/>
      <c r="E48" s="737"/>
      <c r="F48" s="737"/>
      <c r="G48" s="737"/>
      <c r="H48" s="737"/>
      <c r="K48" s="737"/>
      <c r="N48" s="770"/>
    </row>
    <row r="49" spans="1:18">
      <c r="A49" s="737"/>
      <c r="B49" s="737"/>
      <c r="C49" s="737"/>
      <c r="D49" s="737"/>
      <c r="E49" s="737"/>
      <c r="F49" s="737"/>
      <c r="G49" s="737"/>
      <c r="H49" s="737"/>
      <c r="K49" s="737"/>
      <c r="N49" s="770"/>
    </row>
    <row r="50" spans="1:18" ht="19.149999999999999" customHeight="1">
      <c r="A50" s="764"/>
      <c r="B50" s="764"/>
      <c r="C50" s="764"/>
      <c r="D50" s="764"/>
      <c r="E50" s="764"/>
      <c r="F50" s="764"/>
      <c r="G50" s="764"/>
      <c r="H50" s="764"/>
      <c r="I50" s="764"/>
      <c r="J50" s="764"/>
      <c r="K50" s="764"/>
      <c r="L50" s="764"/>
      <c r="M50" s="764"/>
      <c r="N50" s="764"/>
      <c r="O50" s="764"/>
      <c r="P50" s="764"/>
      <c r="Q50" s="764"/>
      <c r="R50" s="764"/>
    </row>
    <row r="51" spans="1:18">
      <c r="A51" s="737"/>
      <c r="B51" s="737"/>
      <c r="C51" s="737"/>
      <c r="D51" s="737"/>
      <c r="E51" s="737"/>
      <c r="F51" s="737"/>
      <c r="G51" s="737"/>
      <c r="H51" s="737"/>
      <c r="I51" s="737"/>
      <c r="J51" s="737"/>
      <c r="K51" s="737"/>
      <c r="L51" s="737"/>
      <c r="M51" s="737"/>
      <c r="N51" s="737"/>
      <c r="O51" s="737"/>
      <c r="P51" s="737"/>
      <c r="Q51" s="737"/>
      <c r="R51" s="737"/>
    </row>
    <row r="52" spans="1:18">
      <c r="A52" s="737"/>
      <c r="B52" s="737"/>
      <c r="C52" s="737"/>
      <c r="D52" s="737"/>
      <c r="E52" s="737"/>
      <c r="F52" s="737"/>
      <c r="G52" s="737"/>
      <c r="H52" s="737"/>
      <c r="I52" s="737"/>
      <c r="J52" s="737"/>
      <c r="K52" s="737"/>
      <c r="L52" s="737"/>
      <c r="M52" s="737"/>
      <c r="N52" s="737"/>
      <c r="O52" s="737"/>
      <c r="P52" s="737"/>
      <c r="Q52" s="737"/>
      <c r="R52" s="737"/>
    </row>
    <row r="53" spans="1:18">
      <c r="A53" s="737"/>
      <c r="B53" s="737"/>
      <c r="C53" s="737"/>
      <c r="D53" s="737"/>
      <c r="E53" s="737"/>
      <c r="F53" s="737"/>
      <c r="G53" s="737"/>
      <c r="H53" s="737"/>
      <c r="I53" s="737"/>
      <c r="J53" s="737"/>
      <c r="K53" s="737"/>
      <c r="L53" s="737"/>
      <c r="M53" s="737"/>
      <c r="N53" s="737"/>
      <c r="O53" s="737"/>
      <c r="P53" s="737"/>
      <c r="Q53" s="737"/>
      <c r="R53" s="737"/>
    </row>
    <row r="54" spans="1:18">
      <c r="A54" s="737"/>
      <c r="B54" s="737"/>
      <c r="C54" s="737"/>
      <c r="D54" s="737"/>
      <c r="E54" s="737"/>
      <c r="F54" s="737"/>
      <c r="G54" s="737"/>
      <c r="H54" s="737"/>
      <c r="I54" s="737"/>
      <c r="J54" s="737"/>
      <c r="K54" s="737"/>
      <c r="L54" s="737"/>
      <c r="M54" s="737"/>
      <c r="N54" s="737"/>
      <c r="O54" s="737"/>
      <c r="P54" s="737"/>
      <c r="Q54" s="737"/>
      <c r="R54" s="737"/>
    </row>
    <row r="55" spans="1:18">
      <c r="A55" s="737"/>
      <c r="B55" s="737"/>
      <c r="C55" s="737"/>
      <c r="D55" s="737"/>
      <c r="E55" s="737"/>
      <c r="F55" s="737"/>
      <c r="G55" s="737"/>
      <c r="H55" s="737"/>
      <c r="I55" s="737"/>
      <c r="J55" s="737"/>
      <c r="K55" s="737"/>
      <c r="L55" s="737"/>
      <c r="M55" s="737"/>
      <c r="N55" s="737"/>
      <c r="O55" s="737"/>
      <c r="P55" s="737"/>
      <c r="Q55" s="737"/>
      <c r="R55" s="737"/>
    </row>
    <row r="56" spans="1:18">
      <c r="A56" s="737"/>
      <c r="B56" s="737"/>
      <c r="C56" s="737"/>
      <c r="D56" s="737"/>
      <c r="E56" s="737"/>
      <c r="F56" s="737"/>
      <c r="G56" s="737"/>
      <c r="H56" s="737"/>
      <c r="I56" s="737"/>
      <c r="J56" s="737"/>
      <c r="K56" s="737"/>
      <c r="L56" s="737"/>
      <c r="M56" s="737"/>
      <c r="N56" s="737"/>
      <c r="O56" s="737"/>
      <c r="P56" s="737"/>
      <c r="Q56" s="737"/>
      <c r="R56" s="737"/>
    </row>
    <row r="57" spans="1:18">
      <c r="A57" s="737"/>
      <c r="B57" s="737"/>
      <c r="C57" s="737"/>
      <c r="D57" s="737"/>
      <c r="E57" s="737"/>
      <c r="F57" s="737"/>
      <c r="G57" s="737"/>
      <c r="H57" s="737"/>
      <c r="I57" s="737"/>
      <c r="J57" s="737"/>
      <c r="K57" s="737"/>
      <c r="L57" s="737"/>
      <c r="M57" s="737"/>
      <c r="N57" s="737"/>
      <c r="O57" s="737"/>
      <c r="P57" s="737"/>
      <c r="Q57" s="737"/>
      <c r="R57" s="737"/>
    </row>
    <row r="58" spans="1:18">
      <c r="A58" s="737"/>
      <c r="B58" s="737"/>
      <c r="C58" s="737"/>
      <c r="D58" s="737"/>
      <c r="E58" s="737"/>
      <c r="F58" s="737"/>
      <c r="G58" s="737"/>
      <c r="H58" s="737"/>
      <c r="I58" s="737"/>
      <c r="J58" s="737"/>
      <c r="K58" s="737"/>
      <c r="L58" s="737"/>
      <c r="M58" s="737"/>
      <c r="N58" s="737"/>
      <c r="O58" s="737"/>
      <c r="P58" s="737"/>
      <c r="Q58" s="737"/>
      <c r="R58" s="737"/>
    </row>
    <row r="59" spans="1:18">
      <c r="A59" s="737"/>
      <c r="B59" s="737"/>
      <c r="C59" s="737"/>
      <c r="D59" s="737"/>
      <c r="E59" s="737"/>
      <c r="F59" s="737"/>
      <c r="G59" s="737"/>
      <c r="H59" s="737"/>
      <c r="I59" s="737"/>
      <c r="J59" s="737"/>
      <c r="K59" s="737"/>
      <c r="L59" s="737"/>
      <c r="M59" s="737"/>
      <c r="N59" s="737"/>
      <c r="O59" s="737"/>
      <c r="P59" s="737"/>
      <c r="Q59" s="737"/>
      <c r="R59" s="737"/>
    </row>
    <row r="60" spans="1:18">
      <c r="A60" s="737"/>
      <c r="B60" s="737"/>
      <c r="C60" s="737"/>
      <c r="D60" s="737"/>
      <c r="E60" s="737"/>
      <c r="F60" s="737"/>
      <c r="G60" s="737"/>
      <c r="H60" s="737"/>
      <c r="I60" s="737"/>
      <c r="J60" s="737"/>
      <c r="K60" s="737"/>
      <c r="L60" s="737"/>
      <c r="M60" s="737"/>
      <c r="N60" s="737"/>
      <c r="O60" s="737"/>
      <c r="P60" s="737"/>
      <c r="Q60" s="737"/>
      <c r="R60" s="737"/>
    </row>
    <row r="61" spans="1:18">
      <c r="A61" s="737"/>
      <c r="B61" s="737"/>
      <c r="C61" s="737"/>
      <c r="D61" s="737"/>
      <c r="E61" s="737"/>
      <c r="F61" s="737"/>
      <c r="G61" s="737"/>
      <c r="H61" s="737"/>
      <c r="I61" s="737"/>
      <c r="J61" s="737"/>
      <c r="K61" s="737"/>
      <c r="L61" s="737"/>
      <c r="M61" s="737"/>
      <c r="N61" s="737"/>
      <c r="O61" s="737"/>
      <c r="P61" s="737"/>
      <c r="Q61" s="737"/>
      <c r="R61" s="737"/>
    </row>
    <row r="62" spans="1:18">
      <c r="A62" s="737"/>
      <c r="B62" s="737"/>
      <c r="C62" s="737"/>
      <c r="D62" s="737"/>
      <c r="E62" s="737"/>
      <c r="F62" s="737"/>
      <c r="G62" s="737"/>
      <c r="H62" s="737"/>
      <c r="I62" s="737"/>
      <c r="J62" s="737"/>
      <c r="K62" s="737"/>
      <c r="L62" s="737"/>
      <c r="M62" s="737"/>
      <c r="N62" s="737"/>
      <c r="O62" s="737"/>
      <c r="P62" s="737"/>
      <c r="Q62" s="737"/>
      <c r="R62" s="737"/>
    </row>
    <row r="63" spans="1:18">
      <c r="A63" s="737"/>
      <c r="B63" s="737"/>
      <c r="C63" s="737"/>
      <c r="D63" s="737"/>
      <c r="E63" s="737"/>
      <c r="F63" s="737"/>
      <c r="G63" s="737"/>
      <c r="H63" s="737"/>
      <c r="I63" s="737"/>
      <c r="J63" s="737"/>
      <c r="K63" s="737"/>
      <c r="L63" s="737"/>
      <c r="M63" s="737"/>
      <c r="N63" s="737"/>
      <c r="O63" s="737"/>
      <c r="P63" s="737"/>
      <c r="Q63" s="737"/>
      <c r="R63" s="737"/>
    </row>
    <row r="64" spans="1:18">
      <c r="A64" s="737"/>
      <c r="B64" s="737"/>
      <c r="C64" s="737"/>
      <c r="D64" s="737"/>
      <c r="E64" s="737"/>
      <c r="F64" s="737"/>
      <c r="G64" s="737"/>
      <c r="H64" s="737"/>
      <c r="I64" s="737"/>
      <c r="J64" s="737"/>
      <c r="K64" s="737"/>
      <c r="L64" s="737"/>
      <c r="M64" s="737"/>
      <c r="N64" s="737"/>
      <c r="O64" s="737"/>
      <c r="P64" s="737"/>
      <c r="Q64" s="737"/>
      <c r="R64" s="737"/>
    </row>
    <row r="65" spans="1:18">
      <c r="A65" s="737"/>
      <c r="B65" s="737"/>
      <c r="C65" s="737"/>
      <c r="D65" s="737"/>
      <c r="E65" s="737"/>
      <c r="F65" s="737"/>
      <c r="G65" s="737"/>
      <c r="H65" s="737"/>
      <c r="I65" s="737"/>
      <c r="J65" s="737"/>
      <c r="K65" s="737"/>
      <c r="L65" s="737"/>
      <c r="M65" s="737"/>
      <c r="N65" s="737"/>
      <c r="O65" s="737"/>
      <c r="P65" s="737"/>
      <c r="Q65" s="737"/>
      <c r="R65" s="737"/>
    </row>
    <row r="66" spans="1:18">
      <c r="A66" s="737"/>
      <c r="B66" s="737"/>
      <c r="C66" s="737"/>
      <c r="D66" s="737"/>
      <c r="E66" s="737"/>
      <c r="F66" s="737"/>
      <c r="G66" s="737"/>
      <c r="H66" s="737"/>
      <c r="I66" s="737"/>
      <c r="J66" s="737"/>
      <c r="K66" s="737"/>
      <c r="L66" s="737"/>
      <c r="M66" s="737"/>
      <c r="N66" s="737"/>
      <c r="O66" s="737"/>
      <c r="P66" s="737"/>
      <c r="Q66" s="737"/>
      <c r="R66" s="737"/>
    </row>
    <row r="67" spans="1:18">
      <c r="A67" s="737"/>
      <c r="B67" s="737"/>
      <c r="C67" s="737"/>
      <c r="D67" s="737"/>
      <c r="E67" s="737"/>
      <c r="F67" s="737"/>
      <c r="G67" s="737"/>
      <c r="H67" s="737"/>
      <c r="I67" s="737"/>
      <c r="J67" s="737"/>
      <c r="K67" s="737"/>
      <c r="L67" s="737"/>
      <c r="M67" s="737"/>
      <c r="N67" s="737"/>
      <c r="O67" s="737"/>
      <c r="P67" s="737"/>
      <c r="Q67" s="737"/>
      <c r="R67" s="737"/>
    </row>
    <row r="68" spans="1:18">
      <c r="A68" s="737"/>
      <c r="B68" s="737"/>
      <c r="C68" s="737"/>
      <c r="D68" s="737"/>
      <c r="E68" s="737"/>
      <c r="F68" s="737"/>
      <c r="G68" s="737"/>
      <c r="H68" s="737"/>
      <c r="I68" s="737"/>
      <c r="J68" s="737"/>
      <c r="K68" s="737"/>
      <c r="L68" s="737"/>
      <c r="M68" s="737"/>
      <c r="N68" s="737"/>
      <c r="O68" s="737"/>
      <c r="P68" s="737"/>
      <c r="Q68" s="737"/>
      <c r="R68" s="737"/>
    </row>
    <row r="69" spans="1:18">
      <c r="A69" s="737"/>
      <c r="B69" s="737"/>
      <c r="C69" s="737"/>
      <c r="D69" s="737"/>
      <c r="E69" s="737"/>
      <c r="F69" s="737"/>
      <c r="G69" s="737"/>
      <c r="H69" s="737"/>
      <c r="I69" s="737"/>
      <c r="J69" s="737"/>
      <c r="K69" s="737"/>
      <c r="L69" s="737"/>
      <c r="M69" s="737"/>
      <c r="N69" s="737"/>
      <c r="O69" s="737"/>
      <c r="P69" s="737"/>
      <c r="Q69" s="737"/>
      <c r="R69" s="737"/>
    </row>
    <row r="70" spans="1:18">
      <c r="A70" s="737"/>
      <c r="B70" s="737"/>
      <c r="C70" s="737"/>
      <c r="D70" s="737"/>
      <c r="E70" s="737"/>
      <c r="F70" s="737"/>
      <c r="G70" s="737"/>
      <c r="H70" s="737"/>
      <c r="I70" s="737"/>
      <c r="J70" s="737"/>
      <c r="K70" s="737"/>
      <c r="L70" s="737"/>
      <c r="M70" s="737"/>
      <c r="N70" s="737"/>
      <c r="O70" s="737"/>
      <c r="P70" s="737"/>
      <c r="Q70" s="737"/>
      <c r="R70" s="737"/>
    </row>
    <row r="71" spans="1:18">
      <c r="A71" s="737"/>
      <c r="B71" s="737"/>
      <c r="C71" s="737"/>
      <c r="D71" s="737"/>
      <c r="E71" s="737"/>
      <c r="F71" s="737"/>
      <c r="G71" s="737"/>
      <c r="H71" s="737"/>
      <c r="I71" s="737"/>
      <c r="J71" s="737"/>
      <c r="K71" s="737"/>
      <c r="L71" s="737"/>
      <c r="M71" s="737"/>
      <c r="N71" s="737"/>
      <c r="O71" s="737"/>
      <c r="P71" s="737"/>
      <c r="Q71" s="737"/>
      <c r="R71" s="737"/>
    </row>
    <row r="72" spans="1:18" s="764" customFormat="1">
      <c r="A72" s="737"/>
      <c r="B72" s="737"/>
      <c r="C72" s="737"/>
      <c r="D72" s="737"/>
      <c r="E72" s="737"/>
      <c r="F72" s="737"/>
      <c r="G72" s="737"/>
      <c r="H72" s="737"/>
      <c r="I72" s="737"/>
      <c r="J72" s="737"/>
      <c r="K72" s="737"/>
      <c r="L72" s="737"/>
      <c r="M72" s="737"/>
      <c r="N72" s="737"/>
      <c r="O72" s="737"/>
      <c r="P72" s="737"/>
      <c r="Q72" s="737"/>
      <c r="R72" s="737"/>
    </row>
    <row r="73" spans="1:18">
      <c r="A73" s="737"/>
      <c r="B73" s="737"/>
      <c r="C73" s="737"/>
      <c r="D73" s="737"/>
      <c r="E73" s="737"/>
      <c r="F73" s="737"/>
      <c r="G73" s="737"/>
      <c r="H73" s="737"/>
      <c r="I73" s="737"/>
      <c r="J73" s="737"/>
      <c r="K73" s="737"/>
      <c r="L73" s="737"/>
      <c r="M73" s="737"/>
      <c r="N73" s="737"/>
      <c r="O73" s="737"/>
      <c r="P73" s="737"/>
      <c r="Q73" s="737"/>
      <c r="R73" s="737"/>
    </row>
    <row r="74" spans="1:18">
      <c r="A74" s="737"/>
      <c r="B74" s="737"/>
      <c r="C74" s="737"/>
      <c r="D74" s="737"/>
      <c r="E74" s="737"/>
      <c r="F74" s="737"/>
      <c r="G74" s="737"/>
      <c r="H74" s="737"/>
      <c r="I74" s="737"/>
      <c r="J74" s="737"/>
      <c r="K74" s="737"/>
      <c r="L74" s="737"/>
      <c r="M74" s="737"/>
      <c r="N74" s="737"/>
      <c r="O74" s="737"/>
      <c r="P74" s="737"/>
      <c r="Q74" s="737"/>
      <c r="R74" s="737"/>
    </row>
    <row r="75" spans="1:18">
      <c r="A75" s="737"/>
      <c r="B75" s="737"/>
      <c r="C75" s="737"/>
      <c r="D75" s="737"/>
      <c r="E75" s="737"/>
      <c r="F75" s="737"/>
      <c r="G75" s="737"/>
      <c r="H75" s="737"/>
      <c r="I75" s="737"/>
      <c r="J75" s="737"/>
      <c r="K75" s="737"/>
      <c r="L75" s="737"/>
      <c r="M75" s="737"/>
      <c r="N75" s="737"/>
      <c r="O75" s="737"/>
      <c r="P75" s="737"/>
      <c r="Q75" s="737"/>
      <c r="R75" s="737"/>
    </row>
    <row r="76" spans="1:18">
      <c r="A76" s="737"/>
      <c r="B76" s="737"/>
      <c r="C76" s="737"/>
      <c r="D76" s="737"/>
      <c r="E76" s="737"/>
      <c r="F76" s="737"/>
      <c r="G76" s="737"/>
      <c r="H76" s="737"/>
      <c r="I76" s="737"/>
      <c r="J76" s="737"/>
      <c r="K76" s="737"/>
      <c r="L76" s="737"/>
      <c r="M76" s="737"/>
      <c r="N76" s="737"/>
      <c r="O76" s="737"/>
      <c r="P76" s="737"/>
      <c r="Q76" s="737"/>
      <c r="R76" s="737"/>
    </row>
    <row r="77" spans="1:18">
      <c r="A77" s="737"/>
      <c r="B77" s="737"/>
      <c r="C77" s="737"/>
      <c r="D77" s="737"/>
      <c r="E77" s="737"/>
      <c r="F77" s="737"/>
      <c r="G77" s="737"/>
      <c r="H77" s="737"/>
      <c r="I77" s="737"/>
      <c r="J77" s="737"/>
      <c r="K77" s="737"/>
      <c r="L77" s="737"/>
      <c r="M77" s="737"/>
      <c r="N77" s="737"/>
      <c r="O77" s="737"/>
      <c r="P77" s="737"/>
      <c r="Q77" s="737"/>
      <c r="R77" s="737"/>
    </row>
    <row r="78" spans="1:18">
      <c r="A78" s="737"/>
      <c r="B78" s="737"/>
      <c r="C78" s="737"/>
      <c r="D78" s="737"/>
      <c r="E78" s="737"/>
      <c r="F78" s="737"/>
      <c r="G78" s="737"/>
      <c r="H78" s="737"/>
      <c r="I78" s="737"/>
      <c r="J78" s="737"/>
      <c r="K78" s="737"/>
      <c r="L78" s="737"/>
      <c r="M78" s="737"/>
      <c r="N78" s="737"/>
      <c r="O78" s="737"/>
      <c r="P78" s="737"/>
      <c r="Q78" s="737"/>
      <c r="R78" s="737"/>
    </row>
    <row r="79" spans="1:18">
      <c r="A79" s="737"/>
      <c r="B79" s="737"/>
      <c r="C79" s="737"/>
      <c r="D79" s="737"/>
      <c r="E79" s="737"/>
      <c r="F79" s="737"/>
      <c r="G79" s="737"/>
      <c r="H79" s="737"/>
      <c r="I79" s="737"/>
      <c r="J79" s="737"/>
      <c r="K79" s="737"/>
      <c r="L79" s="737"/>
      <c r="M79" s="737"/>
      <c r="N79" s="737"/>
      <c r="O79" s="737"/>
      <c r="P79" s="737"/>
      <c r="Q79" s="737"/>
      <c r="R79" s="737"/>
    </row>
    <row r="80" spans="1:18">
      <c r="A80" s="737"/>
      <c r="B80" s="737"/>
      <c r="C80" s="737"/>
      <c r="D80" s="737"/>
      <c r="E80" s="737"/>
      <c r="F80" s="737"/>
      <c r="G80" s="737"/>
      <c r="H80" s="737"/>
      <c r="I80" s="737"/>
      <c r="J80" s="737"/>
      <c r="K80" s="737"/>
      <c r="L80" s="737"/>
      <c r="M80" s="737"/>
      <c r="N80" s="737"/>
      <c r="O80" s="737"/>
      <c r="P80" s="737"/>
      <c r="Q80" s="737"/>
      <c r="R80" s="737"/>
    </row>
    <row r="81" spans="1:18">
      <c r="A81" s="737"/>
      <c r="B81" s="737"/>
      <c r="C81" s="737"/>
      <c r="D81" s="737"/>
      <c r="E81" s="737"/>
      <c r="F81" s="737"/>
      <c r="G81" s="737"/>
      <c r="H81" s="737"/>
      <c r="I81" s="737"/>
      <c r="J81" s="737"/>
      <c r="K81" s="737"/>
      <c r="L81" s="737"/>
      <c r="M81" s="737"/>
      <c r="N81" s="737"/>
      <c r="O81" s="737"/>
      <c r="P81" s="737"/>
      <c r="Q81" s="737"/>
      <c r="R81" s="737"/>
    </row>
    <row r="82" spans="1:18">
      <c r="A82" s="737"/>
      <c r="B82" s="737"/>
      <c r="C82" s="737"/>
      <c r="D82" s="737"/>
      <c r="E82" s="737"/>
      <c r="F82" s="737"/>
      <c r="G82" s="737"/>
      <c r="H82" s="737"/>
      <c r="I82" s="737"/>
      <c r="J82" s="737"/>
      <c r="K82" s="737"/>
      <c r="L82" s="737"/>
      <c r="M82" s="737"/>
      <c r="N82" s="737"/>
      <c r="O82" s="737"/>
      <c r="P82" s="737"/>
      <c r="Q82" s="737"/>
      <c r="R82" s="737"/>
    </row>
    <row r="83" spans="1:18">
      <c r="A83" s="737"/>
      <c r="B83" s="737"/>
      <c r="C83" s="737"/>
      <c r="D83" s="737"/>
      <c r="E83" s="737"/>
      <c r="F83" s="737"/>
      <c r="G83" s="737"/>
      <c r="H83" s="737"/>
      <c r="I83" s="737"/>
      <c r="J83" s="737"/>
      <c r="K83" s="737"/>
      <c r="L83" s="737"/>
      <c r="M83" s="737"/>
      <c r="N83" s="737"/>
      <c r="O83" s="737"/>
      <c r="P83" s="737"/>
      <c r="Q83" s="737"/>
      <c r="R83" s="737"/>
    </row>
    <row r="84" spans="1:18">
      <c r="A84" s="737"/>
      <c r="B84" s="737"/>
      <c r="C84" s="737"/>
      <c r="D84" s="737"/>
      <c r="E84" s="737"/>
      <c r="F84" s="737"/>
      <c r="G84" s="737"/>
      <c r="H84" s="737"/>
      <c r="I84" s="737"/>
      <c r="J84" s="737"/>
      <c r="K84" s="737"/>
      <c r="L84" s="737"/>
      <c r="M84" s="737"/>
      <c r="N84" s="737"/>
      <c r="O84" s="737"/>
      <c r="P84" s="737"/>
      <c r="Q84" s="737"/>
      <c r="R84" s="737"/>
    </row>
    <row r="85" spans="1:18">
      <c r="A85" s="737"/>
      <c r="B85" s="737"/>
      <c r="C85" s="737"/>
      <c r="D85" s="737"/>
      <c r="E85" s="737"/>
      <c r="F85" s="737"/>
      <c r="G85" s="737"/>
      <c r="H85" s="737"/>
      <c r="I85" s="737"/>
      <c r="J85" s="737"/>
      <c r="K85" s="737"/>
      <c r="L85" s="737"/>
      <c r="M85" s="737"/>
      <c r="N85" s="737"/>
      <c r="O85" s="737"/>
      <c r="P85" s="737"/>
      <c r="Q85" s="737"/>
      <c r="R85" s="737"/>
    </row>
    <row r="86" spans="1:18">
      <c r="A86" s="737"/>
      <c r="B86" s="737"/>
      <c r="C86" s="737"/>
      <c r="D86" s="737"/>
      <c r="E86" s="737"/>
      <c r="F86" s="737"/>
      <c r="G86" s="737"/>
      <c r="H86" s="737"/>
      <c r="I86" s="737"/>
      <c r="J86" s="737"/>
      <c r="K86" s="737"/>
      <c r="L86" s="737"/>
      <c r="M86" s="737"/>
      <c r="N86" s="737"/>
      <c r="O86" s="737"/>
      <c r="P86" s="737"/>
      <c r="Q86" s="737"/>
      <c r="R86" s="737"/>
    </row>
    <row r="87" spans="1:18">
      <c r="A87" s="737"/>
      <c r="B87" s="737"/>
      <c r="C87" s="737"/>
      <c r="D87" s="737"/>
      <c r="E87" s="737"/>
      <c r="F87" s="737"/>
      <c r="G87" s="737"/>
      <c r="H87" s="737"/>
      <c r="I87" s="737"/>
      <c r="J87" s="737"/>
      <c r="K87" s="737"/>
      <c r="L87" s="737"/>
      <c r="M87" s="737"/>
      <c r="N87" s="737"/>
      <c r="O87" s="737"/>
      <c r="P87" s="737"/>
      <c r="Q87" s="737"/>
      <c r="R87" s="737"/>
    </row>
    <row r="88" spans="1:18">
      <c r="A88" s="737"/>
      <c r="B88" s="737"/>
      <c r="C88" s="737"/>
      <c r="D88" s="737"/>
      <c r="E88" s="737"/>
      <c r="F88" s="737"/>
      <c r="G88" s="737"/>
      <c r="H88" s="737"/>
      <c r="I88" s="737"/>
      <c r="J88" s="737"/>
      <c r="K88" s="737"/>
      <c r="L88" s="737"/>
      <c r="M88" s="737"/>
      <c r="N88" s="737"/>
      <c r="O88" s="737"/>
      <c r="P88" s="737"/>
      <c r="Q88" s="737"/>
      <c r="R88" s="737"/>
    </row>
    <row r="89" spans="1:18">
      <c r="A89" s="737"/>
      <c r="B89" s="737"/>
      <c r="C89" s="737"/>
      <c r="D89" s="737"/>
      <c r="E89" s="737"/>
      <c r="F89" s="737"/>
      <c r="G89" s="737"/>
      <c r="H89" s="737"/>
      <c r="I89" s="737"/>
      <c r="J89" s="737"/>
      <c r="K89" s="737"/>
      <c r="L89" s="737"/>
      <c r="M89" s="737"/>
      <c r="N89" s="737"/>
      <c r="O89" s="737"/>
      <c r="P89" s="737"/>
      <c r="Q89" s="737"/>
      <c r="R89" s="737"/>
    </row>
    <row r="90" spans="1:18">
      <c r="A90" s="737"/>
      <c r="B90" s="737"/>
      <c r="C90" s="737"/>
      <c r="D90" s="737"/>
      <c r="E90" s="737"/>
      <c r="F90" s="737"/>
      <c r="G90" s="737"/>
      <c r="H90" s="737"/>
      <c r="I90" s="737"/>
      <c r="J90" s="737"/>
      <c r="K90" s="737"/>
      <c r="L90" s="737"/>
      <c r="M90" s="737"/>
      <c r="N90" s="737"/>
      <c r="O90" s="737"/>
      <c r="P90" s="737"/>
      <c r="Q90" s="737"/>
      <c r="R90" s="737"/>
    </row>
    <row r="91" spans="1:18">
      <c r="A91" s="737"/>
      <c r="B91" s="737"/>
      <c r="C91" s="737"/>
      <c r="D91" s="737"/>
      <c r="E91" s="737"/>
      <c r="F91" s="737"/>
      <c r="G91" s="737"/>
      <c r="H91" s="737"/>
      <c r="I91" s="737"/>
      <c r="J91" s="737"/>
      <c r="K91" s="737"/>
      <c r="L91" s="737"/>
      <c r="M91" s="737"/>
      <c r="N91" s="737"/>
      <c r="O91" s="737"/>
      <c r="P91" s="737"/>
      <c r="Q91" s="737"/>
      <c r="R91" s="737"/>
    </row>
    <row r="92" spans="1:18">
      <c r="A92" s="737"/>
      <c r="B92" s="737"/>
      <c r="C92" s="737"/>
      <c r="D92" s="737"/>
      <c r="E92" s="737"/>
      <c r="F92" s="737"/>
      <c r="G92" s="737"/>
      <c r="H92" s="737"/>
      <c r="I92" s="737"/>
      <c r="J92" s="737"/>
      <c r="K92" s="737"/>
      <c r="L92" s="737"/>
      <c r="M92" s="737"/>
      <c r="N92" s="737"/>
      <c r="O92" s="737"/>
      <c r="P92" s="737"/>
      <c r="Q92" s="737"/>
      <c r="R92" s="737"/>
    </row>
    <row r="93" spans="1:18">
      <c r="A93" s="737"/>
      <c r="B93" s="737"/>
      <c r="C93" s="737"/>
      <c r="D93" s="737"/>
      <c r="E93" s="737"/>
      <c r="F93" s="737"/>
      <c r="G93" s="737"/>
      <c r="H93" s="737"/>
      <c r="I93" s="737"/>
      <c r="J93" s="737"/>
      <c r="K93" s="737"/>
      <c r="L93" s="737"/>
      <c r="M93" s="737"/>
      <c r="N93" s="737"/>
      <c r="O93" s="737"/>
      <c r="P93" s="737"/>
      <c r="Q93" s="737"/>
      <c r="R93" s="737"/>
    </row>
    <row r="94" spans="1:18">
      <c r="A94" s="737"/>
      <c r="B94" s="737"/>
      <c r="C94" s="737"/>
      <c r="D94" s="737"/>
      <c r="E94" s="737"/>
      <c r="F94" s="737"/>
      <c r="G94" s="737"/>
      <c r="H94" s="737"/>
      <c r="I94" s="737"/>
      <c r="J94" s="737"/>
      <c r="K94" s="737"/>
      <c r="L94" s="737"/>
      <c r="M94" s="737"/>
      <c r="N94" s="737"/>
      <c r="O94" s="737"/>
      <c r="P94" s="737"/>
      <c r="Q94" s="737"/>
      <c r="R94" s="737"/>
    </row>
    <row r="95" spans="1:18">
      <c r="A95" s="737"/>
      <c r="B95" s="737"/>
      <c r="C95" s="737"/>
      <c r="D95" s="737"/>
      <c r="E95" s="737"/>
      <c r="F95" s="737"/>
      <c r="G95" s="737"/>
      <c r="H95" s="737"/>
      <c r="I95" s="737"/>
      <c r="J95" s="737"/>
      <c r="K95" s="737"/>
      <c r="L95" s="737"/>
      <c r="M95" s="737"/>
      <c r="N95" s="737"/>
      <c r="O95" s="737"/>
      <c r="P95" s="737"/>
      <c r="Q95" s="737"/>
      <c r="R95" s="737"/>
    </row>
    <row r="96" spans="1:18">
      <c r="A96" s="737"/>
      <c r="B96" s="737"/>
      <c r="C96" s="737"/>
      <c r="D96" s="737"/>
      <c r="E96" s="737"/>
      <c r="F96" s="737"/>
      <c r="G96" s="737"/>
      <c r="H96" s="737"/>
      <c r="I96" s="737"/>
      <c r="J96" s="737"/>
      <c r="K96" s="737"/>
      <c r="L96" s="737"/>
      <c r="M96" s="737"/>
      <c r="N96" s="737"/>
      <c r="O96" s="737"/>
      <c r="P96" s="737"/>
      <c r="Q96" s="737"/>
      <c r="R96" s="737"/>
    </row>
    <row r="97" spans="1:18">
      <c r="A97" s="737"/>
      <c r="B97" s="737"/>
      <c r="C97" s="737"/>
      <c r="D97" s="737"/>
      <c r="E97" s="737"/>
      <c r="F97" s="737"/>
      <c r="G97" s="737"/>
      <c r="H97" s="737"/>
      <c r="I97" s="737"/>
      <c r="J97" s="737"/>
      <c r="K97" s="737"/>
      <c r="L97" s="737"/>
      <c r="M97" s="737"/>
      <c r="N97" s="737"/>
      <c r="O97" s="737"/>
      <c r="P97" s="737"/>
      <c r="Q97" s="737"/>
      <c r="R97" s="737"/>
    </row>
    <row r="98" spans="1:18">
      <c r="A98" s="737"/>
      <c r="B98" s="737"/>
      <c r="C98" s="737"/>
      <c r="D98" s="737"/>
      <c r="E98" s="737"/>
      <c r="F98" s="737"/>
      <c r="G98" s="737"/>
      <c r="H98" s="737"/>
      <c r="I98" s="737"/>
      <c r="J98" s="737"/>
      <c r="K98" s="737"/>
      <c r="L98" s="737"/>
      <c r="M98" s="737"/>
      <c r="N98" s="737"/>
      <c r="O98" s="737"/>
      <c r="P98" s="737"/>
      <c r="Q98" s="737"/>
      <c r="R98" s="737"/>
    </row>
    <row r="99" spans="1:18">
      <c r="A99" s="737"/>
      <c r="B99" s="737"/>
      <c r="C99" s="737"/>
      <c r="D99" s="737"/>
      <c r="E99" s="737"/>
      <c r="F99" s="737"/>
      <c r="G99" s="737"/>
      <c r="H99" s="737"/>
      <c r="I99" s="737"/>
      <c r="J99" s="737"/>
      <c r="K99" s="737"/>
      <c r="L99" s="737"/>
      <c r="M99" s="737"/>
      <c r="N99" s="737"/>
      <c r="O99" s="737"/>
      <c r="P99" s="737"/>
      <c r="Q99" s="737"/>
      <c r="R99" s="737"/>
    </row>
    <row r="100" spans="1:18">
      <c r="A100" s="737"/>
      <c r="B100" s="737"/>
      <c r="C100" s="737"/>
      <c r="D100" s="737"/>
      <c r="E100" s="737"/>
      <c r="F100" s="737"/>
      <c r="G100" s="737"/>
      <c r="H100" s="737"/>
      <c r="I100" s="737"/>
      <c r="J100" s="737"/>
      <c r="K100" s="737"/>
      <c r="L100" s="737"/>
      <c r="M100" s="737"/>
      <c r="N100" s="737"/>
      <c r="O100" s="737"/>
      <c r="P100" s="737"/>
      <c r="Q100" s="737"/>
      <c r="R100" s="737"/>
    </row>
    <row r="101" spans="1:18">
      <c r="A101" s="737"/>
      <c r="B101" s="737"/>
      <c r="C101" s="737"/>
      <c r="D101" s="737"/>
      <c r="E101" s="737"/>
      <c r="F101" s="737"/>
      <c r="G101" s="737"/>
      <c r="H101" s="737"/>
      <c r="I101" s="737"/>
      <c r="J101" s="737"/>
      <c r="K101" s="737"/>
      <c r="L101" s="737"/>
      <c r="M101" s="737"/>
      <c r="N101" s="737"/>
      <c r="O101" s="737"/>
      <c r="P101" s="737"/>
      <c r="Q101" s="737"/>
      <c r="R101" s="737"/>
    </row>
    <row r="102" spans="1:18">
      <c r="A102" s="737"/>
      <c r="B102" s="737"/>
      <c r="C102" s="737"/>
      <c r="D102" s="737"/>
      <c r="E102" s="737"/>
      <c r="F102" s="737"/>
      <c r="G102" s="737"/>
      <c r="H102" s="737"/>
      <c r="I102" s="737"/>
      <c r="J102" s="737"/>
      <c r="K102" s="737"/>
      <c r="L102" s="737"/>
      <c r="M102" s="737"/>
      <c r="N102" s="737"/>
      <c r="O102" s="737"/>
      <c r="P102" s="737"/>
      <c r="Q102" s="737"/>
      <c r="R102" s="737"/>
    </row>
    <row r="103" spans="1:18">
      <c r="A103" s="737"/>
      <c r="B103" s="737"/>
      <c r="C103" s="737"/>
      <c r="D103" s="737"/>
      <c r="E103" s="737"/>
      <c r="F103" s="737"/>
      <c r="G103" s="737"/>
      <c r="H103" s="737"/>
      <c r="I103" s="737"/>
      <c r="J103" s="737"/>
      <c r="K103" s="737"/>
      <c r="L103" s="737"/>
      <c r="M103" s="737"/>
      <c r="N103" s="737"/>
      <c r="O103" s="737"/>
      <c r="P103" s="737"/>
      <c r="Q103" s="737"/>
      <c r="R103" s="737"/>
    </row>
    <row r="104" spans="1:18">
      <c r="A104" s="737"/>
      <c r="B104" s="737"/>
      <c r="C104" s="737"/>
      <c r="D104" s="737"/>
      <c r="E104" s="737"/>
      <c r="F104" s="737"/>
      <c r="G104" s="737"/>
      <c r="H104" s="737"/>
      <c r="I104" s="737"/>
      <c r="J104" s="737"/>
      <c r="K104" s="737"/>
      <c r="L104" s="737"/>
      <c r="M104" s="737"/>
      <c r="N104" s="737"/>
      <c r="O104" s="737"/>
      <c r="P104" s="737"/>
      <c r="Q104" s="737"/>
      <c r="R104" s="737"/>
    </row>
    <row r="105" spans="1:18">
      <c r="A105" s="737"/>
      <c r="B105" s="737"/>
      <c r="C105" s="737"/>
      <c r="D105" s="737"/>
      <c r="E105" s="737"/>
      <c r="F105" s="737"/>
      <c r="G105" s="737"/>
      <c r="H105" s="737"/>
      <c r="I105" s="737"/>
      <c r="J105" s="737"/>
      <c r="K105" s="737"/>
      <c r="L105" s="737"/>
      <c r="M105" s="737"/>
      <c r="N105" s="737"/>
      <c r="O105" s="737"/>
      <c r="P105" s="737"/>
      <c r="Q105" s="737"/>
      <c r="R105" s="737"/>
    </row>
    <row r="106" spans="1:18">
      <c r="A106" s="737"/>
      <c r="B106" s="737"/>
      <c r="C106" s="737"/>
      <c r="D106" s="737"/>
      <c r="E106" s="737"/>
      <c r="F106" s="737"/>
      <c r="G106" s="737"/>
      <c r="H106" s="737"/>
      <c r="I106" s="737"/>
      <c r="J106" s="737"/>
      <c r="K106" s="737"/>
      <c r="L106" s="737"/>
      <c r="M106" s="737"/>
      <c r="N106" s="737"/>
      <c r="O106" s="737"/>
      <c r="P106" s="737"/>
      <c r="Q106" s="737"/>
      <c r="R106" s="737"/>
    </row>
    <row r="107" spans="1:18">
      <c r="A107" s="737"/>
      <c r="B107" s="737"/>
      <c r="C107" s="737"/>
      <c r="D107" s="737"/>
      <c r="E107" s="737"/>
      <c r="F107" s="737"/>
      <c r="G107" s="737"/>
      <c r="H107" s="737"/>
      <c r="I107" s="737"/>
      <c r="J107" s="737"/>
      <c r="K107" s="737"/>
      <c r="L107" s="737"/>
      <c r="M107" s="737"/>
      <c r="N107" s="737"/>
      <c r="O107" s="737"/>
      <c r="P107" s="737"/>
      <c r="Q107" s="737"/>
      <c r="R107" s="737"/>
    </row>
    <row r="108" spans="1:18">
      <c r="A108" s="737"/>
      <c r="B108" s="737"/>
      <c r="C108" s="737"/>
      <c r="D108" s="737"/>
      <c r="E108" s="737"/>
      <c r="F108" s="737"/>
      <c r="G108" s="737"/>
      <c r="H108" s="737"/>
      <c r="I108" s="737"/>
      <c r="J108" s="737"/>
      <c r="K108" s="737"/>
      <c r="L108" s="737"/>
      <c r="M108" s="737"/>
      <c r="N108" s="737"/>
      <c r="O108" s="737"/>
      <c r="P108" s="737"/>
      <c r="Q108" s="737"/>
      <c r="R108" s="737"/>
    </row>
    <row r="109" spans="1:18">
      <c r="A109" s="737"/>
      <c r="B109" s="737"/>
      <c r="C109" s="737"/>
      <c r="D109" s="737"/>
      <c r="E109" s="737"/>
      <c r="F109" s="737"/>
      <c r="G109" s="737"/>
      <c r="H109" s="737"/>
      <c r="I109" s="737"/>
      <c r="J109" s="737"/>
      <c r="K109" s="737"/>
      <c r="L109" s="737"/>
      <c r="M109" s="737"/>
      <c r="N109" s="737"/>
      <c r="O109" s="737"/>
      <c r="P109" s="737"/>
      <c r="Q109" s="737"/>
      <c r="R109" s="737"/>
    </row>
    <row r="110" spans="1:18">
      <c r="A110" s="737"/>
      <c r="B110" s="737"/>
      <c r="C110" s="737"/>
      <c r="D110" s="737"/>
      <c r="E110" s="737"/>
      <c r="F110" s="737"/>
      <c r="G110" s="737"/>
      <c r="H110" s="737"/>
      <c r="I110" s="737"/>
      <c r="J110" s="737"/>
      <c r="K110" s="737"/>
      <c r="L110" s="737"/>
      <c r="M110" s="737"/>
      <c r="N110" s="737"/>
      <c r="O110" s="737"/>
      <c r="P110" s="737"/>
      <c r="Q110" s="737"/>
      <c r="R110" s="737"/>
    </row>
    <row r="111" spans="1:18">
      <c r="A111" s="737"/>
      <c r="B111" s="737"/>
      <c r="C111" s="737"/>
      <c r="D111" s="737"/>
      <c r="E111" s="737"/>
      <c r="F111" s="737"/>
      <c r="G111" s="737"/>
      <c r="H111" s="737"/>
      <c r="I111" s="737"/>
      <c r="J111" s="737"/>
      <c r="K111" s="737"/>
      <c r="L111" s="737"/>
      <c r="M111" s="737"/>
      <c r="N111" s="737"/>
      <c r="O111" s="737"/>
      <c r="P111" s="737"/>
      <c r="Q111" s="737"/>
      <c r="R111" s="737"/>
    </row>
    <row r="112" spans="1:18">
      <c r="A112" s="737"/>
      <c r="B112" s="737"/>
      <c r="C112" s="737"/>
      <c r="D112" s="737"/>
      <c r="E112" s="737"/>
      <c r="F112" s="737"/>
      <c r="G112" s="737"/>
      <c r="H112" s="737"/>
      <c r="I112" s="737"/>
      <c r="J112" s="737"/>
      <c r="K112" s="737"/>
      <c r="L112" s="737"/>
      <c r="M112" s="737"/>
      <c r="N112" s="737"/>
      <c r="O112" s="737"/>
      <c r="P112" s="737"/>
      <c r="Q112" s="737"/>
      <c r="R112" s="737"/>
    </row>
    <row r="113" spans="1:18">
      <c r="A113" s="737"/>
      <c r="B113" s="737"/>
      <c r="C113" s="737"/>
      <c r="D113" s="737"/>
      <c r="E113" s="737"/>
      <c r="F113" s="737"/>
      <c r="G113" s="737"/>
      <c r="H113" s="737"/>
      <c r="I113" s="737"/>
      <c r="J113" s="737"/>
      <c r="K113" s="737"/>
      <c r="L113" s="737"/>
      <c r="M113" s="737"/>
      <c r="N113" s="737"/>
      <c r="O113" s="737"/>
      <c r="P113" s="737"/>
      <c r="Q113" s="737"/>
      <c r="R113" s="737"/>
    </row>
    <row r="114" spans="1:18">
      <c r="A114" s="737"/>
      <c r="B114" s="737"/>
      <c r="C114" s="737"/>
      <c r="D114" s="737"/>
      <c r="E114" s="737"/>
      <c r="F114" s="737"/>
      <c r="G114" s="737"/>
      <c r="H114" s="737"/>
      <c r="I114" s="737"/>
      <c r="J114" s="737"/>
      <c r="K114" s="737"/>
      <c r="L114" s="737"/>
      <c r="M114" s="737"/>
      <c r="N114" s="737"/>
      <c r="O114" s="737"/>
      <c r="P114" s="737"/>
      <c r="Q114" s="737"/>
      <c r="R114" s="737"/>
    </row>
    <row r="115" spans="1:18">
      <c r="A115" s="737"/>
      <c r="B115" s="737"/>
      <c r="C115" s="737"/>
      <c r="D115" s="737"/>
      <c r="E115" s="737"/>
      <c r="F115" s="737"/>
      <c r="G115" s="737"/>
      <c r="H115" s="737"/>
      <c r="I115" s="737"/>
      <c r="J115" s="737"/>
      <c r="K115" s="737"/>
      <c r="L115" s="737"/>
      <c r="M115" s="737"/>
      <c r="N115" s="737"/>
      <c r="O115" s="737"/>
      <c r="P115" s="737"/>
      <c r="Q115" s="737"/>
      <c r="R115" s="737"/>
    </row>
    <row r="116" spans="1:18">
      <c r="A116" s="737"/>
      <c r="B116" s="737"/>
      <c r="C116" s="737"/>
      <c r="D116" s="737"/>
      <c r="E116" s="737"/>
      <c r="F116" s="737"/>
      <c r="G116" s="737"/>
      <c r="H116" s="737"/>
      <c r="I116" s="737"/>
      <c r="J116" s="737"/>
      <c r="K116" s="737"/>
      <c r="L116" s="737"/>
      <c r="M116" s="737"/>
      <c r="N116" s="737"/>
      <c r="O116" s="737"/>
      <c r="P116" s="737"/>
      <c r="Q116" s="737"/>
      <c r="R116" s="737"/>
    </row>
    <row r="117" spans="1:18">
      <c r="A117" s="737"/>
      <c r="B117" s="737"/>
      <c r="C117" s="737"/>
      <c r="D117" s="737"/>
      <c r="E117" s="737"/>
      <c r="F117" s="737"/>
      <c r="G117" s="737"/>
      <c r="H117" s="737"/>
      <c r="I117" s="737"/>
      <c r="J117" s="737"/>
      <c r="K117" s="737"/>
      <c r="L117" s="737"/>
      <c r="M117" s="737"/>
      <c r="N117" s="737"/>
      <c r="O117" s="737"/>
      <c r="P117" s="737"/>
      <c r="Q117" s="737"/>
      <c r="R117" s="737"/>
    </row>
    <row r="118" spans="1:18">
      <c r="A118" s="737"/>
      <c r="B118" s="737"/>
      <c r="C118" s="737"/>
      <c r="D118" s="737"/>
      <c r="E118" s="737"/>
      <c r="F118" s="737"/>
      <c r="G118" s="737"/>
      <c r="H118" s="737"/>
      <c r="I118" s="737"/>
      <c r="J118" s="737"/>
      <c r="K118" s="737"/>
      <c r="L118" s="737"/>
      <c r="M118" s="737"/>
      <c r="N118" s="737"/>
      <c r="O118" s="737"/>
      <c r="P118" s="737"/>
      <c r="Q118" s="737"/>
      <c r="R118" s="737"/>
    </row>
    <row r="119" spans="1:18">
      <c r="A119" s="737"/>
      <c r="B119" s="737"/>
      <c r="C119" s="737"/>
      <c r="D119" s="737"/>
      <c r="E119" s="737"/>
      <c r="F119" s="737"/>
      <c r="G119" s="737"/>
      <c r="H119" s="737"/>
      <c r="I119" s="737"/>
      <c r="J119" s="737"/>
      <c r="K119" s="737"/>
      <c r="L119" s="737"/>
      <c r="M119" s="737"/>
      <c r="N119" s="737"/>
      <c r="O119" s="737"/>
      <c r="P119" s="737"/>
      <c r="Q119" s="737"/>
      <c r="R119" s="737"/>
    </row>
    <row r="120" spans="1:18">
      <c r="A120" s="737"/>
      <c r="B120" s="737"/>
      <c r="C120" s="737"/>
      <c r="D120" s="737"/>
      <c r="E120" s="737"/>
      <c r="F120" s="737"/>
      <c r="G120" s="737"/>
      <c r="H120" s="737"/>
      <c r="I120" s="737"/>
      <c r="J120" s="737"/>
      <c r="K120" s="737"/>
      <c r="L120" s="737"/>
      <c r="M120" s="737"/>
      <c r="N120" s="737"/>
      <c r="O120" s="737"/>
      <c r="P120" s="737"/>
      <c r="Q120" s="737"/>
      <c r="R120" s="737"/>
    </row>
    <row r="121" spans="1:18">
      <c r="A121" s="737"/>
      <c r="B121" s="737"/>
      <c r="C121" s="737"/>
      <c r="D121" s="737"/>
      <c r="E121" s="737"/>
      <c r="F121" s="737"/>
      <c r="G121" s="737"/>
      <c r="H121" s="737"/>
      <c r="I121" s="737"/>
      <c r="J121" s="737"/>
      <c r="K121" s="737"/>
      <c r="L121" s="737"/>
      <c r="M121" s="737"/>
      <c r="N121" s="737"/>
      <c r="O121" s="737"/>
      <c r="P121" s="737"/>
      <c r="Q121" s="737"/>
      <c r="R121" s="737"/>
    </row>
    <row r="122" spans="1:18">
      <c r="A122" s="737"/>
      <c r="B122" s="737"/>
      <c r="C122" s="737"/>
      <c r="D122" s="737"/>
      <c r="E122" s="737"/>
      <c r="F122" s="737"/>
      <c r="G122" s="737"/>
      <c r="H122" s="737"/>
      <c r="I122" s="737"/>
      <c r="J122" s="737"/>
      <c r="K122" s="737"/>
      <c r="L122" s="737"/>
      <c r="M122" s="737"/>
      <c r="N122" s="737"/>
      <c r="O122" s="737"/>
      <c r="P122" s="737"/>
      <c r="Q122" s="737"/>
      <c r="R122" s="737"/>
    </row>
    <row r="123" spans="1:18">
      <c r="A123" s="737"/>
      <c r="B123" s="737"/>
      <c r="C123" s="737"/>
      <c r="D123" s="737"/>
      <c r="E123" s="737"/>
      <c r="F123" s="737"/>
      <c r="G123" s="737"/>
      <c r="H123" s="737"/>
      <c r="I123" s="737"/>
      <c r="J123" s="737"/>
      <c r="K123" s="737"/>
      <c r="L123" s="737"/>
      <c r="M123" s="737"/>
      <c r="N123" s="737"/>
      <c r="O123" s="737"/>
      <c r="P123" s="737"/>
      <c r="Q123" s="737"/>
      <c r="R123" s="737"/>
    </row>
    <row r="124" spans="1:18">
      <c r="A124" s="737"/>
      <c r="B124" s="737"/>
      <c r="C124" s="737"/>
      <c r="D124" s="737"/>
      <c r="E124" s="737"/>
      <c r="F124" s="737"/>
      <c r="G124" s="737"/>
      <c r="H124" s="737"/>
      <c r="I124" s="737"/>
      <c r="J124" s="737"/>
      <c r="K124" s="737"/>
      <c r="L124" s="737"/>
      <c r="M124" s="737"/>
      <c r="N124" s="737"/>
      <c r="O124" s="737"/>
      <c r="P124" s="737"/>
      <c r="Q124" s="737"/>
      <c r="R124" s="737"/>
    </row>
    <row r="125" spans="1:18">
      <c r="A125" s="737"/>
      <c r="B125" s="737"/>
      <c r="C125" s="737"/>
      <c r="D125" s="737"/>
      <c r="E125" s="737"/>
      <c r="F125" s="737"/>
      <c r="G125" s="737"/>
      <c r="H125" s="737"/>
      <c r="I125" s="737"/>
      <c r="J125" s="737"/>
      <c r="K125" s="737"/>
      <c r="L125" s="737"/>
      <c r="M125" s="737"/>
      <c r="N125" s="737"/>
      <c r="O125" s="737"/>
      <c r="P125" s="737"/>
      <c r="Q125" s="737"/>
      <c r="R125" s="737"/>
    </row>
    <row r="126" spans="1:18">
      <c r="A126" s="737"/>
      <c r="B126" s="737"/>
      <c r="C126" s="737"/>
      <c r="D126" s="737"/>
      <c r="E126" s="737"/>
      <c r="F126" s="737"/>
      <c r="G126" s="737"/>
      <c r="H126" s="737"/>
      <c r="I126" s="737"/>
      <c r="J126" s="737"/>
      <c r="K126" s="737"/>
      <c r="L126" s="737"/>
      <c r="M126" s="737"/>
      <c r="N126" s="737"/>
      <c r="O126" s="737"/>
      <c r="P126" s="737"/>
      <c r="Q126" s="737"/>
      <c r="R126" s="737"/>
    </row>
    <row r="127" spans="1:18">
      <c r="A127" s="737"/>
      <c r="B127" s="737"/>
      <c r="C127" s="737"/>
      <c r="D127" s="737"/>
      <c r="E127" s="737"/>
      <c r="F127" s="737"/>
      <c r="G127" s="737"/>
      <c r="H127" s="737"/>
      <c r="I127" s="737"/>
      <c r="J127" s="737"/>
      <c r="K127" s="737"/>
      <c r="L127" s="737"/>
      <c r="M127" s="737"/>
      <c r="N127" s="737"/>
      <c r="O127" s="737"/>
      <c r="P127" s="737"/>
      <c r="Q127" s="737"/>
      <c r="R127" s="737"/>
    </row>
    <row r="128" spans="1:18">
      <c r="A128" s="737"/>
      <c r="B128" s="737"/>
      <c r="C128" s="737"/>
      <c r="D128" s="737"/>
      <c r="E128" s="737"/>
      <c r="F128" s="737"/>
      <c r="G128" s="737"/>
      <c r="H128" s="737"/>
      <c r="I128" s="737"/>
      <c r="J128" s="737"/>
      <c r="K128" s="737"/>
      <c r="L128" s="737"/>
      <c r="M128" s="737"/>
      <c r="N128" s="737"/>
      <c r="O128" s="737"/>
      <c r="P128" s="737"/>
      <c r="Q128" s="737"/>
      <c r="R128" s="737"/>
    </row>
    <row r="129" spans="1:18">
      <c r="A129" s="737"/>
      <c r="B129" s="737"/>
      <c r="C129" s="737"/>
      <c r="D129" s="737"/>
      <c r="E129" s="737"/>
      <c r="F129" s="737"/>
      <c r="G129" s="737"/>
      <c r="H129" s="737"/>
      <c r="I129" s="737"/>
      <c r="J129" s="737"/>
      <c r="K129" s="737"/>
      <c r="L129" s="737"/>
      <c r="M129" s="737"/>
      <c r="N129" s="737"/>
      <c r="O129" s="737"/>
      <c r="P129" s="737"/>
      <c r="Q129" s="737"/>
      <c r="R129" s="737"/>
    </row>
    <row r="130" spans="1:18">
      <c r="A130" s="737"/>
      <c r="B130" s="737"/>
      <c r="C130" s="737"/>
      <c r="D130" s="737"/>
      <c r="E130" s="737"/>
      <c r="F130" s="737"/>
      <c r="G130" s="737"/>
      <c r="H130" s="737"/>
      <c r="I130" s="737"/>
      <c r="J130" s="737"/>
      <c r="K130" s="737"/>
      <c r="L130" s="737"/>
      <c r="M130" s="737"/>
      <c r="N130" s="737"/>
      <c r="O130" s="737"/>
      <c r="P130" s="737"/>
      <c r="Q130" s="737"/>
      <c r="R130" s="737"/>
    </row>
    <row r="131" spans="1:18">
      <c r="A131" s="737"/>
      <c r="B131" s="737"/>
      <c r="C131" s="737"/>
      <c r="D131" s="737"/>
      <c r="E131" s="737"/>
      <c r="F131" s="737"/>
      <c r="G131" s="737"/>
      <c r="H131" s="737"/>
      <c r="I131" s="737"/>
      <c r="J131" s="737"/>
      <c r="K131" s="737"/>
      <c r="L131" s="737"/>
      <c r="M131" s="737"/>
      <c r="N131" s="737"/>
      <c r="O131" s="737"/>
      <c r="P131" s="737"/>
      <c r="Q131" s="737"/>
      <c r="R131" s="737"/>
    </row>
    <row r="132" spans="1:18">
      <c r="A132" s="737"/>
      <c r="B132" s="737"/>
      <c r="C132" s="737"/>
      <c r="D132" s="737"/>
      <c r="E132" s="737"/>
      <c r="F132" s="737"/>
      <c r="G132" s="737"/>
      <c r="H132" s="737"/>
      <c r="I132" s="737"/>
      <c r="J132" s="737"/>
      <c r="K132" s="737"/>
      <c r="L132" s="737"/>
      <c r="M132" s="737"/>
      <c r="N132" s="737"/>
      <c r="O132" s="737"/>
      <c r="P132" s="737"/>
      <c r="Q132" s="737"/>
      <c r="R132" s="737"/>
    </row>
    <row r="133" spans="1:18">
      <c r="A133" s="737"/>
      <c r="B133" s="737"/>
      <c r="C133" s="737"/>
      <c r="D133" s="737"/>
      <c r="E133" s="737"/>
      <c r="F133" s="737"/>
      <c r="G133" s="737"/>
      <c r="H133" s="737"/>
      <c r="I133" s="737"/>
      <c r="J133" s="737"/>
      <c r="K133" s="737"/>
      <c r="L133" s="737"/>
      <c r="M133" s="737"/>
      <c r="N133" s="737"/>
      <c r="O133" s="737"/>
      <c r="P133" s="737"/>
      <c r="Q133" s="737"/>
      <c r="R133" s="737"/>
    </row>
    <row r="134" spans="1:18">
      <c r="A134" s="737"/>
      <c r="B134" s="737"/>
      <c r="C134" s="737"/>
      <c r="D134" s="737"/>
      <c r="E134" s="737"/>
      <c r="F134" s="737"/>
      <c r="G134" s="737"/>
      <c r="H134" s="737"/>
      <c r="I134" s="737"/>
      <c r="J134" s="737"/>
      <c r="K134" s="737"/>
      <c r="L134" s="737"/>
      <c r="M134" s="737"/>
      <c r="N134" s="737"/>
      <c r="O134" s="737"/>
      <c r="P134" s="737"/>
      <c r="Q134" s="737"/>
      <c r="R134" s="737"/>
    </row>
    <row r="135" spans="1:18">
      <c r="A135" s="737"/>
      <c r="B135" s="737"/>
      <c r="C135" s="737"/>
      <c r="D135" s="737"/>
      <c r="E135" s="737"/>
      <c r="F135" s="737"/>
      <c r="G135" s="737"/>
      <c r="H135" s="737"/>
      <c r="I135" s="737"/>
      <c r="J135" s="737"/>
      <c r="K135" s="737"/>
      <c r="L135" s="737"/>
      <c r="M135" s="737"/>
      <c r="N135" s="737"/>
      <c r="O135" s="737"/>
      <c r="P135" s="737"/>
      <c r="Q135" s="737"/>
      <c r="R135" s="737"/>
    </row>
    <row r="136" spans="1:18">
      <c r="A136" s="737"/>
      <c r="B136" s="737"/>
      <c r="C136" s="737"/>
      <c r="D136" s="737"/>
      <c r="E136" s="737"/>
      <c r="F136" s="737"/>
      <c r="G136" s="737"/>
      <c r="H136" s="737"/>
      <c r="I136" s="737"/>
      <c r="J136" s="737"/>
      <c r="K136" s="737"/>
      <c r="L136" s="737"/>
      <c r="M136" s="737"/>
      <c r="N136" s="737"/>
      <c r="O136" s="737"/>
      <c r="P136" s="737"/>
      <c r="Q136" s="737"/>
      <c r="R136" s="737"/>
    </row>
    <row r="137" spans="1:18">
      <c r="A137" s="737"/>
      <c r="B137" s="737"/>
      <c r="C137" s="737"/>
      <c r="D137" s="737"/>
      <c r="E137" s="737"/>
      <c r="F137" s="737"/>
      <c r="G137" s="737"/>
      <c r="H137" s="737"/>
      <c r="I137" s="737"/>
      <c r="J137" s="737"/>
      <c r="K137" s="737"/>
      <c r="L137" s="737"/>
      <c r="M137" s="737"/>
      <c r="N137" s="737"/>
      <c r="O137" s="737"/>
      <c r="P137" s="737"/>
      <c r="Q137" s="737"/>
      <c r="R137" s="737"/>
    </row>
    <row r="138" spans="1:18">
      <c r="A138" s="737"/>
      <c r="B138" s="737"/>
      <c r="C138" s="737"/>
      <c r="D138" s="737"/>
      <c r="E138" s="737"/>
      <c r="F138" s="737"/>
      <c r="G138" s="737"/>
      <c r="H138" s="737"/>
      <c r="I138" s="737"/>
      <c r="J138" s="737"/>
      <c r="K138" s="737"/>
      <c r="L138" s="737"/>
      <c r="M138" s="737"/>
      <c r="N138" s="737"/>
      <c r="O138" s="737"/>
      <c r="P138" s="737"/>
      <c r="Q138" s="737"/>
      <c r="R138" s="737"/>
    </row>
    <row r="139" spans="1:18">
      <c r="A139" s="737"/>
      <c r="B139" s="737"/>
      <c r="C139" s="737"/>
      <c r="D139" s="737"/>
      <c r="E139" s="737"/>
      <c r="F139" s="737"/>
      <c r="G139" s="737"/>
      <c r="H139" s="737"/>
      <c r="I139" s="737"/>
      <c r="J139" s="737"/>
      <c r="K139" s="737"/>
      <c r="L139" s="737"/>
      <c r="M139" s="737"/>
      <c r="N139" s="737"/>
      <c r="O139" s="737"/>
      <c r="P139" s="737"/>
      <c r="Q139" s="737"/>
      <c r="R139" s="737"/>
    </row>
    <row r="140" spans="1:18">
      <c r="A140" s="737"/>
      <c r="B140" s="737"/>
      <c r="C140" s="737"/>
      <c r="D140" s="737"/>
      <c r="E140" s="737"/>
      <c r="F140" s="737"/>
      <c r="G140" s="737"/>
      <c r="H140" s="737"/>
      <c r="I140" s="737"/>
      <c r="J140" s="737"/>
      <c r="K140" s="737"/>
      <c r="L140" s="737"/>
      <c r="M140" s="737"/>
      <c r="N140" s="737"/>
      <c r="O140" s="737"/>
      <c r="P140" s="737"/>
      <c r="Q140" s="737"/>
      <c r="R140" s="737"/>
    </row>
    <row r="141" spans="1:18">
      <c r="A141" s="737"/>
      <c r="B141" s="737"/>
      <c r="C141" s="737"/>
      <c r="D141" s="737"/>
      <c r="E141" s="737"/>
      <c r="F141" s="737"/>
      <c r="G141" s="737"/>
      <c r="H141" s="737"/>
      <c r="I141" s="737"/>
      <c r="J141" s="737"/>
      <c r="K141" s="737"/>
      <c r="L141" s="737"/>
      <c r="M141" s="737"/>
      <c r="N141" s="737"/>
      <c r="O141" s="737"/>
      <c r="P141" s="737"/>
      <c r="Q141" s="737"/>
      <c r="R141" s="737"/>
    </row>
    <row r="142" spans="1:18">
      <c r="A142" s="737"/>
      <c r="B142" s="737"/>
      <c r="C142" s="737"/>
      <c r="D142" s="737"/>
      <c r="E142" s="737"/>
      <c r="F142" s="737"/>
      <c r="G142" s="737"/>
      <c r="H142" s="737"/>
      <c r="I142" s="737"/>
      <c r="J142" s="737"/>
      <c r="K142" s="737"/>
      <c r="L142" s="737"/>
      <c r="M142" s="737"/>
      <c r="N142" s="737"/>
      <c r="O142" s="737"/>
      <c r="P142" s="737"/>
      <c r="Q142" s="737"/>
      <c r="R142" s="737"/>
    </row>
    <row r="143" spans="1:18">
      <c r="A143" s="737"/>
      <c r="B143" s="737"/>
      <c r="C143" s="737"/>
      <c r="D143" s="737"/>
      <c r="E143" s="737"/>
      <c r="F143" s="737"/>
      <c r="G143" s="737"/>
      <c r="H143" s="737"/>
      <c r="I143" s="737"/>
      <c r="J143" s="737"/>
      <c r="K143" s="737"/>
      <c r="L143" s="737"/>
      <c r="M143" s="737"/>
      <c r="N143" s="737"/>
      <c r="O143" s="737"/>
      <c r="P143" s="737"/>
      <c r="Q143" s="737"/>
      <c r="R143" s="737"/>
    </row>
    <row r="144" spans="1:18">
      <c r="A144" s="737"/>
      <c r="B144" s="737"/>
      <c r="C144" s="737"/>
      <c r="D144" s="737"/>
      <c r="E144" s="737"/>
      <c r="F144" s="737"/>
      <c r="G144" s="737"/>
      <c r="H144" s="737"/>
      <c r="I144" s="737"/>
      <c r="J144" s="737"/>
      <c r="K144" s="737"/>
      <c r="L144" s="737"/>
      <c r="M144" s="737"/>
      <c r="N144" s="737"/>
      <c r="O144" s="737"/>
      <c r="P144" s="737"/>
      <c r="Q144" s="737"/>
      <c r="R144" s="737"/>
    </row>
    <row r="145" spans="1:18">
      <c r="A145" s="737"/>
      <c r="B145" s="737"/>
      <c r="C145" s="737"/>
      <c r="D145" s="737"/>
      <c r="E145" s="737"/>
      <c r="F145" s="737"/>
      <c r="G145" s="737"/>
      <c r="H145" s="737"/>
      <c r="I145" s="737"/>
      <c r="J145" s="737"/>
      <c r="K145" s="737"/>
      <c r="L145" s="737"/>
      <c r="M145" s="737"/>
      <c r="N145" s="737"/>
      <c r="O145" s="737"/>
      <c r="P145" s="737"/>
      <c r="Q145" s="737"/>
      <c r="R145" s="737"/>
    </row>
    <row r="146" spans="1:18">
      <c r="A146" s="737"/>
      <c r="B146" s="737"/>
      <c r="C146" s="737"/>
      <c r="D146" s="737"/>
      <c r="E146" s="737"/>
      <c r="F146" s="737"/>
      <c r="G146" s="737"/>
      <c r="H146" s="737"/>
      <c r="I146" s="737"/>
      <c r="J146" s="737"/>
      <c r="K146" s="737"/>
      <c r="L146" s="737"/>
      <c r="M146" s="737"/>
      <c r="N146" s="737"/>
      <c r="O146" s="737"/>
      <c r="P146" s="737"/>
      <c r="Q146" s="737"/>
      <c r="R146" s="737"/>
    </row>
    <row r="147" spans="1:18">
      <c r="A147" s="737"/>
      <c r="B147" s="737"/>
      <c r="C147" s="737"/>
      <c r="D147" s="737"/>
      <c r="E147" s="737"/>
      <c r="F147" s="737"/>
      <c r="G147" s="737"/>
      <c r="H147" s="737"/>
      <c r="I147" s="737"/>
      <c r="J147" s="737"/>
      <c r="K147" s="737"/>
      <c r="L147" s="737"/>
      <c r="M147" s="737"/>
      <c r="N147" s="737"/>
      <c r="O147" s="737"/>
      <c r="P147" s="737"/>
      <c r="Q147" s="737"/>
      <c r="R147" s="737"/>
    </row>
    <row r="148" spans="1:18">
      <c r="A148" s="737"/>
      <c r="B148" s="737"/>
      <c r="C148" s="737"/>
      <c r="D148" s="737"/>
      <c r="E148" s="737"/>
      <c r="F148" s="737"/>
      <c r="G148" s="737"/>
      <c r="H148" s="737"/>
      <c r="I148" s="737"/>
      <c r="J148" s="737"/>
      <c r="K148" s="737"/>
      <c r="L148" s="737"/>
      <c r="M148" s="737"/>
      <c r="N148" s="737"/>
      <c r="O148" s="737"/>
      <c r="P148" s="737"/>
      <c r="Q148" s="737"/>
      <c r="R148" s="737"/>
    </row>
    <row r="149" spans="1:18">
      <c r="A149" s="737"/>
      <c r="B149" s="737"/>
      <c r="C149" s="737"/>
      <c r="D149" s="737"/>
      <c r="E149" s="737"/>
      <c r="F149" s="737"/>
      <c r="G149" s="737"/>
      <c r="H149" s="737"/>
      <c r="I149" s="737"/>
      <c r="J149" s="737"/>
      <c r="K149" s="737"/>
      <c r="L149" s="737"/>
      <c r="M149" s="737"/>
      <c r="N149" s="737"/>
      <c r="O149" s="737"/>
      <c r="P149" s="737"/>
      <c r="Q149" s="737"/>
      <c r="R149" s="737"/>
    </row>
    <row r="150" spans="1:18">
      <c r="A150" s="737"/>
      <c r="B150" s="737"/>
      <c r="C150" s="737"/>
      <c r="D150" s="737"/>
      <c r="E150" s="737"/>
      <c r="F150" s="737"/>
      <c r="G150" s="737"/>
      <c r="H150" s="737"/>
      <c r="I150" s="737"/>
      <c r="J150" s="737"/>
      <c r="K150" s="737"/>
      <c r="L150" s="737"/>
      <c r="M150" s="737"/>
      <c r="N150" s="737"/>
      <c r="O150" s="737"/>
      <c r="P150" s="737"/>
      <c r="Q150" s="737"/>
      <c r="R150" s="737"/>
    </row>
    <row r="151" spans="1:18">
      <c r="A151" s="737"/>
      <c r="B151" s="737"/>
      <c r="C151" s="737"/>
      <c r="D151" s="737"/>
      <c r="E151" s="737"/>
      <c r="F151" s="737"/>
      <c r="G151" s="737"/>
      <c r="H151" s="737"/>
      <c r="I151" s="737"/>
      <c r="J151" s="737"/>
      <c r="K151" s="737"/>
      <c r="L151" s="737"/>
      <c r="M151" s="737"/>
      <c r="N151" s="737"/>
      <c r="O151" s="737"/>
      <c r="P151" s="737"/>
      <c r="Q151" s="737"/>
      <c r="R151" s="737"/>
    </row>
    <row r="152" spans="1:18">
      <c r="A152" s="737"/>
      <c r="B152" s="737"/>
      <c r="C152" s="737"/>
      <c r="D152" s="737"/>
      <c r="E152" s="737"/>
      <c r="F152" s="737"/>
      <c r="G152" s="737"/>
      <c r="H152" s="737"/>
      <c r="I152" s="737"/>
      <c r="J152" s="737"/>
      <c r="K152" s="737"/>
      <c r="L152" s="737"/>
      <c r="M152" s="737"/>
      <c r="N152" s="737"/>
      <c r="O152" s="737"/>
      <c r="P152" s="737"/>
      <c r="Q152" s="737"/>
      <c r="R152" s="737"/>
    </row>
    <row r="153" spans="1:18">
      <c r="A153" s="737"/>
      <c r="B153" s="737"/>
      <c r="C153" s="737"/>
      <c r="D153" s="737"/>
      <c r="E153" s="737"/>
      <c r="F153" s="737"/>
      <c r="G153" s="737"/>
      <c r="H153" s="737"/>
      <c r="I153" s="737"/>
      <c r="J153" s="737"/>
      <c r="K153" s="737"/>
      <c r="L153" s="737"/>
      <c r="M153" s="737"/>
      <c r="N153" s="737"/>
      <c r="O153" s="737"/>
      <c r="P153" s="737"/>
      <c r="Q153" s="737"/>
      <c r="R153" s="737"/>
    </row>
    <row r="154" spans="1:18">
      <c r="A154" s="737"/>
      <c r="B154" s="737"/>
      <c r="C154" s="737"/>
      <c r="D154" s="737"/>
      <c r="E154" s="737"/>
      <c r="F154" s="737"/>
      <c r="G154" s="737"/>
      <c r="H154" s="737"/>
      <c r="I154" s="737"/>
      <c r="J154" s="737"/>
      <c r="K154" s="737"/>
      <c r="L154" s="737"/>
      <c r="M154" s="737"/>
      <c r="N154" s="737"/>
      <c r="O154" s="737"/>
      <c r="P154" s="737"/>
      <c r="Q154" s="737"/>
      <c r="R154" s="737"/>
    </row>
    <row r="155" spans="1:18">
      <c r="A155" s="737"/>
      <c r="B155" s="737"/>
      <c r="C155" s="737"/>
      <c r="D155" s="737"/>
      <c r="E155" s="737"/>
      <c r="F155" s="737"/>
      <c r="G155" s="737"/>
      <c r="H155" s="737"/>
      <c r="I155" s="737"/>
      <c r="J155" s="737"/>
      <c r="K155" s="737"/>
      <c r="L155" s="737"/>
      <c r="M155" s="737"/>
      <c r="N155" s="737"/>
      <c r="O155" s="737"/>
      <c r="P155" s="737"/>
      <c r="Q155" s="737"/>
      <c r="R155" s="737"/>
    </row>
    <row r="156" spans="1:18">
      <c r="A156" s="737"/>
      <c r="B156" s="737"/>
      <c r="C156" s="737"/>
      <c r="D156" s="737"/>
      <c r="E156" s="737"/>
      <c r="F156" s="737"/>
      <c r="G156" s="737"/>
      <c r="H156" s="737"/>
      <c r="I156" s="737"/>
      <c r="J156" s="737"/>
      <c r="K156" s="737"/>
      <c r="L156" s="737"/>
      <c r="M156" s="737"/>
      <c r="N156" s="737"/>
      <c r="O156" s="737"/>
      <c r="P156" s="737"/>
      <c r="Q156" s="737"/>
      <c r="R156" s="737"/>
    </row>
    <row r="157" spans="1:18">
      <c r="A157" s="737"/>
      <c r="B157" s="737"/>
      <c r="C157" s="737"/>
      <c r="D157" s="737"/>
      <c r="E157" s="737"/>
      <c r="F157" s="737"/>
      <c r="G157" s="737"/>
      <c r="H157" s="737"/>
      <c r="I157" s="737"/>
      <c r="J157" s="737"/>
      <c r="K157" s="737"/>
      <c r="L157" s="737"/>
      <c r="M157" s="737"/>
      <c r="N157" s="737"/>
      <c r="O157" s="737"/>
      <c r="P157" s="737"/>
      <c r="Q157" s="737"/>
      <c r="R157" s="737"/>
    </row>
    <row r="158" spans="1:18">
      <c r="A158" s="737"/>
      <c r="B158" s="737"/>
      <c r="C158" s="737"/>
      <c r="D158" s="737"/>
      <c r="E158" s="737"/>
      <c r="F158" s="737"/>
      <c r="G158" s="737"/>
      <c r="H158" s="737"/>
      <c r="I158" s="737"/>
      <c r="J158" s="737"/>
      <c r="K158" s="737"/>
      <c r="L158" s="737"/>
      <c r="M158" s="737"/>
      <c r="N158" s="737"/>
      <c r="O158" s="737"/>
      <c r="P158" s="737"/>
      <c r="Q158" s="737"/>
      <c r="R158" s="737"/>
    </row>
    <row r="159" spans="1:18">
      <c r="A159" s="737"/>
      <c r="B159" s="737"/>
      <c r="C159" s="737"/>
      <c r="D159" s="737"/>
      <c r="E159" s="737"/>
      <c r="F159" s="737"/>
      <c r="G159" s="737"/>
      <c r="H159" s="737"/>
      <c r="I159" s="737"/>
      <c r="J159" s="737"/>
      <c r="K159" s="737"/>
      <c r="L159" s="737"/>
      <c r="M159" s="737"/>
      <c r="N159" s="737"/>
      <c r="O159" s="737"/>
      <c r="P159" s="737"/>
      <c r="Q159" s="737"/>
      <c r="R159" s="737"/>
    </row>
    <row r="160" spans="1:18">
      <c r="A160" s="737"/>
      <c r="B160" s="737"/>
      <c r="C160" s="737"/>
      <c r="D160" s="737"/>
      <c r="E160" s="737"/>
      <c r="F160" s="737"/>
      <c r="G160" s="737"/>
      <c r="H160" s="737"/>
      <c r="I160" s="737"/>
      <c r="J160" s="737"/>
      <c r="K160" s="737"/>
      <c r="L160" s="737"/>
      <c r="M160" s="737"/>
      <c r="N160" s="737"/>
      <c r="O160" s="737"/>
      <c r="P160" s="737"/>
      <c r="Q160" s="737"/>
      <c r="R160" s="737"/>
    </row>
    <row r="161" spans="1:18">
      <c r="A161" s="737"/>
      <c r="B161" s="737"/>
      <c r="C161" s="737"/>
      <c r="D161" s="737"/>
      <c r="E161" s="737"/>
      <c r="F161" s="737"/>
      <c r="G161" s="737"/>
      <c r="H161" s="737"/>
      <c r="I161" s="737"/>
      <c r="J161" s="737"/>
      <c r="K161" s="737"/>
      <c r="L161" s="737"/>
      <c r="M161" s="737"/>
      <c r="N161" s="737"/>
      <c r="O161" s="737"/>
      <c r="P161" s="737"/>
      <c r="Q161" s="737"/>
      <c r="R161" s="737"/>
    </row>
    <row r="162" spans="1:18">
      <c r="A162" s="737"/>
      <c r="B162" s="737"/>
      <c r="C162" s="737"/>
      <c r="D162" s="737"/>
      <c r="E162" s="737"/>
      <c r="F162" s="737"/>
      <c r="G162" s="737"/>
      <c r="H162" s="737"/>
      <c r="I162" s="737"/>
      <c r="J162" s="737"/>
      <c r="K162" s="737"/>
      <c r="L162" s="737"/>
      <c r="M162" s="737"/>
      <c r="N162" s="737"/>
      <c r="O162" s="737"/>
      <c r="P162" s="737"/>
      <c r="Q162" s="737"/>
      <c r="R162" s="737"/>
    </row>
    <row r="163" spans="1:18">
      <c r="A163" s="737"/>
      <c r="B163" s="737"/>
      <c r="C163" s="737"/>
      <c r="D163" s="737"/>
      <c r="E163" s="737"/>
      <c r="F163" s="737"/>
      <c r="G163" s="737"/>
      <c r="H163" s="737"/>
      <c r="I163" s="737"/>
      <c r="J163" s="737"/>
      <c r="K163" s="737"/>
      <c r="L163" s="737"/>
      <c r="M163" s="737"/>
      <c r="N163" s="737"/>
      <c r="O163" s="737"/>
      <c r="P163" s="737"/>
      <c r="Q163" s="737"/>
      <c r="R163" s="737"/>
    </row>
    <row r="164" spans="1:18">
      <c r="A164" s="737"/>
      <c r="B164" s="737"/>
      <c r="C164" s="737"/>
      <c r="D164" s="737"/>
      <c r="E164" s="737"/>
      <c r="F164" s="737"/>
      <c r="G164" s="737"/>
      <c r="H164" s="737"/>
      <c r="I164" s="737"/>
      <c r="J164" s="737"/>
      <c r="K164" s="737"/>
      <c r="L164" s="737"/>
      <c r="M164" s="737"/>
      <c r="N164" s="737"/>
      <c r="O164" s="737"/>
      <c r="P164" s="737"/>
      <c r="Q164" s="737"/>
      <c r="R164" s="737"/>
    </row>
    <row r="165" spans="1:18">
      <c r="A165" s="737"/>
      <c r="B165" s="737"/>
      <c r="C165" s="737"/>
      <c r="D165" s="737"/>
      <c r="E165" s="737"/>
      <c r="F165" s="737"/>
      <c r="G165" s="737"/>
      <c r="H165" s="737"/>
      <c r="I165" s="737"/>
      <c r="J165" s="737"/>
      <c r="K165" s="737"/>
      <c r="L165" s="737"/>
      <c r="M165" s="737"/>
      <c r="N165" s="737"/>
      <c r="O165" s="737"/>
      <c r="P165" s="737"/>
      <c r="Q165" s="737"/>
      <c r="R165" s="737"/>
    </row>
    <row r="166" spans="1:18">
      <c r="A166" s="737"/>
      <c r="B166" s="737"/>
      <c r="C166" s="737"/>
      <c r="D166" s="737"/>
      <c r="E166" s="737"/>
      <c r="F166" s="737"/>
      <c r="G166" s="737"/>
      <c r="H166" s="737"/>
      <c r="I166" s="737"/>
      <c r="J166" s="737"/>
      <c r="K166" s="737"/>
      <c r="L166" s="737"/>
      <c r="M166" s="737"/>
      <c r="N166" s="737"/>
      <c r="O166" s="737"/>
      <c r="P166" s="737"/>
      <c r="Q166" s="737"/>
      <c r="R166" s="737"/>
    </row>
    <row r="167" spans="1:18">
      <c r="A167" s="737"/>
      <c r="B167" s="737"/>
      <c r="C167" s="737"/>
      <c r="D167" s="737"/>
      <c r="E167" s="737"/>
      <c r="F167" s="737"/>
      <c r="G167" s="737"/>
      <c r="H167" s="737"/>
      <c r="I167" s="737"/>
      <c r="J167" s="737"/>
      <c r="K167" s="737"/>
      <c r="L167" s="737"/>
      <c r="M167" s="737"/>
      <c r="N167" s="737"/>
      <c r="O167" s="737"/>
      <c r="P167" s="737"/>
      <c r="Q167" s="737"/>
      <c r="R167" s="737"/>
    </row>
    <row r="168" spans="1:18">
      <c r="A168" s="737"/>
      <c r="B168" s="737"/>
      <c r="C168" s="737"/>
      <c r="D168" s="737"/>
      <c r="E168" s="737"/>
      <c r="F168" s="737"/>
      <c r="G168" s="737"/>
      <c r="H168" s="737"/>
      <c r="I168" s="737"/>
      <c r="J168" s="737"/>
      <c r="K168" s="737"/>
      <c r="L168" s="737"/>
      <c r="M168" s="737"/>
      <c r="N168" s="737"/>
      <c r="O168" s="737"/>
      <c r="P168" s="737"/>
      <c r="Q168" s="737"/>
      <c r="R168" s="737"/>
    </row>
    <row r="169" spans="1:18">
      <c r="A169" s="737"/>
      <c r="B169" s="737"/>
      <c r="C169" s="737"/>
      <c r="D169" s="737"/>
      <c r="E169" s="737"/>
      <c r="F169" s="737"/>
      <c r="G169" s="737"/>
      <c r="H169" s="737"/>
      <c r="I169" s="737"/>
      <c r="J169" s="737"/>
      <c r="K169" s="737"/>
      <c r="L169" s="737"/>
      <c r="M169" s="737"/>
      <c r="N169" s="737"/>
      <c r="O169" s="737"/>
      <c r="P169" s="737"/>
      <c r="Q169" s="737"/>
      <c r="R169" s="737"/>
    </row>
    <row r="170" spans="1:18">
      <c r="A170" s="737"/>
      <c r="B170" s="737"/>
      <c r="C170" s="737"/>
      <c r="D170" s="737"/>
      <c r="E170" s="737"/>
      <c r="F170" s="737"/>
      <c r="G170" s="737"/>
      <c r="H170" s="737"/>
      <c r="I170" s="737"/>
      <c r="J170" s="737"/>
      <c r="K170" s="737"/>
      <c r="L170" s="737"/>
      <c r="M170" s="737"/>
      <c r="N170" s="737"/>
      <c r="O170" s="737"/>
      <c r="P170" s="737"/>
      <c r="Q170" s="737"/>
      <c r="R170" s="737"/>
    </row>
    <row r="171" spans="1:18">
      <c r="A171" s="737"/>
      <c r="B171" s="737"/>
      <c r="C171" s="737"/>
      <c r="D171" s="737"/>
      <c r="E171" s="737"/>
      <c r="F171" s="737"/>
      <c r="G171" s="737"/>
      <c r="H171" s="737"/>
      <c r="I171" s="737"/>
      <c r="J171" s="737"/>
      <c r="K171" s="737"/>
      <c r="L171" s="737"/>
      <c r="M171" s="737"/>
      <c r="N171" s="737"/>
      <c r="O171" s="737"/>
      <c r="P171" s="737"/>
      <c r="Q171" s="737"/>
      <c r="R171" s="737"/>
    </row>
    <row r="172" spans="1:18">
      <c r="A172" s="737"/>
      <c r="B172" s="737"/>
      <c r="C172" s="737"/>
      <c r="D172" s="737"/>
      <c r="E172" s="737"/>
      <c r="F172" s="737"/>
      <c r="G172" s="737"/>
      <c r="H172" s="737"/>
      <c r="I172" s="737"/>
      <c r="J172" s="737"/>
      <c r="K172" s="737"/>
      <c r="L172" s="737"/>
      <c r="M172" s="737"/>
      <c r="N172" s="737"/>
      <c r="O172" s="737"/>
      <c r="P172" s="737"/>
      <c r="Q172" s="737"/>
      <c r="R172" s="737"/>
    </row>
    <row r="173" spans="1:18">
      <c r="A173" s="737"/>
      <c r="B173" s="737"/>
      <c r="C173" s="737"/>
      <c r="D173" s="737"/>
      <c r="E173" s="737"/>
      <c r="F173" s="737"/>
      <c r="G173" s="737"/>
      <c r="H173" s="737"/>
      <c r="I173" s="737"/>
      <c r="J173" s="737"/>
      <c r="K173" s="737"/>
      <c r="L173" s="737"/>
      <c r="M173" s="737"/>
      <c r="N173" s="737"/>
      <c r="O173" s="737"/>
      <c r="P173" s="737"/>
      <c r="Q173" s="737"/>
      <c r="R173" s="737"/>
    </row>
    <row r="174" spans="1:18">
      <c r="A174" s="737"/>
      <c r="B174" s="737"/>
      <c r="C174" s="737"/>
      <c r="D174" s="737"/>
      <c r="E174" s="737"/>
      <c r="F174" s="737"/>
      <c r="G174" s="737"/>
      <c r="H174" s="737"/>
      <c r="I174" s="737"/>
      <c r="J174" s="737"/>
      <c r="K174" s="737"/>
      <c r="L174" s="737"/>
      <c r="M174" s="737"/>
      <c r="N174" s="737"/>
      <c r="O174" s="737"/>
      <c r="P174" s="737"/>
      <c r="Q174" s="737"/>
      <c r="R174" s="737"/>
    </row>
    <row r="175" spans="1:18">
      <c r="A175" s="737"/>
      <c r="B175" s="737"/>
      <c r="C175" s="737"/>
      <c r="D175" s="737"/>
      <c r="E175" s="737"/>
      <c r="F175" s="737"/>
      <c r="G175" s="737"/>
      <c r="H175" s="737"/>
      <c r="I175" s="737"/>
      <c r="J175" s="737"/>
      <c r="K175" s="737"/>
      <c r="L175" s="737"/>
      <c r="M175" s="737"/>
      <c r="N175" s="737"/>
      <c r="O175" s="737"/>
      <c r="P175" s="737"/>
      <c r="Q175" s="737"/>
      <c r="R175" s="737"/>
    </row>
    <row r="176" spans="1:18">
      <c r="A176" s="737"/>
      <c r="B176" s="737"/>
      <c r="C176" s="737"/>
      <c r="D176" s="737"/>
      <c r="E176" s="737"/>
      <c r="F176" s="737"/>
      <c r="G176" s="737"/>
      <c r="H176" s="737"/>
      <c r="I176" s="737"/>
      <c r="J176" s="737"/>
      <c r="K176" s="737"/>
      <c r="L176" s="737"/>
      <c r="M176" s="737"/>
      <c r="N176" s="737"/>
      <c r="O176" s="737"/>
      <c r="P176" s="737"/>
      <c r="Q176" s="737"/>
      <c r="R176" s="737"/>
    </row>
    <row r="177" spans="1:18">
      <c r="A177" s="737"/>
      <c r="B177" s="737"/>
      <c r="C177" s="737"/>
      <c r="D177" s="737"/>
      <c r="E177" s="737"/>
      <c r="F177" s="737"/>
      <c r="G177" s="737"/>
      <c r="H177" s="737"/>
      <c r="I177" s="737"/>
      <c r="J177" s="737"/>
      <c r="K177" s="737"/>
      <c r="L177" s="737"/>
      <c r="M177" s="737"/>
      <c r="N177" s="737"/>
      <c r="O177" s="737"/>
      <c r="P177" s="737"/>
      <c r="Q177" s="737"/>
      <c r="R177" s="737"/>
    </row>
    <row r="178" spans="1:18">
      <c r="A178" s="737"/>
      <c r="B178" s="737"/>
      <c r="C178" s="737"/>
      <c r="D178" s="737"/>
      <c r="E178" s="737"/>
      <c r="F178" s="737"/>
      <c r="G178" s="737"/>
      <c r="H178" s="737"/>
      <c r="I178" s="737"/>
      <c r="J178" s="737"/>
      <c r="K178" s="737"/>
      <c r="L178" s="737"/>
      <c r="M178" s="737"/>
      <c r="N178" s="737"/>
      <c r="O178" s="737"/>
      <c r="P178" s="737"/>
      <c r="Q178" s="737"/>
      <c r="R178" s="737"/>
    </row>
    <row r="179" spans="1:18">
      <c r="A179" s="737"/>
      <c r="B179" s="737"/>
      <c r="C179" s="737"/>
      <c r="D179" s="737"/>
      <c r="E179" s="737"/>
      <c r="F179" s="737"/>
      <c r="G179" s="737"/>
      <c r="H179" s="737"/>
      <c r="I179" s="737"/>
      <c r="J179" s="737"/>
      <c r="K179" s="737"/>
      <c r="L179" s="737"/>
      <c r="M179" s="737"/>
      <c r="N179" s="737"/>
      <c r="O179" s="737"/>
      <c r="P179" s="737"/>
      <c r="Q179" s="737"/>
      <c r="R179" s="737"/>
    </row>
    <row r="180" spans="1:18">
      <c r="A180" s="737"/>
      <c r="B180" s="737"/>
      <c r="C180" s="737"/>
      <c r="D180" s="737"/>
      <c r="E180" s="737"/>
      <c r="F180" s="737"/>
      <c r="G180" s="737"/>
      <c r="H180" s="737"/>
      <c r="I180" s="737"/>
      <c r="J180" s="737"/>
      <c r="K180" s="737"/>
      <c r="L180" s="737"/>
      <c r="M180" s="737"/>
      <c r="N180" s="737"/>
      <c r="O180" s="737"/>
      <c r="P180" s="737"/>
      <c r="Q180" s="737"/>
      <c r="R180" s="737"/>
    </row>
    <row r="181" spans="1:18">
      <c r="A181" s="737"/>
      <c r="B181" s="737"/>
      <c r="C181" s="737"/>
      <c r="D181" s="737"/>
      <c r="E181" s="737"/>
      <c r="F181" s="737"/>
      <c r="G181" s="737"/>
      <c r="H181" s="737"/>
      <c r="I181" s="737"/>
      <c r="J181" s="737"/>
      <c r="K181" s="737"/>
      <c r="L181" s="737"/>
      <c r="M181" s="737"/>
      <c r="N181" s="737"/>
      <c r="O181" s="737"/>
      <c r="P181" s="737"/>
      <c r="Q181" s="737"/>
      <c r="R181" s="737"/>
    </row>
    <row r="182" spans="1:18">
      <c r="A182" s="737"/>
      <c r="B182" s="737"/>
      <c r="C182" s="737"/>
      <c r="D182" s="737"/>
      <c r="E182" s="737"/>
      <c r="F182" s="737"/>
      <c r="G182" s="737"/>
      <c r="H182" s="737"/>
      <c r="I182" s="737"/>
      <c r="J182" s="737"/>
      <c r="K182" s="737"/>
      <c r="L182" s="737"/>
      <c r="M182" s="737"/>
      <c r="N182" s="737"/>
      <c r="O182" s="737"/>
      <c r="P182" s="737"/>
      <c r="Q182" s="737"/>
      <c r="R182" s="737"/>
    </row>
    <row r="183" spans="1:18">
      <c r="A183" s="737"/>
      <c r="B183" s="737"/>
      <c r="C183" s="737"/>
      <c r="D183" s="737"/>
      <c r="E183" s="737"/>
      <c r="F183" s="737"/>
      <c r="G183" s="737"/>
      <c r="H183" s="737"/>
      <c r="I183" s="737"/>
      <c r="J183" s="737"/>
      <c r="K183" s="737"/>
      <c r="L183" s="737"/>
      <c r="M183" s="737"/>
      <c r="N183" s="737"/>
      <c r="O183" s="737"/>
      <c r="P183" s="737"/>
      <c r="Q183" s="737"/>
      <c r="R183" s="737"/>
    </row>
    <row r="184" spans="1:18">
      <c r="A184" s="737"/>
      <c r="B184" s="737"/>
      <c r="C184" s="737"/>
      <c r="D184" s="737"/>
      <c r="E184" s="737"/>
      <c r="F184" s="737"/>
      <c r="G184" s="737"/>
      <c r="H184" s="737"/>
      <c r="I184" s="737"/>
      <c r="J184" s="737"/>
      <c r="K184" s="737"/>
      <c r="L184" s="737"/>
      <c r="M184" s="737"/>
      <c r="N184" s="737"/>
      <c r="O184" s="737"/>
      <c r="P184" s="737"/>
      <c r="Q184" s="737"/>
      <c r="R184" s="737"/>
    </row>
    <row r="185" spans="1:18">
      <c r="A185" s="737"/>
      <c r="B185" s="737"/>
      <c r="C185" s="737"/>
      <c r="D185" s="737"/>
      <c r="E185" s="737"/>
      <c r="F185" s="737"/>
      <c r="G185" s="737"/>
      <c r="H185" s="737"/>
      <c r="I185" s="737"/>
      <c r="J185" s="737"/>
      <c r="K185" s="737"/>
      <c r="L185" s="737"/>
      <c r="M185" s="737"/>
      <c r="N185" s="737"/>
      <c r="O185" s="737"/>
      <c r="P185" s="737"/>
      <c r="Q185" s="737"/>
      <c r="R185" s="737"/>
    </row>
    <row r="186" spans="1:18">
      <c r="A186" s="737"/>
      <c r="B186" s="737"/>
      <c r="C186" s="737"/>
      <c r="D186" s="737"/>
      <c r="E186" s="737"/>
      <c r="F186" s="737"/>
      <c r="G186" s="737"/>
      <c r="H186" s="737"/>
      <c r="I186" s="737"/>
      <c r="J186" s="737"/>
      <c r="K186" s="737"/>
      <c r="L186" s="737"/>
      <c r="M186" s="737"/>
      <c r="N186" s="737"/>
      <c r="O186" s="737"/>
      <c r="P186" s="737"/>
      <c r="Q186" s="737"/>
      <c r="R186" s="737"/>
    </row>
    <row r="187" spans="1:18">
      <c r="A187" s="737"/>
      <c r="B187" s="737"/>
      <c r="C187" s="737"/>
      <c r="D187" s="737"/>
      <c r="E187" s="737"/>
      <c r="F187" s="737"/>
      <c r="G187" s="737"/>
      <c r="H187" s="737"/>
      <c r="I187" s="737"/>
      <c r="J187" s="737"/>
      <c r="K187" s="737"/>
      <c r="L187" s="737"/>
      <c r="M187" s="737"/>
      <c r="N187" s="737"/>
      <c r="O187" s="737"/>
      <c r="P187" s="737"/>
      <c r="Q187" s="737"/>
      <c r="R187" s="737"/>
    </row>
    <row r="188" spans="1:18">
      <c r="A188" s="737"/>
      <c r="B188" s="737"/>
      <c r="C188" s="737"/>
      <c r="D188" s="737"/>
      <c r="E188" s="737"/>
      <c r="F188" s="737"/>
      <c r="G188" s="737"/>
      <c r="H188" s="737"/>
      <c r="I188" s="737"/>
      <c r="J188" s="737"/>
      <c r="K188" s="737"/>
      <c r="L188" s="737"/>
      <c r="M188" s="737"/>
      <c r="N188" s="737"/>
      <c r="O188" s="737"/>
      <c r="P188" s="737"/>
      <c r="Q188" s="737"/>
      <c r="R188" s="737"/>
    </row>
    <row r="189" spans="1:18">
      <c r="A189" s="737"/>
      <c r="B189" s="737"/>
      <c r="C189" s="737"/>
      <c r="D189" s="737"/>
      <c r="E189" s="737"/>
      <c r="F189" s="737"/>
      <c r="G189" s="737"/>
      <c r="H189" s="737"/>
      <c r="I189" s="737"/>
      <c r="J189" s="737"/>
      <c r="K189" s="737"/>
      <c r="L189" s="737"/>
      <c r="M189" s="737"/>
      <c r="N189" s="737"/>
      <c r="O189" s="737"/>
      <c r="P189" s="737"/>
      <c r="Q189" s="737"/>
      <c r="R189" s="737"/>
    </row>
    <row r="190" spans="1:18">
      <c r="A190" s="737"/>
      <c r="B190" s="737"/>
      <c r="C190" s="737"/>
      <c r="D190" s="737"/>
      <c r="E190" s="737"/>
      <c r="F190" s="737"/>
      <c r="G190" s="737"/>
      <c r="H190" s="737"/>
      <c r="I190" s="737"/>
      <c r="J190" s="737"/>
      <c r="K190" s="737"/>
      <c r="L190" s="737"/>
      <c r="M190" s="737"/>
      <c r="N190" s="737"/>
      <c r="O190" s="737"/>
      <c r="P190" s="737"/>
      <c r="Q190" s="737"/>
      <c r="R190" s="737"/>
    </row>
    <row r="191" spans="1:18">
      <c r="A191" s="737"/>
      <c r="B191" s="737"/>
      <c r="C191" s="737"/>
      <c r="D191" s="737"/>
      <c r="E191" s="737"/>
      <c r="F191" s="737"/>
      <c r="G191" s="737"/>
      <c r="H191" s="737"/>
      <c r="I191" s="737"/>
      <c r="J191" s="737"/>
      <c r="K191" s="737"/>
      <c r="L191" s="737"/>
      <c r="M191" s="737"/>
      <c r="N191" s="737"/>
      <c r="O191" s="737"/>
      <c r="P191" s="737"/>
      <c r="Q191" s="737"/>
      <c r="R191" s="737"/>
    </row>
    <row r="192" spans="1:18">
      <c r="A192" s="737"/>
      <c r="B192" s="737"/>
      <c r="C192" s="737"/>
      <c r="D192" s="737"/>
      <c r="E192" s="737"/>
      <c r="F192" s="737"/>
      <c r="G192" s="737"/>
      <c r="H192" s="737"/>
      <c r="I192" s="737"/>
      <c r="J192" s="737"/>
      <c r="K192" s="737"/>
      <c r="L192" s="737"/>
      <c r="M192" s="737"/>
      <c r="N192" s="737"/>
      <c r="O192" s="737"/>
      <c r="P192" s="737"/>
      <c r="Q192" s="737"/>
      <c r="R192" s="737"/>
    </row>
    <row r="193" spans="1:18">
      <c r="A193" s="737"/>
      <c r="B193" s="737"/>
      <c r="C193" s="737"/>
      <c r="D193" s="737"/>
      <c r="E193" s="737"/>
      <c r="F193" s="737"/>
      <c r="G193" s="737"/>
      <c r="H193" s="737"/>
      <c r="I193" s="737"/>
      <c r="J193" s="737"/>
      <c r="K193" s="737"/>
      <c r="L193" s="737"/>
      <c r="M193" s="737"/>
      <c r="N193" s="737"/>
      <c r="O193" s="737"/>
      <c r="P193" s="737"/>
      <c r="Q193" s="737"/>
      <c r="R193" s="737"/>
    </row>
    <row r="194" spans="1:18">
      <c r="A194" s="737"/>
      <c r="B194" s="737"/>
      <c r="C194" s="737"/>
      <c r="D194" s="737"/>
      <c r="E194" s="737"/>
      <c r="F194" s="737"/>
      <c r="G194" s="737"/>
      <c r="H194" s="737"/>
      <c r="I194" s="737"/>
      <c r="J194" s="737"/>
      <c r="K194" s="737"/>
      <c r="L194" s="737"/>
      <c r="M194" s="737"/>
      <c r="N194" s="737"/>
      <c r="O194" s="737"/>
      <c r="P194" s="737"/>
      <c r="Q194" s="737"/>
      <c r="R194" s="737"/>
    </row>
    <row r="195" spans="1:18">
      <c r="A195" s="737"/>
      <c r="B195" s="737"/>
      <c r="C195" s="737"/>
      <c r="D195" s="737"/>
      <c r="E195" s="737"/>
      <c r="F195" s="737"/>
      <c r="G195" s="737"/>
      <c r="H195" s="737"/>
      <c r="I195" s="737"/>
      <c r="J195" s="737"/>
      <c r="K195" s="737"/>
      <c r="L195" s="737"/>
      <c r="M195" s="737"/>
      <c r="N195" s="737"/>
      <c r="O195" s="737"/>
      <c r="P195" s="737"/>
      <c r="Q195" s="737"/>
      <c r="R195" s="737"/>
    </row>
    <row r="196" spans="1:18">
      <c r="A196" s="737"/>
      <c r="B196" s="737"/>
      <c r="C196" s="737"/>
      <c r="D196" s="737"/>
      <c r="E196" s="737"/>
      <c r="F196" s="737"/>
      <c r="G196" s="737"/>
      <c r="H196" s="737"/>
      <c r="I196" s="737"/>
      <c r="J196" s="737"/>
      <c r="K196" s="737"/>
      <c r="L196" s="737"/>
      <c r="M196" s="737"/>
      <c r="N196" s="737"/>
      <c r="O196" s="737"/>
      <c r="P196" s="737"/>
      <c r="Q196" s="737"/>
      <c r="R196" s="737"/>
    </row>
    <row r="197" spans="1:18">
      <c r="A197" s="737"/>
      <c r="B197" s="737"/>
      <c r="C197" s="737"/>
      <c r="D197" s="737"/>
      <c r="E197" s="737"/>
      <c r="F197" s="737"/>
      <c r="G197" s="737"/>
      <c r="H197" s="737"/>
      <c r="I197" s="737"/>
      <c r="J197" s="737"/>
      <c r="K197" s="737"/>
      <c r="L197" s="737"/>
      <c r="M197" s="737"/>
      <c r="N197" s="737"/>
      <c r="O197" s="737"/>
      <c r="P197" s="737"/>
      <c r="Q197" s="737"/>
      <c r="R197" s="737"/>
    </row>
    <row r="198" spans="1:18">
      <c r="A198" s="737"/>
      <c r="B198" s="737"/>
      <c r="C198" s="737"/>
      <c r="D198" s="737"/>
      <c r="E198" s="737"/>
      <c r="F198" s="737"/>
      <c r="G198" s="737"/>
      <c r="H198" s="737"/>
      <c r="I198" s="737"/>
      <c r="J198" s="737"/>
      <c r="K198" s="737"/>
      <c r="L198" s="737"/>
      <c r="M198" s="737"/>
      <c r="N198" s="737"/>
      <c r="O198" s="737"/>
      <c r="P198" s="737"/>
      <c r="Q198" s="737"/>
      <c r="R198" s="737"/>
    </row>
    <row r="199" spans="1:18">
      <c r="A199" s="737"/>
      <c r="B199" s="737"/>
      <c r="C199" s="737"/>
      <c r="D199" s="737"/>
      <c r="E199" s="737"/>
      <c r="F199" s="737"/>
      <c r="G199" s="737"/>
      <c r="H199" s="737"/>
      <c r="I199" s="737"/>
      <c r="J199" s="737"/>
      <c r="K199" s="737"/>
      <c r="L199" s="737"/>
      <c r="M199" s="737"/>
      <c r="N199" s="737"/>
      <c r="O199" s="737"/>
      <c r="P199" s="737"/>
      <c r="Q199" s="737"/>
      <c r="R199" s="737"/>
    </row>
    <row r="200" spans="1:18">
      <c r="A200" s="737"/>
      <c r="B200" s="737"/>
      <c r="C200" s="737"/>
      <c r="D200" s="737"/>
      <c r="E200" s="737"/>
      <c r="F200" s="737"/>
      <c r="G200" s="737"/>
      <c r="H200" s="737"/>
      <c r="I200" s="737"/>
      <c r="J200" s="737"/>
      <c r="K200" s="737"/>
      <c r="L200" s="737"/>
      <c r="M200" s="737"/>
      <c r="N200" s="737"/>
      <c r="O200" s="737"/>
      <c r="P200" s="737"/>
      <c r="Q200" s="737"/>
      <c r="R200" s="737"/>
    </row>
    <row r="201" spans="1:18">
      <c r="A201" s="737"/>
      <c r="B201" s="737"/>
      <c r="C201" s="737"/>
      <c r="D201" s="737"/>
      <c r="E201" s="737"/>
      <c r="F201" s="737"/>
      <c r="G201" s="737"/>
      <c r="H201" s="737"/>
      <c r="I201" s="737"/>
      <c r="J201" s="737"/>
      <c r="K201" s="737"/>
      <c r="L201" s="737"/>
      <c r="M201" s="737"/>
      <c r="N201" s="737"/>
      <c r="O201" s="737"/>
      <c r="P201" s="737"/>
      <c r="Q201" s="737"/>
      <c r="R201" s="737"/>
    </row>
    <row r="202" spans="1:18">
      <c r="A202" s="737"/>
      <c r="B202" s="737"/>
      <c r="C202" s="737"/>
      <c r="D202" s="737"/>
      <c r="E202" s="737"/>
      <c r="F202" s="737"/>
      <c r="G202" s="737"/>
      <c r="H202" s="737"/>
      <c r="I202" s="737"/>
      <c r="J202" s="737"/>
      <c r="K202" s="737"/>
      <c r="L202" s="737"/>
      <c r="M202" s="737"/>
      <c r="N202" s="737"/>
      <c r="O202" s="737"/>
      <c r="P202" s="737"/>
      <c r="Q202" s="737"/>
      <c r="R202" s="737"/>
    </row>
    <row r="203" spans="1:18">
      <c r="A203" s="737"/>
      <c r="B203" s="737"/>
      <c r="C203" s="737"/>
      <c r="D203" s="737"/>
      <c r="E203" s="737"/>
      <c r="F203" s="737"/>
      <c r="G203" s="737"/>
      <c r="H203" s="737"/>
      <c r="I203" s="737"/>
      <c r="J203" s="737"/>
      <c r="K203" s="737"/>
      <c r="L203" s="737"/>
      <c r="M203" s="737"/>
      <c r="N203" s="737"/>
      <c r="O203" s="737"/>
      <c r="P203" s="737"/>
      <c r="Q203" s="737"/>
      <c r="R203" s="737"/>
    </row>
    <row r="204" spans="1:18">
      <c r="A204" s="737"/>
      <c r="B204" s="737"/>
      <c r="C204" s="737"/>
      <c r="D204" s="737"/>
      <c r="E204" s="737"/>
      <c r="F204" s="737"/>
      <c r="G204" s="737"/>
      <c r="H204" s="737"/>
      <c r="I204" s="737"/>
      <c r="J204" s="737"/>
      <c r="K204" s="737"/>
      <c r="L204" s="737"/>
      <c r="M204" s="737"/>
      <c r="N204" s="737"/>
      <c r="O204" s="737"/>
      <c r="P204" s="737"/>
      <c r="Q204" s="737"/>
      <c r="R204" s="737"/>
    </row>
    <row r="205" spans="1:18">
      <c r="A205" s="737"/>
      <c r="B205" s="737"/>
      <c r="C205" s="737"/>
      <c r="D205" s="737"/>
      <c r="E205" s="737"/>
      <c r="F205" s="737"/>
      <c r="G205" s="737"/>
      <c r="H205" s="737"/>
      <c r="I205" s="737"/>
      <c r="J205" s="737"/>
      <c r="K205" s="737"/>
      <c r="L205" s="737"/>
      <c r="M205" s="737"/>
      <c r="N205" s="737"/>
      <c r="O205" s="737"/>
      <c r="P205" s="737"/>
      <c r="Q205" s="737"/>
      <c r="R205" s="737"/>
    </row>
    <row r="206" spans="1:18">
      <c r="A206" s="737"/>
      <c r="B206" s="737"/>
      <c r="C206" s="737"/>
      <c r="D206" s="737"/>
      <c r="E206" s="737"/>
      <c r="F206" s="737"/>
      <c r="G206" s="737"/>
      <c r="H206" s="737"/>
      <c r="I206" s="737"/>
      <c r="J206" s="737"/>
      <c r="K206" s="737"/>
      <c r="L206" s="737"/>
      <c r="M206" s="737"/>
      <c r="N206" s="737"/>
      <c r="O206" s="737"/>
      <c r="P206" s="737"/>
      <c r="Q206" s="737"/>
      <c r="R206" s="737"/>
    </row>
    <row r="207" spans="1:18">
      <c r="A207" s="737"/>
      <c r="B207" s="737"/>
      <c r="C207" s="737"/>
      <c r="D207" s="737"/>
      <c r="E207" s="737"/>
      <c r="F207" s="737"/>
      <c r="G207" s="737"/>
      <c r="H207" s="737"/>
      <c r="I207" s="737"/>
      <c r="J207" s="737"/>
      <c r="K207" s="737"/>
      <c r="L207" s="737"/>
      <c r="M207" s="737"/>
      <c r="N207" s="737"/>
      <c r="O207" s="737"/>
      <c r="P207" s="737"/>
      <c r="Q207" s="737"/>
      <c r="R207" s="737"/>
    </row>
    <row r="208" spans="1:18">
      <c r="A208" s="737"/>
      <c r="B208" s="737"/>
      <c r="C208" s="737"/>
      <c r="D208" s="737"/>
      <c r="E208" s="737"/>
      <c r="F208" s="737"/>
      <c r="G208" s="737"/>
      <c r="H208" s="737"/>
      <c r="I208" s="737"/>
      <c r="J208" s="737"/>
      <c r="K208" s="737"/>
      <c r="L208" s="737"/>
      <c r="M208" s="737"/>
      <c r="N208" s="737"/>
      <c r="O208" s="737"/>
      <c r="P208" s="737"/>
      <c r="Q208" s="737"/>
      <c r="R208" s="737"/>
    </row>
    <row r="209" spans="1:18">
      <c r="A209" s="737"/>
      <c r="B209" s="737"/>
      <c r="C209" s="737"/>
      <c r="D209" s="737"/>
      <c r="E209" s="737"/>
      <c r="F209" s="737"/>
      <c r="G209" s="737"/>
      <c r="H209" s="737"/>
      <c r="I209" s="737"/>
      <c r="J209" s="737"/>
      <c r="K209" s="737"/>
      <c r="L209" s="737"/>
      <c r="M209" s="737"/>
      <c r="N209" s="737"/>
      <c r="O209" s="737"/>
      <c r="P209" s="737"/>
      <c r="Q209" s="737"/>
      <c r="R209" s="737"/>
    </row>
    <row r="210" spans="1:18">
      <c r="A210" s="737"/>
      <c r="B210" s="737"/>
      <c r="C210" s="737"/>
      <c r="D210" s="737"/>
      <c r="E210" s="737"/>
      <c r="F210" s="737"/>
      <c r="G210" s="737"/>
      <c r="H210" s="737"/>
      <c r="I210" s="737"/>
      <c r="J210" s="737"/>
      <c r="K210" s="737"/>
      <c r="L210" s="737"/>
      <c r="M210" s="737"/>
      <c r="N210" s="737"/>
      <c r="O210" s="737"/>
      <c r="P210" s="737"/>
      <c r="Q210" s="737"/>
      <c r="R210" s="737"/>
    </row>
    <row r="211" spans="1:18">
      <c r="A211" s="737"/>
      <c r="B211" s="737"/>
      <c r="C211" s="737"/>
      <c r="D211" s="737"/>
      <c r="E211" s="737"/>
      <c r="F211" s="737"/>
      <c r="G211" s="737"/>
      <c r="H211" s="737"/>
      <c r="I211" s="737"/>
      <c r="J211" s="737"/>
      <c r="K211" s="737"/>
      <c r="L211" s="737"/>
      <c r="M211" s="737"/>
      <c r="N211" s="737"/>
      <c r="O211" s="737"/>
      <c r="P211" s="737"/>
      <c r="Q211" s="737"/>
      <c r="R211" s="737"/>
    </row>
    <row r="212" spans="1:18">
      <c r="A212" s="737"/>
      <c r="B212" s="737"/>
      <c r="C212" s="737"/>
      <c r="D212" s="737"/>
      <c r="E212" s="737"/>
      <c r="F212" s="737"/>
      <c r="G212" s="737"/>
      <c r="H212" s="737"/>
      <c r="I212" s="737"/>
      <c r="J212" s="737"/>
      <c r="K212" s="737"/>
      <c r="L212" s="737"/>
      <c r="M212" s="737"/>
      <c r="N212" s="737"/>
      <c r="O212" s="737"/>
      <c r="P212" s="737"/>
      <c r="Q212" s="737"/>
      <c r="R212" s="737"/>
    </row>
    <row r="213" spans="1:18">
      <c r="A213" s="737"/>
      <c r="B213" s="737"/>
      <c r="C213" s="737"/>
      <c r="D213" s="737"/>
      <c r="E213" s="737"/>
      <c r="F213" s="737"/>
      <c r="G213" s="737"/>
      <c r="H213" s="737"/>
      <c r="I213" s="737"/>
      <c r="J213" s="737"/>
      <c r="K213" s="737"/>
      <c r="L213" s="737"/>
      <c r="M213" s="737"/>
      <c r="N213" s="737"/>
      <c r="O213" s="737"/>
      <c r="P213" s="737"/>
      <c r="Q213" s="737"/>
      <c r="R213" s="737"/>
    </row>
    <row r="214" spans="1:18">
      <c r="A214" s="737"/>
      <c r="B214" s="737"/>
      <c r="C214" s="737"/>
      <c r="D214" s="737"/>
      <c r="E214" s="737"/>
      <c r="F214" s="737"/>
      <c r="G214" s="737"/>
      <c r="H214" s="737"/>
      <c r="I214" s="737"/>
      <c r="J214" s="737"/>
      <c r="K214" s="737"/>
      <c r="L214" s="737"/>
      <c r="M214" s="737"/>
      <c r="N214" s="737"/>
      <c r="O214" s="737"/>
      <c r="P214" s="737"/>
      <c r="Q214" s="737"/>
      <c r="R214" s="737"/>
    </row>
    <row r="215" spans="1:18">
      <c r="A215" s="737"/>
      <c r="B215" s="737"/>
      <c r="C215" s="737"/>
      <c r="D215" s="737"/>
      <c r="E215" s="737"/>
      <c r="F215" s="737"/>
      <c r="G215" s="737"/>
      <c r="H215" s="737"/>
      <c r="I215" s="737"/>
      <c r="J215" s="737"/>
      <c r="K215" s="737"/>
      <c r="L215" s="737"/>
      <c r="M215" s="737"/>
      <c r="N215" s="737"/>
      <c r="O215" s="737"/>
      <c r="P215" s="737"/>
      <c r="Q215" s="737"/>
      <c r="R215" s="737"/>
    </row>
    <row r="216" spans="1:18">
      <c r="A216" s="737"/>
      <c r="B216" s="737"/>
      <c r="C216" s="737"/>
      <c r="D216" s="737"/>
      <c r="E216" s="737"/>
      <c r="F216" s="737"/>
      <c r="G216" s="737"/>
      <c r="H216" s="737"/>
      <c r="I216" s="737"/>
      <c r="J216" s="737"/>
      <c r="K216" s="737"/>
      <c r="L216" s="737"/>
      <c r="M216" s="737"/>
      <c r="N216" s="737"/>
      <c r="O216" s="737"/>
      <c r="P216" s="737"/>
      <c r="Q216" s="737"/>
      <c r="R216" s="737"/>
    </row>
    <row r="217" spans="1:18">
      <c r="A217" s="737"/>
      <c r="B217" s="737"/>
      <c r="C217" s="737"/>
      <c r="D217" s="737"/>
      <c r="E217" s="737"/>
      <c r="F217" s="737"/>
      <c r="G217" s="737"/>
      <c r="H217" s="737"/>
      <c r="I217" s="737"/>
      <c r="J217" s="737"/>
      <c r="K217" s="737"/>
      <c r="L217" s="737"/>
      <c r="M217" s="737"/>
      <c r="N217" s="737"/>
      <c r="O217" s="737"/>
      <c r="P217" s="737"/>
      <c r="Q217" s="737"/>
      <c r="R217" s="737"/>
    </row>
    <row r="218" spans="1:18">
      <c r="A218" s="737"/>
      <c r="B218" s="737"/>
      <c r="C218" s="737"/>
      <c r="D218" s="737"/>
      <c r="E218" s="737"/>
      <c r="F218" s="737"/>
      <c r="G218" s="737"/>
      <c r="H218" s="737"/>
      <c r="I218" s="737"/>
      <c r="J218" s="737"/>
      <c r="K218" s="737"/>
      <c r="L218" s="737"/>
      <c r="M218" s="737"/>
      <c r="N218" s="737"/>
      <c r="O218" s="737"/>
      <c r="P218" s="737"/>
      <c r="Q218" s="737"/>
      <c r="R218" s="737"/>
    </row>
    <row r="219" spans="1:18">
      <c r="A219" s="737"/>
      <c r="B219" s="737"/>
      <c r="C219" s="737"/>
      <c r="D219" s="737"/>
      <c r="E219" s="737"/>
      <c r="F219" s="737"/>
      <c r="G219" s="737"/>
      <c r="H219" s="737"/>
      <c r="I219" s="737"/>
      <c r="J219" s="737"/>
      <c r="K219" s="737"/>
      <c r="L219" s="737"/>
      <c r="M219" s="737"/>
      <c r="N219" s="737"/>
      <c r="O219" s="737"/>
      <c r="P219" s="737"/>
      <c r="Q219" s="737"/>
      <c r="R219" s="737"/>
    </row>
    <row r="220" spans="1:18">
      <c r="A220" s="737"/>
      <c r="B220" s="737"/>
      <c r="C220" s="737"/>
      <c r="D220" s="737"/>
      <c r="E220" s="737"/>
      <c r="F220" s="737"/>
      <c r="G220" s="737"/>
      <c r="H220" s="737"/>
      <c r="I220" s="737"/>
      <c r="J220" s="737"/>
      <c r="K220" s="737"/>
      <c r="L220" s="737"/>
      <c r="M220" s="737"/>
      <c r="N220" s="737"/>
      <c r="O220" s="737"/>
      <c r="P220" s="737"/>
      <c r="Q220" s="737"/>
      <c r="R220" s="737"/>
    </row>
    <row r="221" spans="1:18">
      <c r="A221" s="737"/>
      <c r="B221" s="737"/>
      <c r="C221" s="737"/>
      <c r="D221" s="737"/>
      <c r="E221" s="737"/>
      <c r="F221" s="737"/>
      <c r="G221" s="737"/>
      <c r="H221" s="737"/>
      <c r="I221" s="737"/>
      <c r="J221" s="737"/>
      <c r="K221" s="737"/>
      <c r="L221" s="737"/>
      <c r="M221" s="737"/>
      <c r="N221" s="737"/>
      <c r="O221" s="737"/>
      <c r="P221" s="737"/>
      <c r="Q221" s="737"/>
      <c r="R221" s="737"/>
    </row>
    <row r="222" spans="1:18">
      <c r="A222" s="737"/>
      <c r="B222" s="737"/>
      <c r="C222" s="737"/>
      <c r="D222" s="737"/>
      <c r="E222" s="737"/>
      <c r="F222" s="737"/>
      <c r="G222" s="737"/>
      <c r="H222" s="737"/>
      <c r="I222" s="737"/>
      <c r="J222" s="737"/>
      <c r="K222" s="737"/>
      <c r="L222" s="737"/>
      <c r="M222" s="737"/>
      <c r="N222" s="737"/>
      <c r="O222" s="737"/>
      <c r="P222" s="737"/>
      <c r="Q222" s="737"/>
      <c r="R222" s="737"/>
    </row>
    <row r="223" spans="1:18">
      <c r="A223" s="737"/>
      <c r="B223" s="737"/>
      <c r="C223" s="737"/>
      <c r="D223" s="737"/>
      <c r="E223" s="737"/>
      <c r="F223" s="737"/>
      <c r="G223" s="737"/>
      <c r="H223" s="737"/>
      <c r="I223" s="737"/>
      <c r="J223" s="737"/>
      <c r="K223" s="737"/>
      <c r="L223" s="737"/>
      <c r="M223" s="737"/>
      <c r="N223" s="737"/>
      <c r="O223" s="737"/>
      <c r="P223" s="737"/>
      <c r="Q223" s="737"/>
      <c r="R223" s="737"/>
    </row>
    <row r="224" spans="1:18">
      <c r="A224" s="737"/>
      <c r="B224" s="737"/>
      <c r="C224" s="737"/>
      <c r="D224" s="737"/>
      <c r="E224" s="737"/>
      <c r="F224" s="737"/>
      <c r="G224" s="737"/>
      <c r="H224" s="737"/>
      <c r="I224" s="737"/>
      <c r="J224" s="737"/>
      <c r="K224" s="737"/>
      <c r="L224" s="737"/>
      <c r="M224" s="737"/>
      <c r="N224" s="737"/>
      <c r="O224" s="737"/>
      <c r="P224" s="737"/>
      <c r="Q224" s="737"/>
      <c r="R224" s="737"/>
    </row>
    <row r="225" spans="1:18">
      <c r="A225" s="737"/>
      <c r="B225" s="737"/>
      <c r="C225" s="737"/>
      <c r="D225" s="737"/>
      <c r="E225" s="737"/>
      <c r="F225" s="737"/>
      <c r="G225" s="737"/>
      <c r="H225" s="737"/>
      <c r="I225" s="737"/>
      <c r="J225" s="737"/>
      <c r="K225" s="737"/>
      <c r="L225" s="737"/>
      <c r="M225" s="737"/>
      <c r="N225" s="737"/>
      <c r="O225" s="737"/>
      <c r="P225" s="737"/>
      <c r="Q225" s="737"/>
      <c r="R225" s="737"/>
    </row>
    <row r="226" spans="1:18">
      <c r="A226" s="737"/>
      <c r="B226" s="737"/>
      <c r="C226" s="737"/>
      <c r="D226" s="737"/>
      <c r="E226" s="737"/>
      <c r="F226" s="737"/>
      <c r="G226" s="737"/>
      <c r="H226" s="737"/>
      <c r="I226" s="737"/>
      <c r="J226" s="737"/>
      <c r="K226" s="737"/>
      <c r="L226" s="737"/>
      <c r="M226" s="737"/>
      <c r="N226" s="737"/>
      <c r="O226" s="737"/>
      <c r="P226" s="737"/>
      <c r="Q226" s="737"/>
      <c r="R226" s="737"/>
    </row>
    <row r="227" spans="1:18">
      <c r="A227" s="737"/>
      <c r="B227" s="737"/>
      <c r="C227" s="737"/>
      <c r="D227" s="737"/>
      <c r="E227" s="737"/>
      <c r="F227" s="737"/>
      <c r="G227" s="737"/>
      <c r="H227" s="737"/>
      <c r="I227" s="737"/>
      <c r="J227" s="737"/>
      <c r="K227" s="737"/>
      <c r="L227" s="737"/>
      <c r="M227" s="737"/>
      <c r="N227" s="737"/>
      <c r="O227" s="737"/>
      <c r="P227" s="737"/>
      <c r="Q227" s="737"/>
      <c r="R227" s="737"/>
    </row>
    <row r="228" spans="1:18">
      <c r="A228" s="737"/>
      <c r="B228" s="737"/>
      <c r="C228" s="737"/>
      <c r="D228" s="737"/>
      <c r="E228" s="737"/>
      <c r="F228" s="737"/>
      <c r="G228" s="737"/>
      <c r="H228" s="737"/>
      <c r="I228" s="737"/>
      <c r="J228" s="737"/>
      <c r="K228" s="737"/>
      <c r="L228" s="737"/>
      <c r="M228" s="737"/>
      <c r="N228" s="737"/>
      <c r="O228" s="737"/>
      <c r="P228" s="737"/>
      <c r="Q228" s="737"/>
      <c r="R228" s="737"/>
    </row>
    <row r="229" spans="1:18">
      <c r="A229" s="737"/>
      <c r="B229" s="737"/>
      <c r="C229" s="737"/>
      <c r="D229" s="737"/>
      <c r="E229" s="737"/>
      <c r="F229" s="737"/>
      <c r="G229" s="737"/>
      <c r="H229" s="737"/>
      <c r="I229" s="737"/>
      <c r="J229" s="737"/>
      <c r="K229" s="737"/>
      <c r="L229" s="737"/>
      <c r="M229" s="737"/>
      <c r="N229" s="737"/>
      <c r="O229" s="737"/>
      <c r="P229" s="737"/>
      <c r="Q229" s="737"/>
      <c r="R229" s="737"/>
    </row>
    <row r="230" spans="1:18">
      <c r="A230" s="737"/>
      <c r="B230" s="737"/>
      <c r="C230" s="737"/>
      <c r="D230" s="737"/>
      <c r="E230" s="737"/>
      <c r="F230" s="737"/>
      <c r="G230" s="737"/>
      <c r="H230" s="737"/>
      <c r="I230" s="737"/>
      <c r="J230" s="737"/>
      <c r="K230" s="737"/>
      <c r="L230" s="737"/>
      <c r="M230" s="737"/>
      <c r="N230" s="737"/>
      <c r="O230" s="737"/>
      <c r="P230" s="737"/>
      <c r="Q230" s="737"/>
      <c r="R230" s="737"/>
    </row>
    <row r="231" spans="1:18">
      <c r="A231" s="737"/>
      <c r="B231" s="737"/>
      <c r="C231" s="737"/>
      <c r="D231" s="737"/>
      <c r="E231" s="737"/>
      <c r="F231" s="737"/>
      <c r="G231" s="737"/>
      <c r="H231" s="737"/>
      <c r="I231" s="737"/>
      <c r="J231" s="737"/>
      <c r="K231" s="737"/>
      <c r="L231" s="737"/>
      <c r="M231" s="737"/>
      <c r="N231" s="737"/>
      <c r="O231" s="737"/>
      <c r="P231" s="737"/>
      <c r="Q231" s="737"/>
      <c r="R231" s="737"/>
    </row>
    <row r="232" spans="1:18">
      <c r="A232" s="737"/>
      <c r="B232" s="737"/>
      <c r="C232" s="737"/>
      <c r="D232" s="737"/>
      <c r="E232" s="737"/>
      <c r="F232" s="737"/>
      <c r="G232" s="737"/>
      <c r="H232" s="737"/>
      <c r="I232" s="737"/>
      <c r="J232" s="737"/>
      <c r="K232" s="737"/>
      <c r="L232" s="737"/>
      <c r="M232" s="737"/>
      <c r="N232" s="737"/>
      <c r="O232" s="737"/>
      <c r="P232" s="737"/>
      <c r="Q232" s="737"/>
      <c r="R232" s="737"/>
    </row>
    <row r="233" spans="1:18">
      <c r="A233" s="737"/>
      <c r="B233" s="737"/>
      <c r="C233" s="737"/>
      <c r="D233" s="737"/>
      <c r="E233" s="737"/>
      <c r="F233" s="737"/>
      <c r="G233" s="737"/>
      <c r="H233" s="737"/>
      <c r="I233" s="737"/>
      <c r="J233" s="737"/>
      <c r="K233" s="737"/>
      <c r="L233" s="737"/>
      <c r="M233" s="737"/>
      <c r="N233" s="737"/>
      <c r="O233" s="737"/>
      <c r="P233" s="737"/>
      <c r="Q233" s="737"/>
      <c r="R233" s="737"/>
    </row>
    <row r="234" spans="1:18">
      <c r="A234" s="737"/>
      <c r="B234" s="737"/>
      <c r="C234" s="737"/>
      <c r="D234" s="737"/>
      <c r="E234" s="737"/>
      <c r="F234" s="737"/>
      <c r="G234" s="737"/>
      <c r="H234" s="737"/>
      <c r="I234" s="737"/>
      <c r="J234" s="737"/>
      <c r="K234" s="737"/>
      <c r="L234" s="737"/>
      <c r="M234" s="737"/>
      <c r="N234" s="737"/>
      <c r="O234" s="737"/>
      <c r="P234" s="737"/>
      <c r="Q234" s="737"/>
      <c r="R234" s="737"/>
    </row>
    <row r="235" spans="1:18">
      <c r="A235" s="737"/>
      <c r="B235" s="737"/>
      <c r="C235" s="737"/>
      <c r="D235" s="737"/>
      <c r="E235" s="737"/>
      <c r="F235" s="737"/>
      <c r="G235" s="737"/>
      <c r="H235" s="737"/>
      <c r="I235" s="737"/>
      <c r="J235" s="737"/>
      <c r="K235" s="737"/>
      <c r="L235" s="737"/>
      <c r="M235" s="737"/>
      <c r="N235" s="737"/>
      <c r="O235" s="737"/>
      <c r="P235" s="737"/>
      <c r="Q235" s="737"/>
      <c r="R235" s="737"/>
    </row>
    <row r="236" spans="1:18">
      <c r="A236" s="737"/>
      <c r="B236" s="737"/>
      <c r="C236" s="737"/>
      <c r="D236" s="737"/>
      <c r="E236" s="737"/>
      <c r="F236" s="737"/>
      <c r="G236" s="737"/>
      <c r="H236" s="737"/>
      <c r="I236" s="737"/>
      <c r="J236" s="737"/>
      <c r="K236" s="737"/>
      <c r="L236" s="737"/>
      <c r="M236" s="737"/>
      <c r="N236" s="737"/>
      <c r="O236" s="737"/>
      <c r="P236" s="737"/>
      <c r="Q236" s="737"/>
      <c r="R236" s="737"/>
    </row>
    <row r="237" spans="1:18">
      <c r="A237" s="737"/>
      <c r="B237" s="737"/>
      <c r="C237" s="737"/>
      <c r="D237" s="737"/>
      <c r="E237" s="737"/>
      <c r="F237" s="737"/>
      <c r="G237" s="737"/>
      <c r="H237" s="737"/>
      <c r="I237" s="737"/>
      <c r="J237" s="737"/>
      <c r="K237" s="737"/>
      <c r="L237" s="737"/>
      <c r="M237" s="737"/>
      <c r="N237" s="737"/>
      <c r="O237" s="737"/>
      <c r="P237" s="737"/>
      <c r="Q237" s="737"/>
      <c r="R237" s="737"/>
    </row>
    <row r="238" spans="1:18">
      <c r="A238" s="737"/>
      <c r="B238" s="737"/>
      <c r="C238" s="737"/>
      <c r="D238" s="737"/>
      <c r="E238" s="737"/>
      <c r="F238" s="737"/>
      <c r="G238" s="737"/>
      <c r="H238" s="737"/>
      <c r="I238" s="737"/>
      <c r="J238" s="737"/>
      <c r="K238" s="737"/>
      <c r="L238" s="737"/>
      <c r="M238" s="737"/>
      <c r="N238" s="737"/>
      <c r="O238" s="737"/>
      <c r="P238" s="737"/>
      <c r="Q238" s="737"/>
      <c r="R238" s="737"/>
    </row>
    <row r="239" spans="1:18">
      <c r="A239" s="737"/>
      <c r="B239" s="737"/>
      <c r="C239" s="737"/>
      <c r="D239" s="737"/>
      <c r="E239" s="737"/>
      <c r="F239" s="737"/>
      <c r="G239" s="737"/>
      <c r="H239" s="737"/>
      <c r="I239" s="737"/>
      <c r="J239" s="737"/>
      <c r="K239" s="737"/>
      <c r="L239" s="737"/>
      <c r="M239" s="737"/>
      <c r="N239" s="737"/>
      <c r="O239" s="737"/>
      <c r="P239" s="737"/>
      <c r="Q239" s="737"/>
      <c r="R239" s="737"/>
    </row>
    <row r="240" spans="1:18">
      <c r="A240" s="737"/>
      <c r="B240" s="737"/>
      <c r="C240" s="737"/>
      <c r="D240" s="737"/>
      <c r="E240" s="737"/>
      <c r="F240" s="737"/>
      <c r="G240" s="737"/>
      <c r="H240" s="737"/>
      <c r="I240" s="737"/>
      <c r="J240" s="737"/>
      <c r="K240" s="737"/>
      <c r="L240" s="737"/>
      <c r="M240" s="737"/>
      <c r="N240" s="737"/>
      <c r="O240" s="737"/>
      <c r="P240" s="737"/>
      <c r="Q240" s="737"/>
      <c r="R240" s="737"/>
    </row>
    <row r="241" spans="1:18">
      <c r="A241" s="737"/>
      <c r="B241" s="737"/>
      <c r="C241" s="737"/>
      <c r="D241" s="737"/>
      <c r="E241" s="737"/>
      <c r="F241" s="737"/>
      <c r="G241" s="737"/>
      <c r="H241" s="737"/>
      <c r="I241" s="737"/>
      <c r="J241" s="737"/>
      <c r="K241" s="737"/>
      <c r="L241" s="737"/>
      <c r="M241" s="737"/>
      <c r="N241" s="737"/>
      <c r="O241" s="737"/>
      <c r="P241" s="737"/>
      <c r="Q241" s="737"/>
      <c r="R241" s="737"/>
    </row>
    <row r="242" spans="1:18">
      <c r="A242" s="737"/>
      <c r="B242" s="737"/>
      <c r="C242" s="737"/>
      <c r="D242" s="737"/>
      <c r="E242" s="737"/>
      <c r="F242" s="737"/>
      <c r="G242" s="737"/>
      <c r="H242" s="737"/>
      <c r="I242" s="737"/>
      <c r="J242" s="737"/>
      <c r="K242" s="737"/>
      <c r="L242" s="737"/>
      <c r="M242" s="737"/>
      <c r="N242" s="737"/>
      <c r="O242" s="737"/>
      <c r="P242" s="737"/>
      <c r="Q242" s="737"/>
      <c r="R242" s="737"/>
    </row>
    <row r="243" spans="1:18">
      <c r="A243" s="737"/>
      <c r="B243" s="737"/>
      <c r="C243" s="737"/>
      <c r="D243" s="737"/>
      <c r="E243" s="737"/>
      <c r="F243" s="737"/>
      <c r="G243" s="737"/>
      <c r="H243" s="737"/>
      <c r="I243" s="737"/>
      <c r="J243" s="737"/>
      <c r="K243" s="737"/>
      <c r="L243" s="737"/>
      <c r="M243" s="737"/>
      <c r="N243" s="737"/>
      <c r="O243" s="737"/>
      <c r="P243" s="737"/>
      <c r="Q243" s="737"/>
      <c r="R243" s="737"/>
    </row>
    <row r="244" spans="1:18">
      <c r="A244" s="737"/>
      <c r="B244" s="737"/>
      <c r="C244" s="737"/>
      <c r="D244" s="737"/>
      <c r="E244" s="737"/>
      <c r="F244" s="737"/>
      <c r="G244" s="737"/>
      <c r="H244" s="737"/>
      <c r="I244" s="737"/>
      <c r="J244" s="737"/>
      <c r="K244" s="737"/>
      <c r="L244" s="737"/>
      <c r="M244" s="737"/>
      <c r="N244" s="737"/>
      <c r="O244" s="737"/>
      <c r="P244" s="737"/>
      <c r="Q244" s="737"/>
      <c r="R244" s="737"/>
    </row>
    <row r="245" spans="1:18">
      <c r="A245" s="737"/>
      <c r="B245" s="737"/>
      <c r="C245" s="737"/>
      <c r="D245" s="737"/>
      <c r="E245" s="737"/>
      <c r="F245" s="737"/>
      <c r="G245" s="737"/>
      <c r="H245" s="737"/>
      <c r="I245" s="737"/>
      <c r="J245" s="737"/>
      <c r="K245" s="737"/>
      <c r="L245" s="737"/>
      <c r="M245" s="737"/>
      <c r="N245" s="737"/>
      <c r="O245" s="737"/>
      <c r="P245" s="737"/>
      <c r="Q245" s="737"/>
      <c r="R245" s="737"/>
    </row>
    <row r="246" spans="1:18">
      <c r="A246" s="737"/>
      <c r="B246" s="737"/>
      <c r="C246" s="737"/>
      <c r="D246" s="737"/>
      <c r="E246" s="737"/>
      <c r="F246" s="737"/>
      <c r="G246" s="737"/>
      <c r="H246" s="737"/>
      <c r="I246" s="737"/>
      <c r="J246" s="737"/>
      <c r="K246" s="737"/>
      <c r="L246" s="737"/>
      <c r="M246" s="737"/>
      <c r="N246" s="737"/>
      <c r="O246" s="737"/>
      <c r="P246" s="737"/>
      <c r="Q246" s="737"/>
      <c r="R246" s="737"/>
    </row>
    <row r="247" spans="1:18">
      <c r="A247" s="737"/>
      <c r="B247" s="737"/>
      <c r="C247" s="737"/>
      <c r="D247" s="737"/>
      <c r="E247" s="737"/>
      <c r="F247" s="737"/>
      <c r="G247" s="737"/>
      <c r="H247" s="737"/>
      <c r="I247" s="737"/>
      <c r="J247" s="737"/>
      <c r="K247" s="737"/>
      <c r="L247" s="737"/>
      <c r="M247" s="737"/>
      <c r="N247" s="737"/>
      <c r="O247" s="737"/>
      <c r="P247" s="737"/>
      <c r="Q247" s="737"/>
      <c r="R247" s="737"/>
    </row>
    <row r="248" spans="1:18">
      <c r="A248" s="737"/>
      <c r="B248" s="737"/>
      <c r="C248" s="737"/>
      <c r="D248" s="737"/>
      <c r="E248" s="737"/>
      <c r="F248" s="737"/>
      <c r="G248" s="737"/>
      <c r="H248" s="737"/>
      <c r="I248" s="737"/>
      <c r="J248" s="737"/>
      <c r="K248" s="737"/>
      <c r="L248" s="737"/>
      <c r="M248" s="737"/>
      <c r="N248" s="737"/>
      <c r="O248" s="737"/>
      <c r="P248" s="737"/>
      <c r="Q248" s="737"/>
      <c r="R248" s="737"/>
    </row>
    <row r="249" spans="1:18">
      <c r="A249" s="737"/>
      <c r="B249" s="737"/>
      <c r="C249" s="737"/>
      <c r="D249" s="737"/>
      <c r="E249" s="737"/>
      <c r="F249" s="737"/>
      <c r="G249" s="737"/>
      <c r="H249" s="737"/>
      <c r="I249" s="737"/>
      <c r="J249" s="737"/>
      <c r="K249" s="737"/>
      <c r="L249" s="737"/>
      <c r="M249" s="737"/>
      <c r="N249" s="737"/>
      <c r="O249" s="737"/>
      <c r="P249" s="737"/>
      <c r="Q249" s="737"/>
      <c r="R249" s="737"/>
    </row>
    <row r="250" spans="1:18">
      <c r="A250" s="737"/>
      <c r="B250" s="737"/>
      <c r="C250" s="737"/>
      <c r="D250" s="737"/>
      <c r="E250" s="737"/>
      <c r="F250" s="737"/>
      <c r="G250" s="737"/>
      <c r="H250" s="737"/>
      <c r="I250" s="737"/>
      <c r="J250" s="737"/>
      <c r="K250" s="737"/>
      <c r="L250" s="737"/>
      <c r="M250" s="737"/>
      <c r="N250" s="737"/>
      <c r="O250" s="737"/>
      <c r="P250" s="737"/>
      <c r="Q250" s="737"/>
      <c r="R250" s="737"/>
    </row>
    <row r="251" spans="1:18">
      <c r="A251" s="737"/>
      <c r="B251" s="737"/>
      <c r="C251" s="737"/>
      <c r="D251" s="737"/>
      <c r="E251" s="737"/>
      <c r="F251" s="737"/>
      <c r="G251" s="737"/>
      <c r="H251" s="737"/>
      <c r="I251" s="737"/>
      <c r="J251" s="737"/>
      <c r="K251" s="737"/>
      <c r="L251" s="737"/>
      <c r="M251" s="737"/>
      <c r="N251" s="737"/>
      <c r="O251" s="737"/>
      <c r="P251" s="737"/>
      <c r="Q251" s="737"/>
      <c r="R251" s="737"/>
    </row>
    <row r="252" spans="1:18">
      <c r="A252" s="737"/>
      <c r="B252" s="737"/>
      <c r="C252" s="737"/>
      <c r="D252" s="737"/>
      <c r="E252" s="737"/>
      <c r="F252" s="737"/>
      <c r="G252" s="737"/>
      <c r="H252" s="737"/>
      <c r="I252" s="737"/>
      <c r="J252" s="737"/>
      <c r="K252" s="737"/>
      <c r="L252" s="737"/>
      <c r="M252" s="737"/>
      <c r="N252" s="737"/>
      <c r="O252" s="737"/>
      <c r="P252" s="737"/>
      <c r="Q252" s="737"/>
      <c r="R252" s="737"/>
    </row>
    <row r="253" spans="1:18">
      <c r="A253" s="737"/>
      <c r="B253" s="737"/>
      <c r="C253" s="737"/>
      <c r="D253" s="737"/>
      <c r="E253" s="737"/>
      <c r="F253" s="737"/>
      <c r="G253" s="737"/>
      <c r="H253" s="737"/>
      <c r="I253" s="737"/>
      <c r="J253" s="737"/>
      <c r="K253" s="737"/>
      <c r="L253" s="737"/>
      <c r="M253" s="737"/>
      <c r="N253" s="737"/>
      <c r="O253" s="737"/>
      <c r="P253" s="737"/>
      <c r="Q253" s="737"/>
      <c r="R253" s="737"/>
    </row>
    <row r="254" spans="1:18">
      <c r="A254" s="737"/>
      <c r="B254" s="737"/>
      <c r="C254" s="737"/>
      <c r="D254" s="737"/>
      <c r="E254" s="737"/>
      <c r="F254" s="737"/>
      <c r="G254" s="737"/>
      <c r="H254" s="737"/>
      <c r="I254" s="737"/>
      <c r="J254" s="737"/>
      <c r="K254" s="737"/>
      <c r="L254" s="737"/>
      <c r="M254" s="737"/>
      <c r="N254" s="737"/>
      <c r="O254" s="737"/>
      <c r="P254" s="737"/>
      <c r="Q254" s="737"/>
      <c r="R254" s="737"/>
    </row>
    <row r="255" spans="1:18">
      <c r="A255" s="737"/>
      <c r="B255" s="737"/>
      <c r="C255" s="737"/>
      <c r="D255" s="737"/>
      <c r="E255" s="737"/>
      <c r="F255" s="737"/>
      <c r="G255" s="737"/>
      <c r="H255" s="737"/>
      <c r="I255" s="737"/>
      <c r="J255" s="737"/>
      <c r="K255" s="737"/>
      <c r="L255" s="737"/>
      <c r="M255" s="737"/>
      <c r="N255" s="737"/>
      <c r="O255" s="737"/>
      <c r="P255" s="737"/>
      <c r="Q255" s="737"/>
      <c r="R255" s="737"/>
    </row>
    <row r="256" spans="1:18">
      <c r="A256" s="737"/>
      <c r="B256" s="737"/>
      <c r="C256" s="737"/>
      <c r="D256" s="737"/>
      <c r="E256" s="737"/>
      <c r="F256" s="737"/>
      <c r="G256" s="737"/>
      <c r="H256" s="737"/>
      <c r="I256" s="737"/>
      <c r="J256" s="737"/>
      <c r="K256" s="737"/>
      <c r="L256" s="737"/>
      <c r="M256" s="737"/>
      <c r="N256" s="737"/>
      <c r="O256" s="737"/>
      <c r="P256" s="737"/>
      <c r="Q256" s="737"/>
      <c r="R256" s="737"/>
    </row>
    <row r="257" spans="1:18">
      <c r="A257" s="737"/>
      <c r="B257" s="737"/>
      <c r="C257" s="737"/>
      <c r="D257" s="737"/>
      <c r="E257" s="737"/>
      <c r="F257" s="737"/>
      <c r="G257" s="737"/>
      <c r="H257" s="737"/>
      <c r="I257" s="737"/>
      <c r="J257" s="737"/>
      <c r="K257" s="737"/>
      <c r="L257" s="737"/>
      <c r="M257" s="737"/>
      <c r="N257" s="737"/>
      <c r="O257" s="737"/>
      <c r="P257" s="737"/>
      <c r="Q257" s="737"/>
      <c r="R257" s="737"/>
    </row>
    <row r="258" spans="1:18">
      <c r="A258" s="737"/>
      <c r="B258" s="737"/>
      <c r="C258" s="737"/>
      <c r="D258" s="737"/>
      <c r="E258" s="737"/>
      <c r="F258" s="737"/>
      <c r="G258" s="737"/>
      <c r="H258" s="737"/>
      <c r="I258" s="737"/>
      <c r="J258" s="737"/>
      <c r="K258" s="737"/>
      <c r="L258" s="737"/>
      <c r="M258" s="737"/>
      <c r="N258" s="737"/>
      <c r="O258" s="737"/>
      <c r="P258" s="737"/>
      <c r="Q258" s="737"/>
      <c r="R258" s="737"/>
    </row>
    <row r="259" spans="1:18">
      <c r="A259" s="737"/>
      <c r="B259" s="737"/>
      <c r="C259" s="737"/>
      <c r="D259" s="737"/>
      <c r="E259" s="737"/>
      <c r="F259" s="737"/>
      <c r="G259" s="737"/>
      <c r="H259" s="737"/>
      <c r="I259" s="737"/>
      <c r="J259" s="737"/>
      <c r="K259" s="737"/>
      <c r="L259" s="737"/>
      <c r="M259" s="737"/>
      <c r="N259" s="737"/>
      <c r="O259" s="737"/>
      <c r="P259" s="737"/>
      <c r="Q259" s="737"/>
      <c r="R259" s="737"/>
    </row>
    <row r="260" spans="1:18">
      <c r="A260" s="737"/>
      <c r="B260" s="737"/>
      <c r="C260" s="737"/>
      <c r="D260" s="737"/>
      <c r="E260" s="737"/>
      <c r="F260" s="737"/>
      <c r="G260" s="737"/>
      <c r="H260" s="737"/>
      <c r="I260" s="737"/>
      <c r="J260" s="737"/>
      <c r="K260" s="737"/>
      <c r="L260" s="737"/>
      <c r="M260" s="737"/>
      <c r="N260" s="737"/>
      <c r="O260" s="737"/>
      <c r="P260" s="737"/>
      <c r="Q260" s="737"/>
      <c r="R260" s="737"/>
    </row>
    <row r="261" spans="1:18">
      <c r="A261" s="737"/>
      <c r="B261" s="737"/>
      <c r="C261" s="737"/>
      <c r="D261" s="737"/>
      <c r="E261" s="737"/>
      <c r="F261" s="737"/>
      <c r="G261" s="737"/>
      <c r="H261" s="737"/>
      <c r="I261" s="737"/>
      <c r="J261" s="737"/>
      <c r="K261" s="737"/>
      <c r="L261" s="737"/>
      <c r="M261" s="737"/>
      <c r="N261" s="737"/>
      <c r="O261" s="737"/>
      <c r="P261" s="737"/>
      <c r="Q261" s="737"/>
      <c r="R261" s="737"/>
    </row>
    <row r="262" spans="1:18">
      <c r="A262" s="737"/>
      <c r="B262" s="737"/>
      <c r="C262" s="737"/>
      <c r="D262" s="737"/>
      <c r="E262" s="737"/>
      <c r="F262" s="737"/>
      <c r="G262" s="737"/>
      <c r="H262" s="737"/>
      <c r="I262" s="737"/>
      <c r="J262" s="737"/>
      <c r="K262" s="737"/>
      <c r="L262" s="737"/>
      <c r="M262" s="737"/>
      <c r="N262" s="737"/>
      <c r="O262" s="737"/>
      <c r="P262" s="737"/>
      <c r="Q262" s="737"/>
      <c r="R262" s="737"/>
    </row>
    <row r="263" spans="1:18">
      <c r="A263" s="737"/>
      <c r="B263" s="737"/>
      <c r="C263" s="737"/>
      <c r="D263" s="737"/>
      <c r="E263" s="737"/>
      <c r="F263" s="737"/>
      <c r="G263" s="737"/>
      <c r="H263" s="737"/>
      <c r="I263" s="737"/>
      <c r="J263" s="737"/>
      <c r="K263" s="737"/>
      <c r="L263" s="737"/>
      <c r="M263" s="737"/>
      <c r="N263" s="737"/>
      <c r="O263" s="737"/>
      <c r="P263" s="737"/>
      <c r="Q263" s="737"/>
      <c r="R263" s="737"/>
    </row>
    <row r="264" spans="1:18">
      <c r="A264" s="737"/>
      <c r="B264" s="737"/>
      <c r="C264" s="737"/>
      <c r="D264" s="737"/>
      <c r="E264" s="737"/>
      <c r="F264" s="737"/>
      <c r="G264" s="737"/>
      <c r="H264" s="737"/>
      <c r="I264" s="737"/>
      <c r="J264" s="737"/>
      <c r="K264" s="737"/>
      <c r="L264" s="737"/>
      <c r="M264" s="737"/>
      <c r="N264" s="737"/>
      <c r="O264" s="737"/>
      <c r="P264" s="737"/>
      <c r="Q264" s="737"/>
      <c r="R264" s="737"/>
    </row>
    <row r="265" spans="1:18">
      <c r="A265" s="737"/>
      <c r="B265" s="737"/>
      <c r="C265" s="737"/>
      <c r="D265" s="737"/>
      <c r="E265" s="737"/>
      <c r="F265" s="737"/>
      <c r="G265" s="737"/>
      <c r="H265" s="737"/>
      <c r="I265" s="737"/>
      <c r="J265" s="737"/>
      <c r="K265" s="737"/>
      <c r="L265" s="737"/>
      <c r="M265" s="737"/>
      <c r="N265" s="737"/>
      <c r="O265" s="737"/>
      <c r="P265" s="737"/>
      <c r="Q265" s="737"/>
      <c r="R265" s="737"/>
    </row>
    <row r="266" spans="1:18">
      <c r="A266" s="737"/>
      <c r="B266" s="737"/>
      <c r="C266" s="737"/>
      <c r="D266" s="737"/>
      <c r="E266" s="737"/>
      <c r="F266" s="737"/>
      <c r="G266" s="737"/>
      <c r="H266" s="737"/>
      <c r="I266" s="737"/>
      <c r="J266" s="737"/>
      <c r="K266" s="737"/>
      <c r="L266" s="737"/>
      <c r="M266" s="737"/>
      <c r="N266" s="737"/>
      <c r="O266" s="737"/>
      <c r="P266" s="737"/>
      <c r="Q266" s="737"/>
      <c r="R266" s="737"/>
    </row>
    <row r="267" spans="1:18">
      <c r="A267" s="737"/>
      <c r="B267" s="737"/>
      <c r="C267" s="737"/>
      <c r="D267" s="737"/>
      <c r="E267" s="737"/>
      <c r="F267" s="737"/>
      <c r="G267" s="737"/>
      <c r="H267" s="737"/>
      <c r="I267" s="737"/>
      <c r="J267" s="737"/>
      <c r="K267" s="737"/>
      <c r="L267" s="737"/>
      <c r="M267" s="737"/>
      <c r="N267" s="737"/>
      <c r="O267" s="737"/>
      <c r="P267" s="737"/>
      <c r="Q267" s="737"/>
      <c r="R267" s="737"/>
    </row>
    <row r="268" spans="1:18">
      <c r="A268" s="737"/>
      <c r="B268" s="737"/>
      <c r="C268" s="737"/>
      <c r="D268" s="737"/>
      <c r="E268" s="737"/>
      <c r="F268" s="737"/>
      <c r="G268" s="737"/>
      <c r="H268" s="737"/>
      <c r="I268" s="737"/>
      <c r="J268" s="737"/>
      <c r="K268" s="737"/>
      <c r="L268" s="737"/>
      <c r="M268" s="737"/>
      <c r="N268" s="737"/>
      <c r="O268" s="737"/>
      <c r="P268" s="737"/>
      <c r="Q268" s="737"/>
      <c r="R268" s="737"/>
    </row>
    <row r="269" spans="1:18">
      <c r="A269" s="737"/>
      <c r="B269" s="737"/>
      <c r="C269" s="737"/>
      <c r="D269" s="737"/>
      <c r="E269" s="737"/>
      <c r="F269" s="737"/>
      <c r="G269" s="737"/>
      <c r="H269" s="737"/>
      <c r="I269" s="737"/>
      <c r="J269" s="737"/>
      <c r="K269" s="737"/>
      <c r="L269" s="737"/>
      <c r="M269" s="737"/>
      <c r="N269" s="737"/>
      <c r="O269" s="737"/>
      <c r="P269" s="737"/>
      <c r="Q269" s="737"/>
      <c r="R269" s="737"/>
    </row>
    <row r="270" spans="1:18">
      <c r="A270" s="737"/>
      <c r="B270" s="737"/>
      <c r="C270" s="737"/>
      <c r="D270" s="737"/>
      <c r="E270" s="737"/>
      <c r="F270" s="737"/>
      <c r="G270" s="737"/>
      <c r="H270" s="737"/>
      <c r="I270" s="737"/>
      <c r="J270" s="737"/>
      <c r="K270" s="737"/>
      <c r="L270" s="737"/>
      <c r="M270" s="737"/>
      <c r="N270" s="737"/>
      <c r="O270" s="737"/>
      <c r="P270" s="737"/>
      <c r="Q270" s="737"/>
      <c r="R270" s="737"/>
    </row>
    <row r="271" spans="1:18">
      <c r="A271" s="737"/>
      <c r="B271" s="737"/>
      <c r="C271" s="737"/>
      <c r="D271" s="737"/>
      <c r="E271" s="737"/>
      <c r="F271" s="737"/>
      <c r="G271" s="737"/>
      <c r="H271" s="737"/>
      <c r="I271" s="737"/>
      <c r="J271" s="737"/>
      <c r="K271" s="737"/>
      <c r="L271" s="737"/>
      <c r="M271" s="737"/>
      <c r="N271" s="737"/>
      <c r="O271" s="737"/>
      <c r="P271" s="737"/>
      <c r="Q271" s="737"/>
      <c r="R271" s="737"/>
    </row>
    <row r="272" spans="1:18">
      <c r="A272" s="737"/>
      <c r="B272" s="737"/>
      <c r="C272" s="737"/>
      <c r="D272" s="737"/>
      <c r="E272" s="737"/>
      <c r="F272" s="737"/>
      <c r="G272" s="737"/>
      <c r="H272" s="737"/>
      <c r="I272" s="737"/>
      <c r="J272" s="737"/>
      <c r="K272" s="737"/>
      <c r="L272" s="737"/>
      <c r="M272" s="737"/>
      <c r="N272" s="737"/>
      <c r="O272" s="737"/>
      <c r="P272" s="737"/>
      <c r="Q272" s="737"/>
      <c r="R272" s="737"/>
    </row>
  </sheetData>
  <pageMargins left="0.7" right="0.7" top="0.75" bottom="0.75" header="0.3" footer="0.3"/>
  <pageSetup scale="70" orientation="landscape" r:id="rId1"/>
  <headerFooter scaleWithDoc="0">
    <oddHeader>&amp;LNatural Gas - Revenue Growth Rate Calculation&amp;RExh. EMA-5</oddHeader>
    <oddFooter>&amp;RPage &amp;P of &amp;N</oddFooter>
  </headerFooter>
  <rowBreaks count="1" manualBreakCount="1">
    <brk id="4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35"/>
  <sheetViews>
    <sheetView view="pageBreakPreview" zoomScale="115" zoomScaleNormal="100" zoomScaleSheetLayoutView="115" workbookViewId="0">
      <selection activeCell="M25" sqref="M25"/>
    </sheetView>
  </sheetViews>
  <sheetFormatPr defaultColWidth="11.42578125" defaultRowHeight="12.75"/>
  <cols>
    <col min="1" max="1" width="6.42578125" style="288" customWidth="1"/>
    <col min="2" max="2" width="12.5703125" style="690" customWidth="1"/>
    <col min="3" max="3" width="41.85546875" style="288" customWidth="1"/>
    <col min="4" max="5" width="11.42578125" style="288" customWidth="1"/>
    <col min="6" max="6" width="7.7109375" style="19" customWidth="1"/>
    <col min="7" max="7" width="7.28515625" style="58" hidden="1" customWidth="1"/>
    <col min="8" max="8" width="10.5703125" style="19" hidden="1" customWidth="1"/>
    <col min="9" max="9" width="7.28515625" style="19" customWidth="1"/>
    <col min="10" max="10" width="0.28515625" style="19" customWidth="1"/>
    <col min="11" max="11" width="9" style="288" customWidth="1"/>
    <col min="12" max="12" width="11.42578125" style="288" customWidth="1"/>
    <col min="13" max="16384" width="11.42578125" style="288"/>
  </cols>
  <sheetData>
    <row r="1" spans="1:12">
      <c r="A1" s="916" t="str">
        <f>'ADJ DETAIL INPUT-Restated CB'!A2</f>
        <v>AVISTA UTILITIES</v>
      </c>
      <c r="B1" s="916"/>
      <c r="C1" s="916"/>
      <c r="D1" s="916"/>
      <c r="E1" s="916"/>
      <c r="F1" s="916"/>
      <c r="G1" s="206"/>
      <c r="H1" s="288"/>
      <c r="I1" s="58"/>
      <c r="K1" s="268"/>
      <c r="L1" s="687"/>
    </row>
    <row r="2" spans="1:12">
      <c r="A2" s="917" t="s">
        <v>60</v>
      </c>
      <c r="B2" s="917"/>
      <c r="C2" s="917"/>
      <c r="D2" s="917"/>
      <c r="E2" s="917"/>
      <c r="F2" s="917"/>
      <c r="G2" s="206"/>
      <c r="H2" s="288"/>
      <c r="K2" s="268"/>
      <c r="L2" s="688"/>
    </row>
    <row r="3" spans="1:12" s="688" customFormat="1">
      <c r="A3" s="918" t="s">
        <v>129</v>
      </c>
      <c r="B3" s="918"/>
      <c r="C3" s="918"/>
      <c r="D3" s="918"/>
      <c r="E3" s="918"/>
      <c r="F3" s="918"/>
      <c r="G3" s="58"/>
      <c r="H3" s="19"/>
      <c r="I3" s="696"/>
      <c r="J3" s="696"/>
      <c r="K3" s="689"/>
      <c r="L3" s="40"/>
    </row>
    <row r="4" spans="1:12" s="688" customFormat="1" ht="15">
      <c r="A4" s="915" t="str">
        <f>'ADJ DETAIL INPUT-Restated CB'!A4</f>
        <v>TWELVE MONTHS ENDED DECEMBER 31, 2018</v>
      </c>
      <c r="B4" s="915"/>
      <c r="C4" s="915"/>
      <c r="D4" s="915"/>
      <c r="E4" s="915"/>
      <c r="F4" s="915"/>
      <c r="G4" s="58"/>
      <c r="H4" s="19"/>
      <c r="I4" s="696"/>
      <c r="J4" s="696"/>
      <c r="K4" s="689"/>
      <c r="L4" s="40"/>
    </row>
    <row r="5" spans="1:12" s="688" customFormat="1">
      <c r="A5" s="288"/>
      <c r="B5" s="690"/>
      <c r="C5" s="288"/>
      <c r="D5" s="691"/>
      <c r="E5" s="691" t="s">
        <v>60</v>
      </c>
      <c r="F5" s="19"/>
      <c r="G5" s="58"/>
      <c r="H5" s="19"/>
      <c r="I5" s="696"/>
      <c r="J5" s="696"/>
      <c r="K5" s="689"/>
      <c r="L5" s="692"/>
    </row>
    <row r="6" spans="1:12">
      <c r="A6" s="691" t="s">
        <v>61</v>
      </c>
      <c r="B6" s="691" t="s">
        <v>204</v>
      </c>
      <c r="C6" s="691" t="s">
        <v>62</v>
      </c>
      <c r="D6" s="691" t="s">
        <v>63</v>
      </c>
      <c r="E6" s="691" t="s">
        <v>18</v>
      </c>
      <c r="F6" s="693" t="s">
        <v>64</v>
      </c>
      <c r="G6" s="694" t="s">
        <v>112</v>
      </c>
      <c r="H6" s="691" t="s">
        <v>113</v>
      </c>
      <c r="I6" s="709" t="s">
        <v>153</v>
      </c>
      <c r="J6" s="709" t="s">
        <v>154</v>
      </c>
      <c r="K6" s="695" t="s">
        <v>385</v>
      </c>
      <c r="L6" s="696"/>
    </row>
    <row r="7" spans="1:12">
      <c r="A7" s="697" t="s">
        <v>418</v>
      </c>
      <c r="B7" s="696"/>
      <c r="C7" s="696"/>
      <c r="D7" s="696"/>
      <c r="E7" s="696"/>
      <c r="F7" s="696"/>
      <c r="G7" s="698"/>
      <c r="H7" s="696"/>
      <c r="I7" s="696"/>
      <c r="J7" s="696"/>
      <c r="K7" s="688"/>
      <c r="L7" s="696"/>
    </row>
    <row r="8" spans="1:12">
      <c r="A8" s="699">
        <f>'ADJ DETAIL INPUT-Restated CB'!E$10</f>
        <v>1</v>
      </c>
      <c r="B8" s="700" t="str">
        <f>'ADJ DETAIL INPUT-Restated CB'!E$11</f>
        <v>G-ROO</v>
      </c>
      <c r="C8" s="701" t="str">
        <f>TRIM(CONCATENATE('ADJ DETAIL INPUT-Restated CB'!E$7," ",'ADJ DETAIL INPUT-Restated CB'!E$8," ",'ADJ DETAIL INPUT-Restated CB'!E$9))</f>
        <v>Per Results Report</v>
      </c>
      <c r="D8" s="702">
        <f>'ADJ DETAIL INPUT-Restated CB'!E$58</f>
        <v>24614</v>
      </c>
      <c r="E8" s="703">
        <f>'ADJ DETAIL INPUT-Restated CB'!E$81</f>
        <v>348658</v>
      </c>
      <c r="G8" s="58" t="s">
        <v>147</v>
      </c>
      <c r="I8" s="19" t="s">
        <v>118</v>
      </c>
      <c r="K8" s="19" t="s">
        <v>114</v>
      </c>
      <c r="L8" s="40"/>
    </row>
    <row r="9" spans="1:12">
      <c r="A9" s="699">
        <f>'ADJ DETAIL INPUT-Restated CB'!F$10</f>
        <v>1.01</v>
      </c>
      <c r="B9" s="700" t="str">
        <f>'ADJ DETAIL INPUT-Restated CB'!F$11</f>
        <v>G-DFIT</v>
      </c>
      <c r="C9" s="701" t="str">
        <f>TRIM(CONCATENATE('ADJ DETAIL INPUT-Restated CB'!F$7," ",'ADJ DETAIL INPUT-Restated CB'!F$8," ",'ADJ DETAIL INPUT-Restated CB'!F$9))</f>
        <v>Deferred FIT Rate Base</v>
      </c>
      <c r="D9" s="704">
        <f>'ADJ DETAIL INPUT-Restated CB'!F$58</f>
        <v>-7.4109209999999983</v>
      </c>
      <c r="E9" s="704">
        <f>'ADJ DETAIL INPUT-Restated CB'!F$81</f>
        <v>-1247</v>
      </c>
      <c r="G9" s="58" t="s">
        <v>117</v>
      </c>
      <c r="H9" s="288"/>
      <c r="I9" s="19" t="s">
        <v>412</v>
      </c>
      <c r="K9" s="19" t="s">
        <v>114</v>
      </c>
      <c r="L9" s="40"/>
    </row>
    <row r="10" spans="1:12">
      <c r="A10" s="699">
        <f>'ADJ DETAIL INPUT-Restated CB'!G$10</f>
        <v>1.02</v>
      </c>
      <c r="B10" s="700" t="str">
        <f>'ADJ DETAIL INPUT-Restated CB'!G$11</f>
        <v>G-DDC</v>
      </c>
      <c r="C10" s="701" t="str">
        <f>TRIM(CONCATENATE('ADJ DETAIL INPUT-Restated CB'!G$7," ",'ADJ DETAIL INPUT-Restated CB'!G$8," ",'ADJ DETAIL INPUT-Restated CB'!G$9))</f>
        <v>Deferred Debits and Credits</v>
      </c>
      <c r="D10" s="704">
        <f>'ADJ DETAIL INPUT-Restated CB'!G$58</f>
        <v>-7.9416010000000004</v>
      </c>
      <c r="E10" s="704">
        <f>'ADJ DETAIL INPUT-Restated CB'!G$81</f>
        <v>-7</v>
      </c>
      <c r="G10" s="58" t="s">
        <v>147</v>
      </c>
      <c r="I10" s="19" t="s">
        <v>425</v>
      </c>
      <c r="K10" s="19" t="s">
        <v>114</v>
      </c>
      <c r="L10" s="40"/>
    </row>
    <row r="11" spans="1:12">
      <c r="A11" s="699">
        <f>'ADJ DETAIL INPUT-Restated CB'!H$10</f>
        <v>1.03</v>
      </c>
      <c r="B11" s="700" t="str">
        <f>'ADJ DETAIL INPUT-Restated CB'!H$11</f>
        <v>G-WC</v>
      </c>
      <c r="C11" s="701" t="str">
        <f>TRIM(CONCATENATE('ADJ DETAIL INPUT-Restated CB'!H$7," ",'ADJ DETAIL INPUT-Restated CB'!H$8," ",'ADJ DETAIL INPUT-Restated CB'!H$9))</f>
        <v>Working Capital</v>
      </c>
      <c r="D11" s="704">
        <f>'ADJ DETAIL INPUT-Restated CB'!H$58</f>
        <v>0</v>
      </c>
      <c r="E11" s="704">
        <f>'ADJ DETAIL INPUT-Restated CB'!H$81</f>
        <v>0</v>
      </c>
      <c r="G11" s="58" t="s">
        <v>147</v>
      </c>
      <c r="I11" s="19" t="s">
        <v>118</v>
      </c>
      <c r="K11" s="19" t="s">
        <v>114</v>
      </c>
      <c r="L11" s="40"/>
    </row>
    <row r="12" spans="1:12">
      <c r="A12" s="699">
        <f>'ADJ DETAIL INPUT-Restated CB'!I$10</f>
        <v>1.04</v>
      </c>
      <c r="B12" s="700" t="str">
        <f>'ADJ DETAIL INPUT-Restated CB'!I$11</f>
        <v>G-AMI</v>
      </c>
      <c r="C12" s="701" t="str">
        <f>TRIM(CONCATENATE('ADJ DETAIL INPUT-Restated CB'!I$7," ",'ADJ DETAIL INPUT-Restated CB'!I$8," ",'ADJ DETAIL INPUT-Restated CB'!I$9))</f>
        <v>Remove AMI Rate Base</v>
      </c>
      <c r="D12" s="704">
        <f>'ADJ DETAIL INPUT-Restated CB'!I$58</f>
        <v>-35.883833999999993</v>
      </c>
      <c r="E12" s="704">
        <f>'ADJ DETAIL INPUT-Restated CB'!I$81</f>
        <v>-6038</v>
      </c>
      <c r="G12" s="58" t="s">
        <v>147</v>
      </c>
      <c r="I12" s="19" t="s">
        <v>118</v>
      </c>
      <c r="K12" s="19" t="s">
        <v>114</v>
      </c>
      <c r="L12" s="40"/>
    </row>
    <row r="13" spans="1:12">
      <c r="A13" s="699">
        <f>'ADJ DETAIL INPUT-Restated CB'!J$10</f>
        <v>2.0099999999999998</v>
      </c>
      <c r="B13" s="700" t="str">
        <f>'ADJ DETAIL INPUT-Restated CB'!J$11</f>
        <v>G-EBO</v>
      </c>
      <c r="C13" s="701" t="str">
        <f>TRIM(CONCATENATE('ADJ DETAIL INPUT-Restated CB'!J$7," ",'ADJ DETAIL INPUT-Restated CB'!J$8," ",'ADJ DETAIL INPUT-Restated CB'!J$9))</f>
        <v>Eliminate B &amp; O Taxes</v>
      </c>
      <c r="D13" s="704">
        <f>'ADJ DETAIL INPUT-Restated CB'!J$58</f>
        <v>-11.06</v>
      </c>
      <c r="E13" s="704">
        <f>'ADJ DETAIL INPUT-Restated CB'!J$81</f>
        <v>0</v>
      </c>
      <c r="G13" s="58" t="s">
        <v>147</v>
      </c>
      <c r="I13" s="19" t="s">
        <v>412</v>
      </c>
      <c r="K13" s="19" t="s">
        <v>114</v>
      </c>
      <c r="L13" s="40"/>
    </row>
    <row r="14" spans="1:12">
      <c r="A14" s="699">
        <f>'ADJ DETAIL INPUT-Restated CB'!K$10</f>
        <v>2.0199999999999996</v>
      </c>
      <c r="B14" s="700" t="str">
        <f>'ADJ DETAIL INPUT-Restated CB'!K$11</f>
        <v>G-RPT</v>
      </c>
      <c r="C14" s="701" t="str">
        <f>TRIM(CONCATENATE('ADJ DETAIL INPUT-Restated CB'!K$7," ",'ADJ DETAIL INPUT-Restated CB'!K$8," ",'ADJ DETAIL INPUT-Restated CB'!K$9))</f>
        <v>Restate Property Tax</v>
      </c>
      <c r="D14" s="704">
        <f>'ADJ DETAIL INPUT-Restated CB'!K$58</f>
        <v>-1.58</v>
      </c>
      <c r="E14" s="704">
        <f>'ADJ DETAIL INPUT-Restated CB'!K$81</f>
        <v>0</v>
      </c>
      <c r="G14" s="58" t="s">
        <v>147</v>
      </c>
      <c r="I14" s="19" t="s">
        <v>118</v>
      </c>
      <c r="K14" s="19" t="s">
        <v>114</v>
      </c>
      <c r="L14" s="40"/>
    </row>
    <row r="15" spans="1:12">
      <c r="A15" s="699">
        <f>'ADJ DETAIL INPUT-Restated CB'!L$10</f>
        <v>2.0299999999999994</v>
      </c>
      <c r="B15" s="700" t="str">
        <f>'ADJ DETAIL INPUT-Restated CB'!L$11</f>
        <v>G-UE</v>
      </c>
      <c r="C15" s="701" t="str">
        <f>TRIM(CONCATENATE('ADJ DETAIL INPUT-Restated CB'!L$7," ",'ADJ DETAIL INPUT-Restated CB'!L$8," ",'ADJ DETAIL INPUT-Restated CB'!L$9))</f>
        <v>Uncollectible Expense</v>
      </c>
      <c r="D15" s="704">
        <f>'ADJ DETAIL INPUT-Restated CB'!L$58</f>
        <v>252.8</v>
      </c>
      <c r="E15" s="704">
        <f>'ADJ DETAIL INPUT-Restated CB'!L$81</f>
        <v>0</v>
      </c>
      <c r="G15" s="58" t="s">
        <v>143</v>
      </c>
      <c r="I15" s="19" t="s">
        <v>425</v>
      </c>
      <c r="K15" s="19" t="s">
        <v>114</v>
      </c>
      <c r="L15" s="40"/>
    </row>
    <row r="16" spans="1:12">
      <c r="A16" s="699">
        <f>'ADJ DETAIL INPUT-Restated CB'!M$10</f>
        <v>2.0399999999999991</v>
      </c>
      <c r="B16" s="700" t="str">
        <f>'ADJ DETAIL INPUT-Restated CB'!M$11</f>
        <v>G-RE</v>
      </c>
      <c r="C16" s="701" t="str">
        <f>TRIM(CONCATENATE('ADJ DETAIL INPUT-Restated CB'!M$7," ",'ADJ DETAIL INPUT-Restated CB'!M$8," ",'ADJ DETAIL INPUT-Restated CB'!M$9))</f>
        <v>Regulatory Expense</v>
      </c>
      <c r="D16" s="704">
        <f>'ADJ DETAIL INPUT-Restated CB'!M$58</f>
        <v>39.5</v>
      </c>
      <c r="E16" s="704">
        <f>'ADJ DETAIL INPUT-Restated CB'!M$81</f>
        <v>0</v>
      </c>
      <c r="G16" s="58" t="s">
        <v>143</v>
      </c>
      <c r="I16" s="19" t="s">
        <v>118</v>
      </c>
      <c r="K16" s="19" t="s">
        <v>114</v>
      </c>
      <c r="L16" s="40"/>
    </row>
    <row r="17" spans="1:12">
      <c r="A17" s="699">
        <f>'ADJ DETAIL INPUT-Restated CB'!N$10</f>
        <v>2.0499999999999989</v>
      </c>
      <c r="B17" s="700" t="str">
        <f>'ADJ DETAIL INPUT-Restated CB'!N$11</f>
        <v>G-ID</v>
      </c>
      <c r="C17" s="701" t="str">
        <f>TRIM(CONCATENATE('ADJ DETAIL INPUT-Restated CB'!N$7," ",'ADJ DETAIL INPUT-Restated CB'!N$8," ",'ADJ DETAIL INPUT-Restated CB'!N$9))</f>
        <v>Injuries &amp; Damages</v>
      </c>
      <c r="D17" s="704">
        <f>'ADJ DETAIL INPUT-Restated CB'!N$58</f>
        <v>-42.66</v>
      </c>
      <c r="E17" s="704">
        <f>'ADJ DETAIL INPUT-Restated CB'!N$81</f>
        <v>0</v>
      </c>
      <c r="G17" s="58" t="s">
        <v>117</v>
      </c>
      <c r="H17" s="288"/>
      <c r="I17" s="19" t="s">
        <v>118</v>
      </c>
      <c r="K17" s="19" t="s">
        <v>114</v>
      </c>
      <c r="L17" s="40"/>
    </row>
    <row r="18" spans="1:12">
      <c r="A18" s="699">
        <f>'ADJ DETAIL INPUT-Restated CB'!O$10</f>
        <v>2.0599999999999987</v>
      </c>
      <c r="B18" s="700" t="str">
        <f>'ADJ DETAIL INPUT-Restated CB'!O$11</f>
        <v>G-FIT</v>
      </c>
      <c r="C18" s="701" t="str">
        <f>TRIM(CONCATENATE('ADJ DETAIL INPUT-Restated CB'!O$7," ",'ADJ DETAIL INPUT-Restated CB'!O$8," ",'ADJ DETAIL INPUT-Restated CB'!O$9))</f>
        <v>FIT / DFIT Expense</v>
      </c>
      <c r="D18" s="704">
        <f>'ADJ DETAIL INPUT-Restated CB'!O$58</f>
        <v>0</v>
      </c>
      <c r="E18" s="704">
        <f>'ADJ DETAIL INPUT-Restated CB'!O$81</f>
        <v>0</v>
      </c>
      <c r="G18" s="58" t="s">
        <v>147</v>
      </c>
      <c r="H18" s="288"/>
      <c r="I18" s="19" t="s">
        <v>412</v>
      </c>
      <c r="K18" s="19" t="s">
        <v>114</v>
      </c>
      <c r="L18" s="40"/>
    </row>
    <row r="19" spans="1:12">
      <c r="A19" s="699">
        <f>'ADJ DETAIL INPUT-Restated CB'!P$10</f>
        <v>2.0699999999999985</v>
      </c>
      <c r="B19" s="700" t="str">
        <f>'ADJ DETAIL INPUT-Restated CB'!P$11</f>
        <v>G-OSC</v>
      </c>
      <c r="C19" s="701" t="str">
        <f>TRIM(CONCATENATE('ADJ DETAIL INPUT-Restated CB'!P$7," ",'ADJ DETAIL INPUT-Restated CB'!P$8," ",'ADJ DETAIL INPUT-Restated CB'!P$9))</f>
        <v>Office Space Charges to Non-Utility</v>
      </c>
      <c r="D19" s="704">
        <f>'ADJ DETAIL INPUT-Restated CB'!P$58</f>
        <v>13.43</v>
      </c>
      <c r="E19" s="704">
        <f>'ADJ DETAIL INPUT-Restated CB'!P$81</f>
        <v>0</v>
      </c>
      <c r="G19" s="58" t="s">
        <v>147</v>
      </c>
      <c r="H19" s="288"/>
      <c r="I19" s="19" t="s">
        <v>118</v>
      </c>
      <c r="K19" s="19" t="s">
        <v>114</v>
      </c>
      <c r="L19" s="40"/>
    </row>
    <row r="20" spans="1:12">
      <c r="A20" s="699">
        <f>'ADJ DETAIL INPUT-Restated CB'!Q$10</f>
        <v>2.0799999999999983</v>
      </c>
      <c r="B20" s="700" t="str">
        <f>'ADJ DETAIL INPUT-Restated CB'!Q$11</f>
        <v>G-RET</v>
      </c>
      <c r="C20" s="701" t="str">
        <f>TRIM(CONCATENATE('ADJ DETAIL INPUT-Restated CB'!Q$7," ",'ADJ DETAIL INPUT-Restated CB'!Q$8," ",'ADJ DETAIL INPUT-Restated CB'!Q$9))</f>
        <v>Restate Excise Taxes</v>
      </c>
      <c r="D20" s="704">
        <f>'ADJ DETAIL INPUT-Restated CB'!Q$58</f>
        <v>0</v>
      </c>
      <c r="E20" s="704">
        <f>'ADJ DETAIL INPUT-Restated CB'!Q$81</f>
        <v>0</v>
      </c>
      <c r="G20" s="58" t="s">
        <v>143</v>
      </c>
      <c r="I20" s="19" t="s">
        <v>412</v>
      </c>
      <c r="K20" s="19" t="s">
        <v>114</v>
      </c>
      <c r="L20" s="40"/>
    </row>
    <row r="21" spans="1:12">
      <c r="A21" s="699">
        <f>'ADJ DETAIL INPUT-Restated CB'!R$10</f>
        <v>2.0899999999999981</v>
      </c>
      <c r="B21" s="700" t="str">
        <f>'ADJ DETAIL INPUT-Restated CB'!R$11</f>
        <v>G-NGL</v>
      </c>
      <c r="C21" s="701" t="str">
        <f>TRIM(CONCATENATE('ADJ DETAIL INPUT-Restated CB'!R$7," ",'ADJ DETAIL INPUT-Restated CB'!R$8," ",'ADJ DETAIL INPUT-Restated CB'!R$9))</f>
        <v>Net Gains &amp; Losses</v>
      </c>
      <c r="D21" s="704">
        <f>'ADJ DETAIL INPUT-Restated CB'!R$58</f>
        <v>10.27</v>
      </c>
      <c r="E21" s="704">
        <f>'ADJ DETAIL INPUT-Restated CB'!R$81</f>
        <v>0</v>
      </c>
      <c r="G21" s="58" t="s">
        <v>150</v>
      </c>
      <c r="H21" s="288"/>
      <c r="I21" s="19" t="s">
        <v>118</v>
      </c>
      <c r="K21" s="19" t="s">
        <v>114</v>
      </c>
      <c r="L21" s="40"/>
    </row>
    <row r="22" spans="1:12">
      <c r="A22" s="699">
        <f>'ADJ DETAIL INPUT-Restated CB'!S$10</f>
        <v>2.0999999999999979</v>
      </c>
      <c r="B22" s="700" t="str">
        <f>'ADJ DETAIL INPUT-Restated CB'!S$11</f>
        <v>G-WNGC</v>
      </c>
      <c r="C22" s="701" t="str">
        <f>TRIM(CONCATENATE('ADJ DETAIL INPUT-Restated CB'!S$7," ",'ADJ DETAIL INPUT-Restated CB'!S$8," ",'ADJ DETAIL INPUT-Restated CB'!S$9))</f>
        <v>Weather Normalization / Gas Cost Adjust</v>
      </c>
      <c r="D22" s="704">
        <f>'ADJ DETAIL INPUT-Restated CB'!S$58</f>
        <v>4.74</v>
      </c>
      <c r="E22" s="704">
        <f>'ADJ DETAIL INPUT-Restated CB'!S$81</f>
        <v>0</v>
      </c>
      <c r="G22" s="58" t="s">
        <v>150</v>
      </c>
      <c r="H22" s="288"/>
      <c r="I22" s="19" t="s">
        <v>412</v>
      </c>
      <c r="J22" s="288"/>
      <c r="K22" s="19" t="s">
        <v>114</v>
      </c>
      <c r="L22" s="40"/>
    </row>
    <row r="23" spans="1:12">
      <c r="A23" s="699">
        <f>'ADJ DETAIL INPUT-Restated CB'!T$10</f>
        <v>2.1099999999999977</v>
      </c>
      <c r="B23" s="700" t="str">
        <f>'ADJ DETAIL INPUT-Restated CB'!T$11</f>
        <v>G-EAS</v>
      </c>
      <c r="C23" s="701" t="str">
        <f>TRIM(CONCATENATE('ADJ DETAIL INPUT-Restated CB'!T$7," ",'ADJ DETAIL INPUT-Restated CB'!T$8," ",'ADJ DETAIL INPUT-Restated CB'!T$9))</f>
        <v>Eliminate Adder Schedules</v>
      </c>
      <c r="D23" s="704">
        <f>'ADJ DETAIL INPUT-Restated CB'!T$58</f>
        <v>-9.0000000000031832E-2</v>
      </c>
      <c r="E23" s="704">
        <f>'ADJ DETAIL INPUT-Restated CB'!T$81</f>
        <v>0</v>
      </c>
      <c r="G23" s="58" t="s">
        <v>149</v>
      </c>
      <c r="I23" s="19" t="s">
        <v>425</v>
      </c>
      <c r="K23" s="19" t="s">
        <v>114</v>
      </c>
      <c r="L23" s="40"/>
    </row>
    <row r="24" spans="1:12" ht="13.5" customHeight="1">
      <c r="A24" s="699">
        <f>'ADJ DETAIL INPUT-Restated CB'!U$10</f>
        <v>2.1199999999999974</v>
      </c>
      <c r="B24" s="700" t="str">
        <f>'ADJ DETAIL INPUT-Restated CB'!U$11</f>
        <v>G-MR</v>
      </c>
      <c r="C24" s="701" t="str">
        <f>TRIM(CONCATENATE('ADJ DETAIL INPUT-Restated CB'!U$7," ",'ADJ DETAIL INPUT-Restated CB'!U$8," ",'ADJ DETAIL INPUT-Restated CB'!U$9))</f>
        <v>Misc. Restating Non-Util / Non- Recurring Expense</v>
      </c>
      <c r="D24" s="704">
        <f>'ADJ DETAIL INPUT-Restated CB'!U$58</f>
        <v>390.26</v>
      </c>
      <c r="E24" s="704">
        <f>'ADJ DETAIL INPUT-Restated CB'!U$81</f>
        <v>0</v>
      </c>
      <c r="G24" s="58" t="s">
        <v>147</v>
      </c>
      <c r="H24" s="288"/>
      <c r="I24" s="19" t="s">
        <v>425</v>
      </c>
      <c r="K24" s="19" t="s">
        <v>114</v>
      </c>
      <c r="L24" s="40"/>
    </row>
    <row r="25" spans="1:12" ht="13.5" customHeight="1">
      <c r="A25" s="699">
        <f>'ADJ DETAIL INPUT-Restated CB'!V$10</f>
        <v>2.1299999999999972</v>
      </c>
      <c r="B25" s="700" t="str">
        <f>'ADJ DETAIL INPUT-Restated CB'!V$11</f>
        <v>G-RI</v>
      </c>
      <c r="C25" s="701" t="str">
        <f>TRIM(CONCATENATE('ADJ DETAIL INPUT-Restated CB'!V$7," ",'ADJ DETAIL INPUT-Restated CB'!V$8," ",'ADJ DETAIL INPUT-Restated CB'!V$9))</f>
        <v>Restating Incentives Expense</v>
      </c>
      <c r="D25" s="704">
        <f>'ADJ DETAIL INPUT-Restated CB'!V$58</f>
        <v>56.88</v>
      </c>
      <c r="E25" s="704">
        <f>'ADJ DETAIL INPUT-Restated CB'!V$81</f>
        <v>0</v>
      </c>
      <c r="G25" s="58" t="s">
        <v>147</v>
      </c>
      <c r="H25" s="288"/>
      <c r="I25" s="19" t="s">
        <v>207</v>
      </c>
      <c r="K25" s="19" t="s">
        <v>114</v>
      </c>
      <c r="L25" s="40"/>
    </row>
    <row r="26" spans="1:12" ht="13.5" customHeight="1">
      <c r="A26" s="699">
        <f>'ADJ DETAIL INPUT-Restated CB'!W$10</f>
        <v>2.139999999999997</v>
      </c>
      <c r="B26" s="700" t="str">
        <f>'ADJ DETAIL INPUT-Restated CB'!W$11</f>
        <v>G-DI</v>
      </c>
      <c r="C26" s="701" t="str">
        <f>TRIM(CONCATENATE('ADJ DETAIL INPUT-Restated CB'!W$7," ",'ADJ DETAIL INPUT-Restated CB'!W$8," ",'ADJ DETAIL INPUT-Restated CB'!W$9))</f>
        <v>Restate Debt Interest</v>
      </c>
      <c r="D26" s="704">
        <f>'ADJ DETAIL INPUT-Restated CB'!W$58</f>
        <v>-59</v>
      </c>
      <c r="E26" s="704">
        <f>'ADJ DETAIL INPUT-Restated CB'!W$81</f>
        <v>0</v>
      </c>
      <c r="H26" s="19" t="s">
        <v>114</v>
      </c>
      <c r="I26" s="19" t="s">
        <v>118</v>
      </c>
      <c r="K26" s="19" t="s">
        <v>114</v>
      </c>
    </row>
    <row r="27" spans="1:12" ht="13.5" customHeight="1">
      <c r="A27" s="699"/>
      <c r="B27" s="700"/>
      <c r="C27" s="701"/>
      <c r="D27" s="704"/>
      <c r="E27" s="704"/>
      <c r="K27" s="688"/>
      <c r="L27" s="40"/>
    </row>
    <row r="28" spans="1:12" ht="13.5" thickBot="1">
      <c r="A28" s="699"/>
      <c r="B28" s="700"/>
      <c r="C28" s="288" t="s">
        <v>65</v>
      </c>
      <c r="D28" s="705">
        <f>SUM(D8:D27)</f>
        <v>25216.253644</v>
      </c>
      <c r="E28" s="710">
        <f>SUM(E8:E27)</f>
        <v>341366</v>
      </c>
      <c r="F28" s="706"/>
      <c r="H28" s="707" t="e">
        <f>#REF!</f>
        <v>#REF!</v>
      </c>
      <c r="J28" s="696"/>
      <c r="K28" s="688"/>
      <c r="L28" s="40"/>
    </row>
    <row r="29" spans="1:12" ht="12.75" customHeight="1" thickTop="1">
      <c r="A29" s="19"/>
      <c r="B29" s="288" t="s">
        <v>127</v>
      </c>
      <c r="D29" s="701"/>
      <c r="H29" s="708"/>
      <c r="I29" s="19" t="s">
        <v>425</v>
      </c>
      <c r="K29" s="288" t="s">
        <v>114</v>
      </c>
      <c r="L29" s="40"/>
    </row>
    <row r="30" spans="1:12">
      <c r="A30" s="878"/>
      <c r="B30" s="879"/>
      <c r="C30" s="689"/>
      <c r="D30" s="40"/>
      <c r="E30" s="40"/>
      <c r="F30" s="864"/>
      <c r="G30" s="698"/>
      <c r="H30" s="864"/>
      <c r="I30" s="864"/>
      <c r="J30" s="696"/>
      <c r="L30" s="40"/>
    </row>
    <row r="31" spans="1:12" ht="12.75" customHeight="1">
      <c r="A31" s="688"/>
      <c r="B31" s="880"/>
      <c r="C31" s="688"/>
      <c r="D31" s="688"/>
      <c r="E31" s="688"/>
      <c r="F31" s="864"/>
      <c r="G31" s="698"/>
      <c r="H31" s="864"/>
      <c r="I31" s="864"/>
      <c r="J31" s="696"/>
      <c r="K31" s="688"/>
    </row>
    <row r="32" spans="1:12" ht="12.75" customHeight="1">
      <c r="A32" s="688"/>
      <c r="B32" s="880"/>
      <c r="C32" s="688"/>
      <c r="D32" s="688"/>
      <c r="E32" s="688"/>
      <c r="F32" s="864"/>
      <c r="G32" s="698"/>
      <c r="H32" s="864"/>
      <c r="I32" s="864"/>
    </row>
    <row r="33" spans="1:9" ht="12.75" customHeight="1">
      <c r="A33" s="688"/>
      <c r="B33" s="880"/>
      <c r="C33" s="688"/>
      <c r="D33" s="688"/>
      <c r="E33" s="688"/>
      <c r="F33" s="864"/>
      <c r="G33" s="698"/>
      <c r="H33" s="864"/>
      <c r="I33" s="864"/>
    </row>
    <row r="34" spans="1:9" ht="12.75" customHeight="1">
      <c r="A34" s="688"/>
      <c r="B34" s="880"/>
      <c r="C34" s="688"/>
      <c r="D34" s="688"/>
      <c r="E34" s="688"/>
      <c r="F34" s="864"/>
      <c r="G34" s="698"/>
      <c r="H34" s="864"/>
      <c r="I34" s="864"/>
    </row>
    <row r="35" spans="1:9">
      <c r="A35" s="688"/>
      <c r="B35" s="880"/>
      <c r="C35" s="688"/>
      <c r="D35" s="688"/>
      <c r="E35" s="688"/>
      <c r="F35" s="864"/>
      <c r="G35" s="698"/>
      <c r="H35" s="864"/>
      <c r="I35" s="864"/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1200" verticalDpi="12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59"/>
  <sheetViews>
    <sheetView view="pageBreakPreview" topLeftCell="I1" zoomScale="130" zoomScaleNormal="100" zoomScaleSheetLayoutView="130" workbookViewId="0">
      <selection activeCell="M25" sqref="M25"/>
    </sheetView>
  </sheetViews>
  <sheetFormatPr defaultColWidth="9.140625" defaultRowHeight="15.75"/>
  <cols>
    <col min="1" max="1" width="7.28515625" style="44" hidden="1" customWidth="1"/>
    <col min="2" max="2" width="1.42578125" style="44" hidden="1" customWidth="1"/>
    <col min="3" max="3" width="33.140625" style="44" hidden="1" customWidth="1"/>
    <col min="4" max="4" width="1.140625" style="44" hidden="1" customWidth="1"/>
    <col min="5" max="5" width="1.7109375" style="44" hidden="1" customWidth="1"/>
    <col min="6" max="6" width="21.7109375" style="44" hidden="1" customWidth="1"/>
    <col min="7" max="7" width="15.85546875" style="44" hidden="1" customWidth="1"/>
    <col min="8" max="8" width="18.42578125" style="44" hidden="1" customWidth="1"/>
    <col min="9" max="9" width="5.42578125" style="44" customWidth="1"/>
    <col min="10" max="10" width="13.85546875" style="44" customWidth="1"/>
    <col min="11" max="11" width="7.85546875" style="44" customWidth="1"/>
    <col min="12" max="12" width="11.42578125" style="44" customWidth="1"/>
    <col min="13" max="13" width="14.28515625" style="44" customWidth="1"/>
    <col min="14" max="14" width="14.85546875" style="44" customWidth="1"/>
    <col min="15" max="15" width="4.140625" style="44" customWidth="1"/>
    <col min="16" max="16" width="14" style="44" customWidth="1"/>
    <col min="17" max="17" width="9.28515625" style="44" customWidth="1"/>
    <col min="18" max="16384" width="9.140625" style="44"/>
  </cols>
  <sheetData>
    <row r="1" spans="1:35">
      <c r="A1" s="586" t="s">
        <v>102</v>
      </c>
      <c r="B1" s="586"/>
      <c r="C1" s="586"/>
      <c r="D1" s="586"/>
      <c r="E1" s="586"/>
      <c r="F1" s="586"/>
      <c r="G1" s="586"/>
      <c r="H1" s="586"/>
      <c r="I1" s="587"/>
      <c r="J1" s="921" t="s">
        <v>102</v>
      </c>
      <c r="K1" s="922"/>
      <c r="L1" s="922"/>
      <c r="M1" s="922"/>
      <c r="N1" s="923"/>
      <c r="O1" s="586"/>
      <c r="P1" s="586"/>
    </row>
    <row r="2" spans="1:35">
      <c r="A2" s="586" t="s">
        <v>549</v>
      </c>
      <c r="B2" s="586"/>
      <c r="C2" s="586"/>
      <c r="D2" s="586"/>
      <c r="E2" s="586"/>
      <c r="F2" s="586"/>
      <c r="G2" s="586"/>
      <c r="H2" s="586"/>
      <c r="J2" s="924" t="s">
        <v>663</v>
      </c>
      <c r="K2" s="925"/>
      <c r="L2" s="925"/>
      <c r="M2" s="925"/>
      <c r="N2" s="926"/>
      <c r="O2" s="588"/>
      <c r="P2" s="588"/>
    </row>
    <row r="3" spans="1:35">
      <c r="A3" s="930" t="s">
        <v>404</v>
      </c>
      <c r="B3" s="930"/>
      <c r="C3" s="930"/>
      <c r="D3" s="930"/>
      <c r="E3" s="930"/>
      <c r="F3" s="930"/>
      <c r="G3" s="930"/>
      <c r="H3" s="930"/>
      <c r="I3" s="587"/>
      <c r="J3" s="924" t="s">
        <v>404</v>
      </c>
      <c r="K3" s="925"/>
      <c r="L3" s="925"/>
      <c r="M3" s="925"/>
      <c r="N3" s="926"/>
      <c r="O3" s="586"/>
      <c r="P3" s="586"/>
    </row>
    <row r="4" spans="1:35">
      <c r="A4" s="929" t="str">
        <f>'ADJ DETAIL INPUT-Restated CB'!A4</f>
        <v>TWELVE MONTHS ENDED DECEMBER 31, 2018</v>
      </c>
      <c r="B4" s="929"/>
      <c r="C4" s="929"/>
      <c r="D4" s="929"/>
      <c r="E4" s="929"/>
      <c r="F4" s="929"/>
      <c r="G4" s="929"/>
      <c r="H4" s="929"/>
      <c r="J4" s="931" t="s">
        <v>586</v>
      </c>
      <c r="K4" s="932"/>
      <c r="L4" s="932"/>
      <c r="M4" s="932"/>
      <c r="N4" s="933"/>
      <c r="O4" s="599"/>
      <c r="P4" s="828"/>
      <c r="Q4" s="45"/>
    </row>
    <row r="5" spans="1:35">
      <c r="A5" s="930"/>
      <c r="B5" s="930"/>
      <c r="C5" s="930"/>
      <c r="D5" s="930"/>
      <c r="E5" s="930"/>
      <c r="F5" s="930"/>
      <c r="G5" s="930"/>
      <c r="H5" s="930"/>
      <c r="J5" s="45"/>
      <c r="K5" s="45"/>
      <c r="L5" s="45"/>
      <c r="M5" s="45"/>
      <c r="N5" s="45"/>
      <c r="O5" s="45"/>
      <c r="P5" s="45"/>
      <c r="S5" s="45"/>
      <c r="T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15.75" customHeight="1">
      <c r="A6" s="935"/>
      <c r="B6" s="935"/>
      <c r="C6" s="935"/>
      <c r="D6" s="935"/>
      <c r="E6" s="935"/>
      <c r="F6" s="935"/>
      <c r="G6" s="935"/>
      <c r="H6" s="935"/>
      <c r="J6" s="829"/>
      <c r="K6" s="830"/>
      <c r="L6" s="830"/>
      <c r="M6" s="830"/>
      <c r="N6" s="831"/>
      <c r="O6" s="94"/>
      <c r="P6" s="94"/>
    </row>
    <row r="7" spans="1:35">
      <c r="A7" s="935"/>
      <c r="B7" s="935"/>
      <c r="C7" s="935"/>
      <c r="D7" s="935"/>
      <c r="E7" s="935"/>
      <c r="F7" s="935"/>
      <c r="G7" s="935"/>
      <c r="H7" s="935"/>
      <c r="I7" s="46"/>
      <c r="J7" s="832"/>
      <c r="K7" s="48"/>
      <c r="L7" s="51"/>
      <c r="M7" s="52"/>
      <c r="N7" s="833"/>
      <c r="O7" s="47"/>
      <c r="P7" s="95"/>
    </row>
    <row r="8" spans="1:35">
      <c r="A8" s="935"/>
      <c r="B8" s="935"/>
      <c r="C8" s="935"/>
      <c r="D8" s="935"/>
      <c r="E8" s="935"/>
      <c r="F8" s="935"/>
      <c r="G8" s="935"/>
      <c r="H8" s="935"/>
      <c r="I8" s="46"/>
      <c r="J8" s="834"/>
      <c r="K8" s="47"/>
      <c r="L8" s="47" t="s">
        <v>122</v>
      </c>
      <c r="M8" s="47"/>
      <c r="N8" s="833" t="s">
        <v>123</v>
      </c>
      <c r="O8" s="47"/>
      <c r="P8" s="95"/>
    </row>
    <row r="9" spans="1:35">
      <c r="A9" s="935"/>
      <c r="B9" s="935"/>
      <c r="C9" s="935"/>
      <c r="D9" s="935"/>
      <c r="E9" s="935"/>
      <c r="F9" s="935"/>
      <c r="G9" s="935"/>
      <c r="H9" s="935"/>
      <c r="I9" s="46"/>
      <c r="J9" s="835" t="s">
        <v>124</v>
      </c>
      <c r="K9" s="47"/>
      <c r="L9" s="730" t="s">
        <v>125</v>
      </c>
      <c r="M9" s="730" t="s">
        <v>126</v>
      </c>
      <c r="N9" s="836" t="s">
        <v>126</v>
      </c>
      <c r="O9" s="47"/>
      <c r="P9" s="95"/>
    </row>
    <row r="10" spans="1:35">
      <c r="A10" s="935"/>
      <c r="B10" s="935"/>
      <c r="C10" s="935"/>
      <c r="D10" s="935"/>
      <c r="E10" s="935"/>
      <c r="F10" s="935"/>
      <c r="G10" s="935"/>
      <c r="H10" s="935"/>
      <c r="I10" s="46"/>
      <c r="J10" s="832"/>
      <c r="K10" s="48"/>
      <c r="L10" s="48"/>
      <c r="M10" s="48"/>
      <c r="N10" s="837"/>
      <c r="O10" s="48"/>
      <c r="P10" s="95"/>
    </row>
    <row r="11" spans="1:35">
      <c r="A11" s="935"/>
      <c r="B11" s="935"/>
      <c r="C11" s="935"/>
      <c r="D11" s="935"/>
      <c r="E11" s="935"/>
      <c r="F11" s="935"/>
      <c r="G11" s="935"/>
      <c r="H11" s="935"/>
      <c r="I11" s="46"/>
      <c r="J11" s="838"/>
      <c r="K11" s="94"/>
      <c r="L11" s="94"/>
      <c r="M11" s="94"/>
      <c r="N11" s="839"/>
      <c r="O11" s="94"/>
      <c r="P11" s="95"/>
      <c r="Q11" s="45"/>
    </row>
    <row r="12" spans="1:35">
      <c r="A12" s="935"/>
      <c r="B12" s="935"/>
      <c r="C12" s="935"/>
      <c r="D12" s="935"/>
      <c r="E12" s="935"/>
      <c r="F12" s="935"/>
      <c r="G12" s="935"/>
      <c r="H12" s="935"/>
      <c r="I12" s="46"/>
      <c r="J12" s="838" t="s">
        <v>395</v>
      </c>
      <c r="K12" s="49"/>
      <c r="L12" s="583">
        <f>100%-L14</f>
        <v>0.52649999999999997</v>
      </c>
      <c r="M12" s="93">
        <v>5.3800000000000001E-2</v>
      </c>
      <c r="N12" s="840">
        <f>ROUND(L12*M12,4)</f>
        <v>2.8299999999999999E-2</v>
      </c>
      <c r="O12" s="93"/>
      <c r="P12" s="96" t="s">
        <v>140</v>
      </c>
    </row>
    <row r="13" spans="1:35">
      <c r="A13" s="935"/>
      <c r="B13" s="935"/>
      <c r="C13" s="935"/>
      <c r="D13" s="935"/>
      <c r="E13" s="935"/>
      <c r="F13" s="935"/>
      <c r="G13" s="935"/>
      <c r="H13" s="935"/>
      <c r="I13" s="46"/>
      <c r="J13" s="838"/>
      <c r="K13" s="49"/>
      <c r="L13" s="583"/>
      <c r="M13" s="93"/>
      <c r="N13" s="840"/>
      <c r="O13" s="93"/>
      <c r="P13" s="93">
        <f>N12+N13</f>
        <v>2.8299999999999999E-2</v>
      </c>
    </row>
    <row r="14" spans="1:35" ht="21.75" customHeight="1">
      <c r="C14" s="589"/>
      <c r="D14" s="589"/>
      <c r="F14" s="934" t="s">
        <v>548</v>
      </c>
      <c r="G14" s="934"/>
      <c r="H14" s="934"/>
      <c r="I14" s="590"/>
      <c r="J14" s="841" t="s">
        <v>146</v>
      </c>
      <c r="K14" s="323"/>
      <c r="L14" s="584">
        <v>0.47349999999999998</v>
      </c>
      <c r="M14" s="585">
        <v>9.5000000000000001E-2</v>
      </c>
      <c r="N14" s="842">
        <f>ROUND(L14*M14,4)</f>
        <v>4.4999999999999998E-2</v>
      </c>
      <c r="O14" s="93"/>
      <c r="P14" s="95"/>
      <c r="Q14" s="45"/>
    </row>
    <row r="15" spans="1:35" ht="16.5" thickBot="1">
      <c r="F15" s="591" t="s">
        <v>547</v>
      </c>
      <c r="G15" s="592" t="s">
        <v>450</v>
      </c>
      <c r="H15" s="591" t="s">
        <v>547</v>
      </c>
      <c r="I15" s="46"/>
      <c r="J15" s="838" t="s">
        <v>24</v>
      </c>
      <c r="K15" s="50"/>
      <c r="L15" s="277">
        <f>SUM(L12:L14)</f>
        <v>1</v>
      </c>
      <c r="M15" s="93"/>
      <c r="N15" s="843">
        <f>SUM(N12:N14)</f>
        <v>7.3300000000000004E-2</v>
      </c>
      <c r="O15" s="94"/>
      <c r="P15" s="95"/>
    </row>
    <row r="16" spans="1:35" ht="16.5" thickTop="1">
      <c r="A16" s="593" t="s">
        <v>121</v>
      </c>
      <c r="B16" s="593"/>
      <c r="C16" s="927" t="s">
        <v>62</v>
      </c>
      <c r="D16" s="927"/>
      <c r="E16" s="593"/>
      <c r="F16" s="594">
        <v>43221</v>
      </c>
      <c r="G16" s="595" t="s">
        <v>107</v>
      </c>
      <c r="H16" s="594">
        <v>43221</v>
      </c>
      <c r="I16" s="46"/>
      <c r="J16" s="844"/>
      <c r="K16" s="845"/>
      <c r="L16" s="845"/>
      <c r="M16" s="845"/>
      <c r="N16" s="846"/>
      <c r="O16" s="93"/>
      <c r="P16" s="95"/>
    </row>
    <row r="17" spans="1:17">
      <c r="A17" s="595" t="s">
        <v>15</v>
      </c>
      <c r="B17" s="595"/>
      <c r="C17" s="928"/>
      <c r="D17" s="928"/>
      <c r="E17" s="593"/>
      <c r="F17" s="936" t="s">
        <v>552</v>
      </c>
      <c r="G17" s="936"/>
      <c r="H17" s="936"/>
      <c r="I17" s="46"/>
      <c r="J17" s="596"/>
      <c r="K17" s="45"/>
      <c r="L17" s="45"/>
      <c r="M17" s="45"/>
      <c r="N17" s="45"/>
      <c r="O17" s="94"/>
      <c r="P17" s="95"/>
    </row>
    <row r="18" spans="1:17">
      <c r="A18" s="593"/>
      <c r="B18" s="592"/>
      <c r="C18" s="593"/>
      <c r="D18" s="593"/>
      <c r="E18" s="593"/>
      <c r="F18" s="597"/>
      <c r="G18" s="597"/>
      <c r="H18" s="597"/>
      <c r="I18" s="46"/>
      <c r="J18" s="596"/>
      <c r="K18" s="45"/>
      <c r="L18" s="45"/>
      <c r="M18" s="45"/>
      <c r="N18" s="45"/>
      <c r="O18" s="94"/>
      <c r="P18" s="95"/>
    </row>
    <row r="19" spans="1:17" ht="16.5" thickBot="1">
      <c r="E19" s="598"/>
      <c r="F19" s="592" t="s">
        <v>553</v>
      </c>
      <c r="G19" s="599" t="s">
        <v>554</v>
      </c>
      <c r="H19" s="599" t="s">
        <v>555</v>
      </c>
      <c r="I19" s="46"/>
      <c r="J19" s="94"/>
      <c r="K19" s="94"/>
      <c r="L19" s="94"/>
      <c r="M19" s="94"/>
      <c r="N19" s="94"/>
      <c r="O19" s="94"/>
      <c r="P19" s="95"/>
    </row>
    <row r="20" spans="1:17" ht="32.25" customHeight="1" thickBot="1">
      <c r="A20" s="600">
        <v>1</v>
      </c>
      <c r="C20" s="601" t="s">
        <v>550</v>
      </c>
      <c r="E20" s="602"/>
      <c r="F20" s="603">
        <f>'ADJ DETAIL INPUT-Restated CB'!Y83</f>
        <v>-257.08014376560794</v>
      </c>
      <c r="G20" s="604">
        <f>'ADJ DETAIL INPUT-Restated CB'!AD83-'ADJ DETAIL INPUT-Restated CB'!Z83</f>
        <v>0</v>
      </c>
      <c r="H20" s="605">
        <f>SUM(F20:G20)</f>
        <v>-257.08014376560794</v>
      </c>
      <c r="J20" s="94"/>
      <c r="K20" s="50"/>
      <c r="L20" s="93"/>
      <c r="M20" s="93"/>
      <c r="N20" s="93"/>
      <c r="O20" s="598"/>
      <c r="P20" s="95"/>
      <c r="Q20" s="45"/>
    </row>
    <row r="21" spans="1:17">
      <c r="E21" s="602"/>
      <c r="G21" s="606"/>
      <c r="H21" s="607"/>
      <c r="J21" s="94"/>
      <c r="K21" s="50"/>
      <c r="L21" s="93"/>
      <c r="M21" s="93"/>
      <c r="N21" s="93"/>
      <c r="O21" s="93"/>
      <c r="P21" s="95"/>
      <c r="Q21" s="45"/>
    </row>
    <row r="22" spans="1:17">
      <c r="A22" s="600">
        <v>2</v>
      </c>
      <c r="C22" s="44" t="s">
        <v>421</v>
      </c>
      <c r="F22" s="608" t="e">
        <f>#REF!+#REF!</f>
        <v>#REF!</v>
      </c>
      <c r="G22" s="609" t="e">
        <f>F22</f>
        <v>#REF!</v>
      </c>
      <c r="H22" s="610" t="e">
        <f>F22</f>
        <v>#REF!</v>
      </c>
      <c r="O22" s="93"/>
      <c r="P22" s="95"/>
      <c r="Q22" s="45"/>
    </row>
    <row r="23" spans="1:17">
      <c r="G23" s="45"/>
      <c r="H23" s="45"/>
    </row>
    <row r="24" spans="1:17" ht="16.5" thickBot="1">
      <c r="A24" s="600">
        <v>3</v>
      </c>
      <c r="C24" s="44" t="s">
        <v>424</v>
      </c>
      <c r="F24" s="611" t="e">
        <f>ROUND(F20/F22,4)</f>
        <v>#REF!</v>
      </c>
      <c r="G24" s="611" t="e">
        <f>ROUND(G20/G22,4)</f>
        <v>#REF!</v>
      </c>
      <c r="H24" s="611" t="e">
        <f>ROUND(H20/H22,4)</f>
        <v>#REF!</v>
      </c>
    </row>
    <row r="25" spans="1:17" ht="16.5" thickTop="1">
      <c r="C25" s="46"/>
      <c r="D25" s="46"/>
      <c r="E25" s="46"/>
      <c r="F25" s="46"/>
      <c r="G25" s="45"/>
      <c r="H25" s="45"/>
    </row>
    <row r="26" spans="1:17">
      <c r="A26" s="600">
        <v>4</v>
      </c>
      <c r="C26" s="44" t="s">
        <v>422</v>
      </c>
      <c r="F26" s="612">
        <v>152089</v>
      </c>
      <c r="G26" s="612">
        <v>152089</v>
      </c>
      <c r="H26" s="612">
        <v>152089</v>
      </c>
      <c r="I26" s="919"/>
      <c r="J26" s="920"/>
      <c r="K26" s="920"/>
    </row>
    <row r="28" spans="1:17" ht="16.5" thickBot="1">
      <c r="A28" s="600">
        <v>5</v>
      </c>
      <c r="C28" s="44" t="s">
        <v>423</v>
      </c>
      <c r="F28" s="611">
        <f>F20/F26</f>
        <v>-1.6903270043567118E-3</v>
      </c>
      <c r="G28" s="611">
        <f>G20/G26</f>
        <v>0</v>
      </c>
      <c r="H28" s="611">
        <f>H20/H26</f>
        <v>-1.6903270043567118E-3</v>
      </c>
      <c r="J28" s="45"/>
      <c r="K28" s="45"/>
      <c r="L28" s="45"/>
      <c r="M28" s="45"/>
      <c r="N28" s="45"/>
    </row>
    <row r="29" spans="1:17" ht="16.5" thickTop="1">
      <c r="A29" s="44" t="s">
        <v>403</v>
      </c>
      <c r="G29" s="45"/>
      <c r="H29" s="45"/>
      <c r="J29" s="45"/>
      <c r="K29" s="45"/>
      <c r="L29" s="45"/>
      <c r="M29" s="45"/>
      <c r="N29" s="45"/>
      <c r="O29" s="45"/>
      <c r="P29" s="45"/>
    </row>
    <row r="30" spans="1:17">
      <c r="G30" s="45"/>
      <c r="H30" s="45"/>
      <c r="I30" s="45"/>
      <c r="J30" s="45"/>
      <c r="K30" s="45"/>
      <c r="L30" s="45"/>
      <c r="M30" s="45"/>
      <c r="N30" s="45"/>
      <c r="O30" s="45"/>
      <c r="P30" s="45"/>
    </row>
    <row r="31" spans="1:17" ht="16.5" thickBot="1">
      <c r="A31" s="600">
        <v>6</v>
      </c>
      <c r="F31" s="45"/>
      <c r="G31" s="613" t="s">
        <v>565</v>
      </c>
      <c r="H31" s="614">
        <f>'ADJ DETAIL INPUT-Restated CB'!AE83</f>
        <v>0</v>
      </c>
      <c r="I31" s="45"/>
      <c r="Q31" s="45"/>
    </row>
    <row r="32" spans="1:17" ht="16.5" thickTop="1">
      <c r="A32" s="600">
        <v>7</v>
      </c>
      <c r="F32" s="45"/>
      <c r="G32" s="615" t="s">
        <v>423</v>
      </c>
      <c r="H32" s="616">
        <f>H31/(H26+H20)</f>
        <v>0</v>
      </c>
      <c r="I32" s="45"/>
      <c r="Q32" s="45"/>
    </row>
    <row r="33" spans="1:17">
      <c r="A33" s="600"/>
      <c r="F33" s="45"/>
      <c r="G33" s="45"/>
      <c r="H33" s="45"/>
      <c r="Q33" s="45"/>
    </row>
    <row r="34" spans="1:17" ht="16.5" thickBot="1">
      <c r="A34" s="600">
        <v>8</v>
      </c>
      <c r="F34" s="45"/>
      <c r="G34" s="613" t="s">
        <v>566</v>
      </c>
      <c r="H34" s="614">
        <f>'ADJ DETAIL INPUT-Restated CB'!AF83</f>
        <v>0</v>
      </c>
    </row>
    <row r="35" spans="1:17" ht="16.5" thickTop="1">
      <c r="A35" s="600">
        <v>9</v>
      </c>
      <c r="F35" s="45"/>
      <c r="G35" s="615" t="s">
        <v>423</v>
      </c>
      <c r="H35" s="616">
        <f>H34/(H26+H20+H31)</f>
        <v>0</v>
      </c>
    </row>
    <row r="36" spans="1:17">
      <c r="F36" s="45"/>
    </row>
    <row r="37" spans="1:17">
      <c r="F37" s="45"/>
    </row>
    <row r="38" spans="1:17">
      <c r="F38" s="45"/>
    </row>
    <row r="39" spans="1:17">
      <c r="F39" s="45"/>
    </row>
    <row r="40" spans="1:17">
      <c r="F40" s="45"/>
    </row>
    <row r="41" spans="1:17">
      <c r="F41" s="45"/>
    </row>
    <row r="59" spans="28:28">
      <c r="AB59" s="44">
        <f>AB65</f>
        <v>0</v>
      </c>
    </row>
  </sheetData>
  <mergeCells count="12">
    <mergeCell ref="I26:K26"/>
    <mergeCell ref="J1:N1"/>
    <mergeCell ref="J2:N2"/>
    <mergeCell ref="J3:N3"/>
    <mergeCell ref="C16:D17"/>
    <mergeCell ref="A4:H4"/>
    <mergeCell ref="A5:H5"/>
    <mergeCell ref="A3:H3"/>
    <mergeCell ref="J4:N4"/>
    <mergeCell ref="F14:H14"/>
    <mergeCell ref="A6:H13"/>
    <mergeCell ref="F17:H17"/>
  </mergeCells>
  <phoneticPr fontId="0" type="noConversion"/>
  <pageMargins left="0.75" right="0.5" top="0.72" bottom="0.84" header="0.5" footer="0.5"/>
  <pageSetup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X82"/>
  <sheetViews>
    <sheetView view="pageBreakPreview" zoomScale="130" zoomScaleNormal="100" zoomScaleSheetLayoutView="130" workbookViewId="0">
      <selection activeCell="M25" sqref="M25"/>
    </sheetView>
  </sheetViews>
  <sheetFormatPr defaultColWidth="9.140625" defaultRowHeight="12.75"/>
  <cols>
    <col min="1" max="1" width="9.140625" style="12"/>
    <col min="2" max="2" width="6.5703125" style="12" customWidth="1"/>
    <col min="3" max="3" width="42" style="12" customWidth="1"/>
    <col min="4" max="4" width="9.140625" style="12"/>
    <col min="5" max="5" width="20.140625" style="37" customWidth="1"/>
    <col min="6" max="9" width="9.140625" style="12"/>
    <col min="10" max="10" width="19.85546875" style="12" bestFit="1" customWidth="1"/>
    <col min="11" max="16384" width="9.140625" style="12"/>
  </cols>
  <sheetData>
    <row r="1" spans="1:24" s="24" customFormat="1">
      <c r="A1" s="12"/>
      <c r="B1" s="12"/>
      <c r="C1" s="21" t="s">
        <v>102</v>
      </c>
      <c r="D1" s="22"/>
      <c r="E1" s="23"/>
      <c r="G1" s="206"/>
      <c r="H1" s="207"/>
      <c r="I1" s="207"/>
      <c r="J1" s="12"/>
    </row>
    <row r="2" spans="1:24" s="24" customFormat="1">
      <c r="B2" s="12"/>
      <c r="C2" s="170" t="s">
        <v>139</v>
      </c>
      <c r="D2" s="22"/>
      <c r="E2" s="25"/>
      <c r="J2" s="12"/>
    </row>
    <row r="3" spans="1:24" s="24" customFormat="1">
      <c r="B3" s="12"/>
      <c r="C3" s="43" t="s">
        <v>404</v>
      </c>
      <c r="D3" s="22"/>
      <c r="E3" s="25"/>
      <c r="J3" s="12"/>
    </row>
    <row r="4" spans="1:24">
      <c r="B4" s="42"/>
      <c r="C4" s="170" t="s">
        <v>426</v>
      </c>
      <c r="D4" s="42"/>
      <c r="E4" s="42"/>
      <c r="F4" s="42"/>
      <c r="G4" s="42"/>
      <c r="H4" s="42"/>
      <c r="I4" s="42"/>
      <c r="J4" s="42"/>
      <c r="K4" s="42"/>
      <c r="L4" s="42"/>
      <c r="M4" s="21"/>
      <c r="N4" s="21"/>
      <c r="O4" s="21"/>
    </row>
    <row r="5" spans="1:24">
      <c r="C5" s="15"/>
      <c r="D5" s="26"/>
      <c r="P5" s="41"/>
      <c r="Q5" s="41"/>
      <c r="R5" s="41"/>
      <c r="S5" s="41"/>
      <c r="T5" s="41"/>
      <c r="U5" s="41"/>
      <c r="V5" s="41"/>
      <c r="W5" s="41"/>
      <c r="X5" s="41"/>
    </row>
    <row r="6" spans="1:24">
      <c r="A6" s="15"/>
      <c r="C6" s="27"/>
      <c r="D6" s="26"/>
      <c r="E6" s="22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>
      <c r="A7" s="15"/>
      <c r="C7" s="27"/>
      <c r="D7" s="26"/>
      <c r="E7" s="22"/>
    </row>
    <row r="8" spans="1:24">
      <c r="A8" s="15"/>
      <c r="C8" s="26"/>
      <c r="D8" s="26"/>
      <c r="E8" s="60"/>
      <c r="F8" s="61"/>
      <c r="G8" s="61"/>
    </row>
    <row r="9" spans="1:24">
      <c r="A9" s="15" t="s">
        <v>121</v>
      </c>
      <c r="C9" s="15"/>
      <c r="D9" s="26"/>
      <c r="E9" s="15"/>
      <c r="J9" s="39" t="s">
        <v>141</v>
      </c>
      <c r="L9" s="17"/>
      <c r="M9" s="17"/>
      <c r="N9" s="17"/>
      <c r="O9" s="17"/>
    </row>
    <row r="10" spans="1:24">
      <c r="A10" s="16" t="s">
        <v>15</v>
      </c>
      <c r="C10" s="16" t="s">
        <v>62</v>
      </c>
      <c r="D10" s="26"/>
      <c r="E10" s="16" t="s">
        <v>131</v>
      </c>
      <c r="L10" s="17"/>
      <c r="M10" s="17"/>
      <c r="N10" s="17"/>
      <c r="O10" s="17"/>
    </row>
    <row r="11" spans="1:24">
      <c r="A11" s="15"/>
      <c r="C11" s="26"/>
      <c r="D11" s="26"/>
      <c r="E11" s="26"/>
      <c r="L11" s="17"/>
      <c r="M11" s="17"/>
      <c r="N11" s="17"/>
      <c r="O11" s="17"/>
    </row>
    <row r="12" spans="1:24">
      <c r="A12" s="13">
        <v>1</v>
      </c>
      <c r="C12" s="28" t="s">
        <v>132</v>
      </c>
      <c r="D12" s="26"/>
      <c r="E12" s="581">
        <v>1</v>
      </c>
      <c r="J12" s="29">
        <f>'RR SUMMARY'!F20</f>
        <v>-257.08014376560794</v>
      </c>
      <c r="L12" s="17"/>
      <c r="M12" s="208"/>
      <c r="N12" s="17"/>
      <c r="O12" s="17"/>
    </row>
    <row r="13" spans="1:24">
      <c r="A13" s="13"/>
      <c r="C13" s="28"/>
      <c r="D13" s="26"/>
      <c r="E13" s="581"/>
      <c r="L13" s="17"/>
      <c r="M13" s="17"/>
      <c r="N13" s="17"/>
      <c r="O13" s="17"/>
    </row>
    <row r="14" spans="1:24">
      <c r="A14" s="13"/>
      <c r="C14" s="28" t="s">
        <v>133</v>
      </c>
      <c r="D14" s="26"/>
      <c r="E14" s="581"/>
      <c r="L14" s="17"/>
      <c r="M14" s="17"/>
      <c r="N14" s="17"/>
      <c r="O14" s="17"/>
    </row>
    <row r="15" spans="1:24">
      <c r="A15" s="13">
        <v>2</v>
      </c>
      <c r="B15" s="14"/>
      <c r="C15" s="26" t="s">
        <v>134</v>
      </c>
      <c r="D15" s="26"/>
      <c r="E15" s="582">
        <v>3.7810000000000001E-3</v>
      </c>
      <c r="J15" s="30">
        <f>ROUND($J$12*E15,0)</f>
        <v>-1</v>
      </c>
      <c r="L15" s="17"/>
      <c r="M15" s="33"/>
      <c r="N15" s="17"/>
      <c r="O15" s="17"/>
    </row>
    <row r="16" spans="1:24">
      <c r="A16" s="13"/>
      <c r="C16" s="26"/>
      <c r="D16" s="26"/>
      <c r="E16" s="582"/>
      <c r="L16" s="17"/>
      <c r="M16" s="17"/>
      <c r="N16" s="17"/>
      <c r="O16" s="17"/>
    </row>
    <row r="17" spans="1:15">
      <c r="A17" s="13">
        <v>3</v>
      </c>
      <c r="C17" s="26" t="s">
        <v>135</v>
      </c>
      <c r="D17" s="26"/>
      <c r="E17" s="582">
        <v>2E-3</v>
      </c>
      <c r="J17" s="30">
        <f>ROUND($J$12*E17,0)</f>
        <v>-1</v>
      </c>
      <c r="L17" s="17"/>
      <c r="M17" s="33"/>
      <c r="N17" s="17"/>
      <c r="O17" s="17"/>
    </row>
    <row r="18" spans="1:15">
      <c r="A18" s="13"/>
      <c r="C18" s="26"/>
      <c r="D18" s="26"/>
      <c r="E18" s="582"/>
      <c r="L18" s="17"/>
      <c r="M18" s="17"/>
      <c r="N18" s="17"/>
      <c r="O18" s="17"/>
    </row>
    <row r="19" spans="1:15">
      <c r="A19" s="13">
        <v>4</v>
      </c>
      <c r="C19" s="26" t="s">
        <v>136</v>
      </c>
      <c r="D19" s="26"/>
      <c r="E19" s="582">
        <v>3.8373999999999998E-2</v>
      </c>
      <c r="J19" s="30">
        <f>ROUND($J$12*E19,0)</f>
        <v>-10</v>
      </c>
      <c r="L19" s="17"/>
      <c r="M19" s="33"/>
      <c r="N19" s="17"/>
      <c r="O19" s="17"/>
    </row>
    <row r="20" spans="1:15">
      <c r="A20" s="13"/>
      <c r="C20" s="26"/>
      <c r="D20" s="26"/>
      <c r="E20" s="38"/>
      <c r="L20" s="17"/>
      <c r="M20" s="17"/>
      <c r="N20" s="17"/>
      <c r="O20" s="17"/>
    </row>
    <row r="21" spans="1:15">
      <c r="A21" s="13">
        <v>6</v>
      </c>
      <c r="C21" s="26" t="s">
        <v>137</v>
      </c>
      <c r="D21" s="26"/>
      <c r="E21" s="211">
        <f>SUM(E15:E19)</f>
        <v>4.4155E-2</v>
      </c>
      <c r="J21" s="32">
        <f>SUM(J15:J20)</f>
        <v>-12</v>
      </c>
      <c r="L21" s="17"/>
      <c r="M21" s="33"/>
      <c r="N21" s="17"/>
      <c r="O21" s="17"/>
    </row>
    <row r="22" spans="1:15">
      <c r="A22" s="13"/>
      <c r="C22" s="26"/>
      <c r="D22" s="26"/>
      <c r="E22" s="210"/>
      <c r="J22" s="33"/>
      <c r="L22" s="17"/>
      <c r="M22" s="33"/>
      <c r="N22" s="17"/>
      <c r="O22" s="17"/>
    </row>
    <row r="23" spans="1:15">
      <c r="A23" s="13">
        <v>7</v>
      </c>
      <c r="C23" s="26" t="s">
        <v>138</v>
      </c>
      <c r="D23" s="26"/>
      <c r="E23" s="210">
        <f>E12-E21</f>
        <v>0.95584500000000006</v>
      </c>
      <c r="J23" s="33">
        <f>J12-J21</f>
        <v>-245.08014376560794</v>
      </c>
      <c r="L23" s="17"/>
      <c r="M23" s="33"/>
      <c r="N23" s="17"/>
      <c r="O23" s="17"/>
    </row>
    <row r="24" spans="1:15">
      <c r="A24" s="13"/>
      <c r="C24" s="26"/>
      <c r="D24" s="26"/>
      <c r="E24" s="210"/>
      <c r="L24" s="17"/>
      <c r="M24" s="17"/>
      <c r="N24" s="17"/>
      <c r="O24" s="17"/>
    </row>
    <row r="25" spans="1:15">
      <c r="A25" s="13">
        <v>8</v>
      </c>
      <c r="C25" s="26" t="s">
        <v>585</v>
      </c>
      <c r="D25" s="34"/>
      <c r="E25" s="210">
        <f>E23*0.21</f>
        <v>0.20072745</v>
      </c>
      <c r="J25" s="35">
        <f>ROUND(J23*0.35,0)</f>
        <v>-86</v>
      </c>
      <c r="L25" s="17"/>
      <c r="M25" s="33"/>
      <c r="N25" s="17"/>
      <c r="O25" s="17"/>
    </row>
    <row r="26" spans="1:15">
      <c r="C26" s="26"/>
      <c r="D26" s="26"/>
      <c r="E26" s="210"/>
      <c r="L26" s="17"/>
      <c r="M26" s="17"/>
      <c r="N26" s="17"/>
      <c r="O26" s="17"/>
    </row>
    <row r="27" spans="1:15" ht="13.5" thickBot="1">
      <c r="A27" s="13">
        <v>9</v>
      </c>
      <c r="C27" s="26" t="s">
        <v>139</v>
      </c>
      <c r="D27" s="26"/>
      <c r="E27" s="210">
        <f>ROUND(E23-E25,6)</f>
        <v>0.75511799999999996</v>
      </c>
      <c r="J27" s="36">
        <f>J23-J25</f>
        <v>-159.08014376560794</v>
      </c>
      <c r="L27" s="17"/>
      <c r="M27" s="209"/>
      <c r="N27" s="17"/>
      <c r="O27" s="17"/>
    </row>
    <row r="28" spans="1:15" ht="13.5" customHeight="1" thickTop="1">
      <c r="C28" s="26"/>
      <c r="D28" s="26"/>
      <c r="F28" s="937"/>
      <c r="G28" s="937"/>
      <c r="H28" s="937"/>
      <c r="L28" s="17"/>
      <c r="M28" s="17"/>
      <c r="N28" s="17"/>
      <c r="O28" s="17"/>
    </row>
    <row r="29" spans="1:15">
      <c r="C29" s="316"/>
      <c r="D29" s="26"/>
      <c r="F29" s="937"/>
      <c r="G29" s="937"/>
      <c r="H29" s="937"/>
      <c r="J29" s="30">
        <f>J27/E27</f>
        <v>-210.66925138270832</v>
      </c>
      <c r="K29" s="12" t="s">
        <v>396</v>
      </c>
      <c r="L29" s="17"/>
      <c r="M29" s="17"/>
      <c r="N29" s="17"/>
      <c r="O29" s="17"/>
    </row>
    <row r="30" spans="1:15">
      <c r="C30" s="26"/>
      <c r="D30" s="26"/>
      <c r="F30" s="937"/>
      <c r="G30" s="937"/>
      <c r="H30" s="937"/>
      <c r="J30" s="18">
        <f>J29-'RR SUMMARY'!F20</f>
        <v>46.410892382899618</v>
      </c>
      <c r="K30" s="12" t="s">
        <v>73</v>
      </c>
      <c r="L30" s="17"/>
      <c r="M30" s="17"/>
      <c r="N30" s="17"/>
      <c r="O30" s="17"/>
    </row>
    <row r="31" spans="1:15">
      <c r="C31" s="26"/>
      <c r="D31" s="26"/>
      <c r="L31" s="17"/>
      <c r="M31" s="17"/>
      <c r="N31" s="17"/>
      <c r="O31" s="17"/>
    </row>
    <row r="32" spans="1:15">
      <c r="C32" s="26"/>
      <c r="D32" s="26"/>
      <c r="L32" s="17"/>
      <c r="M32" s="17"/>
      <c r="N32" s="17"/>
      <c r="O32" s="17"/>
    </row>
    <row r="33" spans="3:15">
      <c r="C33" s="26"/>
      <c r="D33" s="26"/>
      <c r="L33" s="17"/>
      <c r="M33" s="17"/>
      <c r="N33" s="17"/>
      <c r="O33" s="17"/>
    </row>
    <row r="34" spans="3:15">
      <c r="C34" s="26"/>
      <c r="D34" s="26"/>
      <c r="L34" s="17"/>
      <c r="M34" s="17"/>
      <c r="N34" s="17"/>
      <c r="O34" s="17"/>
    </row>
    <row r="35" spans="3:15">
      <c r="C35" s="26"/>
      <c r="D35" s="26"/>
    </row>
    <row r="36" spans="3:15">
      <c r="C36" s="26"/>
      <c r="D36" s="26"/>
    </row>
    <row r="37" spans="3:15">
      <c r="C37" s="26"/>
      <c r="D37" s="26"/>
    </row>
    <row r="38" spans="3:15">
      <c r="C38" s="31"/>
      <c r="D38" s="26"/>
    </row>
    <row r="39" spans="3:15">
      <c r="C39" s="26"/>
      <c r="D39" s="26"/>
    </row>
    <row r="40" spans="3:15">
      <c r="C40" s="26"/>
      <c r="D40" s="26"/>
    </row>
    <row r="41" spans="3:15">
      <c r="C41" s="26"/>
      <c r="D41" s="26"/>
    </row>
    <row r="42" spans="3:15">
      <c r="C42" s="26"/>
      <c r="D42" s="26"/>
    </row>
    <row r="43" spans="3:15">
      <c r="C43" s="26"/>
      <c r="D43" s="26"/>
    </row>
    <row r="44" spans="3:15">
      <c r="C44" s="26"/>
    </row>
    <row r="45" spans="3:15">
      <c r="C45" s="26"/>
    </row>
    <row r="46" spans="3:15">
      <c r="C46" s="26"/>
      <c r="D46" s="26"/>
    </row>
    <row r="47" spans="3:15">
      <c r="C47" s="26"/>
      <c r="D47" s="26"/>
    </row>
    <row r="48" spans="3:15">
      <c r="C48" s="26"/>
      <c r="D48" s="26"/>
    </row>
    <row r="49" spans="3:4">
      <c r="C49" s="26"/>
      <c r="D49" s="26"/>
    </row>
    <row r="50" spans="3:4">
      <c r="C50" s="26"/>
      <c r="D50" s="26"/>
    </row>
    <row r="51" spans="3:4">
      <c r="C51" s="26"/>
      <c r="D51" s="26"/>
    </row>
    <row r="52" spans="3:4">
      <c r="C52" s="26"/>
      <c r="D52" s="26"/>
    </row>
    <row r="53" spans="3:4">
      <c r="D53" s="26"/>
    </row>
    <row r="54" spans="3:4">
      <c r="C54" s="26"/>
      <c r="D54" s="26"/>
    </row>
    <row r="55" spans="3:4">
      <c r="C55" s="26"/>
      <c r="D55" s="26"/>
    </row>
    <row r="82" spans="17:17">
      <c r="Q82" s="12">
        <f>Q88</f>
        <v>0</v>
      </c>
    </row>
  </sheetData>
  <mergeCells count="1">
    <mergeCell ref="F28:H30"/>
  </mergeCells>
  <phoneticPr fontId="0" type="noConversion"/>
  <pageMargins left="0.75" right="0.5" top="0.72" bottom="0.84" header="0.5" footer="0.5"/>
  <pageSetup scale="10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74"/>
  <sheetViews>
    <sheetView workbookViewId="0">
      <selection activeCell="M25" sqref="M25"/>
    </sheetView>
  </sheetViews>
  <sheetFormatPr defaultColWidth="9.140625" defaultRowHeight="12.75"/>
  <cols>
    <col min="1" max="1" width="9" style="393" bestFit="1" customWidth="1"/>
    <col min="2" max="2" width="9.140625" style="393"/>
    <col min="3" max="3" width="13.28515625" style="393" customWidth="1"/>
    <col min="4" max="4" width="9.140625" style="393"/>
    <col min="5" max="9" width="9.140625" style="419"/>
    <col min="10" max="16384" width="9.140625" style="393"/>
  </cols>
  <sheetData>
    <row r="1" spans="1:10">
      <c r="A1" s="457" t="s">
        <v>522</v>
      </c>
      <c r="B1" s="457"/>
      <c r="C1" s="457"/>
      <c r="D1" s="457"/>
    </row>
    <row r="2" spans="1:10">
      <c r="A2" s="457" t="s">
        <v>523</v>
      </c>
      <c r="B2" s="457"/>
      <c r="C2" s="457"/>
      <c r="D2" s="457"/>
    </row>
    <row r="3" spans="1:10">
      <c r="A3" s="457" t="s">
        <v>662</v>
      </c>
      <c r="B3" s="457"/>
      <c r="C3" s="457"/>
      <c r="D3" s="457"/>
    </row>
    <row r="4" spans="1:10">
      <c r="A4" s="457" t="s">
        <v>524</v>
      </c>
      <c r="B4" s="457"/>
      <c r="C4" s="457"/>
      <c r="D4" s="457"/>
    </row>
    <row r="5" spans="1:10">
      <c r="A5" s="457"/>
      <c r="B5" s="457"/>
      <c r="C5" s="457"/>
      <c r="D5" s="457"/>
      <c r="E5" s="346"/>
      <c r="F5" s="346"/>
      <c r="G5" s="346"/>
      <c r="H5" s="346"/>
      <c r="I5" s="346"/>
    </row>
    <row r="6" spans="1:10">
      <c r="A6" s="457"/>
      <c r="B6" s="457"/>
      <c r="C6" s="457"/>
      <c r="D6" s="457"/>
      <c r="E6" s="458">
        <v>2014</v>
      </c>
      <c r="F6" s="458">
        <v>2015</v>
      </c>
      <c r="G6" s="459" t="s">
        <v>452</v>
      </c>
      <c r="H6" s="459" t="s">
        <v>592</v>
      </c>
      <c r="I6" s="459" t="s">
        <v>420</v>
      </c>
    </row>
    <row r="9" spans="1:10">
      <c r="A9" s="393" t="s">
        <v>525</v>
      </c>
    </row>
    <row r="10" spans="1:10">
      <c r="A10" s="84">
        <v>21</v>
      </c>
      <c r="B10" s="86" t="s">
        <v>171</v>
      </c>
      <c r="C10" s="86"/>
      <c r="D10" s="86"/>
      <c r="E10" s="355">
        <v>4389</v>
      </c>
      <c r="F10" s="355">
        <v>5649</v>
      </c>
      <c r="G10" s="355">
        <v>6260</v>
      </c>
      <c r="H10" s="355">
        <v>7014</v>
      </c>
      <c r="I10" s="355">
        <v>8492</v>
      </c>
    </row>
    <row r="11" spans="1:10">
      <c r="A11" s="84">
        <v>22</v>
      </c>
      <c r="B11" s="359" t="s">
        <v>379</v>
      </c>
      <c r="C11" s="359"/>
      <c r="D11" s="86"/>
      <c r="E11" s="355">
        <v>-91</v>
      </c>
      <c r="F11" s="355">
        <v>-2087</v>
      </c>
      <c r="G11" s="355">
        <v>1079</v>
      </c>
      <c r="H11" s="355">
        <v>767</v>
      </c>
      <c r="I11" s="355">
        <v>-476</v>
      </c>
    </row>
    <row r="12" spans="1:10">
      <c r="A12" s="405"/>
    </row>
    <row r="13" spans="1:10">
      <c r="A13" s="405"/>
      <c r="B13" s="405"/>
      <c r="J13" s="419"/>
    </row>
    <row r="14" spans="1:10">
      <c r="A14" s="405" t="s">
        <v>526</v>
      </c>
      <c r="B14" s="405"/>
      <c r="E14" s="460">
        <f>2496+90</f>
        <v>2586</v>
      </c>
      <c r="F14" s="460">
        <f>2876+111</f>
        <v>2987</v>
      </c>
      <c r="G14" s="460">
        <f>3159+110</f>
        <v>3269</v>
      </c>
      <c r="H14" s="460">
        <f>3316+114</f>
        <v>3430</v>
      </c>
      <c r="I14" s="460">
        <f>4124+120</f>
        <v>4244</v>
      </c>
      <c r="J14" s="460"/>
    </row>
    <row r="15" spans="1:10">
      <c r="A15" s="405" t="s">
        <v>527</v>
      </c>
      <c r="E15" s="456">
        <v>1799</v>
      </c>
      <c r="F15" s="456">
        <v>2658</v>
      </c>
      <c r="G15" s="456">
        <v>2988</v>
      </c>
      <c r="H15" s="456">
        <v>3585</v>
      </c>
      <c r="I15" s="456">
        <v>4248</v>
      </c>
      <c r="J15" s="456"/>
    </row>
    <row r="16" spans="1:10">
      <c r="A16" s="405" t="s">
        <v>528</v>
      </c>
      <c r="E16" s="456">
        <v>4</v>
      </c>
      <c r="F16" s="456">
        <v>4</v>
      </c>
      <c r="G16" s="456">
        <v>3</v>
      </c>
      <c r="H16" s="456">
        <v>0</v>
      </c>
      <c r="I16" s="456">
        <v>0</v>
      </c>
      <c r="J16" s="419"/>
    </row>
    <row r="17" spans="1:10">
      <c r="A17" s="405" t="s">
        <v>599</v>
      </c>
      <c r="E17" s="456"/>
      <c r="F17" s="456"/>
      <c r="G17" s="456"/>
      <c r="H17" s="456">
        <v>-151</v>
      </c>
      <c r="I17" s="456">
        <f>-770+1</f>
        <v>-769</v>
      </c>
      <c r="J17" s="419"/>
    </row>
    <row r="18" spans="1:10">
      <c r="A18" s="405" t="s">
        <v>600</v>
      </c>
      <c r="E18" s="456"/>
      <c r="F18" s="456"/>
      <c r="G18" s="456"/>
      <c r="H18" s="456"/>
      <c r="I18" s="456">
        <f>7+235</f>
        <v>242</v>
      </c>
      <c r="J18" s="419"/>
    </row>
    <row r="19" spans="1:10">
      <c r="A19" s="405" t="s">
        <v>529</v>
      </c>
      <c r="E19" s="461">
        <f t="shared" ref="E19:I19" si="0">SUM(E14:E18)</f>
        <v>4389</v>
      </c>
      <c r="F19" s="461">
        <f t="shared" si="0"/>
        <v>5649</v>
      </c>
      <c r="G19" s="461">
        <f t="shared" si="0"/>
        <v>6260</v>
      </c>
      <c r="H19" s="462">
        <f t="shared" si="0"/>
        <v>6864</v>
      </c>
      <c r="I19" s="462">
        <f t="shared" si="0"/>
        <v>7965</v>
      </c>
    </row>
    <row r="20" spans="1:10">
      <c r="A20" s="405"/>
      <c r="E20" s="456"/>
      <c r="F20" s="456"/>
      <c r="G20" s="456"/>
      <c r="H20" s="456"/>
      <c r="I20" s="456"/>
    </row>
    <row r="21" spans="1:10">
      <c r="A21" s="405" t="s">
        <v>530</v>
      </c>
      <c r="B21" s="405"/>
      <c r="E21" s="463"/>
      <c r="F21" s="463"/>
      <c r="G21" s="463"/>
      <c r="H21" s="463"/>
      <c r="I21" s="463"/>
    </row>
    <row r="22" spans="1:10">
      <c r="A22" s="405" t="s">
        <v>531</v>
      </c>
      <c r="B22" s="405"/>
      <c r="E22" s="463"/>
      <c r="F22" s="463"/>
      <c r="G22" s="463"/>
      <c r="H22" s="463"/>
      <c r="I22" s="463"/>
    </row>
    <row r="23" spans="1:10">
      <c r="A23" s="405" t="s">
        <v>532</v>
      </c>
      <c r="E23" s="456">
        <v>-91</v>
      </c>
      <c r="F23" s="456">
        <v>0</v>
      </c>
      <c r="G23" s="456">
        <v>0</v>
      </c>
      <c r="H23" s="456">
        <v>0</v>
      </c>
      <c r="I23" s="456">
        <v>0</v>
      </c>
    </row>
    <row r="24" spans="1:10">
      <c r="A24" s="405" t="s">
        <v>533</v>
      </c>
      <c r="D24" s="405" t="s">
        <v>534</v>
      </c>
      <c r="E24" s="419">
        <v>0</v>
      </c>
      <c r="F24" s="419">
        <v>0</v>
      </c>
      <c r="G24" s="419">
        <v>0</v>
      </c>
      <c r="H24" s="419">
        <v>0</v>
      </c>
      <c r="I24" s="419">
        <v>0</v>
      </c>
    </row>
    <row r="25" spans="1:10">
      <c r="A25" s="675" t="s">
        <v>535</v>
      </c>
      <c r="B25" s="419"/>
      <c r="C25" s="419"/>
      <c r="D25" s="419"/>
      <c r="F25" s="456">
        <v>-2087</v>
      </c>
      <c r="G25" s="456">
        <v>1079</v>
      </c>
      <c r="H25" s="456">
        <v>1079</v>
      </c>
      <c r="I25" s="456">
        <v>0</v>
      </c>
      <c r="J25" s="393" t="s">
        <v>536</v>
      </c>
    </row>
    <row r="26" spans="1:10">
      <c r="A26" s="675" t="s">
        <v>569</v>
      </c>
      <c r="B26" s="419"/>
      <c r="C26" s="419"/>
      <c r="D26" s="419"/>
      <c r="F26" s="456"/>
      <c r="G26" s="456"/>
      <c r="H26" s="456">
        <v>0</v>
      </c>
      <c r="I26" s="456">
        <v>0</v>
      </c>
    </row>
    <row r="27" spans="1:10">
      <c r="A27" s="675" t="s">
        <v>594</v>
      </c>
      <c r="B27" s="419"/>
      <c r="C27" s="419"/>
      <c r="D27" s="419"/>
      <c r="F27" s="456"/>
      <c r="G27" s="456"/>
      <c r="H27" s="456">
        <v>0</v>
      </c>
      <c r="I27" s="456">
        <v>390</v>
      </c>
    </row>
    <row r="28" spans="1:10">
      <c r="A28" s="675" t="s">
        <v>595</v>
      </c>
      <c r="B28" s="419"/>
      <c r="C28" s="419"/>
      <c r="D28" s="419"/>
      <c r="F28" s="456"/>
      <c r="G28" s="456"/>
      <c r="H28" s="456">
        <v>-162</v>
      </c>
      <c r="I28" s="456">
        <v>-339</v>
      </c>
    </row>
    <row r="29" spans="1:10">
      <c r="A29" s="419"/>
      <c r="B29" s="419"/>
      <c r="C29" s="419"/>
      <c r="D29" s="419"/>
    </row>
    <row r="30" spans="1:10">
      <c r="A30" s="405" t="s">
        <v>537</v>
      </c>
      <c r="E30" s="465">
        <f t="shared" ref="E30:I30" si="1">SUM(E21:E29)</f>
        <v>-91</v>
      </c>
      <c r="F30" s="465">
        <f t="shared" si="1"/>
        <v>-2087</v>
      </c>
      <c r="G30" s="465">
        <f t="shared" si="1"/>
        <v>1079</v>
      </c>
      <c r="H30" s="465">
        <f t="shared" si="1"/>
        <v>917</v>
      </c>
      <c r="I30" s="465">
        <f t="shared" si="1"/>
        <v>51</v>
      </c>
    </row>
    <row r="32" spans="1:10">
      <c r="B32" s="405" t="s">
        <v>538</v>
      </c>
      <c r="E32" s="460">
        <f t="shared" ref="E32:I32" si="2">E19+E30</f>
        <v>4298</v>
      </c>
      <c r="F32" s="460">
        <f t="shared" si="2"/>
        <v>3562</v>
      </c>
      <c r="G32" s="460">
        <f t="shared" si="2"/>
        <v>7339</v>
      </c>
      <c r="H32" s="460">
        <f t="shared" si="2"/>
        <v>7781</v>
      </c>
      <c r="I32" s="460">
        <f t="shared" si="2"/>
        <v>8016</v>
      </c>
    </row>
    <row r="33" spans="1:9">
      <c r="E33" s="419" t="str">
        <f t="shared" ref="E33:I33" si="3">IF(E32=E10+E11,"","check")</f>
        <v/>
      </c>
      <c r="F33" s="419" t="str">
        <f t="shared" si="3"/>
        <v/>
      </c>
      <c r="G33" s="419" t="str">
        <f t="shared" si="3"/>
        <v/>
      </c>
      <c r="H33" s="419" t="str">
        <f t="shared" si="3"/>
        <v/>
      </c>
      <c r="I33" s="419" t="str">
        <f t="shared" si="3"/>
        <v/>
      </c>
    </row>
    <row r="34" spans="1:9">
      <c r="B34" s="393" t="s">
        <v>539</v>
      </c>
    </row>
    <row r="35" spans="1:9">
      <c r="E35" s="460">
        <f t="shared" ref="E35:I35" si="4">E30-E24</f>
        <v>-91</v>
      </c>
      <c r="F35" s="460">
        <f t="shared" si="4"/>
        <v>-2087</v>
      </c>
      <c r="G35" s="460">
        <f t="shared" si="4"/>
        <v>1079</v>
      </c>
      <c r="H35" s="460">
        <f t="shared" si="4"/>
        <v>917</v>
      </c>
      <c r="I35" s="460">
        <f t="shared" si="4"/>
        <v>51</v>
      </c>
    </row>
    <row r="36" spans="1:9">
      <c r="E36" s="460"/>
      <c r="F36" s="460"/>
      <c r="G36" s="460"/>
      <c r="H36" s="460"/>
      <c r="I36" s="460"/>
    </row>
    <row r="37" spans="1:9">
      <c r="E37" s="458">
        <v>2013</v>
      </c>
      <c r="F37" s="458">
        <f>F6</f>
        <v>2015</v>
      </c>
      <c r="G37" s="458" t="str">
        <f>G6</f>
        <v>2016</v>
      </c>
      <c r="H37" s="458" t="str">
        <f>H6</f>
        <v>2017</v>
      </c>
      <c r="I37" s="458" t="str">
        <f>I6</f>
        <v>2018</v>
      </c>
    </row>
    <row r="38" spans="1:9">
      <c r="A38" s="84"/>
      <c r="B38" s="64" t="s">
        <v>94</v>
      </c>
      <c r="C38" s="64"/>
      <c r="D38" s="64"/>
      <c r="E38" s="355"/>
      <c r="F38" s="355"/>
      <c r="G38" s="355"/>
      <c r="H38" s="355"/>
      <c r="I38" s="355"/>
    </row>
    <row r="39" spans="1:9">
      <c r="A39" s="84"/>
      <c r="B39" s="64" t="s">
        <v>95</v>
      </c>
      <c r="C39" s="64"/>
      <c r="D39" s="64"/>
      <c r="E39" s="355"/>
      <c r="F39" s="355"/>
      <c r="G39" s="355"/>
      <c r="H39" s="355"/>
      <c r="I39" s="355"/>
    </row>
    <row r="40" spans="1:9">
      <c r="A40" s="84">
        <v>32</v>
      </c>
      <c r="B40" s="86"/>
      <c r="C40" s="86" t="s">
        <v>35</v>
      </c>
      <c r="D40" s="86"/>
      <c r="E40" s="353">
        <v>25235</v>
      </c>
      <c r="F40" s="353">
        <v>25720</v>
      </c>
      <c r="G40" s="353">
        <v>26868</v>
      </c>
      <c r="H40" s="353">
        <v>27138</v>
      </c>
      <c r="I40" s="353">
        <v>28442</v>
      </c>
    </row>
    <row r="41" spans="1:9">
      <c r="A41" s="84">
        <v>33</v>
      </c>
      <c r="B41" s="86"/>
      <c r="C41" s="86" t="s">
        <v>53</v>
      </c>
      <c r="D41" s="86"/>
      <c r="E41" s="355">
        <v>337894</v>
      </c>
      <c r="F41" s="355">
        <v>360612</v>
      </c>
      <c r="G41" s="355">
        <v>390508</v>
      </c>
      <c r="H41" s="355">
        <v>422774</v>
      </c>
      <c r="I41" s="355">
        <v>455595</v>
      </c>
    </row>
    <row r="42" spans="1:9">
      <c r="A42" s="84">
        <v>34</v>
      </c>
      <c r="B42" s="86"/>
      <c r="C42" s="86" t="s">
        <v>54</v>
      </c>
      <c r="D42" s="86"/>
      <c r="E42" s="357">
        <v>59169</v>
      </c>
      <c r="F42" s="357">
        <v>75514</v>
      </c>
      <c r="G42" s="357">
        <f>25720+56904</f>
        <v>82624</v>
      </c>
      <c r="H42" s="357">
        <v>93491</v>
      </c>
      <c r="I42" s="357">
        <v>114053</v>
      </c>
    </row>
    <row r="43" spans="1:9">
      <c r="A43" s="84">
        <v>35</v>
      </c>
      <c r="B43" s="86" t="s">
        <v>55</v>
      </c>
      <c r="C43" s="86"/>
      <c r="D43" s="64"/>
      <c r="E43" s="355">
        <f t="shared" ref="E43:G43" si="5">SUM(E40:E42)</f>
        <v>422298</v>
      </c>
      <c r="F43" s="355">
        <f t="shared" si="5"/>
        <v>461846</v>
      </c>
      <c r="G43" s="355">
        <f t="shared" si="5"/>
        <v>500000</v>
      </c>
      <c r="H43" s="355">
        <f t="shared" ref="H43:I43" si="6">SUM(H40:H42)</f>
        <v>543403</v>
      </c>
      <c r="I43" s="355">
        <f t="shared" si="6"/>
        <v>598090</v>
      </c>
    </row>
    <row r="44" spans="1:9">
      <c r="A44" s="84"/>
      <c r="B44" s="86"/>
      <c r="C44" s="86"/>
      <c r="D44" s="64"/>
      <c r="E44" s="355"/>
      <c r="F44" s="355"/>
      <c r="G44" s="355"/>
      <c r="H44" s="355"/>
      <c r="I44" s="355"/>
    </row>
    <row r="45" spans="1:9">
      <c r="A45" s="84"/>
      <c r="B45" s="86" t="s">
        <v>173</v>
      </c>
      <c r="C45" s="86"/>
      <c r="D45" s="86"/>
      <c r="E45" s="355"/>
      <c r="F45" s="355"/>
      <c r="G45" s="355"/>
      <c r="H45" s="355"/>
      <c r="I45" s="355"/>
    </row>
    <row r="46" spans="1:9">
      <c r="A46" s="84">
        <v>36</v>
      </c>
      <c r="B46" s="86"/>
      <c r="C46" s="86" t="s">
        <v>35</v>
      </c>
      <c r="D46" s="86"/>
      <c r="E46" s="355">
        <v>9521</v>
      </c>
      <c r="F46" s="355">
        <v>9906</v>
      </c>
      <c r="G46" s="355">
        <v>10318</v>
      </c>
      <c r="H46" s="355">
        <v>10493</v>
      </c>
      <c r="I46" s="355">
        <v>11051</v>
      </c>
    </row>
    <row r="47" spans="1:9">
      <c r="A47" s="84">
        <v>37</v>
      </c>
      <c r="B47" s="86"/>
      <c r="C47" s="86" t="s">
        <v>53</v>
      </c>
      <c r="D47" s="86"/>
      <c r="E47" s="355">
        <v>114795</v>
      </c>
      <c r="F47" s="355">
        <v>121623</v>
      </c>
      <c r="G47" s="355">
        <v>129098</v>
      </c>
      <c r="H47" s="355">
        <v>136840</v>
      </c>
      <c r="I47" s="355">
        <v>144969</v>
      </c>
    </row>
    <row r="48" spans="1:9">
      <c r="A48" s="84">
        <v>38</v>
      </c>
      <c r="B48" s="86"/>
      <c r="C48" s="86" t="s">
        <v>54</v>
      </c>
      <c r="D48" s="86"/>
      <c r="E48" s="355">
        <v>17429</v>
      </c>
      <c r="F48" s="355">
        <v>20741</v>
      </c>
      <c r="G48" s="355">
        <v>23473</v>
      </c>
      <c r="H48" s="355">
        <v>27497</v>
      </c>
      <c r="I48" s="355">
        <v>32354</v>
      </c>
    </row>
    <row r="49" spans="1:9">
      <c r="A49" s="84">
        <v>39</v>
      </c>
      <c r="B49" s="86" t="s">
        <v>383</v>
      </c>
      <c r="C49" s="86"/>
      <c r="D49" s="64"/>
      <c r="E49" s="365">
        <f t="shared" ref="E49:G49" si="7">SUM(E46:E48)</f>
        <v>141745</v>
      </c>
      <c r="F49" s="365">
        <f t="shared" si="7"/>
        <v>152270</v>
      </c>
      <c r="G49" s="365">
        <f t="shared" si="7"/>
        <v>162889</v>
      </c>
      <c r="H49" s="365">
        <f t="shared" ref="H49:I49" si="8">SUM(H46:H48)</f>
        <v>174830</v>
      </c>
      <c r="I49" s="365">
        <f t="shared" si="8"/>
        <v>188374</v>
      </c>
    </row>
    <row r="50" spans="1:9">
      <c r="A50" s="84">
        <v>40</v>
      </c>
      <c r="B50" s="86" t="s">
        <v>148</v>
      </c>
      <c r="C50" s="86"/>
      <c r="D50" s="86"/>
      <c r="E50" s="367">
        <f t="shared" ref="E50:F50" si="9">E43-E49</f>
        <v>280553</v>
      </c>
      <c r="F50" s="367">
        <f t="shared" si="9"/>
        <v>309576</v>
      </c>
      <c r="G50" s="367">
        <f>G43-G49</f>
        <v>337111</v>
      </c>
      <c r="H50" s="367">
        <f t="shared" ref="H50:I50" si="10">H43-H49</f>
        <v>368573</v>
      </c>
      <c r="I50" s="367">
        <f t="shared" si="10"/>
        <v>409716</v>
      </c>
    </row>
    <row r="51" spans="1:9">
      <c r="A51" s="87">
        <v>41</v>
      </c>
      <c r="B51" s="88" t="s">
        <v>100</v>
      </c>
      <c r="C51" s="88"/>
      <c r="D51" s="88"/>
      <c r="E51" s="357">
        <v>-54652</v>
      </c>
      <c r="F51" s="357">
        <v>-64929</v>
      </c>
      <c r="G51" s="357">
        <v>-74181</v>
      </c>
      <c r="H51" s="357">
        <v>-83133</v>
      </c>
      <c r="I51" s="357">
        <v>-89585</v>
      </c>
    </row>
    <row r="52" spans="1:9">
      <c r="A52" s="87">
        <v>42</v>
      </c>
      <c r="B52" s="88" t="s">
        <v>174</v>
      </c>
      <c r="C52" s="88"/>
      <c r="D52" s="88"/>
      <c r="E52" s="367">
        <f t="shared" ref="E52:G52" si="11">E50+E51</f>
        <v>225901</v>
      </c>
      <c r="F52" s="367">
        <f t="shared" si="11"/>
        <v>244647</v>
      </c>
      <c r="G52" s="367">
        <f t="shared" si="11"/>
        <v>262930</v>
      </c>
      <c r="H52" s="367">
        <f t="shared" ref="H52:I52" si="12">H50+H51</f>
        <v>285440</v>
      </c>
      <c r="I52" s="367">
        <f t="shared" si="12"/>
        <v>320131</v>
      </c>
    </row>
    <row r="53" spans="1:9">
      <c r="A53" s="84">
        <v>43</v>
      </c>
      <c r="B53" s="86" t="s">
        <v>57</v>
      </c>
      <c r="C53" s="86"/>
      <c r="D53" s="86"/>
      <c r="E53" s="355">
        <v>14762</v>
      </c>
      <c r="F53" s="355">
        <v>12740</v>
      </c>
      <c r="G53" s="355">
        <f>4042+5074</f>
        <v>9116</v>
      </c>
      <c r="H53" s="355">
        <v>10595</v>
      </c>
      <c r="I53" s="355">
        <f>3960+4395</f>
        <v>8355</v>
      </c>
    </row>
    <row r="54" spans="1:9">
      <c r="A54" s="87">
        <v>44</v>
      </c>
      <c r="B54" s="88" t="s">
        <v>58</v>
      </c>
      <c r="C54" s="88"/>
      <c r="D54" s="88"/>
      <c r="E54" s="367">
        <v>0</v>
      </c>
      <c r="F54" s="367">
        <v>0</v>
      </c>
      <c r="G54" s="367">
        <v>0</v>
      </c>
      <c r="H54" s="367">
        <v>0</v>
      </c>
      <c r="I54" s="367">
        <v>0</v>
      </c>
    </row>
    <row r="55" spans="1:9">
      <c r="A55" s="87">
        <v>45</v>
      </c>
      <c r="B55" s="88" t="s">
        <v>384</v>
      </c>
      <c r="C55" s="88"/>
      <c r="D55" s="88"/>
      <c r="E55" s="367">
        <v>-479</v>
      </c>
      <c r="F55" s="367">
        <v>-485</v>
      </c>
      <c r="G55" s="367">
        <f>-12-472-126+361</f>
        <v>-249</v>
      </c>
      <c r="H55" s="367">
        <v>2064</v>
      </c>
      <c r="I55" s="367">
        <v>5331</v>
      </c>
    </row>
    <row r="56" spans="1:9">
      <c r="A56" s="84">
        <v>46</v>
      </c>
      <c r="B56" s="86" t="s">
        <v>151</v>
      </c>
      <c r="C56" s="86"/>
      <c r="D56" s="86"/>
      <c r="E56" s="357">
        <v>10073</v>
      </c>
      <c r="F56" s="357">
        <v>16069</v>
      </c>
      <c r="G56" s="357">
        <v>14800</v>
      </c>
      <c r="H56" s="357">
        <v>15075</v>
      </c>
      <c r="I56" s="357">
        <v>7549</v>
      </c>
    </row>
    <row r="57" spans="1:9">
      <c r="A57" s="84"/>
      <c r="B57" s="64"/>
      <c r="C57" s="64"/>
      <c r="D57" s="64"/>
      <c r="E57" s="351"/>
      <c r="F57" s="351"/>
      <c r="G57" s="351"/>
      <c r="H57" s="351"/>
      <c r="I57" s="351"/>
    </row>
    <row r="58" spans="1:9">
      <c r="A58" s="84"/>
      <c r="B58" s="64"/>
      <c r="C58" s="64"/>
      <c r="D58" s="64"/>
      <c r="E58" s="355"/>
      <c r="F58" s="355"/>
      <c r="G58" s="355"/>
      <c r="H58" s="355"/>
      <c r="I58" s="355"/>
    </row>
    <row r="59" spans="1:9" ht="13.5" thickBot="1">
      <c r="A59" s="67">
        <v>47</v>
      </c>
      <c r="B59" s="199" t="s">
        <v>59</v>
      </c>
      <c r="C59" s="199"/>
      <c r="D59" s="199"/>
      <c r="E59" s="360">
        <f t="shared" ref="E59:G59" si="13">SUM(E52:E56)</f>
        <v>250257</v>
      </c>
      <c r="F59" s="360">
        <f t="shared" si="13"/>
        <v>272971</v>
      </c>
      <c r="G59" s="360">
        <f t="shared" si="13"/>
        <v>286597</v>
      </c>
      <c r="H59" s="360">
        <f t="shared" ref="H59:I59" si="14">SUM(H52:H56)</f>
        <v>313174</v>
      </c>
      <c r="I59" s="360">
        <f t="shared" si="14"/>
        <v>341366</v>
      </c>
    </row>
    <row r="60" spans="1:9" ht="13.5" thickTop="1">
      <c r="A60" s="466"/>
      <c r="B60" s="467"/>
      <c r="C60" s="467"/>
      <c r="D60" s="467"/>
    </row>
    <row r="61" spans="1:9">
      <c r="E61" s="393" t="str">
        <f>IF('2007-2018 data'!F91=E59,"","check total")</f>
        <v/>
      </c>
      <c r="F61" s="393" t="str">
        <f>IF('2007-2018 data'!G91=F59,"","check total")</f>
        <v/>
      </c>
      <c r="G61" s="393" t="str">
        <f>IF('2007-2018 data'!H91=G59,"","check total")</f>
        <v/>
      </c>
      <c r="H61" s="393" t="str">
        <f>IF('2007-2018 data'!I91=H59,"","check total")</f>
        <v/>
      </c>
      <c r="I61" s="393" t="str">
        <f>IF('2007-2018 data'!J91=I59,"","check total")</f>
        <v/>
      </c>
    </row>
    <row r="63" spans="1:9">
      <c r="B63" s="394" t="s">
        <v>540</v>
      </c>
    </row>
    <row r="64" spans="1:9">
      <c r="A64" s="405" t="s">
        <v>541</v>
      </c>
      <c r="D64" s="468" t="s">
        <v>542</v>
      </c>
      <c r="E64" s="456">
        <v>0</v>
      </c>
      <c r="F64" s="456">
        <v>0</v>
      </c>
      <c r="G64" s="456">
        <v>0</v>
      </c>
      <c r="H64" s="456">
        <v>0</v>
      </c>
      <c r="I64" s="456">
        <v>0</v>
      </c>
    </row>
    <row r="65" spans="1:9">
      <c r="A65" s="405" t="s">
        <v>543</v>
      </c>
      <c r="D65" s="468" t="s">
        <v>544</v>
      </c>
      <c r="E65" s="456">
        <v>0</v>
      </c>
      <c r="F65" s="456">
        <v>0</v>
      </c>
      <c r="G65" s="456">
        <v>0</v>
      </c>
      <c r="H65" s="456">
        <v>0</v>
      </c>
      <c r="I65" s="456">
        <v>0</v>
      </c>
    </row>
    <row r="66" spans="1:9">
      <c r="A66" s="405" t="s">
        <v>372</v>
      </c>
      <c r="D66" s="468" t="s">
        <v>544</v>
      </c>
      <c r="E66" s="456">
        <v>-12</v>
      </c>
      <c r="F66" s="456">
        <v>-12</v>
      </c>
      <c r="G66" s="456">
        <v>-12</v>
      </c>
      <c r="H66" s="456">
        <v>-8</v>
      </c>
      <c r="I66" s="456">
        <v>0</v>
      </c>
    </row>
    <row r="67" spans="1:9">
      <c r="A67" s="405" t="s">
        <v>373</v>
      </c>
      <c r="D67" s="468" t="s">
        <v>544</v>
      </c>
      <c r="E67" s="456">
        <v>-467</v>
      </c>
      <c r="F67" s="456">
        <v>-473</v>
      </c>
      <c r="G67" s="456">
        <v>-472</v>
      </c>
      <c r="H67" s="456">
        <v>-538</v>
      </c>
      <c r="I67" s="456">
        <v>-566</v>
      </c>
    </row>
    <row r="68" spans="1:9">
      <c r="A68" s="405" t="s">
        <v>602</v>
      </c>
      <c r="D68" s="468" t="s">
        <v>545</v>
      </c>
      <c r="E68" s="456"/>
      <c r="F68" s="456"/>
      <c r="G68" s="456"/>
      <c r="H68" s="456"/>
      <c r="I68" s="456">
        <f>-753+8-6</f>
        <v>-751</v>
      </c>
    </row>
    <row r="69" spans="1:9">
      <c r="A69" s="405" t="s">
        <v>601</v>
      </c>
      <c r="D69" s="393" t="s">
        <v>545</v>
      </c>
      <c r="G69" s="419">
        <v>235</v>
      </c>
      <c r="H69" s="456">
        <f>2610</f>
        <v>2610</v>
      </c>
      <c r="I69" s="456">
        <f>6648</f>
        <v>6648</v>
      </c>
    </row>
    <row r="70" spans="1:9">
      <c r="A70" s="405" t="s">
        <v>24</v>
      </c>
      <c r="E70" s="460">
        <f>SUM(E64:E67)</f>
        <v>-479</v>
      </c>
      <c r="F70" s="460">
        <f>SUM(F64:F67)</f>
        <v>-485</v>
      </c>
      <c r="G70" s="460">
        <f>SUM(G64:G69)</f>
        <v>-249</v>
      </c>
      <c r="H70" s="460">
        <f>SUM(H64:H69)</f>
        <v>2064</v>
      </c>
      <c r="I70" s="460">
        <f>SUM(I64:I69)</f>
        <v>5331</v>
      </c>
    </row>
    <row r="71" spans="1:9">
      <c r="A71" s="405"/>
    </row>
    <row r="72" spans="1:9">
      <c r="A72" s="405" t="s">
        <v>53</v>
      </c>
    </row>
    <row r="73" spans="1:9">
      <c r="A73" s="405" t="s">
        <v>542</v>
      </c>
      <c r="I73" s="460"/>
    </row>
    <row r="74" spans="1:9">
      <c r="A74" s="405" t="s">
        <v>545</v>
      </c>
      <c r="E74" s="460">
        <f>SUM(E64:E67)</f>
        <v>-479</v>
      </c>
      <c r="F74" s="460">
        <f>SUM(F64:F67)</f>
        <v>-485</v>
      </c>
      <c r="G74" s="460">
        <f>SUM(G64:G69)</f>
        <v>-249</v>
      </c>
      <c r="H74" s="460">
        <f>SUM(H64:H69)</f>
        <v>2064</v>
      </c>
      <c r="I74" s="460">
        <f>SUM(I64:I69)</f>
        <v>5331</v>
      </c>
    </row>
  </sheetData>
  <pageMargins left="0.7" right="0.7" top="0.75" bottom="0.75" header="0.3" footer="0.55000000000000004"/>
  <pageSetup scale="74" orientation="portrait" r:id="rId1"/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2020-04-14T22:03:39+00:00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0AD3C32-7AF8-49EB-93D5-8EBC34465C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9E4359-50CF-4F40-8270-BE3C12D9EED7}"/>
</file>

<file path=customXml/itemProps3.xml><?xml version="1.0" encoding="utf-8"?>
<ds:datastoreItem xmlns:ds="http://schemas.openxmlformats.org/officeDocument/2006/customXml" ds:itemID="{4BBBA5E0-5DC9-4BE1-B138-CD33C038DA5B}"/>
</file>

<file path=customXml/itemProps4.xml><?xml version="1.0" encoding="utf-8"?>
<ds:datastoreItem xmlns:ds="http://schemas.openxmlformats.org/officeDocument/2006/customXml" ds:itemID="{9C54B17A-4C8E-4CAA-8421-3B5486A780B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c463f71-b30c-4ab2-9473-d307f9d3588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Growth Rate Table</vt:lpstr>
      <vt:lpstr>ADJ DETAIL INPUT-Restated CB</vt:lpstr>
      <vt:lpstr>2007-2018 data</vt:lpstr>
      <vt:lpstr>WA Natural Gas</vt:lpstr>
      <vt:lpstr>ADJ SUMMARY</vt:lpstr>
      <vt:lpstr>RR SUMMARY</vt:lpstr>
      <vt:lpstr>CF</vt:lpstr>
      <vt:lpstr>Reg Amort and Other RB</vt:lpstr>
      <vt:lpstr>Riders and Gas Cost Revenue</vt:lpstr>
      <vt:lpstr>DEBT CALC</vt:lpstr>
      <vt:lpstr>ROO INPUT</vt:lpstr>
      <vt:lpstr>'DEBT CALC'!ID_Elec</vt:lpstr>
      <vt:lpstr>'2007-2018 data'!Print_Area</vt:lpstr>
      <vt:lpstr>'ADJ DETAIL INPUT-Restated CB'!Print_Area</vt:lpstr>
      <vt:lpstr>'ADJ SUMMARY'!Print_Area</vt:lpstr>
      <vt:lpstr>CF!Print_Area</vt:lpstr>
      <vt:lpstr>'DEBT CALC'!Print_Area</vt:lpstr>
      <vt:lpstr>'Growth Rate Table'!Print_Area</vt:lpstr>
      <vt:lpstr>'Riders and Gas Cost Revenue'!Print_Area</vt:lpstr>
      <vt:lpstr>'ROO INPUT'!Print_Area</vt:lpstr>
      <vt:lpstr>'RR SUMMARY'!Print_Area</vt:lpstr>
      <vt:lpstr>'WA Natural Gas'!Print_Area</vt:lpstr>
      <vt:lpstr>'2007-2018 data'!Print_Titles</vt:lpstr>
      <vt:lpstr>'ADJ DETAIL INPUT-Restated CB'!Print_Titles</vt:lpstr>
      <vt:lpstr>'Riders and Gas Cost Revenue'!Print_Titles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Brewster, Stacey (UTC)</cp:lastModifiedBy>
  <cp:lastPrinted>2019-04-22T19:22:10Z</cp:lastPrinted>
  <dcterms:created xsi:type="dcterms:W3CDTF">1997-05-15T21:41:44Z</dcterms:created>
  <dcterms:modified xsi:type="dcterms:W3CDTF">2020-03-27T17:45:45Z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