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8800" windowHeight="13020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AF35" i="76" l="1"/>
  <c r="AJ70" i="1" l="1"/>
  <c r="AJ44" i="1"/>
  <c r="AJ64" i="1" l="1"/>
  <c r="L11" i="55" l="1"/>
  <c r="N11" i="55" s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47" i="1"/>
  <c r="AJ36" i="1"/>
  <c r="AJ30" i="1"/>
  <c r="AJ24" i="1"/>
  <c r="AJ17" i="1"/>
  <c r="X10" i="1" l="1"/>
  <c r="X11" i="76" s="1"/>
  <c r="AJ72" i="1"/>
  <c r="AJ74" i="1" s="1"/>
  <c r="AJ81" i="1" s="1"/>
  <c r="AJ54" i="1" s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F43" i="55" s="1"/>
  <c r="F36" i="55" s="1"/>
  <c r="F39" i="55" s="1"/>
  <c r="H39" i="55" s="1"/>
  <c r="O60" i="69" l="1"/>
  <c r="J12" i="56"/>
  <c r="J17" i="56" s="1"/>
  <c r="I44" i="54" s="1"/>
  <c r="I48" i="54" s="1"/>
  <c r="F27" i="55"/>
  <c r="O55" i="69"/>
  <c r="O56" i="69" s="1"/>
  <c r="F31" i="55"/>
  <c r="I15" i="54"/>
  <c r="J15" i="54" s="1"/>
  <c r="J18" i="54" s="1"/>
  <c r="J15" i="56" l="1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  <c r="G39" i="55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<sst xmlns="http://schemas.openxmlformats.org/spreadsheetml/2006/main" count="934" uniqueCount="562">
  <si>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</si>
  <si>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</si>
  <si>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</si>
  <si>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</si>
  <si>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</si>
  <si>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</si>
  <si>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</si>
  <si>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</si>
  <si>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</si>
  <si>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</si>
  <si>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</si>
  <si>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</si>
  <si>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</si>
  <si>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</si>
  <si>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</si>
  <si>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</si>
  <si>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</si>
  <si>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</si>
  <si>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</si>
  <si>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</si>
  <si>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</si>
  <si>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</si>
  <si>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</si>
  <si>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</si>
  <si>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</si>
  <si>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</si>
  <si>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</si>
  <si>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</si>
  <si>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</si>
  <si>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</si>
  <si>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</si>
  <si>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</si>
  <si>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</si>
  <si>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</si>
  <si>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</si>
  <si>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</si>
  <si>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</si>
  <si>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</si>
  <si>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</si>
  <si>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</si>
  <si>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</si>
  <si>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</si>
  <si>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</si>
  <si>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</si>
  <si>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</si>
  <si>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</si>
  <si>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</si>
  <si>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</si>
  <si>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</si>
  <si>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</si>
  <si>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</si>
  <si>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</si>
  <si>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</si>
  <si>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</si>
  <si>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</si>
  <si>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</si>
  <si>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</si>
  <si>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</si>
  <si>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</si>
  <si>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</si>
  <si>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</si>
  <si>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</si>
  <si>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</si>
  <si>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</si>
  <si>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</si>
  <si>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</si>
  <si>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</si>
  <si>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</si>
  <si>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</si>
  <si>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</si>
  <si>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</si>
  <si>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</si>
  <si>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</si>
  <si>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</si>
  <si>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</si>
  <si>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</si>
  <si>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</si>
  <si>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</si>
  <si>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</si>
  <si>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</si>
  <si>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</si>
  <si>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</si>
  <si>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</si>
  <si>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</si>
  <si>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</si>
  <si>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</si>
  <si>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</si>
  <si>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</si>
  <si>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</si>
  <si>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</si>
  <si>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</si>
  <si>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</si>
  <si>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</si>
  <si>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</si>
  <si>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</si>
  <si>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</si>
  <si>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</si>
  <si>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</si>
  <si>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</si>
  <si>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</si>
  <si>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</si>
  <si>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</si>
  <si>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</si>
  <si>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</si>
  <si>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</si>
  <si>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</si>
  <si>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</si>
  <si>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</si>
  <si>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</si>
  <si>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</si>
  <si>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</si>
  <si>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</si>
  <si>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</si>
  <si>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</si>
  <si>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</si>
  <si>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</si>
  <si>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</si>
  <si>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</si>
  <si>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</si>
  <si>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</si>
  <si>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</si>
  <si>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</si>
  <si>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</si>
  <si>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</si>
  <si>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</si>
  <si>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</si>
  <si>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</si>
  <si>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</si>
  <si>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</si>
  <si>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</si>
  <si>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</si>
  <si>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</si>
  <si>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</si>
  <si>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</si>
  <si>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</si>
  <si>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</si>
  <si>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</si>
  <si>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</si>
  <si>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</si>
  <si>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</si>
  <si>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</si>
  <si>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</si>
  <si>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</si>
  <si>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</si>
  <si>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</si>
  <si>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</si>
  <si>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</si>
  <si>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</si>
  <si>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</si>
  <si>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</si>
  <si>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</si>
  <si>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</si>
  <si>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</si>
  <si>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</si>
  <si>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</si>
  <si>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</si>
  <si>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</si>
  <si>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</si>
  <si>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</si>
  <si>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</si>
  <si>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</si>
  <si>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</si>
  <si>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</si>
  <si>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</si>
  <si>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</si>
  <si>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</si>
  <si>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</si>
  <si>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</si>
  <si>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</si>
  <si>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</si>
  <si>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</si>
  <si>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</si>
  <si>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</si>
  <si>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</si>
  <si>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</si>
  <si>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</si>
  <si>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</si>
  <si>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</si>
  <si>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</si>
  <si>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</si>
  <si>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</si>
  <si>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</si>
  <si>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</si>
  <si>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</si>
  <si>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</si>
  <si>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</si>
  <si>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</si>
  <si>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</si>
  <si>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</si>
  <si>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</si>
  <si>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</si>
  <si>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</si>
  <si>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</si>
  <si>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</si>
  <si>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</si>
  <si>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</si>
  <si>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</si>
  <si>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</si>
  <si>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</si>
  <si>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</si>
  <si>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</si>
  <si>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</si>
  <si>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</si>
  <si>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</si>
  <si>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</si>
  <si>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</si>
  <si>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</si>
  <si>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</si>
  <si>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</si>
  <si>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</si>
  <si>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</si>
  <si>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</si>
  <si>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</si>
  <si>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</si>
  <si>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</si>
  <si>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</si>
  <si>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</si>
  <si>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</si>
  <si>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</si>
  <si>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</si>
  <si>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</si>
  <si>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</si>
  <si>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</si>
  <si>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</si>
  <si>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</si>
  <si>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</si>
  <si>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</si>
  <si>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</si>
  <si>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</si>
  <si>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</si>
  <si>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</si>
  <si>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</si>
  <si>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</si>
  <si>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</si>
  <si>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</si>
  <si>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</si>
  <si>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</si>
  <si>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</si>
  <si>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</si>
  <si>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</si>
  <si>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</si>
  <si>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</si>
  <si>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</si>
  <si>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</si>
  <si>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</si>
  <si>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</si>
  <si>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</si>
  <si>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</si>
  <si>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</si>
  <si>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</si>
  <si>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</si>
  <si>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</si>
  <si>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</si>
  <si>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</si>
  <si>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</si>
  <si>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</si>
  <si>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</si>
  <si>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</si>
  <si>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</si>
  <si>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</si>
  <si>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</si>
  <si>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</si>
  <si>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</si>
  <si>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</si>
  <si>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</si>
  <si>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</si>
  <si>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</si>
  <si>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</si>
  <si>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</si>
  <si>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</si>
  <si>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</si>
  <si>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</si>
  <si>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</si>
  <si>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</si>
  <si>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</si>
  <si>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</si>
  <si>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</si>
  <si>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</si>
  <si>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</si>
  <si>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</si>
  <si>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</si>
  <si>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</si>
  <si>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</si>
  <si>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</si>
  <si>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</si>
  <si>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</si>
  <si>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</si>
  <si>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</si>
  <si>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</si>
  <si>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</si>
  <si>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</si>
  <si>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</si>
  <si>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</si>
  <si>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</si>
  <si>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</si>
  <si>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</si>
  <si>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</si>
  <si>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</si>
  <si>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</si>
  <si>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</si>
  <si>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</si>
  <si>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</si>
  <si>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</si>
  <si>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</si>
  <si>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</si>
  <si>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</si>
  <si>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</si>
  <si>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</si>
  <si>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</si>
  <si>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</si>
  <si>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</si>
  <si>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</si>
  <si>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</si>
  <si>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</si>
  <si>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</si>
  <si>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</si>
  <si>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</si>
  <si>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</si>
  <si>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</si>
  <si>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</si>
  <si>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</si>
  <si>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</si>
  <si>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</si>
  <si>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</si>
  <si>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</si>
  <si>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</si>
  <si>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</si>
  <si>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</si>
  <si>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</si>
  <si>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</si>
  <si>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</si>
  <si>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</si>
  <si>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</si>
  <si>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</si>
  <si>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</si>
  <si>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</si>
  <si>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</si>
  <si>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</si>
  <si>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</si>
  <si>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</si>
  <si>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</si>
  <si>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</si>
  <si>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</si>
  <si>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</si>
  <si>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</si>
  <si>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</si>
  <si>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</si>
  <si>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</si>
  <si>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</si>
  <si>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</si>
  <si>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</si>
  <si>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</si>
  <si>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</si>
  <si>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</si>
  <si>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</si>
  <si>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</si>
  <si>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</si>
  <si>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</si>
  <si>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</si>
  <si>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</si>
  <si>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</si>
  <si>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</si>
  <si>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</si>
  <si>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</si>
  <si>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</si>
  <si>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</si>
  <si>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</si>
  <si>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</si>
  <si>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</si>
  <si>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</si>
  <si>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</si>
  <si>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</si>
  <si>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</si>
  <si>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</si>
  <si>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</si>
  <si>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</si>
  <si>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</si>
  <si>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</si>
  <si>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</si>
  <si>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</si>
  <si>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</si>
  <si>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</si>
  <si>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</si>
  <si>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</si>
  <si>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</si>
  <si>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</si>
  <si>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</si>
  <si>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</si>
  <si>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</si>
  <si>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</si>
  <si>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</si>
  <si>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</si>
  <si>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</si>
  <si>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</si>
  <si>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</si>
  <si>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</si>
  <si>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</si>
  <si>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</si>
  <si>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</si>
  <si>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</si>
  <si>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</si>
  <si>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</si>
  <si>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</si>
  <si>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</si>
  <si>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</si>
  <si>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</si>
  <si>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</si>
  <si>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</si>
  <si>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</si>
  <si>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</si>
  <si>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</si>
  <si>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</si>
  <si>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</si>
  <si>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</si>
  <si>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</si>
  <si>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</si>
  <si>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</si>
  <si>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</si>
  <si>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</si>
  <si>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</si>
  <si>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</si>
  <si>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</si>
  <si>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</si>
  <si>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</si>
  <si>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</si>
  <si>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</si>
  <si>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</si>
  <si>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</si>
  <si>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</si>
  <si>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</si>
  <si>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</si>
  <si>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</si>
  <si>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</si>
  <si>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</si>
  <si>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</si>
  <si>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</si>
  <si>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</si>
  <si>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</si>
  <si>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</si>
  <si>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</si>
  <si>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</si>
  <si>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</si>
  <si>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</si>
  <si>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</si>
  <si>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</si>
  <si>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</si>
  <si>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</si>
  <si>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</si>
  <si>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</si>
  <si>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</si>
  <si>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</si>
  <si>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</si>
  <si>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</si>
  <si>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</si>
  <si>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</si>
  <si>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</si>
  <si>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</si>
  <si>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</si>
  <si>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</si>
  <si>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</si>
  <si>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</si>
  <si>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</si>
  <si>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</si>
  <si>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</si>
  <si>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</si>
  <si>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</si>
  <si>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</si>
  <si>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</si>
  <si>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</si>
  <si>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</si>
  <si>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</si>
  <si>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</si>
  <si>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</si>
  <si>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</si>
  <si>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</si>
  <si>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</si>
  <si>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</si>
  <si>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</si>
  <si>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</si>
  <si>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</si>
  <si>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</si>
  <si>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</si>
  <si>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</si>
  <si>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</si>
  <si>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</si>
  <si>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</si>
  <si>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</si>
  <si>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</si>
  <si>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</si>
  <si>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</si>
  <si>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</si>
  <si>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</si>
  <si>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</si>
  <si>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</si>
  <si>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</si>
  <si>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</si>
  <si>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</si>
  <si>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</si>
  <si>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</si>
  <si>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</si>
  <si>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</si>
  <si>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</si>
  <si>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</si>
  <si>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</si>
  <si>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</si>
  <si>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</si>
  <si>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</si>
  <si>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</si>
  <si>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</si>
  <si>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</si>
  <si>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</si>
  <si>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</si>
  <si>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</si>
  <si>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</si>
  <si>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</si>
  <si>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</si>
  <si>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</si>
  <si>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</si>
  <si>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</si>
  <si>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</si>
  <si>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</si>
  <si>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</si>
  <si>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</si>
  <si>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</si>
  <si>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</si>
  <si>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</si>
  <si>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</si>
  <si>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</si>
  <si>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</si>
  <si>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</si>
  <si>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</si>
  <si>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</si>
  <si>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</si>
  <si>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</si>
  <si>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</si>
  <si>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</si>
  <si>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</si>
  <si>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</si>
  <si>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</si>
  <si>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</si>
  <si>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</si>
  <si>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</si>
  <si>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</si>
  <si>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</si>
  <si>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Incremental Revenue</t>
  </si>
  <si>
    <t>Incremental         % (Base)</t>
  </si>
  <si>
    <t>Incremental         % (Billed)</t>
  </si>
  <si>
    <t>*</t>
  </si>
  <si>
    <t>April 1, 2020</t>
  </si>
  <si>
    <t>04.2020</t>
  </si>
  <si>
    <t>04.01.2020</t>
  </si>
  <si>
    <t>WITH 04.01.2020 PROPOSED RATES</t>
  </si>
  <si>
    <t>Revenue Growth Rate %</t>
  </si>
  <si>
    <t xml:space="preserve"> Delivery Related Revenues 4/1/2020</t>
  </si>
  <si>
    <t>4/1/2020 Proposed Revenue Increase from line 7</t>
  </si>
  <si>
    <t>Current Delivery Related Revenues per Exh. EMA-x, pg x</t>
  </si>
  <si>
    <t>Rate Year 2: 4/1/2021 -3/31/2022</t>
  </si>
  <si>
    <t>Prior</t>
  </si>
  <si>
    <t>($92,722 + $12,935 = $105,657)</t>
  </si>
  <si>
    <t>Revenue Growth Rate and Revenue Adjustment for Rate Year 2 (4/1/2021)</t>
  </si>
  <si>
    <t>per Exh. EMA-5, pg. 1</t>
  </si>
  <si>
    <t>2019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</si>
</sst>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46" fillId="0" borderId="0" xfId="0" applyFont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Alignment="1">
      <alignment horizontal="right"/>
    </xf>
    <xf numFmtId="10" fontId="10" fillId="0" borderId="10" xfId="20" applyNumberFormat="1" applyFont="1" applyFill="1" applyBorder="1" applyAlignment="1">
      <alignment horizontal="right"/>
    </xf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10" xfId="2" applyNumberFormat="1" applyFont="1" applyFill="1" applyBorder="1"/>
    <xf numFmtId="174" fontId="10" fillId="0" borderId="0" xfId="2" applyNumberFormat="1" applyFont="1" applyFill="1" applyBorder="1"/>
    <xf numFmtId="0" fontId="17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74" fontId="10" fillId="0" borderId="18" xfId="2" applyNumberFormat="1" applyFont="1" applyFill="1" applyBorder="1"/>
    <xf numFmtId="10" fontId="9" fillId="0" borderId="0" xfId="7" applyNumberFormat="1" applyFont="1" applyFill="1" applyAlignment="1">
      <alignment horizontal="center"/>
    </xf>
    <xf numFmtId="10" fontId="10" fillId="0" borderId="18" xfId="7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0" fontId="10" fillId="0" borderId="0" xfId="0" applyFont="1" applyAlignment="1">
      <alignment horizontal="right"/>
    </xf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5" fontId="10" fillId="0" borderId="15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/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tabSelected="1"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60" t="s">
        <v>548</v>
      </c>
      <c r="G6" s="761"/>
      <c r="H6" s="761"/>
      <c r="I6" s="761"/>
      <c r="J6" s="762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551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549</v>
      </c>
      <c r="I8" s="42" t="s">
        <v>144</v>
      </c>
      <c r="J8" s="495" t="s">
        <v>550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444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12935</v>
      </c>
      <c r="J15" s="70">
        <f>H15+I15</f>
        <v>101687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12935</v>
      </c>
      <c r="J18" s="304">
        <f t="shared" si="0"/>
        <v>106975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44</v>
      </c>
      <c r="H23" s="304">
        <f>'ADJ DETAIL INPUT'!AN22</f>
        <v>999</v>
      </c>
      <c r="I23" s="304"/>
      <c r="J23" s="304">
        <f>H23+I23</f>
        <v>999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-90333</v>
      </c>
      <c r="H25" s="304">
        <f t="shared" si="1"/>
        <v>999</v>
      </c>
      <c r="I25" s="304">
        <f t="shared" si="1"/>
        <v>0</v>
      </c>
      <c r="J25" s="304">
        <f t="shared" si="1"/>
        <v>999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-49</v>
      </c>
      <c r="H30" s="306">
        <f>'ADJ DETAIL INPUT'!AN29</f>
        <v>253</v>
      </c>
      <c r="I30" s="306"/>
      <c r="J30" s="306">
        <f>H30+I30</f>
        <v>253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-250</v>
      </c>
      <c r="H31" s="304">
        <f>SUM(H28:H30)</f>
        <v>2211</v>
      </c>
      <c r="I31" s="304">
        <f>SUM(I28:I30)</f>
        <v>0</v>
      </c>
      <c r="J31" s="304">
        <f>SUM(J28:J30)</f>
        <v>2211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682</v>
      </c>
      <c r="H34" s="304">
        <f>'ADJ DETAIL INPUT'!AN33</f>
        <v>12998</v>
      </c>
      <c r="I34" s="304"/>
      <c r="J34" s="304">
        <f>H34+I34</f>
        <v>12998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170</v>
      </c>
      <c r="H35" s="304">
        <f>'ADJ DETAIL INPUT'!AN34</f>
        <v>11812</v>
      </c>
      <c r="I35" s="304"/>
      <c r="J35" s="304">
        <f>H35+I35</f>
        <v>11812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-6453</v>
      </c>
      <c r="H36" s="306">
        <f>'ADJ DETAIL INPUT'!AN35</f>
        <v>7675</v>
      </c>
      <c r="I36" s="306">
        <f>CF!J19</f>
        <v>496</v>
      </c>
      <c r="J36" s="306">
        <f>H36+I36</f>
        <v>8171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-5601</v>
      </c>
      <c r="H37" s="304">
        <f t="shared" si="2"/>
        <v>32485</v>
      </c>
      <c r="I37" s="304">
        <f t="shared" si="2"/>
        <v>496</v>
      </c>
      <c r="J37" s="304">
        <f t="shared" si="2"/>
        <v>32981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-137</v>
      </c>
      <c r="H39" s="304">
        <f>'ADJ DETAIL INPUT'!AN38</f>
        <v>7097</v>
      </c>
      <c r="I39" s="304">
        <f>CF!J15</f>
        <v>49</v>
      </c>
      <c r="J39" s="304">
        <f>H39+I39</f>
        <v>7146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-6834</v>
      </c>
      <c r="H40" s="304">
        <f>'ADJ DETAIL INPUT'!AN39</f>
        <v>1259</v>
      </c>
      <c r="I40" s="304"/>
      <c r="J40" s="304">
        <f>H40+I40</f>
        <v>1259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586</v>
      </c>
      <c r="H44" s="304">
        <f>'ADJ DETAIL INPUT'!AN43</f>
        <v>15631</v>
      </c>
      <c r="I44" s="304">
        <f>CF!J17</f>
        <v>26</v>
      </c>
      <c r="J44" s="304">
        <f>H44+I44</f>
        <v>15657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1692</v>
      </c>
      <c r="H45" s="304">
        <f>'ADJ DETAIL INPUT'!AN44</f>
        <v>10184</v>
      </c>
      <c r="I45" s="304"/>
      <c r="J45" s="304">
        <f>H45+I45</f>
        <v>10184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5942</v>
      </c>
      <c r="H48" s="309">
        <f t="shared" si="3"/>
        <v>27920</v>
      </c>
      <c r="I48" s="309">
        <f t="shared" si="3"/>
        <v>26</v>
      </c>
      <c r="J48" s="309">
        <f t="shared" si="3"/>
        <v>27946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-97213</v>
      </c>
      <c r="H49" s="306">
        <f>H48+H37+H31+H25+H39+H40+H41</f>
        <v>71971</v>
      </c>
      <c r="I49" s="306">
        <f>I48+I37+I31+I25+I39+I40+I41</f>
        <v>571</v>
      </c>
      <c r="J49" s="306">
        <f>J48+J37+J31+J25+J39+J40+J41</f>
        <v>72542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-5141</v>
      </c>
      <c r="H51" s="304">
        <f>H18-H49</f>
        <v>22069</v>
      </c>
      <c r="I51" s="304">
        <f>I18-I49</f>
        <v>12364</v>
      </c>
      <c r="J51" s="304">
        <f>J18-J49</f>
        <v>34433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-830.6099999999999</v>
      </c>
      <c r="H54" s="304">
        <f>'ADJ DETAIL INPUT'!AN53</f>
        <v>1726.39</v>
      </c>
      <c r="I54" s="304">
        <f>CF!J25</f>
        <v>2596</v>
      </c>
      <c r="J54" s="304">
        <f>H54+I54</f>
        <v>4322.3900000000003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-271.64180400000004</v>
      </c>
      <c r="H55" s="304">
        <f>'ADJ DETAIL INPUT'!AN54</f>
        <v>-271.64180400000004</v>
      </c>
      <c r="I55" s="304">
        <f>CF!J26</f>
        <v>0</v>
      </c>
      <c r="J55" s="304">
        <f>H55+I55</f>
        <v>-271.64180400000004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-4377.7481960000005</v>
      </c>
      <c r="H59" s="311">
        <f>H51-SUM(H54:H57)</f>
        <v>20236.251804</v>
      </c>
      <c r="I59" s="311">
        <f>I51-SUM(I54:I57)</f>
        <v>9768</v>
      </c>
      <c r="J59" s="311">
        <f>J51-SUM(J54:J57)</f>
        <v>30004.251804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31960</v>
      </c>
      <c r="H64" s="304">
        <f>'ADJ DETAIL INPUT'!AN63</f>
        <v>494596</v>
      </c>
      <c r="I64" s="304"/>
      <c r="J64" s="304">
        <f>H64+I64</f>
        <v>494596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24861</v>
      </c>
      <c r="H65" s="306">
        <f>'ADJ DETAIL INPUT'!AN64</f>
        <v>138914</v>
      </c>
      <c r="I65" s="306"/>
      <c r="J65" s="306">
        <f>H65+I65</f>
        <v>138914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57421</v>
      </c>
      <c r="H66" s="312">
        <f t="shared" si="4"/>
        <v>662552</v>
      </c>
      <c r="I66" s="312">
        <f t="shared" si="4"/>
        <v>0</v>
      </c>
      <c r="J66" s="312">
        <f t="shared" si="4"/>
        <v>662552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-2931</v>
      </c>
      <c r="H70" s="304">
        <f>'ADJ DETAIL INPUT'!AN69</f>
        <v>-148333</v>
      </c>
      <c r="I70" s="304"/>
      <c r="J70" s="304">
        <f t="shared" si="6"/>
        <v>-148333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-2835</v>
      </c>
      <c r="H71" s="304">
        <f>'ADJ DETAIL INPUT'!AN70</f>
        <v>-35189</v>
      </c>
      <c r="I71" s="306"/>
      <c r="J71" s="306">
        <f t="shared" si="6"/>
        <v>-35189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-6197</v>
      </c>
      <c r="H72" s="309">
        <f t="shared" si="7"/>
        <v>-195004</v>
      </c>
      <c r="I72" s="309">
        <f t="shared" si="7"/>
        <v>0</v>
      </c>
      <c r="J72" s="309">
        <f t="shared" si="7"/>
        <v>-195004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51224</v>
      </c>
      <c r="H73" s="312">
        <f t="shared" si="8"/>
        <v>467548</v>
      </c>
      <c r="I73" s="312">
        <f t="shared" si="8"/>
        <v>0</v>
      </c>
      <c r="J73" s="312">
        <f t="shared" si="8"/>
        <v>467548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-980</v>
      </c>
      <c r="H74" s="306">
        <f>'ADJ DETAIL INPUT'!AN73</f>
        <v>-89888</v>
      </c>
      <c r="I74" s="306"/>
      <c r="J74" s="306">
        <f>H74+I74</f>
        <v>-89888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50244</v>
      </c>
      <c r="H75" s="304">
        <f>H73+H74</f>
        <v>377660</v>
      </c>
      <c r="I75" s="304">
        <f t="shared" si="9"/>
        <v>0</v>
      </c>
      <c r="J75" s="304">
        <f t="shared" si="9"/>
        <v>377660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496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50244</v>
      </c>
      <c r="H81" s="99">
        <f>H79+H77+H76+H75+H78</f>
        <v>398990</v>
      </c>
      <c r="I81" s="99">
        <f>I79+I77+I76+I75</f>
        <v>0</v>
      </c>
      <c r="J81" s="99">
        <f>J79+J77+J76+J75+J78</f>
        <v>398990</v>
      </c>
      <c r="AE81" s="361"/>
      <c r="AF81" s="362"/>
    </row>
    <row r="82" spans="1:36" ht="13.5" thickTop="1">
      <c r="A82" s="2">
        <v>48</v>
      </c>
      <c r="B82" s="1" t="s">
        <v>460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5.0700000000000002E-2</v>
      </c>
      <c r="I82" s="7"/>
      <c r="J82" s="408">
        <f>ROUND(J59/J81,4)</f>
        <v>7.5200000000000003E-2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6" t="s">
        <v>491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349"/>
    </row>
    <row r="2" spans="1:28" ht="18.75">
      <c r="A2" s="796" t="s">
        <v>112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349"/>
    </row>
    <row r="3" spans="1:28" ht="18.75">
      <c r="A3" s="796" t="s">
        <v>170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4" t="s">
        <v>163</v>
      </c>
      <c r="M7" s="784"/>
      <c r="N7" s="784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7" t="s">
        <v>164</v>
      </c>
      <c r="F8" s="797"/>
      <c r="G8" s="52"/>
      <c r="H8" s="797"/>
      <c r="I8" s="797"/>
      <c r="J8" s="36"/>
      <c r="K8" s="784" t="s">
        <v>165</v>
      </c>
      <c r="L8" s="784"/>
      <c r="N8" s="784" t="s">
        <v>166</v>
      </c>
      <c r="O8" s="784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5" t="s">
        <v>69</v>
      </c>
      <c r="F9" s="795"/>
      <c r="G9" s="54"/>
      <c r="H9" s="795" t="s">
        <v>69</v>
      </c>
      <c r="I9" s="795"/>
      <c r="J9" s="36"/>
      <c r="K9" s="795" t="s">
        <v>69</v>
      </c>
      <c r="L9" s="795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7.5200000000000003E-2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-6.7300589999999998</v>
      </c>
      <c r="I12" s="65">
        <f>'ADJ DETAIL INPUT'!F$81</f>
        <v>-1247</v>
      </c>
      <c r="J12" s="68"/>
      <c r="K12" s="131">
        <f t="shared" ref="K12:K14" si="0">H12-E12</f>
        <v>0</v>
      </c>
      <c r="L12" s="131">
        <f t="shared" ref="L12:L14" si="1">I12-F12</f>
        <v>0</v>
      </c>
      <c r="N12" s="134">
        <f t="shared" ref="N12:N14" si="2">K12/$N$10*-1</f>
        <v>0</v>
      </c>
      <c r="O12" s="134">
        <f t="shared" ref="O12:O14" si="3">L12*$O$10/$N$10</f>
        <v>0</v>
      </c>
      <c r="P12" s="164">
        <f t="shared" ref="P12:P14" si="4">N12+O12</f>
        <v>0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-7.9377789999999999</v>
      </c>
      <c r="I13" s="65">
        <f>'ADJ DETAIL INPUT'!G$81</f>
        <v>-7</v>
      </c>
      <c r="J13" s="68"/>
      <c r="K13" s="131">
        <f t="shared" si="0"/>
        <v>0</v>
      </c>
      <c r="L13" s="131">
        <f t="shared" si="1"/>
        <v>0</v>
      </c>
      <c r="N13" s="134">
        <f t="shared" si="2"/>
        <v>0</v>
      </c>
      <c r="O13" s="134">
        <f t="shared" si="3"/>
        <v>0</v>
      </c>
      <c r="P13" s="164">
        <f t="shared" si="4"/>
        <v>0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-32.587085999999999</v>
      </c>
      <c r="I15" s="65">
        <f>'ADJ DETAIL INPUT'!I$81</f>
        <v>-6038</v>
      </c>
      <c r="J15" s="68"/>
      <c r="K15" s="435">
        <f t="shared" ref="K15" si="5">H15-E15</f>
        <v>0</v>
      </c>
      <c r="L15" s="435">
        <f t="shared" ref="L15" si="6">I15-F15</f>
        <v>0</v>
      </c>
      <c r="N15" s="439">
        <f t="shared" ref="N15" si="7">K15/$N$10*-1</f>
        <v>0</v>
      </c>
      <c r="O15" s="439">
        <f t="shared" ref="O15" si="8">L15*$O$10/$N$10</f>
        <v>0</v>
      </c>
      <c r="P15" s="440">
        <f t="shared" ref="P15" si="9">N15+O15</f>
        <v>0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24566.745075999999</v>
      </c>
      <c r="I17" s="59">
        <f>SUM(I11:I16)</f>
        <v>341366</v>
      </c>
      <c r="J17" s="49"/>
      <c r="K17" s="59">
        <f>SUM(K11:K16)</f>
        <v>0</v>
      </c>
      <c r="L17" s="59">
        <f>SUM(L11:L16)</f>
        <v>0</v>
      </c>
      <c r="N17" s="59">
        <f>SUM(N11:N16)</f>
        <v>0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-42.66</v>
      </c>
      <c r="I23" s="65">
        <f>'ADJ DETAIL INPUT'!N$81</f>
        <v>0</v>
      </c>
      <c r="J23" s="68"/>
      <c r="K23" s="131">
        <f t="shared" si="10"/>
        <v>0</v>
      </c>
      <c r="L23" s="131">
        <f t="shared" si="11"/>
        <v>0</v>
      </c>
      <c r="M23" s="36"/>
      <c r="N23" s="134">
        <f t="shared" si="12"/>
        <v>0</v>
      </c>
      <c r="O23" s="134">
        <f t="shared" si="13"/>
        <v>0</v>
      </c>
      <c r="P23" s="164">
        <f t="shared" si="14"/>
        <v>0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56.88</v>
      </c>
      <c r="I31" s="121">
        <f>'ADJ DETAIL INPUT'!V$81</f>
        <v>0</v>
      </c>
      <c r="J31" s="126"/>
      <c r="K31" s="435">
        <f t="shared" ref="K31:L33" si="23">H31-E31</f>
        <v>0</v>
      </c>
      <c r="L31" s="435">
        <f t="shared" si="23"/>
        <v>0</v>
      </c>
      <c r="M31" s="133"/>
      <c r="N31" s="439">
        <f>K31/$N$10*-1</f>
        <v>0</v>
      </c>
      <c r="O31" s="439">
        <f>L31*$O$10/$N$10</f>
        <v>0</v>
      </c>
      <c r="P31" s="440">
        <f>N31+O31</f>
        <v>0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-249</v>
      </c>
      <c r="I32" s="121">
        <f>'ADJ DETAIL INPUT'!W$81</f>
        <v>0</v>
      </c>
      <c r="J32" s="126"/>
      <c r="K32" s="131">
        <f t="shared" si="23"/>
        <v>0</v>
      </c>
      <c r="L32" s="131">
        <f t="shared" si="23"/>
        <v>0</v>
      </c>
      <c r="M32" s="133"/>
      <c r="N32" s="134">
        <f>K32/$N$10*-1</f>
        <v>0</v>
      </c>
      <c r="O32" s="134">
        <f>L32*$O$10/$N$10</f>
        <v>0</v>
      </c>
      <c r="P32" s="164">
        <f>N32+O32</f>
        <v>0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-1066.923413</v>
      </c>
      <c r="I33" s="121">
        <f>'ADJ DETAIL INPUT'!X$81</f>
        <v>32271</v>
      </c>
      <c r="J33" s="126"/>
      <c r="K33" s="435">
        <f t="shared" si="23"/>
        <v>0</v>
      </c>
      <c r="L33" s="435">
        <f t="shared" si="23"/>
        <v>0</v>
      </c>
      <c r="M33" s="133"/>
      <c r="N33" s="439">
        <f>K33/$N$10*-1</f>
        <v>0</v>
      </c>
      <c r="O33" s="439">
        <f>L33*$O$10/$N$10</f>
        <v>0</v>
      </c>
      <c r="P33" s="440">
        <f>N33+O33</f>
        <v>0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23963.311662999997</v>
      </c>
      <c r="I34" s="63">
        <f>SUM(I17:I33)</f>
        <v>373637</v>
      </c>
      <c r="J34" s="49"/>
      <c r="K34" s="63">
        <f>SUM(K17:K33)</f>
        <v>0</v>
      </c>
      <c r="L34" s="63">
        <f>SUM(L17:L33)</f>
        <v>0</v>
      </c>
      <c r="M34" s="63"/>
      <c r="N34" s="63">
        <f>SUM(N17:N33)</f>
        <v>0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-1378.0372849999999</v>
      </c>
      <c r="I37" s="121">
        <f>'ADJ DETAIL INPUT'!AB$81</f>
        <v>95</v>
      </c>
      <c r="J37" s="436"/>
      <c r="K37" s="435">
        <f t="shared" ref="K37" si="24">H37-E37</f>
        <v>0</v>
      </c>
      <c r="L37" s="435">
        <f t="shared" ref="L37" si="25">I37-F37</f>
        <v>0</v>
      </c>
      <c r="M37" s="460"/>
      <c r="N37" s="439">
        <f t="shared" ref="N37" si="26">K37/$N$10*-1</f>
        <v>0</v>
      </c>
      <c r="O37" s="439">
        <f t="shared" ref="O37" si="27">L37*$O$10/$N$10</f>
        <v>0</v>
      </c>
      <c r="P37" s="166">
        <f t="shared" ref="P37" si="28">N37+O37</f>
        <v>0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-576.70000000000005</v>
      </c>
      <c r="I38" s="65">
        <f>'ADJ DETAIL INPUT'!AC$81</f>
        <v>0</v>
      </c>
      <c r="J38" s="49"/>
      <c r="K38" s="131">
        <f t="shared" ref="K38:K39" si="29">H38-E38</f>
        <v>0</v>
      </c>
      <c r="L38" s="131">
        <f t="shared" ref="L38:L39" si="30">I38-F38</f>
        <v>0</v>
      </c>
      <c r="N38" s="134">
        <f t="shared" ref="N38:N39" si="31">K38/$N$10*-1</f>
        <v>0</v>
      </c>
      <c r="O38" s="134">
        <f t="shared" ref="O38:O39" si="32">L38*$O$10/$N$10</f>
        <v>0</v>
      </c>
      <c r="P38" s="164">
        <f t="shared" ref="P38:P39" si="33">N38+O38</f>
        <v>0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-80.58</v>
      </c>
      <c r="I39" s="65">
        <f>'ADJ DETAIL INPUT'!AD$81</f>
        <v>0</v>
      </c>
      <c r="J39" s="49"/>
      <c r="K39" s="131">
        <f t="shared" si="29"/>
        <v>0</v>
      </c>
      <c r="L39" s="131">
        <f t="shared" si="30"/>
        <v>0</v>
      </c>
      <c r="N39" s="134">
        <f t="shared" si="31"/>
        <v>0</v>
      </c>
      <c r="O39" s="134">
        <f t="shared" si="32"/>
        <v>0</v>
      </c>
      <c r="P39" s="164">
        <f t="shared" si="33"/>
        <v>0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-632</v>
      </c>
      <c r="I40" s="65">
        <f>'ADJ DETAIL INPUT'!AE$81</f>
        <v>0</v>
      </c>
      <c r="J40" s="49"/>
      <c r="K40" s="131">
        <f t="shared" ref="K40:L40" si="34">H40-E40</f>
        <v>0</v>
      </c>
      <c r="L40" s="131">
        <f t="shared" si="34"/>
        <v>0</v>
      </c>
      <c r="N40" s="134">
        <f>K40/$N$10*-1</f>
        <v>0</v>
      </c>
      <c r="O40" s="134">
        <f>L40*$O$10/$N$10</f>
        <v>0</v>
      </c>
      <c r="P40" s="164">
        <f>N40+O40</f>
        <v>0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-8.69</v>
      </c>
      <c r="I41" s="121">
        <f>'ADJ DETAIL INPUT'!AF$81</f>
        <v>0</v>
      </c>
      <c r="J41" s="126"/>
      <c r="K41" s="131">
        <f t="shared" ref="K41" si="35">H41-E41</f>
        <v>0</v>
      </c>
      <c r="L41" s="131">
        <f t="shared" ref="L41" si="36">I41-F41</f>
        <v>0</v>
      </c>
      <c r="M41" s="133"/>
      <c r="N41" s="134">
        <f>K41/$N$10*-1</f>
        <v>0</v>
      </c>
      <c r="O41" s="134">
        <f>L41*$O$10/$N$10</f>
        <v>0</v>
      </c>
      <c r="P41" s="166">
        <f>N41+O41</f>
        <v>0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-459.78</v>
      </c>
      <c r="I42" s="488">
        <f>'ADJ DETAIL INPUT'!AG$81</f>
        <v>0</v>
      </c>
      <c r="J42" s="436"/>
      <c r="K42" s="489">
        <f t="shared" ref="K42" si="37">H42-E42</f>
        <v>0</v>
      </c>
      <c r="L42" s="489">
        <f t="shared" ref="L42" si="38">I42-F42</f>
        <v>0</v>
      </c>
      <c r="M42" s="429"/>
      <c r="N42" s="490">
        <f t="shared" ref="N42" si="39">K42/$N$10*-1</f>
        <v>0</v>
      </c>
      <c r="O42" s="490">
        <f t="shared" ref="O42" si="40">L42*$O$10/$N$10</f>
        <v>0</v>
      </c>
      <c r="P42" s="166">
        <f t="shared" ref="P42" si="41">N42+O42</f>
        <v>0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-376.04</v>
      </c>
      <c r="I43" s="65">
        <f>'ADJ DETAIL INPUT'!AH$81</f>
        <v>0</v>
      </c>
      <c r="J43" s="49"/>
      <c r="K43" s="131">
        <f t="shared" ref="K43" si="42">H43-E43</f>
        <v>0</v>
      </c>
      <c r="L43" s="131">
        <f t="shared" ref="L43" si="43">I43-F43</f>
        <v>0</v>
      </c>
      <c r="N43" s="134">
        <f>K43/$N$10*-1</f>
        <v>0</v>
      </c>
      <c r="O43" s="134">
        <f>L43*$O$10/$N$10</f>
        <v>0</v>
      </c>
      <c r="P43" s="166">
        <f>N43+O43</f>
        <v>0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-1144.2725740000001</v>
      </c>
      <c r="I45" s="121">
        <f>'ADJ DETAIL INPUT'!AJ$81</f>
        <v>25258</v>
      </c>
      <c r="J45" s="122"/>
      <c r="K45" s="131">
        <f t="shared" ref="K45" si="49">H45-E45</f>
        <v>0</v>
      </c>
      <c r="L45" s="131">
        <f t="shared" ref="L45" si="50">I45-F45</f>
        <v>0</v>
      </c>
      <c r="M45" s="36"/>
      <c r="N45" s="134">
        <f t="shared" ref="N45" si="51">K45/$N$10*-1</f>
        <v>0</v>
      </c>
      <c r="O45" s="134">
        <f t="shared" ref="O45" si="52">L45*$O$10/$N$10</f>
        <v>0</v>
      </c>
      <c r="P45" s="166">
        <f t="shared" ref="P45" si="53">N45+O45</f>
        <v>0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11.06</v>
      </c>
      <c r="I46" s="121">
        <f>'ADJ DETAIL INPUT'!AK$81</f>
        <v>0</v>
      </c>
      <c r="J46" s="122"/>
      <c r="K46" s="131">
        <f t="shared" ref="K46" si="54">H46-E46</f>
        <v>0</v>
      </c>
      <c r="L46" s="131">
        <f t="shared" ref="L46" si="55">I46-F46</f>
        <v>0</v>
      </c>
      <c r="M46" s="36"/>
      <c r="N46" s="134">
        <f t="shared" ref="N46" si="56">K46/$N$10*-1</f>
        <v>0</v>
      </c>
      <c r="O46" s="134">
        <f t="shared" ref="O46" si="57">L46*$O$10/$N$10</f>
        <v>0</v>
      </c>
      <c r="P46" s="166">
        <f t="shared" ref="P46" si="58">N46+O46</f>
        <v>0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20236.251804</v>
      </c>
      <c r="I50" s="63">
        <f>SUM(I34:I49)</f>
        <v>398990</v>
      </c>
      <c r="J50" s="49"/>
      <c r="K50" s="63">
        <f>SUM(K34:K49)</f>
        <v>0</v>
      </c>
      <c r="L50" s="63">
        <f>SUM(L34:L49)</f>
        <v>0</v>
      </c>
      <c r="M50" s="137"/>
      <c r="N50" s="63">
        <f>SUM(N34:N49)</f>
        <v>0</v>
      </c>
      <c r="O50" s="63">
        <f>SUM(O34:O49)</f>
        <v>0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0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0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12935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12935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12935</v>
      </c>
      <c r="P60" s="166">
        <f>O56-O60</f>
        <v>0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topLeftCell="A7" zoomScaleNormal="100" workbookViewId="0">
      <selection activeCell="M21" sqref="M21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1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75" t="s">
        <v>112</v>
      </c>
      <c r="B1" s="775"/>
      <c r="C1" s="775"/>
      <c r="D1" s="775"/>
      <c r="E1" s="775"/>
      <c r="F1" s="775"/>
      <c r="G1" s="523"/>
      <c r="H1" s="523"/>
      <c r="I1" s="523"/>
      <c r="J1" s="776" t="s">
        <v>112</v>
      </c>
      <c r="K1" s="777"/>
      <c r="L1" s="777"/>
      <c r="M1" s="777"/>
      <c r="N1" s="778"/>
      <c r="O1" s="527"/>
      <c r="P1" s="523"/>
      <c r="Q1" s="525"/>
    </row>
    <row r="2" spans="1:35">
      <c r="A2" s="775" t="s">
        <v>502</v>
      </c>
      <c r="B2" s="775"/>
      <c r="C2" s="775"/>
      <c r="D2" s="775"/>
      <c r="E2" s="775"/>
      <c r="F2" s="775"/>
      <c r="G2" s="523"/>
      <c r="H2" s="523"/>
      <c r="I2" s="523"/>
      <c r="J2" s="779" t="s">
        <v>446</v>
      </c>
      <c r="K2" s="780"/>
      <c r="L2" s="780"/>
      <c r="M2" s="780"/>
      <c r="N2" s="781"/>
      <c r="O2" s="528"/>
      <c r="P2" s="527"/>
      <c r="Q2" s="525"/>
    </row>
    <row r="3" spans="1:35">
      <c r="A3" s="775" t="s">
        <v>445</v>
      </c>
      <c r="B3" s="775"/>
      <c r="C3" s="775"/>
      <c r="D3" s="775"/>
      <c r="E3" s="775"/>
      <c r="F3" s="775"/>
      <c r="G3" s="528"/>
      <c r="H3" s="528"/>
      <c r="I3" s="528"/>
      <c r="J3" s="779" t="s">
        <v>445</v>
      </c>
      <c r="K3" s="780"/>
      <c r="L3" s="780"/>
      <c r="M3" s="780"/>
      <c r="N3" s="781"/>
      <c r="O3" s="528"/>
      <c r="P3" s="523"/>
      <c r="Q3" s="525"/>
    </row>
    <row r="4" spans="1:35">
      <c r="A4" s="773" t="str">
        <f>'PROP0SED RATES'!A3</f>
        <v>TWELVE MONTHS ENDED DECEMBER 31, 2018</v>
      </c>
      <c r="B4" s="773"/>
      <c r="C4" s="773"/>
      <c r="D4" s="773"/>
      <c r="E4" s="773"/>
      <c r="F4" s="773"/>
      <c r="G4" s="529"/>
      <c r="H4" s="529"/>
      <c r="I4" s="529"/>
      <c r="J4" s="766"/>
      <c r="K4" s="767"/>
      <c r="L4" s="767"/>
      <c r="M4" s="767"/>
      <c r="N4" s="768"/>
      <c r="O4" s="534"/>
      <c r="P4" s="635"/>
    </row>
    <row r="5" spans="1:35" ht="16.5" thickBot="1">
      <c r="A5" s="527"/>
      <c r="B5" s="527"/>
      <c r="C5" s="527"/>
      <c r="D5" s="527"/>
      <c r="E5" s="527"/>
      <c r="F5" s="530" t="s">
        <v>498</v>
      </c>
      <c r="G5" s="530"/>
      <c r="H5" s="530"/>
      <c r="I5" s="530"/>
      <c r="J5" s="557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499</v>
      </c>
      <c r="G6" s="530"/>
      <c r="H6" s="530"/>
      <c r="I6" s="530"/>
      <c r="J6" s="497" t="s">
        <v>504</v>
      </c>
      <c r="K6" s="558"/>
      <c r="L6" s="558"/>
      <c r="M6" s="558"/>
      <c r="N6" s="559"/>
      <c r="O6" s="144"/>
      <c r="P6" s="213"/>
    </row>
    <row r="7" spans="1:35">
      <c r="F7" s="680">
        <v>43922</v>
      </c>
      <c r="G7" s="144"/>
      <c r="H7" s="144"/>
      <c r="I7" s="556"/>
      <c r="J7" s="560"/>
      <c r="K7" s="561"/>
      <c r="L7" s="562"/>
      <c r="M7" s="563"/>
      <c r="N7" s="564"/>
      <c r="O7" s="144"/>
      <c r="P7" s="214"/>
    </row>
    <row r="8" spans="1:35" ht="15.75" customHeight="1">
      <c r="A8" s="533" t="s">
        <v>131</v>
      </c>
      <c r="B8" s="528"/>
      <c r="C8" s="769" t="s">
        <v>71</v>
      </c>
      <c r="D8" s="770"/>
      <c r="E8" s="534"/>
      <c r="F8" s="530" t="s">
        <v>500</v>
      </c>
      <c r="G8" s="535"/>
      <c r="H8" s="535"/>
      <c r="I8" s="535"/>
      <c r="J8" s="560"/>
      <c r="K8" s="565"/>
      <c r="L8" s="562" t="s">
        <v>132</v>
      </c>
      <c r="M8" s="562"/>
      <c r="N8" s="564" t="s">
        <v>133</v>
      </c>
      <c r="O8" s="144"/>
      <c r="P8" s="214"/>
    </row>
    <row r="9" spans="1:35" ht="16.5" thickBot="1">
      <c r="A9" s="536" t="s">
        <v>16</v>
      </c>
      <c r="B9" s="528"/>
      <c r="C9" s="771"/>
      <c r="D9" s="772"/>
      <c r="E9" s="534"/>
      <c r="F9" s="681" t="s">
        <v>501</v>
      </c>
      <c r="G9" s="535"/>
      <c r="H9" s="535"/>
      <c r="I9" s="535"/>
      <c r="J9" s="560"/>
      <c r="K9" s="566" t="s">
        <v>134</v>
      </c>
      <c r="L9" s="566" t="s">
        <v>135</v>
      </c>
      <c r="M9" s="566" t="s">
        <v>136</v>
      </c>
      <c r="N9" s="567" t="s">
        <v>136</v>
      </c>
      <c r="O9" s="568"/>
      <c r="P9" s="214"/>
    </row>
    <row r="10" spans="1:35">
      <c r="E10" s="537"/>
      <c r="G10" s="143"/>
      <c r="H10" s="143"/>
      <c r="I10" s="143"/>
      <c r="J10" s="560"/>
      <c r="K10" s="561"/>
      <c r="L10" s="561"/>
      <c r="M10" s="563"/>
      <c r="N10" s="569"/>
      <c r="P10" s="764" t="s">
        <v>522</v>
      </c>
    </row>
    <row r="11" spans="1:35">
      <c r="A11" s="538">
        <v>1</v>
      </c>
      <c r="C11" s="525" t="s">
        <v>148</v>
      </c>
      <c r="F11" s="539">
        <f>'ADJ DETAIL INPUT'!AN81</f>
        <v>398990</v>
      </c>
      <c r="G11" s="539"/>
      <c r="H11" s="539"/>
      <c r="I11" s="539"/>
      <c r="J11" s="560"/>
      <c r="K11" s="565" t="s">
        <v>13</v>
      </c>
      <c r="L11" s="570">
        <f>100%-L13</f>
        <v>0.5</v>
      </c>
      <c r="M11" s="212">
        <v>5.1470000000000002E-2</v>
      </c>
      <c r="N11" s="571">
        <f>ROUND(L11*M11,4)</f>
        <v>2.5700000000000001E-2</v>
      </c>
      <c r="P11" s="765"/>
      <c r="Q11" s="531"/>
    </row>
    <row r="12" spans="1:35" ht="16.5" thickBot="1">
      <c r="A12" s="538"/>
      <c r="F12" s="540"/>
      <c r="G12" s="540"/>
      <c r="H12" s="540"/>
      <c r="I12" s="540"/>
      <c r="J12" s="560"/>
      <c r="K12" s="565"/>
      <c r="L12" s="570"/>
      <c r="M12" s="572"/>
      <c r="N12" s="571"/>
      <c r="P12" s="746">
        <f>N11+N12</f>
        <v>2.5700000000000001E-2</v>
      </c>
    </row>
    <row r="13" spans="1:35">
      <c r="A13" s="538">
        <v>2</v>
      </c>
      <c r="C13" s="525" t="s">
        <v>137</v>
      </c>
      <c r="F13" s="541">
        <f>N15</f>
        <v>7.5200000000000003E-2</v>
      </c>
      <c r="G13" s="542"/>
      <c r="H13" s="542"/>
      <c r="I13" s="542"/>
      <c r="J13" s="560"/>
      <c r="K13" s="565" t="s">
        <v>503</v>
      </c>
      <c r="L13" s="570">
        <v>0.5</v>
      </c>
      <c r="M13" s="572">
        <v>9.9000000000000005E-2</v>
      </c>
      <c r="N13" s="571">
        <f>ROUND(L13*M13,4)</f>
        <v>4.9500000000000002E-2</v>
      </c>
    </row>
    <row r="14" spans="1:35">
      <c r="A14" s="538"/>
      <c r="F14" s="543"/>
      <c r="G14" s="543"/>
      <c r="H14" s="543"/>
      <c r="I14" s="543"/>
      <c r="J14" s="560"/>
      <c r="K14" s="565"/>
      <c r="L14" s="572"/>
      <c r="M14" s="573"/>
      <c r="N14" s="571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30004</v>
      </c>
      <c r="G15" s="540"/>
      <c r="H15" s="540"/>
      <c r="I15" s="540"/>
      <c r="J15" s="560"/>
      <c r="K15" s="565" t="s">
        <v>25</v>
      </c>
      <c r="L15" s="574">
        <f>SUM(L11:L13)</f>
        <v>1</v>
      </c>
      <c r="M15" s="573"/>
      <c r="N15" s="575">
        <f>SUM(N11:N13)</f>
        <v>7.5200000000000003E-2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6"/>
      <c r="K16" s="577"/>
      <c r="L16" s="578"/>
      <c r="M16" s="579"/>
      <c r="N16" s="580"/>
      <c r="O16" s="568"/>
      <c r="P16" s="214"/>
    </row>
    <row r="17" spans="1:17">
      <c r="A17" s="538">
        <v>4</v>
      </c>
      <c r="C17" s="525" t="s">
        <v>139</v>
      </c>
      <c r="F17" s="544">
        <f>'ADJ DETAIL INPUT'!AN58</f>
        <v>20236.251804</v>
      </c>
      <c r="G17" s="545"/>
      <c r="H17" s="545"/>
      <c r="I17" s="545"/>
      <c r="J17" s="546"/>
      <c r="O17" s="568"/>
      <c r="P17" s="214"/>
    </row>
    <row r="18" spans="1:17">
      <c r="A18" s="538"/>
      <c r="L18" s="524"/>
      <c r="M18" s="524"/>
      <c r="O18" s="568"/>
      <c r="P18" s="214"/>
    </row>
    <row r="19" spans="1:17">
      <c r="A19" s="538">
        <v>5</v>
      </c>
      <c r="C19" s="525" t="s">
        <v>140</v>
      </c>
      <c r="F19" s="540">
        <f>F15-F17</f>
        <v>9767.7481960000005</v>
      </c>
      <c r="G19" s="540"/>
      <c r="H19" s="540"/>
      <c r="I19" s="540"/>
      <c r="O19" s="568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2"/>
      <c r="N21" s="537"/>
      <c r="O21" s="537"/>
      <c r="P21" s="214"/>
      <c r="Q21" s="531"/>
    </row>
    <row r="22" spans="1:17" ht="16.5" thickBot="1">
      <c r="A22" s="538"/>
      <c r="J22" s="213"/>
      <c r="K22" s="583"/>
      <c r="L22" s="213"/>
      <c r="M22" s="584"/>
      <c r="N22" s="213"/>
      <c r="O22" s="213"/>
      <c r="P22" s="214"/>
      <c r="Q22" s="531"/>
    </row>
    <row r="23" spans="1:17" ht="16.5" thickBot="1">
      <c r="A23" s="538">
        <v>7</v>
      </c>
      <c r="C23" s="525" t="s">
        <v>542</v>
      </c>
      <c r="E23" s="548"/>
      <c r="F23" s="549">
        <f>ROUND(F19/F21,0)</f>
        <v>12935</v>
      </c>
      <c r="G23" s="145"/>
      <c r="H23" s="550"/>
      <c r="I23" s="550"/>
      <c r="J23" s="213"/>
      <c r="K23" s="213"/>
      <c r="L23" s="585"/>
      <c r="M23" s="584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4"/>
      <c r="N24" s="213"/>
      <c r="O24" s="586"/>
      <c r="P24" s="214"/>
      <c r="Q24" s="531"/>
    </row>
    <row r="25" spans="1:17">
      <c r="A25" s="538">
        <v>8</v>
      </c>
      <c r="C25" s="525" t="s">
        <v>469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7"/>
      <c r="N25" s="145"/>
      <c r="O25" s="587"/>
      <c r="P25" s="214"/>
      <c r="Q25" s="531"/>
    </row>
    <row r="26" spans="1:17">
      <c r="J26" s="213"/>
      <c r="K26" s="145"/>
      <c r="L26" s="145"/>
      <c r="M26" s="587"/>
      <c r="N26" s="145"/>
      <c r="O26" s="587"/>
      <c r="P26" s="215"/>
      <c r="Q26" s="531"/>
    </row>
    <row r="27" spans="1:17" ht="16.5" thickBot="1">
      <c r="A27" s="538">
        <v>9</v>
      </c>
      <c r="C27" s="525" t="s">
        <v>472</v>
      </c>
      <c r="F27" s="551">
        <f>ROUND(F23/F25,4)</f>
        <v>0.13800000000000001</v>
      </c>
      <c r="G27" s="552"/>
      <c r="H27" s="552"/>
      <c r="I27" s="552"/>
      <c r="J27" s="588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8"/>
      <c r="K28" s="568"/>
      <c r="L28" s="144"/>
      <c r="M28" s="589"/>
      <c r="N28" s="144"/>
      <c r="O28" s="589"/>
      <c r="P28" s="214"/>
      <c r="Q28" s="531"/>
    </row>
    <row r="29" spans="1:17">
      <c r="A29" s="538">
        <v>10</v>
      </c>
      <c r="C29" s="525" t="s">
        <v>470</v>
      </c>
      <c r="F29" s="554">
        <v>127800</v>
      </c>
      <c r="G29" s="554"/>
      <c r="I29" s="554"/>
      <c r="J29" s="554" t="s">
        <v>505</v>
      </c>
      <c r="K29" s="213"/>
      <c r="L29" s="590"/>
      <c r="M29" s="144"/>
      <c r="N29" s="590"/>
      <c r="O29" s="144"/>
      <c r="P29" s="214"/>
      <c r="Q29" s="531"/>
    </row>
    <row r="30" spans="1:17" ht="9" customHeight="1">
      <c r="J30" s="568"/>
      <c r="K30" s="144"/>
      <c r="L30" s="568"/>
      <c r="M30" s="589"/>
      <c r="N30" s="568"/>
      <c r="O30" s="589"/>
      <c r="P30" s="214"/>
      <c r="Q30" s="531"/>
    </row>
    <row r="31" spans="1:17" ht="15.75" customHeight="1" thickBot="1">
      <c r="A31" s="538">
        <v>11</v>
      </c>
      <c r="C31" s="525" t="s">
        <v>471</v>
      </c>
      <c r="F31" s="551">
        <f>ROUND(F23/F29,4)</f>
        <v>0.1012</v>
      </c>
      <c r="G31" s="552"/>
      <c r="H31" s="552"/>
      <c r="I31" s="552"/>
      <c r="J31" s="568"/>
      <c r="K31" s="568"/>
      <c r="L31" s="591"/>
      <c r="M31" s="587"/>
      <c r="N31" s="591"/>
      <c r="O31" s="587"/>
      <c r="P31" s="214"/>
      <c r="Q31" s="531"/>
    </row>
    <row r="32" spans="1:17" ht="15.75" customHeight="1" thickTop="1">
      <c r="A32" s="555" t="s">
        <v>443</v>
      </c>
      <c r="F32" s="552"/>
      <c r="G32" s="552"/>
      <c r="H32" s="552"/>
      <c r="I32" s="552"/>
      <c r="J32" s="568"/>
      <c r="K32" s="213"/>
      <c r="L32" s="537"/>
      <c r="M32" s="582"/>
      <c r="N32" s="537"/>
      <c r="O32" s="537"/>
      <c r="P32" s="214"/>
      <c r="Q32" s="531"/>
    </row>
    <row r="33" spans="1:17">
      <c r="J33" s="568"/>
      <c r="K33" s="213"/>
      <c r="L33" s="212"/>
      <c r="M33" s="582"/>
      <c r="N33" s="212"/>
      <c r="O33" s="213"/>
      <c r="P33" s="214"/>
      <c r="Q33" s="531"/>
    </row>
    <row r="34" spans="1:17" ht="15.75" customHeight="1">
      <c r="A34" s="463"/>
      <c r="B34" s="463"/>
      <c r="C34" s="774" t="s">
        <v>559</v>
      </c>
      <c r="D34" s="774"/>
      <c r="E34" s="774"/>
      <c r="F34" s="774"/>
      <c r="G34" s="774"/>
      <c r="H34" s="774"/>
      <c r="I34" s="143"/>
      <c r="J34" s="213"/>
      <c r="K34" s="213"/>
      <c r="L34" s="213"/>
      <c r="M34" s="584"/>
      <c r="N34" s="213"/>
      <c r="O34" s="213"/>
      <c r="P34" s="214"/>
      <c r="Q34" s="531"/>
    </row>
    <row r="35" spans="1:17">
      <c r="A35" s="62">
        <v>12</v>
      </c>
      <c r="B35" s="463"/>
      <c r="C35" s="727" t="s">
        <v>552</v>
      </c>
      <c r="D35" s="463"/>
      <c r="E35" s="463"/>
      <c r="F35" s="728">
        <v>6.1100000000000002E-2</v>
      </c>
      <c r="G35" s="729" t="s">
        <v>560</v>
      </c>
      <c r="H35" s="730"/>
      <c r="I35" s="143"/>
      <c r="J35" s="213"/>
      <c r="K35" s="213"/>
      <c r="L35" s="213"/>
      <c r="M35" s="584"/>
      <c r="N35" s="592"/>
      <c r="O35" s="213"/>
    </row>
    <row r="36" spans="1:17">
      <c r="A36" s="62">
        <v>13</v>
      </c>
      <c r="B36" s="463"/>
      <c r="C36" s="727" t="s">
        <v>553</v>
      </c>
      <c r="D36" s="463"/>
      <c r="E36" s="463"/>
      <c r="F36" s="731">
        <f>F42+F43</f>
        <v>105656.84805189873</v>
      </c>
      <c r="G36" s="732"/>
      <c r="H36" s="732"/>
      <c r="I36" s="143"/>
      <c r="J36" s="213"/>
      <c r="K36" s="213"/>
      <c r="L36" s="213"/>
      <c r="M36" s="584"/>
      <c r="N36" s="213"/>
      <c r="O36" s="213"/>
    </row>
    <row r="37" spans="1:17" ht="14.25" customHeight="1">
      <c r="A37" s="463"/>
      <c r="B37" s="463"/>
      <c r="C37" s="733" t="s">
        <v>558</v>
      </c>
      <c r="D37" s="463"/>
      <c r="E37" s="463"/>
      <c r="F37" s="734"/>
      <c r="G37" s="734"/>
      <c r="H37" s="734"/>
      <c r="I37" s="143"/>
      <c r="J37" s="213"/>
      <c r="K37" s="213"/>
      <c r="L37" s="213"/>
      <c r="M37" s="584"/>
      <c r="N37" s="593"/>
      <c r="O37" s="213"/>
    </row>
    <row r="38" spans="1:17" ht="26.25" thickBot="1">
      <c r="A38" s="463"/>
      <c r="B38" s="463"/>
      <c r="C38" s="735"/>
      <c r="D38" s="463"/>
      <c r="E38" s="463"/>
      <c r="F38" s="736" t="s">
        <v>544</v>
      </c>
      <c r="G38" s="737" t="s">
        <v>545</v>
      </c>
      <c r="H38" s="737" t="s">
        <v>546</v>
      </c>
      <c r="I38" s="143"/>
      <c r="J38" s="213"/>
      <c r="K38" s="213"/>
      <c r="L38" s="213"/>
      <c r="M38" s="584"/>
      <c r="N38" s="213"/>
      <c r="O38" s="213"/>
    </row>
    <row r="39" spans="1:17" ht="16.5" thickBot="1">
      <c r="A39" s="62">
        <v>14</v>
      </c>
      <c r="B39" s="463"/>
      <c r="C39" s="747" t="s">
        <v>556</v>
      </c>
      <c r="D39" s="463"/>
      <c r="E39" s="463"/>
      <c r="F39" s="738">
        <f>F36*F35</f>
        <v>6455.6334159710132</v>
      </c>
      <c r="G39" s="739">
        <f>F39/(F25+F23)</f>
        <v>6.0535562123469298E-2</v>
      </c>
      <c r="H39" s="740">
        <f>F39/(F29+F23)</f>
        <v>4.5870845319010999E-2</v>
      </c>
      <c r="I39" s="143"/>
      <c r="J39" s="213"/>
      <c r="K39" s="213"/>
      <c r="L39" s="213"/>
      <c r="M39" s="584"/>
      <c r="N39" s="213"/>
      <c r="O39" s="213"/>
    </row>
    <row r="40" spans="1:17" ht="11.25" customHeight="1">
      <c r="A40" s="62"/>
      <c r="B40" s="463"/>
      <c r="C40" s="735"/>
      <c r="D40" s="463"/>
      <c r="E40" s="463"/>
      <c r="F40" s="741"/>
      <c r="G40" s="741"/>
      <c r="H40" s="742"/>
      <c r="I40" s="143"/>
      <c r="J40" s="213"/>
      <c r="K40" s="584"/>
      <c r="L40" s="213"/>
      <c r="M40" s="584"/>
      <c r="N40" s="583"/>
      <c r="O40" s="213"/>
    </row>
    <row r="41" spans="1:17" ht="9" customHeight="1">
      <c r="A41" s="463"/>
      <c r="B41" s="463"/>
      <c r="C41" s="463"/>
      <c r="D41" s="463"/>
      <c r="E41" s="463"/>
      <c r="F41" s="463"/>
      <c r="G41" s="436"/>
      <c r="H41" s="355"/>
      <c r="I41" s="143"/>
      <c r="J41" s="213"/>
      <c r="K41" s="594"/>
      <c r="L41" s="213"/>
      <c r="M41" s="584"/>
      <c r="N41" s="595"/>
      <c r="O41" s="213"/>
    </row>
    <row r="42" spans="1:17">
      <c r="A42" s="463"/>
      <c r="B42" s="735" t="s">
        <v>547</v>
      </c>
      <c r="C42" s="743" t="s">
        <v>555</v>
      </c>
      <c r="D42" s="436"/>
      <c r="E42" s="463"/>
      <c r="F42" s="758">
        <v>92721.848051898734</v>
      </c>
      <c r="G42" s="744"/>
      <c r="H42" s="744"/>
      <c r="I42" s="143"/>
      <c r="J42" s="213"/>
      <c r="K42" s="594"/>
      <c r="L42" s="213"/>
      <c r="M42" s="584"/>
      <c r="N42" s="213"/>
      <c r="O42" s="213"/>
    </row>
    <row r="43" spans="1:17">
      <c r="A43" s="463"/>
      <c r="B43" s="463"/>
      <c r="C43" s="763" t="s">
        <v>554</v>
      </c>
      <c r="D43" s="763"/>
      <c r="E43" s="463"/>
      <c r="F43" s="759">
        <f>F23</f>
        <v>12935</v>
      </c>
      <c r="G43" s="745"/>
      <c r="H43" s="745"/>
      <c r="I43" s="143"/>
      <c r="J43" s="213"/>
      <c r="K43" s="213"/>
      <c r="L43" s="213"/>
      <c r="M43" s="584"/>
      <c r="N43" s="213"/>
      <c r="O43" s="213"/>
    </row>
    <row r="44" spans="1:17">
      <c r="A44" s="463"/>
      <c r="B44" s="463"/>
      <c r="C44" s="463"/>
      <c r="D44" s="463"/>
      <c r="E44" s="463"/>
      <c r="F44" s="463"/>
      <c r="G44" s="463"/>
      <c r="H44" s="463"/>
      <c r="I44" s="143"/>
      <c r="J44" s="213"/>
      <c r="K44" s="594"/>
      <c r="L44" s="213"/>
      <c r="M44" s="584"/>
      <c r="N44" s="596"/>
      <c r="O44" s="213"/>
    </row>
    <row r="45" spans="1:17">
      <c r="A45" s="143"/>
      <c r="B45" s="143"/>
      <c r="C45" s="143"/>
      <c r="D45" s="143"/>
      <c r="E45" s="143"/>
      <c r="F45" s="143"/>
      <c r="G45" s="143"/>
      <c r="H45" s="143"/>
      <c r="I45" s="143"/>
      <c r="J45" s="213"/>
      <c r="K45" s="213"/>
      <c r="L45" s="213"/>
      <c r="M45" s="584"/>
      <c r="N45" s="213"/>
      <c r="O45" s="213"/>
    </row>
    <row r="46" spans="1:17">
      <c r="A46" s="143"/>
      <c r="B46" s="143"/>
      <c r="C46" s="143"/>
      <c r="D46" s="143"/>
      <c r="E46" s="143"/>
      <c r="F46" s="143"/>
      <c r="G46" s="143"/>
      <c r="H46" s="143"/>
      <c r="I46" s="143"/>
      <c r="J46" s="213"/>
      <c r="K46" s="213"/>
      <c r="L46" s="213"/>
      <c r="M46" s="584"/>
      <c r="N46" s="213"/>
      <c r="O46" s="213"/>
    </row>
    <row r="47" spans="1:17">
      <c r="A47" s="143"/>
      <c r="B47" s="143"/>
      <c r="C47" s="143"/>
      <c r="D47" s="143"/>
      <c r="E47" s="143"/>
      <c r="F47" s="143"/>
      <c r="G47" s="143"/>
      <c r="H47" s="143"/>
      <c r="I47" s="143"/>
      <c r="J47" s="213"/>
      <c r="K47" s="213"/>
      <c r="L47" s="213"/>
      <c r="M47" s="584"/>
      <c r="N47" s="213"/>
      <c r="O47" s="213"/>
    </row>
    <row r="48" spans="1:17">
      <c r="A48" s="143"/>
      <c r="B48" s="143"/>
      <c r="C48" s="143"/>
      <c r="D48" s="143"/>
      <c r="E48" s="143"/>
      <c r="F48" s="143"/>
      <c r="G48" s="143"/>
      <c r="H48" s="143"/>
      <c r="I48" s="143"/>
      <c r="J48" s="213"/>
      <c r="K48" s="213"/>
      <c r="L48" s="213"/>
      <c r="M48" s="584"/>
      <c r="N48" s="213"/>
      <c r="O48" s="213"/>
    </row>
    <row r="49" spans="1:28">
      <c r="A49" s="143"/>
      <c r="B49" s="143"/>
      <c r="C49" s="143"/>
      <c r="D49" s="143"/>
      <c r="E49" s="143"/>
      <c r="F49" s="143"/>
      <c r="G49" s="143"/>
      <c r="H49" s="143"/>
      <c r="I49" s="143"/>
      <c r="J49" s="213"/>
      <c r="K49" s="213"/>
      <c r="L49" s="213"/>
      <c r="M49" s="584"/>
      <c r="N49" s="213"/>
      <c r="O49" s="213"/>
    </row>
    <row r="50" spans="1:28">
      <c r="A50" s="143"/>
      <c r="B50" s="143"/>
      <c r="C50" s="143"/>
      <c r="D50" s="143"/>
      <c r="E50" s="143"/>
      <c r="F50" s="143"/>
      <c r="G50" s="143"/>
      <c r="H50" s="143"/>
      <c r="I50" s="143"/>
      <c r="J50" s="213"/>
      <c r="K50" s="213"/>
      <c r="L50" s="213"/>
      <c r="M50" s="584"/>
      <c r="N50" s="213"/>
      <c r="O50" s="213"/>
    </row>
    <row r="51" spans="1:28">
      <c r="J51" s="213"/>
      <c r="K51" s="213"/>
      <c r="L51" s="213"/>
      <c r="M51" s="584"/>
      <c r="N51" s="213"/>
      <c r="O51" s="213"/>
    </row>
    <row r="52" spans="1:28">
      <c r="J52" s="213"/>
      <c r="K52" s="213"/>
      <c r="L52" s="213"/>
      <c r="M52" s="584"/>
      <c r="N52" s="213"/>
      <c r="O52" s="213"/>
      <c r="AB52" s="526">
        <f>AB58</f>
        <v>0</v>
      </c>
    </row>
    <row r="53" spans="1:28">
      <c r="J53" s="213"/>
      <c r="K53" s="213"/>
      <c r="L53" s="213"/>
      <c r="M53" s="584"/>
      <c r="N53" s="213"/>
      <c r="O53" s="213"/>
    </row>
    <row r="54" spans="1:28">
      <c r="J54" s="213"/>
      <c r="K54" s="213"/>
      <c r="L54" s="213"/>
      <c r="M54" s="584"/>
      <c r="N54" s="213"/>
      <c r="O54" s="213"/>
    </row>
    <row r="55" spans="1:28">
      <c r="J55" s="213"/>
      <c r="K55" s="213"/>
      <c r="L55" s="213"/>
      <c r="M55" s="584"/>
      <c r="N55" s="213"/>
      <c r="O55" s="213"/>
    </row>
    <row r="56" spans="1:28">
      <c r="J56" s="213"/>
      <c r="K56" s="213"/>
      <c r="L56" s="213"/>
      <c r="M56" s="584"/>
      <c r="N56" s="213"/>
      <c r="O56" s="213"/>
    </row>
    <row r="57" spans="1:28">
      <c r="J57" s="213"/>
      <c r="K57" s="213"/>
      <c r="L57" s="213"/>
      <c r="M57" s="584"/>
      <c r="N57" s="213"/>
      <c r="O57" s="213"/>
    </row>
    <row r="58" spans="1:28">
      <c r="J58" s="213"/>
      <c r="K58" s="213"/>
      <c r="L58" s="213"/>
      <c r="M58" s="584"/>
      <c r="N58" s="213"/>
      <c r="O58" s="213"/>
    </row>
    <row r="59" spans="1:28">
      <c r="J59" s="213"/>
      <c r="K59" s="213"/>
      <c r="L59" s="213"/>
      <c r="M59" s="584"/>
      <c r="N59" s="213"/>
      <c r="O59" s="213"/>
    </row>
    <row r="60" spans="1:28">
      <c r="O60" s="213"/>
    </row>
    <row r="61" spans="1:28">
      <c r="O61" s="213"/>
    </row>
  </sheetData>
  <mergeCells count="12">
    <mergeCell ref="A3:F3"/>
    <mergeCell ref="A1:F1"/>
    <mergeCell ref="A2:F2"/>
    <mergeCell ref="J1:N1"/>
    <mergeCell ref="J2:N2"/>
    <mergeCell ref="J3:N3"/>
    <mergeCell ref="C43:D43"/>
    <mergeCell ref="P10:P11"/>
    <mergeCell ref="J4:N4"/>
    <mergeCell ref="C8:D9"/>
    <mergeCell ref="A4:F4"/>
    <mergeCell ref="C34:H34"/>
  </mergeCells>
  <phoneticPr fontId="0" type="noConversion"/>
  <printOptions horizontalCentered="1"/>
  <pageMargins left="0.75" right="0.5" top="0.97" bottom="0.84" header="0.5" footer="0.5"/>
  <pageSetup scale="89" orientation="portrait" r:id="rId1"/>
  <headerFooter scaleWithDoc="0" alignWithMargins="0">
    <oddHeader xml:space="preserve">&amp;RExh. EMA-3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445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7" t="s">
        <v>150</v>
      </c>
      <c r="D12" s="598"/>
      <c r="E12" s="598">
        <v>1</v>
      </c>
      <c r="J12" s="108">
        <f>'RR SUMMARY'!F23</f>
        <v>12935</v>
      </c>
      <c r="K12" s="108"/>
      <c r="M12" s="49"/>
      <c r="N12" s="357"/>
      <c r="O12" s="49"/>
      <c r="P12" s="49"/>
    </row>
    <row r="13" spans="1:25" ht="9" customHeight="1">
      <c r="A13" s="37"/>
      <c r="C13" s="597"/>
      <c r="D13" s="598"/>
      <c r="E13" s="598"/>
      <c r="K13" s="460"/>
      <c r="M13" s="49"/>
      <c r="N13" s="49"/>
      <c r="O13" s="49"/>
      <c r="P13" s="49"/>
    </row>
    <row r="14" spans="1:25">
      <c r="A14" s="37"/>
      <c r="C14" s="597" t="s">
        <v>151</v>
      </c>
      <c r="D14" s="598"/>
      <c r="E14" s="598"/>
      <c r="K14" s="460"/>
      <c r="M14" s="49"/>
      <c r="N14" s="49"/>
      <c r="O14" s="49"/>
      <c r="P14" s="49"/>
    </row>
    <row r="15" spans="1:25">
      <c r="A15" s="37">
        <v>2</v>
      </c>
      <c r="B15" s="41"/>
      <c r="C15" s="598" t="s">
        <v>152</v>
      </c>
      <c r="D15" s="598"/>
      <c r="E15" s="599">
        <v>3.7810000000000001E-3</v>
      </c>
      <c r="F15" s="445"/>
      <c r="J15" s="109">
        <f>ROUND($J$12*E15,0)</f>
        <v>49</v>
      </c>
      <c r="K15" s="109"/>
      <c r="M15" s="49"/>
      <c r="N15" s="111"/>
      <c r="O15" s="49"/>
      <c r="P15" s="49"/>
    </row>
    <row r="16" spans="1:25" ht="9" customHeight="1">
      <c r="A16" s="37"/>
      <c r="C16" s="598"/>
      <c r="D16" s="598"/>
      <c r="E16" s="599"/>
      <c r="K16" s="460"/>
      <c r="M16" s="49"/>
      <c r="N16" s="49"/>
      <c r="O16" s="49"/>
      <c r="P16" s="49"/>
    </row>
    <row r="17" spans="1:16">
      <c r="A17" s="37">
        <v>3</v>
      </c>
      <c r="C17" s="598" t="s">
        <v>153</v>
      </c>
      <c r="D17" s="598"/>
      <c r="E17" s="599">
        <v>2E-3</v>
      </c>
      <c r="J17" s="109">
        <f>ROUND($J$12*E17,0)</f>
        <v>26</v>
      </c>
      <c r="K17" s="109"/>
      <c r="M17" s="49"/>
      <c r="N17" s="111"/>
      <c r="O17" s="49"/>
      <c r="P17" s="49"/>
    </row>
    <row r="18" spans="1:16" ht="9" customHeight="1">
      <c r="A18" s="37"/>
      <c r="C18" s="598"/>
      <c r="D18" s="598"/>
      <c r="E18" s="599"/>
      <c r="K18" s="460"/>
      <c r="M18" s="49"/>
      <c r="N18" s="49"/>
      <c r="O18" s="49"/>
      <c r="P18" s="49"/>
    </row>
    <row r="19" spans="1:16">
      <c r="A19" s="37">
        <v>4</v>
      </c>
      <c r="C19" s="598" t="s">
        <v>154</v>
      </c>
      <c r="D19" s="598"/>
      <c r="E19" s="599">
        <v>3.8373999999999998E-2</v>
      </c>
      <c r="F19" s="445"/>
      <c r="J19" s="109">
        <f>ROUND($J$12*E19,0)</f>
        <v>496</v>
      </c>
      <c r="K19" s="109"/>
      <c r="M19" s="49"/>
      <c r="N19" s="111"/>
      <c r="O19" s="49"/>
      <c r="P19" s="49"/>
    </row>
    <row r="20" spans="1:16" ht="9" customHeight="1">
      <c r="A20" s="37"/>
      <c r="C20" s="598"/>
      <c r="D20" s="598"/>
      <c r="E20" s="600"/>
      <c r="K20" s="460"/>
      <c r="M20" s="49"/>
      <c r="N20" s="49"/>
      <c r="O20" s="49"/>
      <c r="P20" s="49"/>
    </row>
    <row r="21" spans="1:16">
      <c r="A21" s="37">
        <v>6</v>
      </c>
      <c r="C21" s="598" t="s">
        <v>155</v>
      </c>
      <c r="D21" s="598"/>
      <c r="E21" s="601">
        <f>SUM(E15:E19)</f>
        <v>4.4155E-2</v>
      </c>
      <c r="J21" s="110">
        <f>SUM(J15:J20)</f>
        <v>571</v>
      </c>
      <c r="K21" s="110"/>
      <c r="M21" s="49"/>
      <c r="N21" s="111"/>
      <c r="O21" s="49"/>
      <c r="P21" s="49"/>
    </row>
    <row r="22" spans="1:16" ht="9.6" customHeight="1">
      <c r="A22" s="37"/>
      <c r="C22" s="598"/>
      <c r="D22" s="598"/>
      <c r="E22" s="598"/>
      <c r="J22" s="111"/>
      <c r="K22" s="111"/>
      <c r="M22" s="49"/>
      <c r="N22" s="111"/>
      <c r="O22" s="49"/>
      <c r="P22" s="49"/>
    </row>
    <row r="23" spans="1:16">
      <c r="A23" s="37">
        <v>7</v>
      </c>
      <c r="C23" s="598" t="s">
        <v>156</v>
      </c>
      <c r="D23" s="598"/>
      <c r="E23" s="598">
        <f>E12-E21</f>
        <v>0.95584500000000006</v>
      </c>
      <c r="J23" s="111">
        <f>J12-J21</f>
        <v>12364</v>
      </c>
      <c r="K23" s="111"/>
      <c r="M23" s="49"/>
      <c r="N23" s="111"/>
      <c r="O23" s="49"/>
      <c r="P23" s="49"/>
    </row>
    <row r="24" spans="1:16" ht="9.6" customHeight="1">
      <c r="A24" s="37"/>
      <c r="C24" s="598"/>
      <c r="D24" s="598"/>
      <c r="E24" s="598"/>
      <c r="K24" s="460"/>
      <c r="M24" s="49"/>
      <c r="N24" s="49"/>
      <c r="O24" s="49"/>
      <c r="P24" s="49"/>
    </row>
    <row r="25" spans="1:16">
      <c r="A25" s="37">
        <v>8</v>
      </c>
      <c r="C25" s="598" t="s">
        <v>495</v>
      </c>
      <c r="D25" s="602"/>
      <c r="E25" s="598">
        <f>E23*0.21</f>
        <v>0.20072745</v>
      </c>
      <c r="J25" s="112">
        <f>ROUND(J23*0.21,0)</f>
        <v>2596</v>
      </c>
      <c r="K25" s="112"/>
      <c r="M25" s="49"/>
      <c r="N25" s="111"/>
      <c r="O25" s="49"/>
      <c r="P25" s="49"/>
    </row>
    <row r="26" spans="1:16" ht="9" customHeight="1">
      <c r="C26" s="598"/>
      <c r="D26" s="598"/>
      <c r="E26" s="598"/>
      <c r="K26" s="460"/>
      <c r="M26" s="49"/>
      <c r="N26" s="49"/>
      <c r="O26" s="49"/>
      <c r="P26" s="49"/>
    </row>
    <row r="27" spans="1:16" ht="13.5" thickBot="1">
      <c r="A27" s="37">
        <v>9</v>
      </c>
      <c r="C27" s="598" t="s">
        <v>157</v>
      </c>
      <c r="D27" s="598"/>
      <c r="E27" s="598">
        <f>ROUND(E23-E25,6)</f>
        <v>0.75511799999999996</v>
      </c>
      <c r="J27" s="113">
        <f>J23-J25</f>
        <v>9768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12935.726601670203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0.72660167020330846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view="pageBreakPreview" zoomScaleNormal="100" zoomScaleSheetLayoutView="100" workbookViewId="0">
      <pane xSplit="5" ySplit="12" topLeftCell="Z13" activePane="bottomRight" state="frozen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50" customWidth="1"/>
    <col min="24" max="24" width="20.140625" style="650" customWidth="1"/>
    <col min="25" max="25" width="18.7109375" style="375" customWidth="1"/>
    <col min="26" max="26" width="14.140625" style="375" customWidth="1"/>
    <col min="27" max="27" width="15.42578125" style="650" customWidth="1"/>
    <col min="28" max="28" width="15.5703125" style="650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50" customWidth="1"/>
    <col min="33" max="33" width="13" style="173" customWidth="1"/>
    <col min="34" max="34" width="13.85546875" style="650" customWidth="1"/>
    <col min="35" max="35" width="15.28515625" style="650" customWidth="1"/>
    <col min="36" max="36" width="16.85546875" style="650" customWidth="1"/>
    <col min="37" max="37" width="12" style="650" customWidth="1"/>
    <col min="38" max="38" width="13.5703125" style="650" customWidth="1"/>
    <col min="39" max="39" width="9" style="613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4"/>
      <c r="AH2" s="463"/>
      <c r="AK2" s="463"/>
      <c r="AL2" s="463"/>
      <c r="AM2" s="614"/>
    </row>
    <row r="3" spans="1:40" ht="15" customHeight="1">
      <c r="A3" s="376" t="s">
        <v>445</v>
      </c>
      <c r="F3" s="642" t="s">
        <v>463</v>
      </c>
      <c r="H3" s="650"/>
      <c r="I3" s="650"/>
      <c r="J3" s="650"/>
      <c r="K3" s="377"/>
      <c r="L3" s="650"/>
      <c r="M3" s="650"/>
      <c r="N3" s="650"/>
      <c r="O3" s="650"/>
      <c r="P3" s="650"/>
      <c r="Q3" s="650"/>
      <c r="R3" s="377"/>
      <c r="S3" s="463"/>
      <c r="T3" s="463"/>
      <c r="U3" s="463"/>
      <c r="V3" s="463"/>
      <c r="W3" s="658"/>
      <c r="X3" s="355"/>
      <c r="Y3" s="414"/>
      <c r="Z3" s="414"/>
      <c r="AA3" s="698" t="s">
        <v>464</v>
      </c>
      <c r="AD3" s="463"/>
      <c r="AE3" s="377"/>
      <c r="AG3" s="704"/>
      <c r="AH3" s="377"/>
      <c r="AJ3" s="751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487</v>
      </c>
      <c r="F4" s="375"/>
      <c r="G4" s="375"/>
      <c r="H4" s="650"/>
      <c r="I4" s="650"/>
      <c r="J4" s="414"/>
      <c r="K4" s="651"/>
      <c r="L4" s="651"/>
      <c r="M4" s="414"/>
      <c r="N4" s="414"/>
      <c r="O4" s="414"/>
      <c r="P4" s="414"/>
      <c r="Q4" s="414"/>
      <c r="R4" s="668"/>
      <c r="S4" s="463"/>
      <c r="T4" s="463"/>
      <c r="U4" s="463"/>
      <c r="V4" s="682"/>
      <c r="W4" s="658"/>
      <c r="X4" s="669"/>
      <c r="Y4" s="414"/>
      <c r="Z4" s="426"/>
      <c r="AA4" s="463"/>
      <c r="AC4" s="689"/>
      <c r="AD4" s="463"/>
      <c r="AE4" s="689"/>
      <c r="AG4" s="704"/>
      <c r="AH4" s="651"/>
      <c r="AJ4" s="751"/>
      <c r="AL4" s="651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494</v>
      </c>
      <c r="F5" s="378"/>
      <c r="G5" s="378"/>
      <c r="H5" s="651"/>
      <c r="I5" s="651"/>
      <c r="J5" s="378"/>
      <c r="K5" s="651"/>
      <c r="L5" s="651"/>
      <c r="M5" s="378"/>
      <c r="N5" s="378"/>
      <c r="O5" s="378"/>
      <c r="P5" s="378"/>
      <c r="Q5" s="378"/>
      <c r="R5" s="668"/>
      <c r="S5" s="668"/>
      <c r="T5" s="674"/>
      <c r="U5" s="689"/>
      <c r="V5" s="674"/>
      <c r="W5" s="658"/>
      <c r="X5" s="669"/>
      <c r="Y5" s="378"/>
      <c r="Z5" s="675"/>
      <c r="AA5" s="689"/>
      <c r="AB5" s="689"/>
      <c r="AC5" s="689"/>
      <c r="AD5" s="689"/>
      <c r="AE5" s="668"/>
      <c r="AF5" s="689"/>
      <c r="AG5" s="705"/>
      <c r="AH5" s="651"/>
      <c r="AI5" s="689"/>
      <c r="AJ5" s="752"/>
      <c r="AK5" s="701"/>
      <c r="AL5" s="651"/>
      <c r="AM5" s="615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7"/>
      <c r="L6" s="377"/>
      <c r="M6" s="377"/>
      <c r="N6" s="377"/>
      <c r="O6" s="377"/>
      <c r="P6" s="377"/>
      <c r="Q6" s="377"/>
      <c r="R6" s="657"/>
      <c r="S6" s="377"/>
      <c r="T6" s="377"/>
      <c r="U6" s="377"/>
      <c r="V6" s="683"/>
      <c r="W6" s="659"/>
      <c r="X6" s="670"/>
      <c r="Y6" s="377"/>
      <c r="Z6" s="381"/>
      <c r="AA6" s="377"/>
      <c r="AB6" s="377"/>
      <c r="AC6" s="690"/>
      <c r="AD6" s="690"/>
      <c r="AE6" s="690"/>
      <c r="AF6" s="377"/>
      <c r="AG6" s="706"/>
      <c r="AH6" s="667"/>
      <c r="AI6" s="377"/>
      <c r="AJ6" s="753"/>
      <c r="AK6" s="377"/>
      <c r="AL6" s="725"/>
      <c r="AM6" s="614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3" t="s">
        <v>1</v>
      </c>
      <c r="G7" s="643" t="s">
        <v>478</v>
      </c>
      <c r="H7" s="643" t="s">
        <v>435</v>
      </c>
      <c r="I7" s="653" t="s">
        <v>506</v>
      </c>
      <c r="J7" s="643" t="s">
        <v>2</v>
      </c>
      <c r="K7" s="643" t="s">
        <v>5</v>
      </c>
      <c r="L7" s="643" t="s">
        <v>113</v>
      </c>
      <c r="M7" s="643" t="s">
        <v>3</v>
      </c>
      <c r="N7" s="643" t="s">
        <v>4</v>
      </c>
      <c r="O7" s="643" t="s">
        <v>429</v>
      </c>
      <c r="P7" s="643" t="s">
        <v>6</v>
      </c>
      <c r="Q7" s="643" t="s">
        <v>5</v>
      </c>
      <c r="R7" s="643" t="s">
        <v>129</v>
      </c>
      <c r="S7" s="643" t="s">
        <v>448</v>
      </c>
      <c r="T7" s="660" t="s">
        <v>450</v>
      </c>
      <c r="U7" s="660" t="s">
        <v>483</v>
      </c>
      <c r="V7" s="643" t="s">
        <v>162</v>
      </c>
      <c r="W7" s="660" t="s">
        <v>5</v>
      </c>
      <c r="X7" s="371" t="s">
        <v>510</v>
      </c>
      <c r="Y7" s="371" t="s">
        <v>440</v>
      </c>
      <c r="Z7" s="676"/>
      <c r="AA7" s="692" t="s">
        <v>15</v>
      </c>
      <c r="AB7" s="643" t="s">
        <v>15</v>
      </c>
      <c r="AC7" s="643" t="s">
        <v>15</v>
      </c>
      <c r="AD7" s="643" t="s">
        <v>15</v>
      </c>
      <c r="AE7" s="643" t="s">
        <v>15</v>
      </c>
      <c r="AF7" s="643" t="s">
        <v>15</v>
      </c>
      <c r="AG7" s="707" t="s">
        <v>15</v>
      </c>
      <c r="AH7" s="643" t="s">
        <v>15</v>
      </c>
      <c r="AI7" s="643" t="s">
        <v>15</v>
      </c>
      <c r="AJ7" s="371" t="s">
        <v>439</v>
      </c>
      <c r="AK7" s="643" t="s">
        <v>15</v>
      </c>
      <c r="AL7" s="643" t="s">
        <v>15</v>
      </c>
      <c r="AM7" s="616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4" t="s">
        <v>9</v>
      </c>
      <c r="G8" s="644" t="s">
        <v>479</v>
      </c>
      <c r="H8" s="644" t="s">
        <v>132</v>
      </c>
      <c r="I8" s="654" t="s">
        <v>507</v>
      </c>
      <c r="J8" s="644" t="s">
        <v>10</v>
      </c>
      <c r="K8" s="644" t="s">
        <v>11</v>
      </c>
      <c r="L8" s="644" t="s">
        <v>12</v>
      </c>
      <c r="M8" s="644" t="s">
        <v>12</v>
      </c>
      <c r="N8" s="644" t="s">
        <v>482</v>
      </c>
      <c r="O8" s="644" t="s">
        <v>430</v>
      </c>
      <c r="P8" s="644" t="s">
        <v>14</v>
      </c>
      <c r="Q8" s="644" t="s">
        <v>130</v>
      </c>
      <c r="R8" s="644" t="s">
        <v>480</v>
      </c>
      <c r="S8" s="644" t="s">
        <v>449</v>
      </c>
      <c r="T8" s="661" t="s">
        <v>451</v>
      </c>
      <c r="U8" s="661" t="s">
        <v>484</v>
      </c>
      <c r="V8" s="684" t="s">
        <v>477</v>
      </c>
      <c r="W8" s="661" t="s">
        <v>13</v>
      </c>
      <c r="X8" s="671" t="s">
        <v>489</v>
      </c>
      <c r="Y8" s="442" t="s">
        <v>211</v>
      </c>
      <c r="Z8" s="676"/>
      <c r="AA8" s="693" t="s">
        <v>447</v>
      </c>
      <c r="AB8" s="644" t="s">
        <v>488</v>
      </c>
      <c r="AC8" s="684" t="s">
        <v>125</v>
      </c>
      <c r="AD8" s="684" t="s">
        <v>125</v>
      </c>
      <c r="AE8" s="684" t="s">
        <v>486</v>
      </c>
      <c r="AF8" s="644" t="s">
        <v>515</v>
      </c>
      <c r="AG8" s="708" t="s">
        <v>485</v>
      </c>
      <c r="AH8" s="644" t="s">
        <v>11</v>
      </c>
      <c r="AI8" s="644" t="s">
        <v>44</v>
      </c>
      <c r="AJ8" s="654" t="s">
        <v>561</v>
      </c>
      <c r="AK8" s="644" t="s">
        <v>427</v>
      </c>
      <c r="AL8" s="684" t="s">
        <v>514</v>
      </c>
      <c r="AM8" s="617" t="s">
        <v>516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5" t="s">
        <v>19</v>
      </c>
      <c r="G9" s="645" t="s">
        <v>239</v>
      </c>
      <c r="H9" s="645"/>
      <c r="I9" s="655" t="s">
        <v>19</v>
      </c>
      <c r="J9" s="645" t="s">
        <v>21</v>
      </c>
      <c r="K9" s="645" t="s">
        <v>22</v>
      </c>
      <c r="L9" s="645"/>
      <c r="M9" s="645"/>
      <c r="N9" s="645" t="s">
        <v>23</v>
      </c>
      <c r="O9" s="645" t="s">
        <v>12</v>
      </c>
      <c r="P9" s="645" t="s">
        <v>509</v>
      </c>
      <c r="Q9" s="645" t="s">
        <v>21</v>
      </c>
      <c r="R9" s="645" t="s">
        <v>481</v>
      </c>
      <c r="S9" s="645" t="s">
        <v>114</v>
      </c>
      <c r="T9" s="662" t="s">
        <v>452</v>
      </c>
      <c r="U9" s="662" t="s">
        <v>512</v>
      </c>
      <c r="V9" s="685" t="s">
        <v>12</v>
      </c>
      <c r="W9" s="662" t="s">
        <v>24</v>
      </c>
      <c r="X9" s="672" t="s">
        <v>490</v>
      </c>
      <c r="Y9" s="604"/>
      <c r="Z9" s="677"/>
      <c r="AA9" s="694" t="s">
        <v>442</v>
      </c>
      <c r="AB9" s="645" t="s">
        <v>456</v>
      </c>
      <c r="AC9" s="685" t="s">
        <v>126</v>
      </c>
      <c r="AD9" s="685" t="s">
        <v>127</v>
      </c>
      <c r="AE9" s="685" t="s">
        <v>161</v>
      </c>
      <c r="AF9" s="645" t="s">
        <v>12</v>
      </c>
      <c r="AG9" s="709" t="s">
        <v>12</v>
      </c>
      <c r="AH9" s="645" t="s">
        <v>22</v>
      </c>
      <c r="AI9" s="645" t="s">
        <v>12</v>
      </c>
      <c r="AJ9" s="655" t="s">
        <v>465</v>
      </c>
      <c r="AK9" s="645" t="s">
        <v>428</v>
      </c>
      <c r="AL9" s="645" t="s">
        <v>456</v>
      </c>
      <c r="AM9" s="618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2">
        <f>G10+0.01</f>
        <v>1.03</v>
      </c>
      <c r="I10" s="656">
        <f>H10+0.01</f>
        <v>1.04</v>
      </c>
      <c r="J10" s="652">
        <v>2.0099999999999998</v>
      </c>
      <c r="K10" s="652">
        <f>J10+0.01</f>
        <v>2.0199999999999996</v>
      </c>
      <c r="L10" s="652">
        <f t="shared" ref="L10:S10" si="1">K10+0.01</f>
        <v>2.0299999999999994</v>
      </c>
      <c r="M10" s="652">
        <f t="shared" si="1"/>
        <v>2.0399999999999991</v>
      </c>
      <c r="N10" s="652">
        <f t="shared" si="1"/>
        <v>2.0499999999999989</v>
      </c>
      <c r="O10" s="652">
        <f t="shared" si="1"/>
        <v>2.0599999999999987</v>
      </c>
      <c r="P10" s="652">
        <f t="shared" si="1"/>
        <v>2.0699999999999985</v>
      </c>
      <c r="Q10" s="652">
        <f t="shared" si="1"/>
        <v>2.0799999999999983</v>
      </c>
      <c r="R10" s="652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10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9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6" t="s">
        <v>508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468</v>
      </c>
      <c r="T11" s="379" t="s">
        <v>453</v>
      </c>
      <c r="U11" s="379" t="s">
        <v>194</v>
      </c>
      <c r="V11" s="377" t="s">
        <v>195</v>
      </c>
      <c r="W11" s="377" t="s">
        <v>196</v>
      </c>
      <c r="X11" s="673" t="s">
        <v>511</v>
      </c>
      <c r="Y11" s="377" t="s">
        <v>425</v>
      </c>
      <c r="Z11" s="381"/>
      <c r="AA11" s="377" t="s">
        <v>455</v>
      </c>
      <c r="AB11" s="377" t="s">
        <v>475</v>
      </c>
      <c r="AC11" s="377" t="s">
        <v>197</v>
      </c>
      <c r="AD11" s="377" t="s">
        <v>198</v>
      </c>
      <c r="AE11" s="377" t="s">
        <v>199</v>
      </c>
      <c r="AF11" s="377" t="s">
        <v>520</v>
      </c>
      <c r="AG11" s="711" t="s">
        <v>517</v>
      </c>
      <c r="AH11" s="377" t="s">
        <v>434</v>
      </c>
      <c r="AI11" s="377" t="s">
        <v>518</v>
      </c>
      <c r="AJ11" s="381" t="s">
        <v>513</v>
      </c>
      <c r="AK11" s="377" t="s">
        <v>466</v>
      </c>
      <c r="AL11" s="377" t="s">
        <v>519</v>
      </c>
      <c r="AM11" s="614" t="s">
        <v>521</v>
      </c>
      <c r="AN11" s="474" t="s">
        <v>426</v>
      </c>
    </row>
    <row r="12" spans="1:40" ht="6" customHeight="1"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V12" s="650"/>
      <c r="Z12" s="484"/>
      <c r="AC12" s="650"/>
      <c r="AD12" s="650"/>
      <c r="AE12" s="650"/>
      <c r="AJ12" s="399"/>
      <c r="AN12" s="475"/>
    </row>
    <row r="13" spans="1:40">
      <c r="B13" s="1" t="s">
        <v>32</v>
      </c>
      <c r="V13" s="650"/>
      <c r="Z13" s="484"/>
      <c r="AC13" s="650"/>
      <c r="AD13" s="650"/>
      <c r="AE13" s="650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6">
        <v>0</v>
      </c>
      <c r="G14" s="646">
        <v>0</v>
      </c>
      <c r="H14" s="646">
        <v>0</v>
      </c>
      <c r="I14" s="646">
        <v>0</v>
      </c>
      <c r="J14" s="646">
        <v>-5070</v>
      </c>
      <c r="K14" s="646">
        <v>0</v>
      </c>
      <c r="L14" s="646">
        <v>0</v>
      </c>
      <c r="M14" s="646">
        <v>0</v>
      </c>
      <c r="N14" s="646">
        <v>0</v>
      </c>
      <c r="O14" s="646">
        <v>0</v>
      </c>
      <c r="P14" s="646">
        <v>0</v>
      </c>
      <c r="Q14" s="646">
        <v>0</v>
      </c>
      <c r="R14" s="646">
        <v>0</v>
      </c>
      <c r="S14" s="646">
        <v>6259</v>
      </c>
      <c r="T14" s="646">
        <v>5056</v>
      </c>
      <c r="U14" s="646">
        <v>0</v>
      </c>
      <c r="V14" s="646">
        <v>0</v>
      </c>
      <c r="W14" s="646">
        <v>0</v>
      </c>
      <c r="X14" s="646">
        <v>0</v>
      </c>
      <c r="Y14" s="400">
        <f>SUM(E14:X14)</f>
        <v>146870</v>
      </c>
      <c r="Z14" s="678"/>
      <c r="AA14" s="646">
        <v>-58118</v>
      </c>
      <c r="AB14" s="646">
        <v>0</v>
      </c>
      <c r="AC14" s="646">
        <v>0</v>
      </c>
      <c r="AD14" s="646">
        <v>0</v>
      </c>
      <c r="AE14" s="646">
        <v>0</v>
      </c>
      <c r="AF14" s="646">
        <v>0</v>
      </c>
      <c r="AG14" s="712">
        <v>0</v>
      </c>
      <c r="AH14" s="646">
        <v>0</v>
      </c>
      <c r="AI14" s="646">
        <v>0</v>
      </c>
      <c r="AJ14" s="754">
        <v>0</v>
      </c>
      <c r="AK14" s="646">
        <v>0</v>
      </c>
      <c r="AL14" s="646">
        <v>0</v>
      </c>
      <c r="AM14" s="620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7">
        <v>0</v>
      </c>
      <c r="G15" s="647">
        <v>0</v>
      </c>
      <c r="H15" s="647">
        <v>0</v>
      </c>
      <c r="I15" s="647">
        <v>0</v>
      </c>
      <c r="J15" s="647">
        <v>-128</v>
      </c>
      <c r="K15" s="647">
        <v>0</v>
      </c>
      <c r="L15" s="647">
        <v>0</v>
      </c>
      <c r="M15" s="647">
        <v>0</v>
      </c>
      <c r="N15" s="647">
        <v>0</v>
      </c>
      <c r="O15" s="647">
        <v>0</v>
      </c>
      <c r="P15" s="647">
        <v>0</v>
      </c>
      <c r="Q15" s="647">
        <v>0</v>
      </c>
      <c r="R15" s="647">
        <v>0</v>
      </c>
      <c r="S15" s="647"/>
      <c r="T15" s="647">
        <v>0</v>
      </c>
      <c r="U15" s="647">
        <v>0</v>
      </c>
      <c r="V15" s="647">
        <v>0</v>
      </c>
      <c r="W15" s="647">
        <v>0</v>
      </c>
      <c r="X15" s="647">
        <v>0</v>
      </c>
      <c r="Y15" s="401">
        <f>SUM(E15:X15)</f>
        <v>4960</v>
      </c>
      <c r="Z15" s="406"/>
      <c r="AA15" s="647">
        <v>-5</v>
      </c>
      <c r="AB15" s="647">
        <v>0</v>
      </c>
      <c r="AC15" s="647">
        <v>0</v>
      </c>
      <c r="AD15" s="647">
        <v>0</v>
      </c>
      <c r="AE15" s="647">
        <v>0</v>
      </c>
      <c r="AF15" s="647">
        <v>0</v>
      </c>
      <c r="AG15" s="713">
        <v>0</v>
      </c>
      <c r="AH15" s="647">
        <v>0</v>
      </c>
      <c r="AI15" s="647">
        <v>0</v>
      </c>
      <c r="AJ15" s="649">
        <v>0</v>
      </c>
      <c r="AK15" s="647">
        <v>0</v>
      </c>
      <c r="AL15" s="647">
        <v>0</v>
      </c>
      <c r="AM15" s="621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8">
        <v>0</v>
      </c>
      <c r="G16" s="648">
        <v>0</v>
      </c>
      <c r="H16" s="648">
        <v>0</v>
      </c>
      <c r="I16" s="648">
        <v>0</v>
      </c>
      <c r="J16" s="648">
        <v>0</v>
      </c>
      <c r="K16" s="648">
        <v>0</v>
      </c>
      <c r="L16" s="648">
        <v>0</v>
      </c>
      <c r="M16" s="648">
        <v>0</v>
      </c>
      <c r="N16" s="648">
        <v>0</v>
      </c>
      <c r="O16" s="648">
        <v>0</v>
      </c>
      <c r="P16" s="648">
        <v>0</v>
      </c>
      <c r="Q16" s="648">
        <v>0</v>
      </c>
      <c r="R16" s="648">
        <v>0</v>
      </c>
      <c r="S16" s="648">
        <v>-3321</v>
      </c>
      <c r="T16" s="648">
        <v>-51690</v>
      </c>
      <c r="U16" s="648">
        <v>114</v>
      </c>
      <c r="V16" s="648">
        <v>0</v>
      </c>
      <c r="W16" s="648">
        <v>0</v>
      </c>
      <c r="X16" s="648">
        <v>0</v>
      </c>
      <c r="Y16" s="402">
        <f>SUM(E16:X16)</f>
        <v>-4216</v>
      </c>
      <c r="Z16" s="406"/>
      <c r="AA16" s="648">
        <v>4549</v>
      </c>
      <c r="AB16" s="648">
        <v>0</v>
      </c>
      <c r="AC16" s="648">
        <v>0</v>
      </c>
      <c r="AD16" s="648">
        <v>0</v>
      </c>
      <c r="AE16" s="648">
        <v>0</v>
      </c>
      <c r="AF16" s="648">
        <v>0</v>
      </c>
      <c r="AG16" s="714">
        <v>0</v>
      </c>
      <c r="AH16" s="648">
        <v>0</v>
      </c>
      <c r="AI16" s="648">
        <v>0</v>
      </c>
      <c r="AJ16" s="648">
        <v>0</v>
      </c>
      <c r="AK16" s="648">
        <v>0</v>
      </c>
      <c r="AL16" s="648">
        <v>0</v>
      </c>
      <c r="AM16" s="622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5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3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47"/>
      <c r="Y18" s="401"/>
      <c r="Z18" s="406"/>
      <c r="AA18" s="647"/>
      <c r="AB18" s="647"/>
      <c r="AC18" s="647"/>
      <c r="AD18" s="647"/>
      <c r="AE18" s="647"/>
      <c r="AF18" s="647"/>
      <c r="AG18" s="713"/>
      <c r="AH18" s="647"/>
      <c r="AI18" s="647"/>
      <c r="AJ18" s="649"/>
      <c r="AK18" s="647"/>
      <c r="AL18" s="647"/>
      <c r="AM18" s="621"/>
      <c r="AN18" s="477"/>
    </row>
    <row r="19" spans="1:40">
      <c r="B19" s="1" t="s">
        <v>37</v>
      </c>
      <c r="C19" s="4"/>
      <c r="D19" s="4"/>
      <c r="E19" s="304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7"/>
      <c r="T19" s="647"/>
      <c r="U19" s="647"/>
      <c r="V19" s="647"/>
      <c r="W19" s="647"/>
      <c r="X19" s="647"/>
      <c r="Y19" s="401"/>
      <c r="Z19" s="406"/>
      <c r="AA19" s="647"/>
      <c r="AB19" s="647"/>
      <c r="AC19" s="647"/>
      <c r="AD19" s="647"/>
      <c r="AE19" s="647"/>
      <c r="AF19" s="647"/>
      <c r="AG19" s="713"/>
      <c r="AH19" s="647"/>
      <c r="AI19" s="647"/>
      <c r="AJ19" s="649"/>
      <c r="AK19" s="647"/>
      <c r="AL19" s="647"/>
      <c r="AM19" s="621"/>
      <c r="AN19" s="477"/>
    </row>
    <row r="20" spans="1:40">
      <c r="B20" s="4" t="s">
        <v>204</v>
      </c>
      <c r="D20" s="4"/>
      <c r="E20" s="304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401"/>
      <c r="Z20" s="406"/>
      <c r="AA20" s="647"/>
      <c r="AB20" s="647"/>
      <c r="AC20" s="647"/>
      <c r="AD20" s="647"/>
      <c r="AE20" s="647"/>
      <c r="AF20" s="647"/>
      <c r="AG20" s="713"/>
      <c r="AH20" s="647"/>
      <c r="AI20" s="647"/>
      <c r="AJ20" s="649"/>
      <c r="AK20" s="647"/>
      <c r="AL20" s="647"/>
      <c r="AM20" s="621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7">
        <v>0</v>
      </c>
      <c r="G21" s="647">
        <v>0</v>
      </c>
      <c r="H21" s="647">
        <v>0</v>
      </c>
      <c r="I21" s="647">
        <v>0</v>
      </c>
      <c r="J21" s="647">
        <v>0</v>
      </c>
      <c r="K21" s="647">
        <v>0</v>
      </c>
      <c r="L21" s="647">
        <v>0</v>
      </c>
      <c r="M21" s="647">
        <v>0</v>
      </c>
      <c r="N21" s="647">
        <v>0</v>
      </c>
      <c r="O21" s="647">
        <v>0</v>
      </c>
      <c r="P21" s="647">
        <v>0</v>
      </c>
      <c r="Q21" s="647">
        <v>0</v>
      </c>
      <c r="R21" s="647">
        <v>0</v>
      </c>
      <c r="S21" s="647">
        <v>2651</v>
      </c>
      <c r="T21" s="647">
        <v>-41801</v>
      </c>
      <c r="U21" s="647">
        <v>0</v>
      </c>
      <c r="V21" s="647">
        <v>0</v>
      </c>
      <c r="W21" s="647">
        <v>0</v>
      </c>
      <c r="X21" s="647">
        <v>0</v>
      </c>
      <c r="Y21" s="401">
        <f>SUM(E21:X21)</f>
        <v>51519</v>
      </c>
      <c r="Z21" s="406"/>
      <c r="AA21" s="647">
        <v>-51519</v>
      </c>
      <c r="AB21" s="647">
        <v>0</v>
      </c>
      <c r="AC21" s="647">
        <v>0</v>
      </c>
      <c r="AD21" s="647">
        <v>0</v>
      </c>
      <c r="AE21" s="647">
        <v>0</v>
      </c>
      <c r="AF21" s="647">
        <v>0</v>
      </c>
      <c r="AG21" s="713">
        <v>0</v>
      </c>
      <c r="AH21" s="647">
        <v>0</v>
      </c>
      <c r="AI21" s="647">
        <v>0</v>
      </c>
      <c r="AJ21" s="649">
        <v>0</v>
      </c>
      <c r="AK21" s="647">
        <v>0</v>
      </c>
      <c r="AL21" s="647">
        <v>0</v>
      </c>
      <c r="AM21" s="621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7">
        <v>0</v>
      </c>
      <c r="G22" s="647">
        <v>0</v>
      </c>
      <c r="H22" s="647">
        <v>0</v>
      </c>
      <c r="I22" s="647">
        <v>0</v>
      </c>
      <c r="J22" s="647">
        <v>0</v>
      </c>
      <c r="K22" s="647">
        <v>0</v>
      </c>
      <c r="L22" s="647">
        <v>0</v>
      </c>
      <c r="M22" s="647">
        <v>0</v>
      </c>
      <c r="N22" s="647">
        <v>0</v>
      </c>
      <c r="O22" s="647">
        <v>0</v>
      </c>
      <c r="P22" s="647">
        <v>0</v>
      </c>
      <c r="Q22" s="647">
        <v>0</v>
      </c>
      <c r="R22" s="647">
        <v>0</v>
      </c>
      <c r="S22" s="647">
        <v>4</v>
      </c>
      <c r="T22" s="647">
        <v>0</v>
      </c>
      <c r="U22" s="647">
        <v>0</v>
      </c>
      <c r="V22" s="647">
        <v>0</v>
      </c>
      <c r="W22" s="647">
        <v>0</v>
      </c>
      <c r="X22" s="647">
        <v>0</v>
      </c>
      <c r="Y22" s="401">
        <f>SUM(E22:X22)</f>
        <v>959</v>
      </c>
      <c r="Z22" s="406"/>
      <c r="AA22" s="647">
        <v>0</v>
      </c>
      <c r="AB22" s="647">
        <v>0</v>
      </c>
      <c r="AC22" s="647">
        <v>16</v>
      </c>
      <c r="AD22" s="647">
        <v>0</v>
      </c>
      <c r="AE22" s="647">
        <v>24</v>
      </c>
      <c r="AF22" s="647">
        <v>0</v>
      </c>
      <c r="AG22" s="713">
        <v>0</v>
      </c>
      <c r="AH22" s="647">
        <v>0</v>
      </c>
      <c r="AI22" s="647">
        <v>0</v>
      </c>
      <c r="AJ22" s="649">
        <v>0</v>
      </c>
      <c r="AK22" s="647">
        <v>0</v>
      </c>
      <c r="AL22" s="647">
        <v>0</v>
      </c>
      <c r="AM22" s="621">
        <v>0</v>
      </c>
      <c r="AN22" s="477">
        <f>SUM(Y22:AM22)</f>
        <v>999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8">
        <v>0</v>
      </c>
      <c r="G23" s="648">
        <v>0</v>
      </c>
      <c r="H23" s="648">
        <v>0</v>
      </c>
      <c r="I23" s="648">
        <v>0</v>
      </c>
      <c r="J23" s="648">
        <v>0</v>
      </c>
      <c r="K23" s="648">
        <v>0</v>
      </c>
      <c r="L23" s="648">
        <v>0</v>
      </c>
      <c r="M23" s="648">
        <v>0</v>
      </c>
      <c r="N23" s="648">
        <v>0</v>
      </c>
      <c r="O23" s="648">
        <v>0</v>
      </c>
      <c r="P23" s="648">
        <v>0</v>
      </c>
      <c r="Q23" s="648">
        <v>0</v>
      </c>
      <c r="R23" s="648">
        <v>0</v>
      </c>
      <c r="S23" s="648">
        <v>0</v>
      </c>
      <c r="T23" s="648">
        <v>292</v>
      </c>
      <c r="U23" s="648">
        <v>0</v>
      </c>
      <c r="V23" s="648">
        <v>0</v>
      </c>
      <c r="W23" s="648">
        <v>0</v>
      </c>
      <c r="X23" s="648">
        <v>0</v>
      </c>
      <c r="Y23" s="402">
        <f>SUM(E23:X23)</f>
        <v>0</v>
      </c>
      <c r="Z23" s="406"/>
      <c r="AA23" s="648">
        <v>0</v>
      </c>
      <c r="AB23" s="648">
        <v>0</v>
      </c>
      <c r="AC23" s="648"/>
      <c r="AD23" s="648">
        <v>0</v>
      </c>
      <c r="AE23" s="648">
        <v>0</v>
      </c>
      <c r="AF23" s="648">
        <v>0</v>
      </c>
      <c r="AG23" s="714">
        <v>0</v>
      </c>
      <c r="AH23" s="648">
        <v>0</v>
      </c>
      <c r="AI23" s="648">
        <v>0</v>
      </c>
      <c r="AJ23" s="648">
        <v>0</v>
      </c>
      <c r="AK23" s="648">
        <v>0</v>
      </c>
      <c r="AL23" s="648">
        <v>0</v>
      </c>
      <c r="AM23" s="622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24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5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3">
        <f t="shared" ref="AM24" si="30">SUM(AM21:AM23)</f>
        <v>0</v>
      </c>
      <c r="AN24" s="477">
        <f t="shared" ref="AN24" si="31">SUM(AN21:AN23)</f>
        <v>999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5"/>
      <c r="AK25" s="354"/>
      <c r="AL25" s="354"/>
      <c r="AM25" s="623"/>
      <c r="AN25" s="477"/>
    </row>
    <row r="26" spans="1:40">
      <c r="B26" s="4" t="s">
        <v>42</v>
      </c>
      <c r="D26" s="4"/>
      <c r="E26" s="304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7"/>
      <c r="T26" s="647"/>
      <c r="U26" s="647"/>
      <c r="V26" s="647"/>
      <c r="W26" s="647"/>
      <c r="X26" s="647"/>
      <c r="Y26" s="401"/>
      <c r="Z26" s="406"/>
      <c r="AA26" s="647"/>
      <c r="AB26" s="647"/>
      <c r="AC26" s="647"/>
      <c r="AD26" s="647"/>
      <c r="AE26" s="647"/>
      <c r="AF26" s="647"/>
      <c r="AG26" s="713"/>
      <c r="AH26" s="647"/>
      <c r="AI26" s="647"/>
      <c r="AJ26" s="649"/>
      <c r="AK26" s="647"/>
      <c r="AL26" s="647"/>
      <c r="AM26" s="621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7">
        <v>0</v>
      </c>
      <c r="G27" s="647">
        <v>0</v>
      </c>
      <c r="H27" s="647">
        <v>0</v>
      </c>
      <c r="I27" s="647">
        <v>0</v>
      </c>
      <c r="J27" s="647">
        <v>0</v>
      </c>
      <c r="K27" s="647">
        <v>0</v>
      </c>
      <c r="L27" s="647">
        <v>0</v>
      </c>
      <c r="M27" s="647">
        <v>0</v>
      </c>
      <c r="N27" s="647">
        <v>0</v>
      </c>
      <c r="O27" s="647">
        <v>0</v>
      </c>
      <c r="P27" s="647">
        <v>0</v>
      </c>
      <c r="Q27" s="647">
        <v>0</v>
      </c>
      <c r="R27" s="647">
        <v>0</v>
      </c>
      <c r="S27" s="647">
        <v>0</v>
      </c>
      <c r="T27" s="647">
        <v>0</v>
      </c>
      <c r="U27" s="647">
        <v>0</v>
      </c>
      <c r="V27" s="647">
        <v>0</v>
      </c>
      <c r="W27" s="647">
        <v>0</v>
      </c>
      <c r="X27" s="647">
        <v>0</v>
      </c>
      <c r="Y27" s="401">
        <f>SUM(E27:X27)</f>
        <v>1532</v>
      </c>
      <c r="Z27" s="406"/>
      <c r="AA27" s="647">
        <v>0</v>
      </c>
      <c r="AB27" s="647">
        <v>0</v>
      </c>
      <c r="AC27" s="647">
        <v>0</v>
      </c>
      <c r="AD27" s="647">
        <v>0</v>
      </c>
      <c r="AE27" s="647">
        <v>0</v>
      </c>
      <c r="AF27" s="647">
        <v>0</v>
      </c>
      <c r="AG27" s="713">
        <v>0</v>
      </c>
      <c r="AH27" s="647">
        <v>0</v>
      </c>
      <c r="AI27" s="647">
        <v>0</v>
      </c>
      <c r="AJ27" s="649">
        <v>0</v>
      </c>
      <c r="AK27" s="647">
        <v>0</v>
      </c>
      <c r="AL27" s="647">
        <v>0</v>
      </c>
      <c r="AM27" s="621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7">
        <v>0</v>
      </c>
      <c r="G28" s="647">
        <v>0</v>
      </c>
      <c r="H28" s="647">
        <v>0</v>
      </c>
      <c r="I28" s="647">
        <v>0</v>
      </c>
      <c r="J28" s="647">
        <v>0</v>
      </c>
      <c r="K28" s="647">
        <v>0</v>
      </c>
      <c r="L28" s="647">
        <v>0</v>
      </c>
      <c r="M28" s="647">
        <v>0</v>
      </c>
      <c r="N28" s="647">
        <v>0</v>
      </c>
      <c r="O28" s="647">
        <v>0</v>
      </c>
      <c r="P28" s="647">
        <v>0</v>
      </c>
      <c r="Q28" s="647">
        <v>0</v>
      </c>
      <c r="R28" s="647">
        <v>0</v>
      </c>
      <c r="S28" s="647">
        <v>0</v>
      </c>
      <c r="T28" s="647">
        <v>0</v>
      </c>
      <c r="U28" s="647">
        <v>0</v>
      </c>
      <c r="V28" s="647">
        <v>0</v>
      </c>
      <c r="W28" s="647">
        <v>0</v>
      </c>
      <c r="X28" s="647">
        <v>43</v>
      </c>
      <c r="Y28" s="401">
        <f>SUM(E28:X28)</f>
        <v>670</v>
      </c>
      <c r="Z28" s="406"/>
      <c r="AA28" s="647">
        <v>0</v>
      </c>
      <c r="AB28" s="647">
        <v>0</v>
      </c>
      <c r="AC28" s="647">
        <v>0</v>
      </c>
      <c r="AD28" s="647">
        <v>0</v>
      </c>
      <c r="AE28" s="647">
        <v>0</v>
      </c>
      <c r="AF28" s="647">
        <v>0</v>
      </c>
      <c r="AG28" s="713">
        <v>0</v>
      </c>
      <c r="AH28" s="647">
        <v>0</v>
      </c>
      <c r="AI28" s="647">
        <v>-244</v>
      </c>
      <c r="AJ28" s="649">
        <v>0</v>
      </c>
      <c r="AK28" s="647">
        <v>0</v>
      </c>
      <c r="AL28" s="647">
        <v>0</v>
      </c>
      <c r="AM28" s="621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8">
        <v>0</v>
      </c>
      <c r="G29" s="648">
        <v>0</v>
      </c>
      <c r="H29" s="648">
        <v>0</v>
      </c>
      <c r="I29" s="648">
        <v>0</v>
      </c>
      <c r="J29" s="648">
        <v>0</v>
      </c>
      <c r="K29" s="648">
        <v>-78</v>
      </c>
      <c r="L29" s="648">
        <v>0</v>
      </c>
      <c r="M29" s="648">
        <v>0</v>
      </c>
      <c r="N29" s="648">
        <v>0</v>
      </c>
      <c r="O29" s="648">
        <v>0</v>
      </c>
      <c r="P29" s="648">
        <v>0</v>
      </c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402">
        <f>SUM(E29:X29)</f>
        <v>224</v>
      </c>
      <c r="Z29" s="406"/>
      <c r="AA29" s="648">
        <v>0</v>
      </c>
      <c r="AB29" s="648">
        <v>0</v>
      </c>
      <c r="AC29" s="648">
        <v>0</v>
      </c>
      <c r="AD29" s="648">
        <v>0</v>
      </c>
      <c r="AE29" s="648">
        <v>0</v>
      </c>
      <c r="AF29" s="648">
        <v>0</v>
      </c>
      <c r="AG29" s="714">
        <v>0</v>
      </c>
      <c r="AH29" s="648">
        <v>29</v>
      </c>
      <c r="AI29" s="648">
        <v>0</v>
      </c>
      <c r="AJ29" s="648">
        <v>0</v>
      </c>
      <c r="AK29" s="648">
        <v>0</v>
      </c>
      <c r="AL29" s="648">
        <v>0</v>
      </c>
      <c r="AM29" s="622">
        <v>0</v>
      </c>
      <c r="AN29" s="473">
        <f>SUM(Y29:AM29)</f>
        <v>253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29</v>
      </c>
      <c r="AI30" s="354">
        <f>SUM(AI27:AI29)</f>
        <v>-244</v>
      </c>
      <c r="AJ30" s="665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3">
        <f t="shared" ref="AM30" si="39">SUM(AM27:AM29)</f>
        <v>0</v>
      </c>
      <c r="AN30" s="477">
        <f t="shared" ref="AN30" si="40">SUM(AN27:AN29)</f>
        <v>2211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5"/>
      <c r="AK31" s="354"/>
      <c r="AL31" s="354"/>
      <c r="AM31" s="623"/>
      <c r="AN31" s="477"/>
    </row>
    <row r="32" spans="1:40">
      <c r="B32" s="4" t="s">
        <v>46</v>
      </c>
      <c r="D32" s="4"/>
      <c r="E32" s="304"/>
      <c r="F32" s="647"/>
      <c r="G32" s="647"/>
      <c r="H32" s="647"/>
      <c r="I32" s="647"/>
      <c r="J32" s="647"/>
      <c r="K32" s="647"/>
      <c r="L32" s="647"/>
      <c r="M32" s="647"/>
      <c r="N32" s="647"/>
      <c r="O32" s="647"/>
      <c r="P32" s="647"/>
      <c r="Q32" s="647"/>
      <c r="R32" s="647"/>
      <c r="S32" s="647"/>
      <c r="T32" s="647"/>
      <c r="U32" s="647"/>
      <c r="V32" s="647"/>
      <c r="W32" s="647"/>
      <c r="X32" s="647"/>
      <c r="Y32" s="401"/>
      <c r="Z32" s="406"/>
      <c r="AA32" s="647"/>
      <c r="AB32" s="647"/>
      <c r="AC32" s="647"/>
      <c r="AD32" s="647"/>
      <c r="AE32" s="647"/>
      <c r="AF32" s="647"/>
      <c r="AG32" s="713"/>
      <c r="AH32" s="647"/>
      <c r="AI32" s="647"/>
      <c r="AJ32" s="649"/>
      <c r="AK32" s="647"/>
      <c r="AL32" s="647"/>
      <c r="AM32" s="621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7">
        <v>0</v>
      </c>
      <c r="G33" s="647">
        <v>0</v>
      </c>
      <c r="H33" s="647">
        <v>0</v>
      </c>
      <c r="I33" s="647">
        <v>0</v>
      </c>
      <c r="J33" s="647">
        <v>0</v>
      </c>
      <c r="K33" s="647">
        <v>0</v>
      </c>
      <c r="L33" s="647">
        <v>0</v>
      </c>
      <c r="M33" s="647">
        <v>0</v>
      </c>
      <c r="N33" s="647">
        <v>0</v>
      </c>
      <c r="O33" s="647">
        <v>0</v>
      </c>
      <c r="P33" s="647">
        <v>0</v>
      </c>
      <c r="Q33" s="647">
        <v>0</v>
      </c>
      <c r="R33" s="647">
        <v>0</v>
      </c>
      <c r="S33" s="647">
        <v>0</v>
      </c>
      <c r="T33" s="647">
        <v>0</v>
      </c>
      <c r="U33" s="647">
        <v>-8</v>
      </c>
      <c r="V33" s="647">
        <v>0</v>
      </c>
      <c r="W33" s="647">
        <v>0</v>
      </c>
      <c r="X33" s="647">
        <v>0</v>
      </c>
      <c r="Y33" s="401">
        <f>SUM(E33:X33)</f>
        <v>12308</v>
      </c>
      <c r="Z33" s="406"/>
      <c r="AA33" s="647">
        <v>0</v>
      </c>
      <c r="AB33" s="647">
        <v>0</v>
      </c>
      <c r="AC33" s="647">
        <v>362</v>
      </c>
      <c r="AD33" s="647"/>
      <c r="AE33" s="647">
        <v>328</v>
      </c>
      <c r="AF33" s="647">
        <v>0</v>
      </c>
      <c r="AG33" s="713">
        <v>0</v>
      </c>
      <c r="AH33" s="647">
        <v>0</v>
      </c>
      <c r="AI33" s="647">
        <v>0</v>
      </c>
      <c r="AJ33" s="649">
        <v>0</v>
      </c>
      <c r="AK33" s="647">
        <v>0</v>
      </c>
      <c r="AL33" s="647">
        <v>0</v>
      </c>
      <c r="AM33" s="621">
        <v>0</v>
      </c>
      <c r="AN33" s="477">
        <f>SUM(Y33:AM33)</f>
        <v>12998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7">
        <v>0</v>
      </c>
      <c r="G34" s="647">
        <v>0</v>
      </c>
      <c r="H34" s="647">
        <v>0</v>
      </c>
      <c r="I34" s="647">
        <v>0</v>
      </c>
      <c r="J34" s="647">
        <v>0</v>
      </c>
      <c r="K34" s="647">
        <v>0</v>
      </c>
      <c r="L34" s="647">
        <v>0</v>
      </c>
      <c r="M34" s="647">
        <v>0</v>
      </c>
      <c r="N34" s="647">
        <v>0</v>
      </c>
      <c r="O34" s="647">
        <v>0</v>
      </c>
      <c r="P34" s="647">
        <v>0</v>
      </c>
      <c r="Q34" s="647">
        <v>0</v>
      </c>
      <c r="R34" s="647">
        <v>-13</v>
      </c>
      <c r="S34" s="647">
        <v>0</v>
      </c>
      <c r="T34" s="647">
        <v>0</v>
      </c>
      <c r="U34" s="647">
        <v>0</v>
      </c>
      <c r="V34" s="647">
        <v>0</v>
      </c>
      <c r="W34" s="647">
        <v>0</v>
      </c>
      <c r="X34" s="647">
        <v>567</v>
      </c>
      <c r="Y34" s="401">
        <f>SUM(E34:X34)</f>
        <v>12196</v>
      </c>
      <c r="Z34" s="406"/>
      <c r="AA34" s="647">
        <v>0</v>
      </c>
      <c r="AB34" s="647">
        <v>0</v>
      </c>
      <c r="AC34" s="647">
        <v>0</v>
      </c>
      <c r="AD34" s="647">
        <v>0</v>
      </c>
      <c r="AE34" s="647">
        <v>0</v>
      </c>
      <c r="AF34" s="647">
        <v>0</v>
      </c>
      <c r="AG34" s="713">
        <v>0</v>
      </c>
      <c r="AH34" s="647">
        <v>0</v>
      </c>
      <c r="AI34" s="647">
        <v>-731</v>
      </c>
      <c r="AJ34" s="649">
        <v>347</v>
      </c>
      <c r="AK34" s="647">
        <v>0</v>
      </c>
      <c r="AL34" s="647">
        <v>0</v>
      </c>
      <c r="AM34" s="621">
        <v>0</v>
      </c>
      <c r="AN34" s="477">
        <f>SUM(Y34:AM34)</f>
        <v>11812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8">
        <v>0</v>
      </c>
      <c r="G35" s="648">
        <v>0</v>
      </c>
      <c r="H35" s="648">
        <v>0</v>
      </c>
      <c r="I35" s="648">
        <v>0</v>
      </c>
      <c r="J35" s="648">
        <v>-5184</v>
      </c>
      <c r="K35" s="648">
        <v>80</v>
      </c>
      <c r="L35" s="648">
        <v>0</v>
      </c>
      <c r="M35" s="648">
        <v>0</v>
      </c>
      <c r="N35" s="648">
        <v>0</v>
      </c>
      <c r="O35" s="648">
        <v>0</v>
      </c>
      <c r="P35" s="648">
        <v>0</v>
      </c>
      <c r="Q35" s="648">
        <v>0</v>
      </c>
      <c r="R35" s="648">
        <v>0</v>
      </c>
      <c r="S35" s="648">
        <f>ROUND((S$14+S$15)*CF!$E$19,0)</f>
        <v>240</v>
      </c>
      <c r="T35" s="648">
        <f>ROUND((T$14+T$15)*CF!$E$19,0)</f>
        <v>194</v>
      </c>
      <c r="U35" s="648">
        <v>0</v>
      </c>
      <c r="V35" s="648">
        <v>0</v>
      </c>
      <c r="W35" s="648">
        <v>0</v>
      </c>
      <c r="X35" s="648">
        <v>0</v>
      </c>
      <c r="Y35" s="402">
        <f>SUM(E35:X35)</f>
        <v>9458</v>
      </c>
      <c r="Z35" s="406"/>
      <c r="AA35" s="648">
        <f>ROUND((AA$14+AA$15)*CF!$E$19,0)</f>
        <v>-2230</v>
      </c>
      <c r="AB35" s="648">
        <v>0</v>
      </c>
      <c r="AC35" s="648">
        <v>0</v>
      </c>
      <c r="AD35" s="648">
        <v>0</v>
      </c>
      <c r="AE35" s="648">
        <v>0</v>
      </c>
      <c r="AF35" s="648">
        <v>0</v>
      </c>
      <c r="AG35" s="714">
        <v>0</v>
      </c>
      <c r="AH35" s="648">
        <v>447</v>
      </c>
      <c r="AI35" s="648">
        <v>0</v>
      </c>
      <c r="AJ35" s="648">
        <v>0</v>
      </c>
      <c r="AK35" s="648">
        <v>0</v>
      </c>
      <c r="AL35" s="648">
        <v>0</v>
      </c>
      <c r="AM35" s="622">
        <v>0</v>
      </c>
      <c r="AN35" s="473">
        <f>SUM(Y35:AM35)</f>
        <v>7675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362</v>
      </c>
      <c r="AD36" s="354">
        <f>SUM(AD33:AD35)</f>
        <v>0</v>
      </c>
      <c r="AE36" s="354">
        <f t="shared" ref="AE36:AF36" si="47">SUM(AE33:AE35)</f>
        <v>328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447</v>
      </c>
      <c r="AI36" s="354">
        <f t="shared" ref="AI36" si="49">SUM(AI33:AI35)</f>
        <v>-731</v>
      </c>
      <c r="AJ36" s="665">
        <f>SUM(AJ33:AJ35)</f>
        <v>347</v>
      </c>
      <c r="AK36" s="354">
        <f>SUM(AK33:AK35)</f>
        <v>0</v>
      </c>
      <c r="AL36" s="354">
        <f t="shared" ref="AL36" si="50">SUM(AL33:AL35)</f>
        <v>0</v>
      </c>
      <c r="AM36" s="623">
        <f t="shared" ref="AM36" si="51">SUM(AM33:AM35)</f>
        <v>0</v>
      </c>
      <c r="AN36" s="477">
        <f t="shared" ref="AN36" si="52">SUM(AN33:AN35)</f>
        <v>32485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5"/>
      <c r="AK37" s="354"/>
      <c r="AL37" s="354"/>
      <c r="AM37" s="623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9">
        <v>0</v>
      </c>
      <c r="G38" s="649">
        <v>10</v>
      </c>
      <c r="H38" s="649">
        <v>0</v>
      </c>
      <c r="I38" s="649">
        <v>0</v>
      </c>
      <c r="J38" s="649">
        <v>0</v>
      </c>
      <c r="K38" s="649"/>
      <c r="L38" s="649">
        <v>-320</v>
      </c>
      <c r="M38" s="649">
        <v>0</v>
      </c>
      <c r="N38" s="649">
        <v>0</v>
      </c>
      <c r="O38" s="649">
        <v>0</v>
      </c>
      <c r="P38" s="649">
        <v>0</v>
      </c>
      <c r="Q38" s="649">
        <v>0</v>
      </c>
      <c r="R38" s="649">
        <v>0</v>
      </c>
      <c r="S38" s="647">
        <f>ROUND((S$14+S$15)*CF!$E$15,0)</f>
        <v>24</v>
      </c>
      <c r="T38" s="647">
        <f>ROUND((T$14+T$15)*CF!$E$15,0)</f>
        <v>19</v>
      </c>
      <c r="U38" s="647">
        <v>0</v>
      </c>
      <c r="V38" s="354">
        <v>0</v>
      </c>
      <c r="W38" s="647">
        <v>0</v>
      </c>
      <c r="X38" s="354">
        <v>0</v>
      </c>
      <c r="Y38" s="401">
        <f>SUM(E38:X38)</f>
        <v>6967</v>
      </c>
      <c r="Z38" s="406"/>
      <c r="AA38" s="647">
        <f>ROUND((AA$14+AA$15)*CF!$E$15,0)</f>
        <v>-220</v>
      </c>
      <c r="AB38" s="649">
        <v>0</v>
      </c>
      <c r="AC38" s="354">
        <v>143</v>
      </c>
      <c r="AD38" s="354">
        <v>0</v>
      </c>
      <c r="AE38" s="354">
        <v>176</v>
      </c>
      <c r="AF38" s="649">
        <v>0</v>
      </c>
      <c r="AG38" s="713"/>
      <c r="AH38" s="647"/>
      <c r="AI38" s="649">
        <v>0</v>
      </c>
      <c r="AJ38" s="649">
        <v>0</v>
      </c>
      <c r="AK38" s="647">
        <v>0</v>
      </c>
      <c r="AL38" s="647">
        <v>31</v>
      </c>
      <c r="AM38" s="624">
        <v>0</v>
      </c>
      <c r="AN38" s="477">
        <f>SUM(Y38:AM38)</f>
        <v>7097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7">
        <v>0</v>
      </c>
      <c r="G39" s="647">
        <v>0</v>
      </c>
      <c r="H39" s="647">
        <v>0</v>
      </c>
      <c r="I39" s="647">
        <v>0</v>
      </c>
      <c r="J39" s="647">
        <v>0</v>
      </c>
      <c r="K39" s="647">
        <v>0</v>
      </c>
      <c r="L39" s="647">
        <v>0</v>
      </c>
      <c r="M39" s="647">
        <v>0</v>
      </c>
      <c r="N39" s="647">
        <v>0</v>
      </c>
      <c r="O39" s="647">
        <v>0</v>
      </c>
      <c r="P39" s="647">
        <v>0</v>
      </c>
      <c r="Q39" s="647">
        <v>0</v>
      </c>
      <c r="R39" s="647">
        <v>0</v>
      </c>
      <c r="S39" s="647">
        <v>0</v>
      </c>
      <c r="T39" s="647">
        <v>-6860</v>
      </c>
      <c r="U39" s="647">
        <v>-1</v>
      </c>
      <c r="V39" s="647">
        <v>0</v>
      </c>
      <c r="W39" s="647">
        <v>0</v>
      </c>
      <c r="X39" s="647">
        <v>0</v>
      </c>
      <c r="Y39" s="401">
        <f>SUM(E39:X39)</f>
        <v>1232</v>
      </c>
      <c r="Z39" s="406"/>
      <c r="AA39" s="647">
        <v>0</v>
      </c>
      <c r="AB39" s="647">
        <v>0</v>
      </c>
      <c r="AC39" s="647">
        <v>11</v>
      </c>
      <c r="AD39" s="647">
        <v>0</v>
      </c>
      <c r="AE39" s="647">
        <v>16</v>
      </c>
      <c r="AF39" s="647">
        <v>0</v>
      </c>
      <c r="AG39" s="713">
        <v>0</v>
      </c>
      <c r="AH39" s="647">
        <v>0</v>
      </c>
      <c r="AI39" s="647">
        <v>0</v>
      </c>
      <c r="AJ39" s="649">
        <v>0</v>
      </c>
      <c r="AK39" s="647">
        <v>0</v>
      </c>
      <c r="AL39" s="647">
        <v>0</v>
      </c>
      <c r="AM39" s="621">
        <v>0</v>
      </c>
      <c r="AN39" s="477">
        <f>SUM(Y39:AM39)</f>
        <v>1259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7">
        <v>0</v>
      </c>
      <c r="G40" s="647">
        <v>0</v>
      </c>
      <c r="H40" s="647">
        <v>0</v>
      </c>
      <c r="I40" s="647">
        <v>0</v>
      </c>
      <c r="J40" s="647">
        <v>0</v>
      </c>
      <c r="K40" s="647">
        <v>0</v>
      </c>
      <c r="L40" s="647">
        <v>0</v>
      </c>
      <c r="M40" s="647">
        <v>0</v>
      </c>
      <c r="N40" s="647">
        <v>0</v>
      </c>
      <c r="O40" s="647">
        <v>0</v>
      </c>
      <c r="P40" s="647">
        <v>0</v>
      </c>
      <c r="Q40" s="647">
        <v>0</v>
      </c>
      <c r="R40" s="647">
        <v>0</v>
      </c>
      <c r="S40" s="647">
        <v>0</v>
      </c>
      <c r="T40" s="647">
        <v>0</v>
      </c>
      <c r="U40" s="647">
        <v>0</v>
      </c>
      <c r="V40" s="647">
        <v>0</v>
      </c>
      <c r="W40" s="647">
        <v>0</v>
      </c>
      <c r="X40" s="647">
        <v>0</v>
      </c>
      <c r="Y40" s="401">
        <f>SUM(E40:X40)</f>
        <v>0</v>
      </c>
      <c r="Z40" s="406"/>
      <c r="AA40" s="647">
        <v>0</v>
      </c>
      <c r="AB40" s="647">
        <v>0</v>
      </c>
      <c r="AC40" s="647">
        <v>0</v>
      </c>
      <c r="AD40" s="647">
        <v>0</v>
      </c>
      <c r="AE40" s="647">
        <v>0</v>
      </c>
      <c r="AF40" s="647">
        <v>0</v>
      </c>
      <c r="AG40" s="713">
        <v>0</v>
      </c>
      <c r="AH40" s="647">
        <v>0</v>
      </c>
      <c r="AI40" s="647">
        <v>0</v>
      </c>
      <c r="AJ40" s="649">
        <v>0</v>
      </c>
      <c r="AK40" s="647">
        <v>0</v>
      </c>
      <c r="AL40" s="647">
        <v>0</v>
      </c>
      <c r="AM40" s="621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7"/>
      <c r="G41" s="647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647"/>
      <c r="X41" s="647"/>
      <c r="Y41" s="401"/>
      <c r="Z41" s="406"/>
      <c r="AA41" s="647"/>
      <c r="AB41" s="647"/>
      <c r="AC41" s="647"/>
      <c r="AD41" s="647"/>
      <c r="AE41" s="647"/>
      <c r="AF41" s="647"/>
      <c r="AG41" s="713"/>
      <c r="AH41" s="647"/>
      <c r="AI41" s="647"/>
      <c r="AJ41" s="649"/>
      <c r="AK41" s="647"/>
      <c r="AL41" s="647"/>
      <c r="AM41" s="621"/>
      <c r="AN41" s="477"/>
    </row>
    <row r="42" spans="1:40">
      <c r="B42" s="1" t="s">
        <v>51</v>
      </c>
      <c r="C42" s="4"/>
      <c r="D42" s="4"/>
      <c r="E42" s="304"/>
      <c r="F42" s="647"/>
      <c r="G42" s="647"/>
      <c r="H42" s="647"/>
      <c r="I42" s="647"/>
      <c r="J42" s="647"/>
      <c r="K42" s="647"/>
      <c r="L42" s="647"/>
      <c r="M42" s="647"/>
      <c r="N42" s="647"/>
      <c r="O42" s="647"/>
      <c r="P42" s="647"/>
      <c r="Q42" s="647"/>
      <c r="R42" s="647"/>
      <c r="S42" s="647"/>
      <c r="T42" s="647"/>
      <c r="U42" s="647"/>
      <c r="V42" s="647"/>
      <c r="W42" s="647"/>
      <c r="X42" s="647"/>
      <c r="Y42" s="401">
        <f>SUM(E42:X42)</f>
        <v>0</v>
      </c>
      <c r="Z42" s="406"/>
      <c r="AA42" s="647"/>
      <c r="AB42" s="647"/>
      <c r="AC42" s="647"/>
      <c r="AD42" s="647"/>
      <c r="AE42" s="647"/>
      <c r="AF42" s="647"/>
      <c r="AG42" s="713"/>
      <c r="AH42" s="647"/>
      <c r="AI42" s="647"/>
      <c r="AJ42" s="649"/>
      <c r="AK42" s="647"/>
      <c r="AL42" s="647"/>
      <c r="AM42" s="621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7">
        <v>0</v>
      </c>
      <c r="G43" s="647">
        <v>0</v>
      </c>
      <c r="H43" s="647">
        <v>0</v>
      </c>
      <c r="I43" s="647">
        <v>0</v>
      </c>
      <c r="J43" s="647">
        <v>0</v>
      </c>
      <c r="K43" s="647">
        <v>0</v>
      </c>
      <c r="L43" s="647">
        <v>0</v>
      </c>
      <c r="M43" s="647">
        <v>-50</v>
      </c>
      <c r="N43" s="647">
        <v>54</v>
      </c>
      <c r="O43" s="647">
        <v>0</v>
      </c>
      <c r="P43" s="647">
        <v>-17</v>
      </c>
      <c r="Q43" s="647">
        <v>0</v>
      </c>
      <c r="R43" s="647">
        <v>0</v>
      </c>
      <c r="S43" s="647">
        <f>ROUND((S$14+S$15)*CF!$E$17,0)</f>
        <v>13</v>
      </c>
      <c r="T43" s="647">
        <f>ROUND((T$14+T$15)*CF!$E$17,0)</f>
        <v>10</v>
      </c>
      <c r="U43" s="647">
        <v>-371</v>
      </c>
      <c r="V43" s="647">
        <v>-72</v>
      </c>
      <c r="W43" s="647">
        <v>0</v>
      </c>
      <c r="X43" s="647">
        <v>0</v>
      </c>
      <c r="Y43" s="401">
        <f>SUM(E43:X43)</f>
        <v>14612</v>
      </c>
      <c r="Z43" s="406"/>
      <c r="AA43" s="647">
        <f>ROUND((AA$14+AA$15)*CF!$E$17,0)</f>
        <v>-116</v>
      </c>
      <c r="AB43" s="647">
        <v>0</v>
      </c>
      <c r="AC43" s="647">
        <v>198</v>
      </c>
      <c r="AD43" s="691">
        <v>102</v>
      </c>
      <c r="AE43" s="647">
        <v>256</v>
      </c>
      <c r="AF43" s="647">
        <v>11</v>
      </c>
      <c r="AG43" s="715">
        <v>582</v>
      </c>
      <c r="AH43" s="647">
        <v>0</v>
      </c>
      <c r="AI43" s="647">
        <v>0</v>
      </c>
      <c r="AJ43" s="649">
        <v>0</v>
      </c>
      <c r="AK43" s="647">
        <v>-14</v>
      </c>
      <c r="AL43" s="691">
        <v>0</v>
      </c>
      <c r="AM43" s="621">
        <v>0</v>
      </c>
      <c r="AN43" s="477">
        <f>SUM(Y43:AM43)</f>
        <v>15631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7">
        <v>0</v>
      </c>
      <c r="G44" s="647">
        <v>0</v>
      </c>
      <c r="H44" s="647">
        <v>0</v>
      </c>
      <c r="I44" s="647">
        <v>0</v>
      </c>
      <c r="J44" s="647">
        <v>0</v>
      </c>
      <c r="K44" s="647">
        <v>0</v>
      </c>
      <c r="L44" s="647">
        <v>0</v>
      </c>
      <c r="M44" s="647">
        <v>0</v>
      </c>
      <c r="N44" s="647">
        <v>0</v>
      </c>
      <c r="O44" s="647">
        <v>0</v>
      </c>
      <c r="P44" s="647">
        <v>0</v>
      </c>
      <c r="Q44" s="647">
        <v>0</v>
      </c>
      <c r="R44" s="647">
        <v>0</v>
      </c>
      <c r="S44" s="647"/>
      <c r="T44" s="647"/>
      <c r="U44" s="647">
        <v>0</v>
      </c>
      <c r="V44" s="647">
        <v>0</v>
      </c>
      <c r="W44" s="647">
        <v>0</v>
      </c>
      <c r="X44" s="647">
        <v>961</v>
      </c>
      <c r="Y44" s="401">
        <f>SUM(E44:X44)</f>
        <v>9453</v>
      </c>
      <c r="Z44" s="406"/>
      <c r="AA44" s="647">
        <v>0</v>
      </c>
      <c r="AB44" s="647">
        <v>0</v>
      </c>
      <c r="AC44" s="647">
        <v>0</v>
      </c>
      <c r="AD44" s="647">
        <v>0</v>
      </c>
      <c r="AE44" s="647">
        <v>0</v>
      </c>
      <c r="AF44" s="647">
        <v>0</v>
      </c>
      <c r="AG44" s="713">
        <v>0</v>
      </c>
      <c r="AH44" s="647">
        <v>0</v>
      </c>
      <c r="AI44" s="647">
        <f>-309-234</f>
        <v>-543</v>
      </c>
      <c r="AJ44" s="649">
        <f>638+636</f>
        <v>1274</v>
      </c>
      <c r="AK44" s="647">
        <v>0</v>
      </c>
      <c r="AL44" s="647">
        <v>0</v>
      </c>
      <c r="AM44" s="621">
        <v>0</v>
      </c>
      <c r="AN44" s="477">
        <f>SUM(Y44:AM44)</f>
        <v>10184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>
        <v>0</v>
      </c>
      <c r="T45" s="647">
        <v>1083</v>
      </c>
      <c r="U45" s="647">
        <v>0</v>
      </c>
      <c r="V45" s="647">
        <v>0</v>
      </c>
      <c r="W45" s="647">
        <v>0</v>
      </c>
      <c r="X45" s="647">
        <v>0</v>
      </c>
      <c r="Y45" s="401">
        <f>SUM(E45:X45)</f>
        <v>-476</v>
      </c>
      <c r="Z45" s="406"/>
      <c r="AA45" s="647">
        <v>0</v>
      </c>
      <c r="AB45" s="647">
        <v>1745</v>
      </c>
      <c r="AC45" s="647"/>
      <c r="AD45" s="647"/>
      <c r="AE45" s="647"/>
      <c r="AF45" s="647">
        <v>0</v>
      </c>
      <c r="AG45" s="713"/>
      <c r="AH45" s="647"/>
      <c r="AI45" s="647"/>
      <c r="AJ45" s="649"/>
      <c r="AK45" s="647"/>
      <c r="AL45" s="647">
        <v>836</v>
      </c>
      <c r="AM45" s="621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8">
        <v>0</v>
      </c>
      <c r="G46" s="648">
        <v>0</v>
      </c>
      <c r="H46" s="648">
        <v>0</v>
      </c>
      <c r="I46" s="648">
        <v>0</v>
      </c>
      <c r="J46" s="648">
        <v>0</v>
      </c>
      <c r="K46" s="648">
        <v>0</v>
      </c>
      <c r="L46" s="648">
        <v>0</v>
      </c>
      <c r="M46" s="648">
        <v>0</v>
      </c>
      <c r="N46" s="648">
        <v>0</v>
      </c>
      <c r="O46" s="648">
        <v>0</v>
      </c>
      <c r="P46" s="648">
        <v>0</v>
      </c>
      <c r="Q46" s="648">
        <v>0</v>
      </c>
      <c r="R46" s="648">
        <v>0</v>
      </c>
      <c r="S46" s="648">
        <v>0</v>
      </c>
      <c r="T46" s="648">
        <v>0</v>
      </c>
      <c r="U46" s="648">
        <v>0</v>
      </c>
      <c r="V46" s="648">
        <v>0</v>
      </c>
      <c r="W46" s="648">
        <v>0</v>
      </c>
      <c r="X46" s="648">
        <v>0</v>
      </c>
      <c r="Y46" s="402">
        <f>SUM(E46:X46)</f>
        <v>0</v>
      </c>
      <c r="Z46" s="406"/>
      <c r="AA46" s="648">
        <v>0</v>
      </c>
      <c r="AB46" s="648">
        <v>0</v>
      </c>
      <c r="AC46" s="648">
        <v>0</v>
      </c>
      <c r="AD46" s="648">
        <v>0</v>
      </c>
      <c r="AE46" s="648">
        <v>0</v>
      </c>
      <c r="AF46" s="648">
        <v>0</v>
      </c>
      <c r="AG46" s="714">
        <v>0</v>
      </c>
      <c r="AH46" s="648">
        <v>0</v>
      </c>
      <c r="AI46" s="648">
        <v>0</v>
      </c>
      <c r="AJ46" s="648">
        <v>0</v>
      </c>
      <c r="AK46" s="648">
        <v>0</v>
      </c>
      <c r="AL46" s="648">
        <v>0</v>
      </c>
      <c r="AM46" s="622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54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-72</v>
      </c>
      <c r="W47" s="307">
        <f>SUM(W43:W46)</f>
        <v>0</v>
      </c>
      <c r="X47" s="307">
        <f>SUM(X43:X46)</f>
        <v>961</v>
      </c>
      <c r="Y47" s="402">
        <f t="shared" ref="Y47" si="57">SUM(Y43:Y46)</f>
        <v>23589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198</v>
      </c>
      <c r="AD47" s="307">
        <f>SUM(AD43:AD46)</f>
        <v>102</v>
      </c>
      <c r="AE47" s="307">
        <f t="shared" ref="AE47:AF47" si="59">SUM(AE43:AE46)</f>
        <v>256</v>
      </c>
      <c r="AF47" s="307">
        <f t="shared" si="59"/>
        <v>11</v>
      </c>
      <c r="AG47" s="716">
        <f>SUM(AG43:AG46)</f>
        <v>582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1274</v>
      </c>
      <c r="AK47" s="307">
        <f>SUM(AK43:AK46)</f>
        <v>-14</v>
      </c>
      <c r="AL47" s="307">
        <f t="shared" ref="AL47" si="61">SUM(AL43:AL46)</f>
        <v>836</v>
      </c>
      <c r="AM47" s="625">
        <f t="shared" ref="AM47" si="62">SUM(AM43:AM46)</f>
        <v>0</v>
      </c>
      <c r="AN47" s="473">
        <f t="shared" ref="AN47" si="63">SUM(AN43:AN46)</f>
        <v>27920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54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-72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120654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730</v>
      </c>
      <c r="AD48" s="307">
        <f t="shared" si="64"/>
        <v>102</v>
      </c>
      <c r="AE48" s="307">
        <f t="shared" si="64"/>
        <v>800</v>
      </c>
      <c r="AF48" s="307">
        <f t="shared" si="64"/>
        <v>11</v>
      </c>
      <c r="AG48" s="716">
        <f>AG20+AG24+AG30+AG36+AG38+AG39+AG40+AG47</f>
        <v>582</v>
      </c>
      <c r="AH48" s="307">
        <f t="shared" ref="AH48" si="68">AH20+AH24+AH30+AH36+AH38+AH39+AH40+AH47</f>
        <v>476</v>
      </c>
      <c r="AI48" s="307">
        <f>AI20+AI24+AI30+AI36+AI38+AI39+AI40+AI47</f>
        <v>-1518</v>
      </c>
      <c r="AJ48" s="307">
        <f>AJ20+AJ24+AJ30+AJ36+AJ38+AJ39+AJ40+AJ47</f>
        <v>1621</v>
      </c>
      <c r="AK48" s="307">
        <f>AK20+AK24+AK30+AK36+AK38+AK39+AK40+AK47</f>
        <v>-14</v>
      </c>
      <c r="AL48" s="307">
        <f>AL20+AL24+AL30+AL36+AL38+AL39+AL40+AL47</f>
        <v>867</v>
      </c>
      <c r="AM48" s="625">
        <f t="shared" ref="AM48" si="69">AM20+AM24+AM30+AM36+AM38+AM39+AM40+AM47</f>
        <v>0</v>
      </c>
      <c r="AN48" s="473">
        <f t="shared" ref="AN48" si="70">AN20+AN24+AN30+AN36+AN38+AN39+AN40+AN47</f>
        <v>71971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5"/>
      <c r="AK49" s="354"/>
      <c r="AL49" s="354"/>
      <c r="AM49" s="623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-54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72</v>
      </c>
      <c r="W50" s="354">
        <f>W17-W48</f>
        <v>0</v>
      </c>
      <c r="X50" s="354">
        <f>X17-X48</f>
        <v>-1571</v>
      </c>
      <c r="Y50" s="401">
        <f>SUM(E50:X50)</f>
        <v>26960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-730</v>
      </c>
      <c r="AD50" s="354">
        <f t="shared" ref="AD50:AF50" si="75">AD17-AD48</f>
        <v>-102</v>
      </c>
      <c r="AE50" s="354">
        <f t="shared" si="75"/>
        <v>-800</v>
      </c>
      <c r="AF50" s="354">
        <f t="shared" si="75"/>
        <v>-11</v>
      </c>
      <c r="AG50" s="223">
        <f>AG17-AG48</f>
        <v>-582</v>
      </c>
      <c r="AH50" s="354">
        <f t="shared" ref="AH50" si="76">AH17-AH48</f>
        <v>-476</v>
      </c>
      <c r="AI50" s="354">
        <f>AI17-AI48</f>
        <v>1518</v>
      </c>
      <c r="AJ50" s="665">
        <f>AJ17-AJ48</f>
        <v>-1621</v>
      </c>
      <c r="AK50" s="354">
        <f>AK17-AK48</f>
        <v>14</v>
      </c>
      <c r="AL50" s="354">
        <f t="shared" ref="AL50" si="77">AL17-AL48</f>
        <v>-867</v>
      </c>
      <c r="AM50" s="623">
        <f t="shared" ref="AM50" si="78">AM17-AM48</f>
        <v>0</v>
      </c>
      <c r="AN50" s="477">
        <f t="shared" ref="AN50" si="79">AN17-AN48</f>
        <v>22069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5"/>
      <c r="AK51" s="354"/>
      <c r="AL51" s="354"/>
      <c r="AM51" s="623"/>
      <c r="AN51" s="477"/>
    </row>
    <row r="52" spans="1:40" ht="12.95" customHeight="1">
      <c r="B52" s="1" t="s">
        <v>55</v>
      </c>
      <c r="C52" s="4"/>
      <c r="D52" s="4"/>
      <c r="E52" s="304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401"/>
      <c r="Z52" s="406"/>
      <c r="AA52" s="647"/>
      <c r="AB52" s="647"/>
      <c r="AC52" s="647"/>
      <c r="AD52" s="647"/>
      <c r="AE52" s="647"/>
      <c r="AF52" s="647"/>
      <c r="AG52" s="713"/>
      <c r="AH52" s="647"/>
      <c r="AI52" s="647"/>
      <c r="AJ52" s="649"/>
      <c r="AK52" s="647"/>
      <c r="AL52" s="647"/>
      <c r="AM52" s="621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7">
        <f t="shared" ref="F53:N53" si="80">F50*0.21</f>
        <v>0</v>
      </c>
      <c r="G53" s="647">
        <f t="shared" si="80"/>
        <v>-2.1</v>
      </c>
      <c r="H53" s="647">
        <f t="shared" si="80"/>
        <v>0</v>
      </c>
      <c r="I53" s="647">
        <f t="shared" si="80"/>
        <v>0</v>
      </c>
      <c r="J53" s="647">
        <f t="shared" si="80"/>
        <v>-2.94</v>
      </c>
      <c r="K53" s="647">
        <f t="shared" si="80"/>
        <v>-0.42</v>
      </c>
      <c r="L53" s="647">
        <f t="shared" si="80"/>
        <v>67.2</v>
      </c>
      <c r="M53" s="647">
        <f t="shared" si="80"/>
        <v>10.5</v>
      </c>
      <c r="N53" s="647">
        <f t="shared" si="80"/>
        <v>-11.34</v>
      </c>
      <c r="O53" s="647">
        <v>0</v>
      </c>
      <c r="P53" s="647">
        <f t="shared" ref="P53:V53" si="81">P50*0.21</f>
        <v>3.57</v>
      </c>
      <c r="Q53" s="647">
        <f t="shared" si="81"/>
        <v>0</v>
      </c>
      <c r="R53" s="647">
        <f t="shared" si="81"/>
        <v>2.73</v>
      </c>
      <c r="S53" s="647">
        <f t="shared" si="81"/>
        <v>1.26</v>
      </c>
      <c r="T53" s="647">
        <f t="shared" si="81"/>
        <v>90.09</v>
      </c>
      <c r="U53" s="647">
        <f t="shared" si="81"/>
        <v>103.74</v>
      </c>
      <c r="V53" s="647">
        <f t="shared" si="81"/>
        <v>15.12</v>
      </c>
      <c r="W53" s="647">
        <f>'DEBT CALC'!E57</f>
        <v>249</v>
      </c>
      <c r="X53" s="647">
        <f>X50*0.21</f>
        <v>-329.90999999999997</v>
      </c>
      <c r="Y53" s="401">
        <f>SUM(E53:X53)</f>
        <v>2753.5</v>
      </c>
      <c r="Z53" s="406"/>
      <c r="AA53" s="647">
        <f t="shared" ref="AA53:AM53" si="82">AA50*0.21</f>
        <v>107.31</v>
      </c>
      <c r="AB53" s="647">
        <f t="shared" si="82"/>
        <v>-366.45</v>
      </c>
      <c r="AC53" s="647">
        <f t="shared" si="82"/>
        <v>-153.29999999999998</v>
      </c>
      <c r="AD53" s="647">
        <f t="shared" si="82"/>
        <v>-21.419999999999998</v>
      </c>
      <c r="AE53" s="647">
        <f t="shared" si="82"/>
        <v>-168</v>
      </c>
      <c r="AF53" s="647">
        <f t="shared" ref="AF53" si="83">AF50*0.21</f>
        <v>-2.31</v>
      </c>
      <c r="AG53" s="713">
        <f t="shared" si="82"/>
        <v>-122.22</v>
      </c>
      <c r="AH53" s="647">
        <f t="shared" si="82"/>
        <v>-99.96</v>
      </c>
      <c r="AI53" s="647">
        <f t="shared" si="82"/>
        <v>318.77999999999997</v>
      </c>
      <c r="AJ53" s="647">
        <f t="shared" si="82"/>
        <v>-340.40999999999997</v>
      </c>
      <c r="AK53" s="647">
        <f t="shared" si="82"/>
        <v>2.94</v>
      </c>
      <c r="AL53" s="647">
        <f t="shared" si="82"/>
        <v>-182.07</v>
      </c>
      <c r="AM53" s="621">
        <f t="shared" si="82"/>
        <v>0</v>
      </c>
      <c r="AN53" s="477">
        <f>SUM(Y53:AM53)</f>
        <v>1726.39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7">
        <f>(F81*'RR SUMMARY'!$P$12)*-0.21</f>
        <v>6.7300589999999998</v>
      </c>
      <c r="G54" s="647">
        <f>(G81*'RR SUMMARY'!$P$12)*-0.21</f>
        <v>3.7779E-2</v>
      </c>
      <c r="H54" s="647">
        <f>(H81*'RR SUMMARY'!$P$12)*-0.21</f>
        <v>0</v>
      </c>
      <c r="I54" s="647">
        <f>(I81*'RR SUMMARY'!$P$12)*-0.21</f>
        <v>32.587085999999999</v>
      </c>
      <c r="J54" s="647">
        <f>(J81*'RR SUMMARY'!$P$12)*-0.21</f>
        <v>0</v>
      </c>
      <c r="K54" s="647">
        <f>(K81*'RR SUMMARY'!$P$12)*-0.21</f>
        <v>0</v>
      </c>
      <c r="L54" s="647">
        <f>(L81*'RR SUMMARY'!$P$12)*-0.21</f>
        <v>0</v>
      </c>
      <c r="M54" s="647">
        <f>(M81*'RR SUMMARY'!$P$12)*-0.21</f>
        <v>0</v>
      </c>
      <c r="N54" s="647">
        <f>(N81*'RR SUMMARY'!$P$12)*-0.21</f>
        <v>0</v>
      </c>
      <c r="O54" s="647"/>
      <c r="P54" s="647">
        <f>(P81*'RR SUMMARY'!$P$12)*-0.21</f>
        <v>0</v>
      </c>
      <c r="Q54" s="647">
        <f>(Q81*'RR SUMMARY'!$P$12)*-0.21</f>
        <v>0</v>
      </c>
      <c r="R54" s="647">
        <f>(R81*'RR SUMMARY'!$P$12)*-0.21</f>
        <v>0</v>
      </c>
      <c r="S54" s="647">
        <f>(S81*'RR SUMMARY'!$P$12)*-0.21</f>
        <v>0</v>
      </c>
      <c r="T54" s="647">
        <f>(T81*'RR SUMMARY'!$P$12)*-0.21</f>
        <v>0</v>
      </c>
      <c r="U54" s="647">
        <f>(U81*'RR SUMMARY'!$P$12)*-0.21</f>
        <v>0</v>
      </c>
      <c r="V54" s="647">
        <f>(V81*'RR SUMMARY'!$P$12)*-0.21</f>
        <v>0</v>
      </c>
      <c r="W54" s="647"/>
      <c r="X54" s="647">
        <f>(X81*'RR SUMMARY'!$P$12)*-0.21</f>
        <v>-174.16658699999999</v>
      </c>
      <c r="Y54" s="401">
        <f>SUM(E54:X54)</f>
        <v>-134.81166300000001</v>
      </c>
      <c r="Z54" s="406"/>
      <c r="AA54" s="647">
        <f>(AA81*'RR SUMMARY'!$P$12)*-0.21</f>
        <v>0</v>
      </c>
      <c r="AB54" s="647">
        <f>(AB81*'RR SUMMARY'!$P$12)*-0.21</f>
        <v>-0.51271500000000003</v>
      </c>
      <c r="AC54" s="647">
        <f>(AC81*'RR SUMMARY'!$P$12)*-0.21</f>
        <v>0</v>
      </c>
      <c r="AD54" s="647">
        <f>(AD81*'RR SUMMARY'!$P$12)*-0.21</f>
        <v>0</v>
      </c>
      <c r="AE54" s="647">
        <f>(AE81*'RR SUMMARY'!$P$12)*-0.21</f>
        <v>0</v>
      </c>
      <c r="AF54" s="647">
        <f>(AF81*'RR SUMMARY'!$P$12)*-0.21</f>
        <v>0</v>
      </c>
      <c r="AG54" s="713">
        <f>(AG81*'RR SUMMARY'!$P$12)*-0.21</f>
        <v>0</v>
      </c>
      <c r="AH54" s="647">
        <f>(AH81*'RR SUMMARY'!$P$12)*-0.21</f>
        <v>0</v>
      </c>
      <c r="AI54" s="647">
        <f>(AI81*'RR SUMMARY'!$P$12)*-0.21</f>
        <v>0</v>
      </c>
      <c r="AJ54" s="647">
        <f>(AJ81*'RR SUMMARY'!$P$12)*-0.21</f>
        <v>-136.31742600000001</v>
      </c>
      <c r="AK54" s="647">
        <f>(AK81*'RR SUMMARY'!$P$12)*-0.21</f>
        <v>0</v>
      </c>
      <c r="AL54" s="647">
        <f>(AL81*'RR SUMMARY'!$P$12)*-0.21</f>
        <v>0</v>
      </c>
      <c r="AM54" s="621">
        <f>(AM81*'RR SUMMARY'!$P$12)*-0.21</f>
        <v>0</v>
      </c>
      <c r="AN54" s="477">
        <f>SUM(Y54:AM54)</f>
        <v>-271.64180400000004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7">
        <v>0</v>
      </c>
      <c r="G55" s="647">
        <v>0</v>
      </c>
      <c r="H55" s="647">
        <v>0</v>
      </c>
      <c r="I55" s="647">
        <v>0</v>
      </c>
      <c r="J55" s="647">
        <v>0</v>
      </c>
      <c r="K55" s="647">
        <v>0</v>
      </c>
      <c r="L55" s="647">
        <v>0</v>
      </c>
      <c r="M55" s="647">
        <v>0</v>
      </c>
      <c r="N55" s="647">
        <v>0</v>
      </c>
      <c r="O55" s="647">
        <v>0</v>
      </c>
      <c r="P55" s="647">
        <v>0</v>
      </c>
      <c r="Q55" s="647">
        <v>0</v>
      </c>
      <c r="R55" s="647">
        <v>0</v>
      </c>
      <c r="S55" s="647">
        <v>0</v>
      </c>
      <c r="T55" s="647">
        <v>339</v>
      </c>
      <c r="U55" s="647">
        <v>0</v>
      </c>
      <c r="V55" s="647">
        <v>0</v>
      </c>
      <c r="W55" s="647">
        <v>0</v>
      </c>
      <c r="X55" s="647">
        <v>0</v>
      </c>
      <c r="Y55" s="401">
        <f>SUM(E55:X55)</f>
        <v>393</v>
      </c>
      <c r="Z55" s="406"/>
      <c r="AA55" s="647">
        <v>0</v>
      </c>
      <c r="AB55" s="647">
        <v>0</v>
      </c>
      <c r="AC55" s="647">
        <v>0</v>
      </c>
      <c r="AD55" s="647">
        <v>0</v>
      </c>
      <c r="AE55" s="647">
        <v>0</v>
      </c>
      <c r="AF55" s="647">
        <v>0</v>
      </c>
      <c r="AG55" s="713">
        <v>0</v>
      </c>
      <c r="AH55" s="647">
        <v>0</v>
      </c>
      <c r="AI55" s="647">
        <v>0</v>
      </c>
      <c r="AJ55" s="649">
        <v>0</v>
      </c>
      <c r="AK55" s="647">
        <v>0</v>
      </c>
      <c r="AL55" s="647">
        <v>0</v>
      </c>
      <c r="AM55" s="621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8"/>
      <c r="G56" s="648"/>
      <c r="H56" s="648"/>
      <c r="I56" s="648"/>
      <c r="J56" s="648">
        <v>0</v>
      </c>
      <c r="K56" s="648">
        <v>0</v>
      </c>
      <c r="L56" s="648">
        <v>0</v>
      </c>
      <c r="M56" s="648">
        <v>0</v>
      </c>
      <c r="N56" s="648">
        <v>0</v>
      </c>
      <c r="O56" s="648">
        <v>0</v>
      </c>
      <c r="P56" s="648">
        <v>0</v>
      </c>
      <c r="Q56" s="648">
        <v>0</v>
      </c>
      <c r="R56" s="648">
        <v>0</v>
      </c>
      <c r="S56" s="648">
        <v>0</v>
      </c>
      <c r="T56" s="648">
        <v>0</v>
      </c>
      <c r="U56" s="648">
        <v>0</v>
      </c>
      <c r="V56" s="648">
        <v>0</v>
      </c>
      <c r="W56" s="648">
        <v>0</v>
      </c>
      <c r="X56" s="648">
        <v>0</v>
      </c>
      <c r="Y56" s="402">
        <f>SUM(E56:X56)</f>
        <v>-15</v>
      </c>
      <c r="Z56" s="406"/>
      <c r="AA56" s="648">
        <v>0</v>
      </c>
      <c r="AB56" s="648">
        <v>0</v>
      </c>
      <c r="AC56" s="648">
        <v>0</v>
      </c>
      <c r="AD56" s="648">
        <v>0</v>
      </c>
      <c r="AE56" s="648">
        <v>0</v>
      </c>
      <c r="AF56" s="648">
        <v>0</v>
      </c>
      <c r="AG56" s="714">
        <v>0</v>
      </c>
      <c r="AH56" s="648">
        <v>0</v>
      </c>
      <c r="AI56" s="648">
        <v>0</v>
      </c>
      <c r="AJ56" s="648">
        <v>0</v>
      </c>
      <c r="AK56" s="648">
        <v>0</v>
      </c>
      <c r="AL56" s="648">
        <v>0</v>
      </c>
      <c r="AM56" s="622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5"/>
      <c r="AK57" s="354"/>
      <c r="AL57" s="354"/>
      <c r="AM57" s="623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-6.7300589999999998</v>
      </c>
      <c r="G58" s="448">
        <f>G50-SUM(G53:G56)</f>
        <v>-7.9377789999999999</v>
      </c>
      <c r="H58" s="448">
        <f t="shared" si="84"/>
        <v>0</v>
      </c>
      <c r="I58" s="448">
        <f t="shared" ref="I58" si="85">I50-SUM(I53:I56)</f>
        <v>-32.587085999999999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-42.66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3">
        <f>V50-SUM(V53:V56)</f>
        <v>56.88</v>
      </c>
      <c r="W58" s="663">
        <f t="shared" ref="W58" si="88">W50-SUM(W53:W56)</f>
        <v>-249</v>
      </c>
      <c r="X58" s="663">
        <f>X50-SUM(X53:X56)</f>
        <v>-1066.923413</v>
      </c>
      <c r="Y58" s="404">
        <f>Y50-SUM(Y53:Y56)+Y57</f>
        <v>23963.311663</v>
      </c>
      <c r="Z58" s="678"/>
      <c r="AA58" s="663">
        <f t="shared" ref="AA58" si="89">AA50-SUM(AA53:AA56)</f>
        <v>403.69</v>
      </c>
      <c r="AB58" s="663">
        <f t="shared" ref="AB58" si="90">AB50-SUM(AB53:AB56)</f>
        <v>-1378.0372849999999</v>
      </c>
      <c r="AC58" s="663">
        <f t="shared" ref="AC58" si="91">AC50-SUM(AC53:AC56)</f>
        <v>-576.70000000000005</v>
      </c>
      <c r="AD58" s="663">
        <f t="shared" ref="AD58:AF58" si="92">AD50-SUM(AD53:AD56)</f>
        <v>-80.58</v>
      </c>
      <c r="AE58" s="663">
        <f t="shared" si="92"/>
        <v>-632</v>
      </c>
      <c r="AF58" s="663">
        <f t="shared" si="92"/>
        <v>-8.69</v>
      </c>
      <c r="AG58" s="717">
        <f t="shared" ref="AG58:AL58" si="93">AG50-SUM(AG53:AG56)</f>
        <v>-459.78</v>
      </c>
      <c r="AH58" s="663">
        <f t="shared" si="93"/>
        <v>-376.04</v>
      </c>
      <c r="AI58" s="663">
        <f t="shared" si="93"/>
        <v>1199.22</v>
      </c>
      <c r="AJ58" s="663">
        <f t="shared" si="93"/>
        <v>-1144.2725740000001</v>
      </c>
      <c r="AK58" s="663">
        <f t="shared" si="93"/>
        <v>11.06</v>
      </c>
      <c r="AL58" s="663">
        <f t="shared" si="93"/>
        <v>-684.93000000000006</v>
      </c>
      <c r="AM58" s="626">
        <f t="shared" ref="AM58" si="94">AM50-SUM(AM53:AM56)</f>
        <v>0</v>
      </c>
      <c r="AN58" s="478">
        <f>AN50-SUM(AN53:AN56)+AN57</f>
        <v>20236.251804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5"/>
      <c r="AK59" s="354"/>
      <c r="AL59" s="354"/>
      <c r="AM59" s="623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5"/>
      <c r="AK60" s="354"/>
      <c r="AL60" s="354"/>
      <c r="AM60" s="623"/>
      <c r="AN60" s="477"/>
    </row>
    <row r="61" spans="1:40">
      <c r="B61" s="1" t="s">
        <v>105</v>
      </c>
      <c r="E61" s="304"/>
      <c r="F61" s="647"/>
      <c r="G61" s="647"/>
      <c r="H61" s="647"/>
      <c r="I61" s="647"/>
      <c r="J61" s="647"/>
      <c r="K61" s="647"/>
      <c r="L61" s="647"/>
      <c r="M61" s="647"/>
      <c r="N61" s="647"/>
      <c r="O61" s="647"/>
      <c r="P61" s="647"/>
      <c r="Q61" s="647"/>
      <c r="R61" s="647"/>
      <c r="S61" s="647"/>
      <c r="T61" s="647"/>
      <c r="U61" s="647"/>
      <c r="V61" s="686"/>
      <c r="W61" s="647"/>
      <c r="X61" s="647"/>
      <c r="Y61" s="401"/>
      <c r="Z61" s="406"/>
      <c r="AA61" s="647"/>
      <c r="AB61" s="647"/>
      <c r="AC61" s="686"/>
      <c r="AD61" s="686"/>
      <c r="AE61" s="686"/>
      <c r="AF61" s="647"/>
      <c r="AG61" s="713"/>
      <c r="AH61" s="647"/>
      <c r="AI61" s="647"/>
      <c r="AJ61" s="649"/>
      <c r="AK61" s="647"/>
      <c r="AL61" s="647"/>
      <c r="AM61" s="621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6">
        <v>0</v>
      </c>
      <c r="G62" s="646">
        <v>0</v>
      </c>
      <c r="H62" s="646">
        <v>0</v>
      </c>
      <c r="I62" s="646">
        <v>0</v>
      </c>
      <c r="J62" s="646">
        <v>0</v>
      </c>
      <c r="K62" s="646">
        <v>0</v>
      </c>
      <c r="L62" s="646">
        <v>0</v>
      </c>
      <c r="M62" s="646">
        <v>0</v>
      </c>
      <c r="N62" s="646">
        <v>0</v>
      </c>
      <c r="O62" s="646">
        <v>0</v>
      </c>
      <c r="P62" s="646">
        <v>0</v>
      </c>
      <c r="Q62" s="646">
        <v>0</v>
      </c>
      <c r="R62" s="646">
        <v>0</v>
      </c>
      <c r="S62" s="646">
        <v>0</v>
      </c>
      <c r="T62" s="646">
        <v>0</v>
      </c>
      <c r="U62" s="646">
        <v>0</v>
      </c>
      <c r="V62" s="687">
        <v>0</v>
      </c>
      <c r="W62" s="646">
        <v>0</v>
      </c>
      <c r="X62" s="646">
        <v>600</v>
      </c>
      <c r="Y62" s="400">
        <f>SUM(E62:X62)</f>
        <v>29042</v>
      </c>
      <c r="Z62" s="678"/>
      <c r="AA62" s="646">
        <v>0</v>
      </c>
      <c r="AB62" s="646">
        <v>0</v>
      </c>
      <c r="AC62" s="687">
        <v>0</v>
      </c>
      <c r="AD62" s="687">
        <v>0</v>
      </c>
      <c r="AE62" s="687">
        <v>0</v>
      </c>
      <c r="AF62" s="646">
        <v>0</v>
      </c>
      <c r="AG62" s="712">
        <v>0</v>
      </c>
      <c r="AH62" s="646">
        <v>0</v>
      </c>
      <c r="AI62" s="646">
        <v>0</v>
      </c>
      <c r="AJ62" s="754">
        <v>0</v>
      </c>
      <c r="AK62" s="646">
        <v>0</v>
      </c>
      <c r="AL62" s="646">
        <v>0</v>
      </c>
      <c r="AM62" s="620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7">
        <v>0</v>
      </c>
      <c r="G63" s="647">
        <v>0</v>
      </c>
      <c r="H63" s="647">
        <v>0</v>
      </c>
      <c r="I63" s="647">
        <v>-7041</v>
      </c>
      <c r="J63" s="647">
        <v>0</v>
      </c>
      <c r="K63" s="647">
        <v>0</v>
      </c>
      <c r="L63" s="647">
        <v>0</v>
      </c>
      <c r="M63" s="647">
        <v>0</v>
      </c>
      <c r="N63" s="647">
        <v>0</v>
      </c>
      <c r="O63" s="647">
        <v>0</v>
      </c>
      <c r="P63" s="647">
        <v>0</v>
      </c>
      <c r="Q63" s="647">
        <v>0</v>
      </c>
      <c r="R63" s="647">
        <v>0</v>
      </c>
      <c r="S63" s="647">
        <v>0</v>
      </c>
      <c r="T63" s="647">
        <v>0</v>
      </c>
      <c r="U63" s="647">
        <v>0</v>
      </c>
      <c r="V63" s="686">
        <v>0</v>
      </c>
      <c r="W63" s="647">
        <v>0</v>
      </c>
      <c r="X63" s="647">
        <v>24409</v>
      </c>
      <c r="Y63" s="401">
        <f>SUM(E63:X63)</f>
        <v>480004</v>
      </c>
      <c r="Z63" s="406"/>
      <c r="AA63" s="647">
        <v>0</v>
      </c>
      <c r="AB63" s="647">
        <v>0</v>
      </c>
      <c r="AC63" s="686">
        <v>0</v>
      </c>
      <c r="AD63" s="686">
        <v>0</v>
      </c>
      <c r="AE63" s="686">
        <v>0</v>
      </c>
      <c r="AF63" s="647">
        <v>0</v>
      </c>
      <c r="AG63" s="713"/>
      <c r="AH63" s="647">
        <v>0</v>
      </c>
      <c r="AI63" s="647">
        <v>0</v>
      </c>
      <c r="AJ63" s="649">
        <v>14592</v>
      </c>
      <c r="AK63" s="647">
        <v>0</v>
      </c>
      <c r="AL63" s="647"/>
      <c r="AM63" s="621">
        <v>0</v>
      </c>
      <c r="AN63" s="477">
        <f>SUM(Y63:AM63)</f>
        <v>494596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8">
        <v>0</v>
      </c>
      <c r="G64" s="648">
        <v>0</v>
      </c>
      <c r="H64" s="648">
        <v>0</v>
      </c>
      <c r="I64" s="648">
        <v>0</v>
      </c>
      <c r="J64" s="648">
        <v>0</v>
      </c>
      <c r="K64" s="648">
        <v>0</v>
      </c>
      <c r="L64" s="648">
        <v>0</v>
      </c>
      <c r="M64" s="648">
        <v>0</v>
      </c>
      <c r="N64" s="648">
        <v>0</v>
      </c>
      <c r="O64" s="648">
        <v>0</v>
      </c>
      <c r="P64" s="648">
        <v>0</v>
      </c>
      <c r="Q64" s="648">
        <v>0</v>
      </c>
      <c r="R64" s="648">
        <v>0</v>
      </c>
      <c r="S64" s="648">
        <v>0</v>
      </c>
      <c r="T64" s="648">
        <v>0</v>
      </c>
      <c r="U64" s="648">
        <v>0</v>
      </c>
      <c r="V64" s="688">
        <v>0</v>
      </c>
      <c r="W64" s="648">
        <v>0</v>
      </c>
      <c r="X64" s="648">
        <f>11662+1273</f>
        <v>12935</v>
      </c>
      <c r="Y64" s="402">
        <f>SUM(E64:X64)</f>
        <v>126988</v>
      </c>
      <c r="Z64" s="406"/>
      <c r="AA64" s="648">
        <v>0</v>
      </c>
      <c r="AB64" s="648">
        <v>0</v>
      </c>
      <c r="AC64" s="688">
        <v>0</v>
      </c>
      <c r="AD64" s="688">
        <v>0</v>
      </c>
      <c r="AE64" s="688">
        <v>0</v>
      </c>
      <c r="AF64" s="648">
        <v>0</v>
      </c>
      <c r="AG64" s="714"/>
      <c r="AH64" s="648">
        <v>0</v>
      </c>
      <c r="AI64" s="648">
        <v>0</v>
      </c>
      <c r="AJ64" s="648">
        <f>8746+3180</f>
        <v>11926</v>
      </c>
      <c r="AK64" s="648">
        <v>0</v>
      </c>
      <c r="AL64" s="648"/>
      <c r="AM64" s="622">
        <v>0</v>
      </c>
      <c r="AN64" s="473">
        <f>SUM(Y64:AM64)</f>
        <v>138914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5">
        <f>SUM(AJ62:AJ64)</f>
        <v>26518</v>
      </c>
      <c r="AK65" s="354">
        <f>SUM(AK62:AK64)</f>
        <v>0</v>
      </c>
      <c r="AL65" s="354">
        <f t="shared" ref="AL65" si="104">SUM(AL62:AL64)</f>
        <v>0</v>
      </c>
      <c r="AM65" s="623">
        <f t="shared" ref="AM65" si="105">SUM(AM62:AM64)</f>
        <v>0</v>
      </c>
      <c r="AN65" s="477">
        <f t="shared" ref="AN65" si="106">SUM(AN62:AN64)</f>
        <v>662552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5"/>
      <c r="AK66" s="354"/>
      <c r="AL66" s="354"/>
      <c r="AM66" s="623"/>
      <c r="AN66" s="477"/>
    </row>
    <row r="67" spans="1:42">
      <c r="B67" s="4" t="s">
        <v>202</v>
      </c>
      <c r="C67" s="4"/>
      <c r="D67" s="4"/>
      <c r="E67" s="304"/>
      <c r="F67" s="647"/>
      <c r="G67" s="647"/>
      <c r="H67" s="647"/>
      <c r="I67" s="647"/>
      <c r="J67" s="647"/>
      <c r="K67" s="647"/>
      <c r="L67" s="647"/>
      <c r="M67" s="647"/>
      <c r="N67" s="647"/>
      <c r="O67" s="647"/>
      <c r="P67" s="647"/>
      <c r="Q67" s="647"/>
      <c r="R67" s="647"/>
      <c r="S67" s="647"/>
      <c r="T67" s="647"/>
      <c r="U67" s="647"/>
      <c r="V67" s="647"/>
      <c r="W67" s="647"/>
      <c r="X67" s="647"/>
      <c r="Y67" s="401"/>
      <c r="Z67" s="406"/>
      <c r="AA67" s="647"/>
      <c r="AB67" s="647"/>
      <c r="AC67" s="647"/>
      <c r="AD67" s="647"/>
      <c r="AE67" s="647"/>
      <c r="AF67" s="647"/>
      <c r="AG67" s="713"/>
      <c r="AH67" s="647"/>
      <c r="AI67" s="647"/>
      <c r="AJ67" s="649"/>
      <c r="AK67" s="647"/>
      <c r="AL67" s="647"/>
      <c r="AM67" s="621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7">
        <v>0</v>
      </c>
      <c r="G68" s="647">
        <v>0</v>
      </c>
      <c r="H68" s="647">
        <v>0</v>
      </c>
      <c r="I68" s="647">
        <v>0</v>
      </c>
      <c r="J68" s="647">
        <v>0</v>
      </c>
      <c r="K68" s="647">
        <v>0</v>
      </c>
      <c r="L68" s="647">
        <v>0</v>
      </c>
      <c r="M68" s="647">
        <v>0</v>
      </c>
      <c r="N68" s="647">
        <v>0</v>
      </c>
      <c r="O68" s="647">
        <v>0</v>
      </c>
      <c r="P68" s="647">
        <v>0</v>
      </c>
      <c r="Q68" s="647">
        <v>0</v>
      </c>
      <c r="R68" s="647">
        <v>0</v>
      </c>
      <c r="S68" s="647">
        <v>0</v>
      </c>
      <c r="T68" s="647">
        <v>0</v>
      </c>
      <c r="U68" s="647">
        <v>0</v>
      </c>
      <c r="V68" s="647">
        <v>0</v>
      </c>
      <c r="W68" s="647">
        <v>0</v>
      </c>
      <c r="X68" s="647">
        <v>-431</v>
      </c>
      <c r="Y68" s="401">
        <f>SUM(E68:X68)</f>
        <v>-11482</v>
      </c>
      <c r="Z68" s="406"/>
      <c r="AA68" s="647">
        <v>0</v>
      </c>
      <c r="AB68" s="647">
        <v>0</v>
      </c>
      <c r="AC68" s="647">
        <v>0</v>
      </c>
      <c r="AD68" s="647">
        <v>0</v>
      </c>
      <c r="AE68" s="647">
        <v>0</v>
      </c>
      <c r="AF68" s="647">
        <v>0</v>
      </c>
      <c r="AG68" s="713">
        <v>0</v>
      </c>
      <c r="AH68" s="647">
        <v>0</v>
      </c>
      <c r="AI68" s="647">
        <v>0</v>
      </c>
      <c r="AJ68" s="755">
        <v>0</v>
      </c>
      <c r="AK68" s="647">
        <v>0</v>
      </c>
      <c r="AL68" s="647">
        <v>0</v>
      </c>
      <c r="AM68" s="621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7">
        <v>0</v>
      </c>
      <c r="G69" s="647">
        <v>0</v>
      </c>
      <c r="H69" s="647">
        <v>0</v>
      </c>
      <c r="I69" s="647">
        <v>433</v>
      </c>
      <c r="J69" s="647">
        <v>0</v>
      </c>
      <c r="K69" s="647">
        <v>0</v>
      </c>
      <c r="L69" s="647">
        <v>0</v>
      </c>
      <c r="M69" s="647">
        <v>0</v>
      </c>
      <c r="N69" s="647">
        <v>0</v>
      </c>
      <c r="O69" s="647">
        <v>0</v>
      </c>
      <c r="P69" s="647">
        <v>0</v>
      </c>
      <c r="Q69" s="647">
        <v>0</v>
      </c>
      <c r="R69" s="647">
        <v>0</v>
      </c>
      <c r="S69" s="647">
        <v>0</v>
      </c>
      <c r="T69" s="647">
        <v>0</v>
      </c>
      <c r="U69" s="647">
        <v>0</v>
      </c>
      <c r="V69" s="647">
        <v>0</v>
      </c>
      <c r="W69" s="647">
        <v>0</v>
      </c>
      <c r="X69" s="647">
        <v>-3208</v>
      </c>
      <c r="Y69" s="401">
        <f>SUM(E69:X69)</f>
        <v>-148177</v>
      </c>
      <c r="Z69" s="406"/>
      <c r="AA69" s="647">
        <v>0</v>
      </c>
      <c r="AB69" s="647">
        <v>0</v>
      </c>
      <c r="AC69" s="647">
        <v>0</v>
      </c>
      <c r="AD69" s="647">
        <v>0</v>
      </c>
      <c r="AE69" s="647">
        <v>0</v>
      </c>
      <c r="AF69" s="647">
        <v>0</v>
      </c>
      <c r="AG69" s="713"/>
      <c r="AH69" s="647">
        <v>0</v>
      </c>
      <c r="AI69" s="647">
        <v>0</v>
      </c>
      <c r="AJ69" s="649">
        <v>-156</v>
      </c>
      <c r="AK69" s="647">
        <v>0</v>
      </c>
      <c r="AL69" s="647"/>
      <c r="AM69" s="621">
        <v>0</v>
      </c>
      <c r="AN69" s="477">
        <f>SUM(Y69:AM69)</f>
        <v>-148333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7">
        <v>0</v>
      </c>
      <c r="G70" s="647">
        <v>0</v>
      </c>
      <c r="H70" s="647">
        <v>0</v>
      </c>
      <c r="I70" s="647">
        <v>0</v>
      </c>
      <c r="J70" s="647">
        <v>0</v>
      </c>
      <c r="K70" s="647">
        <v>0</v>
      </c>
      <c r="L70" s="647">
        <v>0</v>
      </c>
      <c r="M70" s="647">
        <v>0</v>
      </c>
      <c r="N70" s="647">
        <v>0</v>
      </c>
      <c r="O70" s="647">
        <v>0</v>
      </c>
      <c r="P70" s="647">
        <v>0</v>
      </c>
      <c r="Q70" s="647">
        <v>0</v>
      </c>
      <c r="R70" s="647">
        <v>0</v>
      </c>
      <c r="S70" s="647">
        <v>0</v>
      </c>
      <c r="T70" s="647">
        <v>0</v>
      </c>
      <c r="U70" s="647">
        <v>0</v>
      </c>
      <c r="V70" s="647">
        <v>0</v>
      </c>
      <c r="W70" s="647">
        <v>0</v>
      </c>
      <c r="X70" s="647">
        <f>-1451-887</f>
        <v>-2338</v>
      </c>
      <c r="Y70" s="401">
        <f>SUM(E70:X70)</f>
        <v>-34692</v>
      </c>
      <c r="Z70" s="406"/>
      <c r="AA70" s="647">
        <v>0</v>
      </c>
      <c r="AB70" s="647">
        <v>0</v>
      </c>
      <c r="AC70" s="647">
        <v>0</v>
      </c>
      <c r="AD70" s="647">
        <v>0</v>
      </c>
      <c r="AE70" s="647">
        <v>0</v>
      </c>
      <c r="AF70" s="647">
        <v>0</v>
      </c>
      <c r="AG70" s="713"/>
      <c r="AH70" s="647">
        <v>0</v>
      </c>
      <c r="AI70" s="647">
        <v>0</v>
      </c>
      <c r="AJ70" s="648">
        <f>-234-263</f>
        <v>-497</v>
      </c>
      <c r="AK70" s="647">
        <v>0</v>
      </c>
      <c r="AL70" s="647"/>
      <c r="AM70" s="621">
        <v>0</v>
      </c>
      <c r="AN70" s="477">
        <f>SUM(Y70:AM70)</f>
        <v>-35189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4">
        <f t="shared" ref="V71" si="111">SUM(V68:V70)</f>
        <v>0</v>
      </c>
      <c r="W71" s="664">
        <f>SUM(W68:W70)</f>
        <v>0</v>
      </c>
      <c r="X71" s="664">
        <f t="shared" ref="X71" si="112">SUM(X68:X70)</f>
        <v>-5977</v>
      </c>
      <c r="Y71" s="405">
        <f t="shared" ref="Y71:AF71" si="113">SUM(Y68:Y70)</f>
        <v>-194351</v>
      </c>
      <c r="Z71" s="406"/>
      <c r="AA71" s="664">
        <f>SUM(AA68:AA70)</f>
        <v>0</v>
      </c>
      <c r="AB71" s="664">
        <f>SUM(AB68:AB70)</f>
        <v>0</v>
      </c>
      <c r="AC71" s="664">
        <f t="shared" ref="AC71" si="114">SUM(AC68:AC70)</f>
        <v>0</v>
      </c>
      <c r="AD71" s="664">
        <f t="shared" si="113"/>
        <v>0</v>
      </c>
      <c r="AE71" s="664">
        <f t="shared" si="113"/>
        <v>0</v>
      </c>
      <c r="AF71" s="664">
        <f t="shared" si="113"/>
        <v>0</v>
      </c>
      <c r="AG71" s="718">
        <f>SUM(AG68:AG70)</f>
        <v>0</v>
      </c>
      <c r="AH71" s="664">
        <f t="shared" ref="AH71" si="115">SUM(AH68:AH70)</f>
        <v>0</v>
      </c>
      <c r="AI71" s="664">
        <f>SUM(AI68:AI70)</f>
        <v>0</v>
      </c>
      <c r="AJ71" s="664">
        <f>SUM(AJ68:AJ70)</f>
        <v>-653</v>
      </c>
      <c r="AK71" s="664">
        <f>SUM(AK68:AK70)</f>
        <v>0</v>
      </c>
      <c r="AL71" s="664">
        <f t="shared" ref="AL71" si="116">SUM(AL68:AL70)</f>
        <v>0</v>
      </c>
      <c r="AM71" s="627">
        <f t="shared" ref="AM71" si="117">SUM(AM68:AM70)</f>
        <v>0</v>
      </c>
      <c r="AN71" s="479">
        <f t="shared" ref="AN71" si="118">SUM(AN68:AN70)</f>
        <v>-195004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5">
        <f>V65+V71</f>
        <v>0</v>
      </c>
      <c r="W72" s="665">
        <f>W65+W71</f>
        <v>0</v>
      </c>
      <c r="X72" s="665">
        <f>X65+X71</f>
        <v>31967</v>
      </c>
      <c r="Y72" s="406">
        <f t="shared" si="119"/>
        <v>441683</v>
      </c>
      <c r="Z72" s="406"/>
      <c r="AA72" s="665">
        <f t="shared" ref="AA72" si="122">AA65+AA71</f>
        <v>0</v>
      </c>
      <c r="AB72" s="665">
        <f>AB65+AB71</f>
        <v>0</v>
      </c>
      <c r="AC72" s="665">
        <f t="shared" ref="AC72" si="123">AC65+AC71</f>
        <v>0</v>
      </c>
      <c r="AD72" s="665">
        <f t="shared" si="119"/>
        <v>0</v>
      </c>
      <c r="AE72" s="665">
        <f t="shared" si="119"/>
        <v>0</v>
      </c>
      <c r="AF72" s="665">
        <f t="shared" si="119"/>
        <v>0</v>
      </c>
      <c r="AG72" s="719">
        <f>AG65+AG71</f>
        <v>0</v>
      </c>
      <c r="AH72" s="665">
        <f t="shared" ref="AH72" si="124">AH65+AH71</f>
        <v>0</v>
      </c>
      <c r="AI72" s="665">
        <f t="shared" ref="AI72:AM72" si="125">AI65+AI71</f>
        <v>0</v>
      </c>
      <c r="AJ72" s="665">
        <f t="shared" si="125"/>
        <v>25865</v>
      </c>
      <c r="AK72" s="665">
        <f t="shared" si="125"/>
        <v>0</v>
      </c>
      <c r="AL72" s="665">
        <f t="shared" si="125"/>
        <v>0</v>
      </c>
      <c r="AM72" s="628">
        <f t="shared" si="125"/>
        <v>0</v>
      </c>
      <c r="AN72" s="477">
        <f t="shared" si="119"/>
        <v>467548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8">
        <v>-1247</v>
      </c>
      <c r="G73" s="648">
        <v>0</v>
      </c>
      <c r="H73" s="648">
        <v>0</v>
      </c>
      <c r="I73" s="648">
        <v>570</v>
      </c>
      <c r="J73" s="648">
        <v>0</v>
      </c>
      <c r="K73" s="648">
        <v>0</v>
      </c>
      <c r="L73" s="648">
        <v>0</v>
      </c>
      <c r="M73" s="648">
        <v>0</v>
      </c>
      <c r="N73" s="648">
        <v>0</v>
      </c>
      <c r="O73" s="648">
        <v>0</v>
      </c>
      <c r="P73" s="648">
        <v>0</v>
      </c>
      <c r="Q73" s="648">
        <v>0</v>
      </c>
      <c r="R73" s="648">
        <v>0</v>
      </c>
      <c r="S73" s="648">
        <v>0</v>
      </c>
      <c r="T73" s="648">
        <v>0</v>
      </c>
      <c r="U73" s="648">
        <v>0</v>
      </c>
      <c r="V73" s="648">
        <v>0</v>
      </c>
      <c r="W73" s="648">
        <v>0</v>
      </c>
      <c r="X73" s="648">
        <v>304</v>
      </c>
      <c r="Y73" s="402">
        <f>SUM(E73:X73)</f>
        <v>-89281</v>
      </c>
      <c r="Z73" s="406"/>
      <c r="AA73" s="648">
        <v>0</v>
      </c>
      <c r="AB73" s="648"/>
      <c r="AC73" s="648"/>
      <c r="AD73" s="648"/>
      <c r="AE73" s="648"/>
      <c r="AF73" s="648"/>
      <c r="AG73" s="714"/>
      <c r="AH73" s="648">
        <v>0</v>
      </c>
      <c r="AI73" s="648"/>
      <c r="AJ73" s="648">
        <v>-607</v>
      </c>
      <c r="AK73" s="648"/>
      <c r="AL73" s="648"/>
      <c r="AM73" s="622"/>
      <c r="AN73" s="473">
        <f>SUM(Y73:AM73)</f>
        <v>-89888</v>
      </c>
      <c r="AO73" s="749"/>
      <c r="AP73" s="749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5">
        <f>V72+V73</f>
        <v>0</v>
      </c>
      <c r="W74" s="665">
        <f>W72+W73</f>
        <v>0</v>
      </c>
      <c r="X74" s="665">
        <f>X72+X73</f>
        <v>32271</v>
      </c>
      <c r="Y74" s="406">
        <f t="shared" si="128"/>
        <v>352402</v>
      </c>
      <c r="Z74" s="406"/>
      <c r="AA74" s="665">
        <f>AA72+AA73</f>
        <v>0</v>
      </c>
      <c r="AB74" s="665">
        <f>AB72+AB73</f>
        <v>0</v>
      </c>
      <c r="AC74" s="665">
        <f t="shared" ref="AC74" si="129">AC72+AC73</f>
        <v>0</v>
      </c>
      <c r="AD74" s="665">
        <f t="shared" si="126"/>
        <v>0</v>
      </c>
      <c r="AE74" s="665">
        <f t="shared" si="126"/>
        <v>0</v>
      </c>
      <c r="AF74" s="665">
        <f t="shared" si="126"/>
        <v>0</v>
      </c>
      <c r="AG74" s="719">
        <f>AG72+AG73</f>
        <v>0</v>
      </c>
      <c r="AH74" s="665">
        <f t="shared" ref="AH74" si="130">AH72+AH73</f>
        <v>0</v>
      </c>
      <c r="AI74" s="665">
        <f>AI72+AI73</f>
        <v>0</v>
      </c>
      <c r="AJ74" s="665">
        <f>AJ72+AJ73</f>
        <v>25258</v>
      </c>
      <c r="AK74" s="665">
        <f>AK72+AK73</f>
        <v>0</v>
      </c>
      <c r="AL74" s="665">
        <f t="shared" ref="AL74" si="131">AL72+AL73</f>
        <v>0</v>
      </c>
      <c r="AM74" s="628">
        <f t="shared" ref="AM74" si="132">AM72+AM73</f>
        <v>0</v>
      </c>
      <c r="AN74" s="477">
        <f t="shared" ref="AN74" si="133">AN72+AN73</f>
        <v>377660</v>
      </c>
      <c r="AO74" s="750"/>
      <c r="AP74" s="750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7">
        <v>0</v>
      </c>
      <c r="G75" s="647">
        <v>0</v>
      </c>
      <c r="H75" s="647">
        <v>0</v>
      </c>
      <c r="I75" s="647">
        <v>0</v>
      </c>
      <c r="J75" s="647">
        <v>0</v>
      </c>
      <c r="K75" s="647">
        <v>0</v>
      </c>
      <c r="L75" s="647">
        <v>0</v>
      </c>
      <c r="M75" s="647">
        <v>0</v>
      </c>
      <c r="N75" s="647">
        <v>0</v>
      </c>
      <c r="O75" s="647">
        <v>0</v>
      </c>
      <c r="P75" s="647">
        <v>0</v>
      </c>
      <c r="Q75" s="647">
        <v>0</v>
      </c>
      <c r="R75" s="647">
        <v>0</v>
      </c>
      <c r="S75" s="647">
        <v>0</v>
      </c>
      <c r="T75" s="647">
        <v>0</v>
      </c>
      <c r="U75" s="647">
        <v>0</v>
      </c>
      <c r="V75" s="647">
        <v>0</v>
      </c>
      <c r="W75" s="647">
        <v>0</v>
      </c>
      <c r="X75" s="647">
        <v>0</v>
      </c>
      <c r="Y75" s="401">
        <f>SUM(E75:X75)</f>
        <v>8355</v>
      </c>
      <c r="Z75" s="406"/>
      <c r="AA75" s="647">
        <v>0</v>
      </c>
      <c r="AB75" s="647"/>
      <c r="AC75" s="647"/>
      <c r="AD75" s="647"/>
      <c r="AE75" s="647"/>
      <c r="AF75" s="647"/>
      <c r="AG75" s="713">
        <v>0</v>
      </c>
      <c r="AH75" s="647">
        <v>0</v>
      </c>
      <c r="AI75" s="647"/>
      <c r="AJ75" s="649">
        <v>0</v>
      </c>
      <c r="AK75" s="647"/>
      <c r="AL75" s="647">
        <v>0</v>
      </c>
      <c r="AM75" s="621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9">
        <v>0</v>
      </c>
      <c r="G76" s="649">
        <v>0</v>
      </c>
      <c r="H76" s="649">
        <v>0</v>
      </c>
      <c r="I76" s="649">
        <v>0</v>
      </c>
      <c r="J76" s="649">
        <v>0</v>
      </c>
      <c r="K76" s="649">
        <v>0</v>
      </c>
      <c r="L76" s="649">
        <v>0</v>
      </c>
      <c r="M76" s="649">
        <v>0</v>
      </c>
      <c r="N76" s="649">
        <v>0</v>
      </c>
      <c r="O76" s="649">
        <v>0</v>
      </c>
      <c r="P76" s="649">
        <v>0</v>
      </c>
      <c r="Q76" s="649">
        <v>0</v>
      </c>
      <c r="R76" s="649">
        <v>0</v>
      </c>
      <c r="S76" s="649">
        <v>0</v>
      </c>
      <c r="T76" s="649">
        <v>0</v>
      </c>
      <c r="U76" s="649">
        <v>0</v>
      </c>
      <c r="V76" s="649">
        <v>0</v>
      </c>
      <c r="W76" s="649">
        <v>0</v>
      </c>
      <c r="X76" s="649">
        <v>0</v>
      </c>
      <c r="Y76" s="406">
        <f>SUM(E76:X76)</f>
        <v>0</v>
      </c>
      <c r="Z76" s="406"/>
      <c r="AA76" s="649">
        <v>0</v>
      </c>
      <c r="AB76" s="649"/>
      <c r="AC76" s="649"/>
      <c r="AD76" s="649"/>
      <c r="AE76" s="649"/>
      <c r="AF76" s="649"/>
      <c r="AG76" s="720">
        <v>0</v>
      </c>
      <c r="AH76" s="649">
        <v>0</v>
      </c>
      <c r="AI76" s="649"/>
      <c r="AJ76" s="649"/>
      <c r="AK76" s="649"/>
      <c r="AL76" s="649">
        <v>0</v>
      </c>
      <c r="AM76" s="624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9"/>
      <c r="G77" s="649">
        <v>-7</v>
      </c>
      <c r="H77" s="649"/>
      <c r="I77" s="649"/>
      <c r="J77" s="649"/>
      <c r="K77" s="649"/>
      <c r="L77" s="649"/>
      <c r="M77" s="649"/>
      <c r="N77" s="649"/>
      <c r="O77" s="649"/>
      <c r="P77" s="649"/>
      <c r="Q77" s="649"/>
      <c r="R77" s="649"/>
      <c r="S77" s="649"/>
      <c r="T77" s="649"/>
      <c r="U77" s="649"/>
      <c r="V77" s="649"/>
      <c r="W77" s="649"/>
      <c r="X77" s="649"/>
      <c r="Y77" s="406">
        <f>SUM(E77:X77)</f>
        <v>5331</v>
      </c>
      <c r="Z77" s="406"/>
      <c r="AA77" s="649"/>
      <c r="AB77" s="649">
        <v>95</v>
      </c>
      <c r="AC77" s="649"/>
      <c r="AD77" s="649"/>
      <c r="AE77" s="649"/>
      <c r="AF77" s="649"/>
      <c r="AG77" s="720"/>
      <c r="AH77" s="649"/>
      <c r="AI77" s="649"/>
      <c r="AJ77" s="649"/>
      <c r="AK77" s="649"/>
      <c r="AL77" s="649"/>
      <c r="AM77" s="624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8">
        <v>0</v>
      </c>
      <c r="G78" s="648">
        <v>0</v>
      </c>
      <c r="H78" s="648">
        <v>0</v>
      </c>
      <c r="I78" s="648">
        <v>0</v>
      </c>
      <c r="J78" s="648">
        <v>0</v>
      </c>
      <c r="K78" s="648">
        <v>0</v>
      </c>
      <c r="L78" s="648">
        <v>0</v>
      </c>
      <c r="M78" s="648">
        <v>0</v>
      </c>
      <c r="N78" s="648">
        <v>0</v>
      </c>
      <c r="O78" s="648">
        <v>0</v>
      </c>
      <c r="P78" s="648">
        <v>0</v>
      </c>
      <c r="Q78" s="648">
        <v>0</v>
      </c>
      <c r="R78" s="648">
        <v>0</v>
      </c>
      <c r="S78" s="648">
        <v>0</v>
      </c>
      <c r="T78" s="648">
        <v>0</v>
      </c>
      <c r="U78" s="648">
        <v>0</v>
      </c>
      <c r="V78" s="648">
        <v>0</v>
      </c>
      <c r="W78" s="648">
        <v>0</v>
      </c>
      <c r="X78" s="648">
        <v>0</v>
      </c>
      <c r="Y78" s="402">
        <f>SUM(E78:X78)</f>
        <v>7549</v>
      </c>
      <c r="Z78" s="406"/>
      <c r="AA78" s="648">
        <v>0</v>
      </c>
      <c r="AB78" s="648"/>
      <c r="AC78" s="648"/>
      <c r="AD78" s="648"/>
      <c r="AE78" s="648"/>
      <c r="AF78" s="648"/>
      <c r="AG78" s="714">
        <v>0</v>
      </c>
      <c r="AH78" s="648">
        <v>0</v>
      </c>
      <c r="AI78" s="648"/>
      <c r="AJ78" s="648"/>
      <c r="AK78" s="648"/>
      <c r="AL78" s="648">
        <v>0</v>
      </c>
      <c r="AM78" s="622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5"/>
      <c r="AK80" s="354"/>
      <c r="AL80" s="354"/>
      <c r="AM80" s="623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6">
        <f>V74+V75+V76+V78+V77</f>
        <v>0</v>
      </c>
      <c r="W81" s="666">
        <f>W74+W75+W76+W78+W77</f>
        <v>0</v>
      </c>
      <c r="X81" s="663">
        <f>X74+X75+X76+X78+X77</f>
        <v>32271</v>
      </c>
      <c r="Y81" s="404">
        <f t="shared" si="134"/>
        <v>373637</v>
      </c>
      <c r="Z81" s="678"/>
      <c r="AA81" s="666">
        <f>AA74+AA75+AA76+AA78+AA77</f>
        <v>0</v>
      </c>
      <c r="AB81" s="666">
        <f>AB74+AB75+AB76+AB78+AB77</f>
        <v>95</v>
      </c>
      <c r="AC81" s="666">
        <f>AC74+AC75+AC76+AC78+AC77</f>
        <v>0</v>
      </c>
      <c r="AD81" s="666">
        <f t="shared" si="134"/>
        <v>0</v>
      </c>
      <c r="AE81" s="666">
        <f t="shared" si="134"/>
        <v>0</v>
      </c>
      <c r="AF81" s="666">
        <f t="shared" si="134"/>
        <v>0</v>
      </c>
      <c r="AG81" s="721">
        <f>AG74+AG75+AG76+AG78+AG77</f>
        <v>0</v>
      </c>
      <c r="AH81" s="666">
        <f t="shared" ref="AH81" si="137">AH74+AH75+AH76+AH78+AH77</f>
        <v>0</v>
      </c>
      <c r="AI81" s="666">
        <f t="shared" ref="AI81" si="138">AI74+AI75+AI76+AI78+AI77</f>
        <v>0</v>
      </c>
      <c r="AJ81" s="666">
        <f>AJ74+AJ75+AJ76+AJ78+AJ77</f>
        <v>25258</v>
      </c>
      <c r="AK81" s="666">
        <f>AK74+AK75+AK76+AK78+AK77</f>
        <v>0</v>
      </c>
      <c r="AL81" s="666">
        <f t="shared" ref="AL81" si="139">AL74+AL75+AL76+AL78+AL77</f>
        <v>0</v>
      </c>
      <c r="AM81" s="629">
        <f t="shared" ref="AM81" si="140">AM74+AM75+AM76+AM78+AM77</f>
        <v>0</v>
      </c>
      <c r="AN81" s="478">
        <f t="shared" ref="AN81" si="141">AN74+AN75+AN76+AN78+AN77</f>
        <v>398990</v>
      </c>
    </row>
    <row r="82" spans="1:41" ht="12.75" thickTop="1">
      <c r="A82" s="158">
        <v>48</v>
      </c>
      <c r="B82" s="1" t="s">
        <v>454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9"/>
      <c r="AA82" s="354"/>
      <c r="AB82" s="354"/>
      <c r="AC82" s="412"/>
      <c r="AD82" s="412"/>
      <c r="AE82" s="412"/>
      <c r="AF82" s="354"/>
      <c r="AG82" s="223"/>
      <c r="AH82" s="354"/>
      <c r="AI82" s="354"/>
      <c r="AJ82" s="756"/>
      <c r="AK82" s="354"/>
      <c r="AL82" s="354"/>
      <c r="AM82" s="623"/>
      <c r="AN82" s="422"/>
    </row>
    <row r="83" spans="1:41">
      <c r="A83" s="158">
        <v>50</v>
      </c>
      <c r="B83" s="1" t="s">
        <v>166</v>
      </c>
      <c r="E83" s="69">
        <f>E89</f>
        <v>2125.6036804843766</v>
      </c>
      <c r="F83" s="69">
        <f t="shared" ref="F83:AN83" si="142">F89</f>
        <v>-115.27250178117858</v>
      </c>
      <c r="G83" s="69">
        <f t="shared" si="142"/>
        <v>9.8148620480507685</v>
      </c>
      <c r="H83" s="69">
        <f t="shared" si="142"/>
        <v>0</v>
      </c>
      <c r="I83" s="69">
        <f t="shared" ref="I83" si="143">I89</f>
        <v>-558.1518570607509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56.494481657171463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50">
        <f>V89</f>
        <v>-75.325975542895293</v>
      </c>
      <c r="W83" s="650">
        <f>W89</f>
        <v>329.74978745043825</v>
      </c>
      <c r="X83" s="650">
        <f>X89</f>
        <v>4626.6975664730544</v>
      </c>
      <c r="Y83" s="69">
        <f t="shared" si="142"/>
        <v>5474.893641788437</v>
      </c>
      <c r="Z83" s="69"/>
      <c r="AA83" s="650">
        <f>AA89</f>
        <v>-534.60518753360407</v>
      </c>
      <c r="AB83" s="650">
        <f>AB89</f>
        <v>1834.3904992332323</v>
      </c>
      <c r="AC83" s="650">
        <f t="shared" ref="AC83" si="146">AC89</f>
        <v>763.72169647657722</v>
      </c>
      <c r="AD83" s="650">
        <f t="shared" si="142"/>
        <v>106.71179868576831</v>
      </c>
      <c r="AE83" s="650">
        <f t="shared" si="142"/>
        <v>836.95528380994767</v>
      </c>
      <c r="AF83" s="650">
        <f t="shared" si="142"/>
        <v>11.50813515238678</v>
      </c>
      <c r="AG83" s="173">
        <f>AG89</f>
        <v>608.88496897173684</v>
      </c>
      <c r="AH83" s="650">
        <f t="shared" ref="AH83" si="147">AH89</f>
        <v>497.98839386691884</v>
      </c>
      <c r="AI83" s="650">
        <f>AI89</f>
        <v>-1588.1226510293757</v>
      </c>
      <c r="AJ83" s="650">
        <f>AJ89</f>
        <v>4030.7265539955351</v>
      </c>
      <c r="AK83" s="650">
        <f>AK89</f>
        <v>-14.646717466674085</v>
      </c>
      <c r="AL83" s="650">
        <f t="shared" ref="AL83" si="148">AL89</f>
        <v>907.05028882903082</v>
      </c>
      <c r="AM83" s="613">
        <f t="shared" ref="AM83" si="149">AM89</f>
        <v>0</v>
      </c>
      <c r="AN83" s="421">
        <f t="shared" si="142"/>
        <v>12935.456704779919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82"/>
      <c r="W84" s="782"/>
      <c r="X84" s="782"/>
      <c r="Y84" s="782"/>
      <c r="Z84" s="782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3"/>
      <c r="AN84" s="412"/>
    </row>
    <row r="85" spans="1:41" s="410" customFormat="1" ht="21.6" customHeight="1">
      <c r="A85" s="342"/>
      <c r="E85" s="603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5"/>
      <c r="AC85" s="412"/>
      <c r="AD85" s="412"/>
      <c r="AE85" s="412"/>
      <c r="AF85" s="354"/>
      <c r="AG85" s="223"/>
      <c r="AH85" s="354"/>
      <c r="AI85" s="748" t="s">
        <v>557</v>
      </c>
      <c r="AJ85" s="354">
        <v>1800</v>
      </c>
      <c r="AK85" s="354"/>
      <c r="AL85" s="665"/>
      <c r="AM85" s="623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7.5200000000000003E-2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5"/>
      <c r="AC86" s="412"/>
      <c r="AD86" s="412"/>
      <c r="AE86" s="412"/>
      <c r="AF86" s="354"/>
      <c r="AG86" s="223"/>
      <c r="AH86" s="354"/>
      <c r="AI86" s="354"/>
      <c r="AJ86" s="354"/>
      <c r="AK86" s="354"/>
      <c r="AL86" s="665"/>
      <c r="AM86" s="623"/>
      <c r="AN86" s="424"/>
      <c r="AO86" s="486"/>
    </row>
    <row r="87" spans="1:41" s="410" customFormat="1" ht="17.25" customHeight="1">
      <c r="A87" s="342"/>
      <c r="D87" s="411" t="s">
        <v>492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3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1605.0816000000013</v>
      </c>
      <c r="F88" s="228">
        <f t="shared" si="150"/>
        <v>-87.044341000000003</v>
      </c>
      <c r="G88" s="228">
        <f t="shared" si="150"/>
        <v>7.4113790000000002</v>
      </c>
      <c r="H88" s="228">
        <f t="shared" si="150"/>
        <v>0</v>
      </c>
      <c r="I88" s="228">
        <f t="shared" si="150"/>
        <v>-421.47051400000004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42.66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-56.88</v>
      </c>
      <c r="W88" s="228">
        <f t="shared" si="150"/>
        <v>249</v>
      </c>
      <c r="X88" s="228">
        <f t="shared" si="150"/>
        <v>3493.7026129999999</v>
      </c>
      <c r="Y88" s="228">
        <f t="shared" si="150"/>
        <v>4134.1907370000008</v>
      </c>
      <c r="Z88" s="228"/>
      <c r="AA88" s="228">
        <f t="shared" si="150"/>
        <v>-403.69</v>
      </c>
      <c r="AB88" s="228">
        <f t="shared" si="150"/>
        <v>1385.1812849999999</v>
      </c>
      <c r="AC88" s="228">
        <f t="shared" si="150"/>
        <v>576.70000000000005</v>
      </c>
      <c r="AD88" s="228">
        <f t="shared" si="150"/>
        <v>80.58</v>
      </c>
      <c r="AE88" s="228">
        <f t="shared" si="150"/>
        <v>632</v>
      </c>
      <c r="AF88" s="228">
        <f t="shared" ref="AF88" si="151">AF81*$E$86-AF58</f>
        <v>8.69</v>
      </c>
      <c r="AG88" s="226">
        <f t="shared" si="150"/>
        <v>459.78</v>
      </c>
      <c r="AH88" s="228">
        <f t="shared" si="150"/>
        <v>376.04</v>
      </c>
      <c r="AI88" s="228">
        <f t="shared" si="150"/>
        <v>-1199.22</v>
      </c>
      <c r="AJ88" s="228">
        <f t="shared" si="150"/>
        <v>3043.6741740000002</v>
      </c>
      <c r="AK88" s="228">
        <f t="shared" si="150"/>
        <v>-11.06</v>
      </c>
      <c r="AL88" s="228">
        <f t="shared" si="150"/>
        <v>684.93000000000006</v>
      </c>
      <c r="AM88" s="612">
        <f t="shared" si="150"/>
        <v>0</v>
      </c>
      <c r="AN88" s="413">
        <f t="shared" si="150"/>
        <v>9767.796196000003</v>
      </c>
    </row>
    <row r="89" spans="1:41" s="410" customFormat="1">
      <c r="A89" s="342"/>
      <c r="D89" s="411" t="s">
        <v>493</v>
      </c>
      <c r="E89" s="228">
        <f>E88/$E$87</f>
        <v>2125.6036804843766</v>
      </c>
      <c r="F89" s="228">
        <f>F88/$E$87</f>
        <v>-115.27250178117858</v>
      </c>
      <c r="G89" s="228">
        <f>G88/$E$87</f>
        <v>9.8148620480507685</v>
      </c>
      <c r="H89" s="228">
        <f>H88/$E$87</f>
        <v>0</v>
      </c>
      <c r="I89" s="228">
        <f>I88/$E$87</f>
        <v>-558.1518570607509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56.494481657171463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-75.325975542895293</v>
      </c>
      <c r="W89" s="228">
        <f>W88/$E$87</f>
        <v>329.74978745043825</v>
      </c>
      <c r="X89" s="228">
        <f>X88/$E$87</f>
        <v>4626.6975664730544</v>
      </c>
      <c r="Y89" s="228">
        <f t="shared" ref="Y89" si="155">Y88/$E$87</f>
        <v>5474.893641788437</v>
      </c>
      <c r="Z89" s="228"/>
      <c r="AA89" s="228">
        <f>AA88/$E$87</f>
        <v>-534.60518753360407</v>
      </c>
      <c r="AB89" s="228">
        <f>AB88/$E$87</f>
        <v>1834.3904992332323</v>
      </c>
      <c r="AC89" s="228">
        <f t="shared" ref="AC89" si="156">AC88/$E$87</f>
        <v>763.72169647657722</v>
      </c>
      <c r="AD89" s="228">
        <f t="shared" ref="AD89:AF89" si="157">AD88/$E$87</f>
        <v>106.71179868576831</v>
      </c>
      <c r="AE89" s="228">
        <f t="shared" si="157"/>
        <v>836.95528380994767</v>
      </c>
      <c r="AF89" s="228">
        <f t="shared" si="157"/>
        <v>11.50813515238678</v>
      </c>
      <c r="AG89" s="226">
        <f>AG88/$E$87</f>
        <v>608.88496897173684</v>
      </c>
      <c r="AH89" s="228">
        <f t="shared" ref="AH89" si="158">AH88/$E$87</f>
        <v>497.98839386691884</v>
      </c>
      <c r="AI89" s="228">
        <f>AI88/$E$87</f>
        <v>-1588.1226510293757</v>
      </c>
      <c r="AJ89" s="228">
        <f>AJ88/$E$87</f>
        <v>4030.7265539955351</v>
      </c>
      <c r="AK89" s="228">
        <f>AK88/$E$87</f>
        <v>-14.646717466674085</v>
      </c>
      <c r="AL89" s="228">
        <f t="shared" ref="AL89" si="159">AL88/$E$87</f>
        <v>907.05028882903082</v>
      </c>
      <c r="AM89" s="612">
        <f t="shared" ref="AM89" si="160">AM88/$E$87</f>
        <v>0</v>
      </c>
      <c r="AN89" s="413">
        <f t="shared" ref="AN89" si="161">AN88/$E$87</f>
        <v>12935.456704779919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30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30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2"/>
      <c r="AH92" s="481"/>
      <c r="AI92" s="481"/>
      <c r="AJ92" s="757"/>
      <c r="AK92" s="481"/>
      <c r="AL92" s="481"/>
      <c r="AM92" s="631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2"/>
      <c r="AH93" s="481"/>
      <c r="AI93" s="481"/>
      <c r="AJ93" s="481"/>
      <c r="AK93" s="481"/>
      <c r="AL93" s="481"/>
      <c r="AM93" s="631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3"/>
      <c r="AH94" s="399"/>
      <c r="AI94" s="399"/>
      <c r="AJ94" s="399"/>
      <c r="AK94" s="399"/>
      <c r="AL94" s="399"/>
      <c r="AM94" s="632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3"/>
      <c r="AH95" s="399"/>
      <c r="AI95" s="399"/>
      <c r="AJ95" s="399"/>
      <c r="AK95" s="399"/>
      <c r="AL95" s="399"/>
      <c r="AM95" s="632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3"/>
      <c r="AH96" s="399"/>
      <c r="AI96" s="399"/>
      <c r="AJ96" s="399"/>
      <c r="AK96" s="399"/>
      <c r="AL96" s="399"/>
      <c r="AM96" s="632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3"/>
      <c r="AH97" s="399"/>
      <c r="AI97" s="399"/>
      <c r="AJ97" s="399"/>
      <c r="AK97" s="399"/>
      <c r="AL97" s="399"/>
      <c r="AM97" s="632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3"/>
      <c r="AH98" s="399"/>
      <c r="AI98" s="399"/>
      <c r="AJ98" s="399"/>
      <c r="AK98" s="399"/>
      <c r="AL98" s="399"/>
      <c r="AM98" s="632"/>
      <c r="AN98" s="381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&amp;RExh. EMA-3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8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4" t="str">
        <f>'ADJ DETAIL INPUT'!A2</f>
        <v>AVISTA UTILITIES</v>
      </c>
      <c r="B1" s="784"/>
      <c r="C1" s="784"/>
      <c r="D1" s="784"/>
      <c r="E1" s="784"/>
      <c r="F1" s="784"/>
      <c r="G1" s="607"/>
      <c r="I1" s="139"/>
      <c r="J1" s="50"/>
    </row>
    <row r="2" spans="1:13">
      <c r="A2" s="785" t="s">
        <v>69</v>
      </c>
      <c r="B2" s="785"/>
      <c r="C2" s="785"/>
      <c r="D2" s="785"/>
      <c r="E2" s="785"/>
      <c r="F2" s="785"/>
      <c r="I2" s="139"/>
      <c r="J2" s="49"/>
    </row>
    <row r="3" spans="1:13" s="49" customFormat="1">
      <c r="A3" s="783" t="s">
        <v>147</v>
      </c>
      <c r="B3" s="783"/>
      <c r="C3" s="783"/>
      <c r="D3" s="783"/>
      <c r="E3" s="783"/>
      <c r="F3" s="783"/>
      <c r="G3" s="609"/>
      <c r="H3" s="510"/>
      <c r="I3" s="51"/>
      <c r="J3" s="52"/>
    </row>
    <row r="4" spans="1:13" s="49" customFormat="1">
      <c r="A4" s="783" t="str">
        <f>'PROP0SED RATES'!A3</f>
        <v>TWELVE MONTHS ENDED DECEMBER 31, 2018</v>
      </c>
      <c r="B4" s="783"/>
      <c r="C4" s="783"/>
      <c r="D4" s="783"/>
      <c r="E4" s="783"/>
      <c r="F4" s="783"/>
      <c r="G4" s="609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9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10" t="s">
        <v>179</v>
      </c>
      <c r="H6" s="606" t="s">
        <v>178</v>
      </c>
      <c r="I6" s="370" t="s">
        <v>419</v>
      </c>
      <c r="J6" s="373"/>
    </row>
    <row r="7" spans="1:13">
      <c r="A7" s="464" t="s">
        <v>467</v>
      </c>
      <c r="B7" s="373"/>
      <c r="C7" s="373"/>
      <c r="D7" s="373"/>
      <c r="E7" s="373"/>
      <c r="F7" s="373"/>
      <c r="G7" s="609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8" t="s">
        <v>128</v>
      </c>
      <c r="I8" s="507" t="s">
        <v>543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-6.7300589999999998</v>
      </c>
      <c r="E9" s="160">
        <f>'ADJ DETAIL INPUT'!F$81</f>
        <v>-1247</v>
      </c>
      <c r="H9" s="608" t="s">
        <v>128</v>
      </c>
      <c r="I9" s="695" t="s">
        <v>543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-7.9377789999999999</v>
      </c>
      <c r="E10" s="160">
        <f>'ADJ DETAIL INPUT'!G$81</f>
        <v>-7</v>
      </c>
      <c r="H10" s="608" t="s">
        <v>473</v>
      </c>
      <c r="I10" s="699" t="s">
        <v>543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8" t="s">
        <v>128</v>
      </c>
      <c r="I11" s="695" t="s">
        <v>543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-32.587085999999999</v>
      </c>
      <c r="E12" s="462">
        <f>'ADJ DETAIL INPUT'!I$81</f>
        <v>-6038</v>
      </c>
      <c r="F12" s="521"/>
      <c r="G12" s="608"/>
      <c r="H12" s="608" t="s">
        <v>128</v>
      </c>
      <c r="I12" s="695" t="s">
        <v>543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8" t="s">
        <v>457</v>
      </c>
      <c r="I13" s="695" t="s">
        <v>543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8" t="s">
        <v>128</v>
      </c>
      <c r="I14" s="695" t="s">
        <v>543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8" t="s">
        <v>473</v>
      </c>
      <c r="I15" s="696" t="s">
        <v>543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8" t="s">
        <v>473</v>
      </c>
      <c r="I16" s="697" t="s">
        <v>543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-42.66</v>
      </c>
      <c r="E17" s="160">
        <f>'ADJ DETAIL INPUT'!N$81</f>
        <v>0</v>
      </c>
      <c r="H17" s="608" t="s">
        <v>473</v>
      </c>
      <c r="I17" s="697" t="s">
        <v>543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8" t="s">
        <v>457</v>
      </c>
      <c r="I18" s="695" t="s">
        <v>543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8" t="s">
        <v>473</v>
      </c>
      <c r="I19" s="697" t="s">
        <v>543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8" t="s">
        <v>457</v>
      </c>
      <c r="I20" s="697" t="s">
        <v>543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8" t="s">
        <v>473</v>
      </c>
      <c r="I21" s="697" t="s">
        <v>543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8" t="s">
        <v>457</v>
      </c>
      <c r="I22" s="695" t="s">
        <v>543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8"/>
      <c r="H23" s="608" t="s">
        <v>540</v>
      </c>
      <c r="I23" s="695" t="s">
        <v>543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8" t="s">
        <v>473</v>
      </c>
      <c r="I24" s="700" t="s">
        <v>543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56.88</v>
      </c>
      <c r="E25" s="462">
        <f>'ADJ DETAIL INPUT'!V$81</f>
        <v>0</v>
      </c>
      <c r="F25" s="512"/>
      <c r="H25" s="608" t="s">
        <v>238</v>
      </c>
      <c r="I25" s="697" t="s">
        <v>543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-249</v>
      </c>
      <c r="E26" s="417">
        <f>'ADJ DETAIL INPUT'!W$81</f>
        <v>0</v>
      </c>
      <c r="F26" s="62"/>
      <c r="G26" s="608"/>
      <c r="H26" s="608" t="s">
        <v>128</v>
      </c>
      <c r="I26" s="724" t="s">
        <v>543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-1066.923413</v>
      </c>
      <c r="E27" s="417">
        <f>'ADJ DETAIL INPUT'!X$81</f>
        <v>32271</v>
      </c>
      <c r="F27" s="62"/>
      <c r="H27" s="608" t="s">
        <v>437</v>
      </c>
      <c r="I27" s="695" t="s">
        <v>543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23963.311662999997</v>
      </c>
      <c r="E28" s="63">
        <f>SUM(E8:E27)</f>
        <v>373637</v>
      </c>
      <c r="F28" s="505">
        <f>D28/E28</f>
        <v>6.4135274780067281E-2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8"/>
      <c r="H30" s="608" t="s">
        <v>541</v>
      </c>
      <c r="I30" s="697" t="s">
        <v>543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-1378.0372849999999</v>
      </c>
      <c r="E31" s="462">
        <f>'ADJ DETAIL INPUT'!AB$81</f>
        <v>95</v>
      </c>
      <c r="F31" s="500"/>
      <c r="G31" s="608"/>
      <c r="H31" s="608" t="s">
        <v>457</v>
      </c>
      <c r="I31" s="702" t="s">
        <v>543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-576.70000000000005</v>
      </c>
      <c r="E32" s="160">
        <f>'ADJ DETAIL INPUT'!AC$81</f>
        <v>0</v>
      </c>
      <c r="H32" s="608" t="s">
        <v>238</v>
      </c>
      <c r="I32" s="699" t="s">
        <v>543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-80.58</v>
      </c>
      <c r="E33" s="160">
        <f>'ADJ DETAIL INPUT'!AD$81</f>
        <v>0</v>
      </c>
      <c r="H33" s="608" t="s">
        <v>238</v>
      </c>
      <c r="I33" s="699" t="s">
        <v>543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-632</v>
      </c>
      <c r="E34" s="160">
        <f>'ADJ DETAIL INPUT'!AE$81</f>
        <v>0</v>
      </c>
      <c r="H34" s="608" t="s">
        <v>238</v>
      </c>
      <c r="I34" s="699" t="s">
        <v>543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-8.69</v>
      </c>
      <c r="E35" s="417">
        <f>'ADJ DETAIL INPUT'!AF$81</f>
        <v>0</v>
      </c>
      <c r="F35" s="62"/>
      <c r="H35" s="608" t="s">
        <v>474</v>
      </c>
      <c r="I35" s="702" t="s">
        <v>543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-459.78</v>
      </c>
      <c r="E36" s="462">
        <f>'ADJ DETAIL INPUT'!AG$81</f>
        <v>0</v>
      </c>
      <c r="F36" s="461"/>
      <c r="H36" s="608" t="s">
        <v>474</v>
      </c>
      <c r="I36" s="703" t="s">
        <v>543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-376.04</v>
      </c>
      <c r="E37" s="160">
        <f>'ADJ DETAIL INPUT'!AH$81</f>
        <v>0</v>
      </c>
      <c r="H37" s="608" t="s">
        <v>128</v>
      </c>
      <c r="I37" s="699" t="s">
        <v>543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1"/>
      <c r="H38" s="611" t="s">
        <v>160</v>
      </c>
      <c r="I38" s="699" t="s">
        <v>543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-1144.2725740000001</v>
      </c>
      <c r="E39" s="462">
        <f>'ADJ DETAIL INPUT'!AJ$81</f>
        <v>25258</v>
      </c>
      <c r="F39" s="461"/>
      <c r="G39" s="611"/>
      <c r="H39" s="611" t="s">
        <v>160</v>
      </c>
      <c r="I39" s="699" t="s">
        <v>543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11.06</v>
      </c>
      <c r="E40" s="462">
        <f>'ADJ DETAIL INPUT'!AK$81</f>
        <v>0</v>
      </c>
      <c r="F40" s="461"/>
      <c r="G40" s="611"/>
      <c r="H40" s="611" t="s">
        <v>437</v>
      </c>
      <c r="I40" s="703" t="s">
        <v>543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8" t="s">
        <v>474</v>
      </c>
      <c r="I41" s="724" t="s">
        <v>543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8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20236.251804</v>
      </c>
      <c r="E43" s="63">
        <f>SUM(E28:E41)</f>
        <v>398990</v>
      </c>
      <c r="F43" s="505">
        <f>D43/E43</f>
        <v>5.0718694212887543E-2</v>
      </c>
      <c r="G43" s="608"/>
      <c r="H43" s="509"/>
      <c r="J43" s="123"/>
      <c r="K43" s="463"/>
    </row>
    <row r="44" spans="1:11" ht="13.5" thickTop="1"/>
    <row r="45" spans="1:11">
      <c r="C45" s="36" t="s">
        <v>141</v>
      </c>
      <c r="H45" s="608" t="s">
        <v>473</v>
      </c>
      <c r="I45" s="697" t="s">
        <v>543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9" t="s">
        <v>112</v>
      </c>
      <c r="B1" s="789"/>
      <c r="C1" s="789"/>
      <c r="D1" s="789"/>
      <c r="E1" s="789"/>
      <c r="F1" s="789"/>
      <c r="G1" s="789"/>
      <c r="H1" s="789"/>
    </row>
    <row r="2" spans="1:9">
      <c r="A2" s="790" t="s">
        <v>124</v>
      </c>
      <c r="B2" s="790"/>
      <c r="C2" s="790"/>
      <c r="D2" s="790"/>
      <c r="E2" s="790"/>
      <c r="F2" s="790"/>
      <c r="G2" s="790"/>
      <c r="H2" s="790"/>
    </row>
    <row r="3" spans="1:9">
      <c r="A3" s="790" t="s">
        <v>236</v>
      </c>
      <c r="B3" s="790"/>
      <c r="C3" s="790"/>
      <c r="D3" s="790"/>
      <c r="E3" s="790"/>
      <c r="F3" s="790"/>
      <c r="G3" s="790"/>
      <c r="H3" s="790"/>
    </row>
    <row r="4" spans="1:9">
      <c r="A4" s="791" t="str">
        <f>'ROO INPUT'!A5:C5</f>
        <v>TWELVE MONTHS ENDED DECEMBER 31, 2018</v>
      </c>
      <c r="B4" s="791"/>
      <c r="C4" s="791"/>
      <c r="D4" s="791"/>
      <c r="E4" s="791"/>
      <c r="F4" s="791"/>
      <c r="G4" s="791"/>
      <c r="H4" s="791"/>
    </row>
    <row r="5" spans="1:9">
      <c r="A5" s="792" t="s">
        <v>115</v>
      </c>
      <c r="B5" s="792"/>
      <c r="C5" s="792"/>
      <c r="D5" s="792"/>
      <c r="E5" s="792"/>
      <c r="F5" s="792"/>
      <c r="G5" s="792"/>
      <c r="H5" s="792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6" t="s">
        <v>124</v>
      </c>
      <c r="F7" s="787"/>
      <c r="G7" s="788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248.65999999999985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33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-174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25258</v>
      </c>
      <c r="G40" s="289">
        <f t="shared" si="5"/>
        <v>25258</v>
      </c>
      <c r="H40" s="289"/>
      <c r="I40" s="289">
        <f t="shared" si="0"/>
        <v>-136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3"/>
      <c r="F43" s="634">
        <f>'ADJ SUMMARY'!E42</f>
        <v>0</v>
      </c>
      <c r="G43" s="633">
        <f t="shared" ref="G43" si="6">SUM(E43:F43)</f>
        <v>0</v>
      </c>
      <c r="H43" s="633"/>
      <c r="I43" s="633">
        <f t="shared" ref="I43" si="7">ROUND(F43*$E$48*-$E$55,0)</f>
        <v>0</v>
      </c>
    </row>
    <row r="44" spans="1:9">
      <c r="B44" s="243"/>
      <c r="C44" s="237"/>
      <c r="D44" s="237"/>
      <c r="E44" s="726">
        <f>SUM(E11:E43)</f>
        <v>348658</v>
      </c>
      <c r="F44" s="726">
        <f>SUM(F11:F43)</f>
        <v>50332</v>
      </c>
      <c r="G44" s="726">
        <f>SUM(G11:G43)</f>
        <v>398990</v>
      </c>
      <c r="H44" s="290"/>
      <c r="I44" s="726">
        <f>SUM(I11:I43)</f>
        <v>-22.340000000000146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2.5700000000000001E-2</v>
      </c>
      <c r="F48" s="299">
        <f>E48-I48</f>
        <v>2.5700000000000001E-2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8960.5105999999996</v>
      </c>
      <c r="F50" s="290">
        <f>F44*F48</f>
        <v>1293.5324000000001</v>
      </c>
      <c r="G50" s="290">
        <f>SUM(E50:F50)</f>
        <v>10254.043</v>
      </c>
      <c r="H50" s="289"/>
      <c r="I50" s="290">
        <f>SUM(I11:I42)</f>
        <v>-22.340000000000146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-1185.4894000000004</v>
      </c>
      <c r="F54" s="290">
        <f>F50-F52</f>
        <v>1293.5324000000001</v>
      </c>
      <c r="G54" s="290">
        <f>SUM(E54:F54)</f>
        <v>108.04299999999967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249</v>
      </c>
      <c r="F57" s="295">
        <f>ROUND(F54*-F55,0)</f>
        <v>-272</v>
      </c>
      <c r="G57" s="295">
        <f>SUM(E57:F57)</f>
        <v>-23</v>
      </c>
      <c r="H57" s="289"/>
      <c r="I57" s="295">
        <f>I50</f>
        <v>-22.340000000000146</v>
      </c>
      <c r="J57" s="605" t="s">
        <v>420</v>
      </c>
    </row>
    <row r="58" spans="1:10">
      <c r="F58" s="245"/>
      <c r="J58" s="258">
        <f>I57-'ADJ DETAIL INPUT'!W53-'ADJ DETAIL INPUT'!AN54</f>
        <v>0.30180399999989049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3" t="s">
        <v>112</v>
      </c>
      <c r="B3" s="793"/>
      <c r="C3" s="793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4" t="s">
        <v>497</v>
      </c>
      <c r="B5" s="793"/>
      <c r="C5" s="793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458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6">
        <v>496110</v>
      </c>
      <c r="B103" s="452" t="s">
        <v>534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459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523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524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525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526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527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528</v>
      </c>
      <c r="B204" s="316" t="s">
        <v>529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530</v>
      </c>
      <c r="B205" s="316" t="s">
        <v>531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532</v>
      </c>
      <c r="B207" s="316" t="s">
        <v>533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462</v>
      </c>
      <c r="B208" s="452" t="s">
        <v>461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7" t="s">
        <v>343</v>
      </c>
      <c r="C220" s="638"/>
      <c r="D220" s="638"/>
      <c r="E220" s="639"/>
      <c r="F220" s="640">
        <f t="shared" si="4"/>
        <v>24614</v>
      </c>
      <c r="G220" s="639"/>
      <c r="H220" s="641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535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536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537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538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476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539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24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24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29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29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362</v>
      </c>
      <c r="AB34" s="221">
        <f>'ADJ DETAIL INPUT'!AD33</f>
        <v>0</v>
      </c>
      <c r="AC34" s="221">
        <f>'ADJ DETAIL INPUT'!AE33</f>
        <v>328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347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447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362</v>
      </c>
      <c r="AB37" s="221">
        <f t="shared" ref="AB37" si="37">SUM(AB34:AB36)</f>
        <v>0</v>
      </c>
      <c r="AC37" s="221">
        <f t="shared" si="32"/>
        <v>328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447</v>
      </c>
      <c r="AG37" s="221">
        <f>SUM(AG34:AG36)</f>
        <v>-731</v>
      </c>
      <c r="AH37" s="221">
        <f t="shared" ref="AH37:AI37" si="40">SUM(AH34:AH36)</f>
        <v>347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143</v>
      </c>
      <c r="AB39" s="221">
        <f>'ADJ DETAIL INPUT'!AD38</f>
        <v>0</v>
      </c>
      <c r="AC39" s="221">
        <f>'ADJ DETAIL INPUT'!AE38</f>
        <v>176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16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54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-72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198</v>
      </c>
      <c r="AB44" s="221">
        <f>'ADJ DETAIL INPUT'!AD43</f>
        <v>102</v>
      </c>
      <c r="AC44" s="221">
        <f>'ADJ DETAIL INPUT'!AE43</f>
        <v>256</v>
      </c>
      <c r="AD44" s="221">
        <f>'ADJ DETAIL INPUT'!AF43</f>
        <v>11</v>
      </c>
      <c r="AE44" s="221">
        <f>'ADJ DETAIL INPUT'!AG43</f>
        <v>582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-14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1274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54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-72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198</v>
      </c>
      <c r="AB48" s="222">
        <f t="shared" ref="AB48" si="47">SUM(AB44:AB47)</f>
        <v>102</v>
      </c>
      <c r="AC48" s="222">
        <f t="shared" si="42"/>
        <v>256</v>
      </c>
      <c r="AD48" s="222">
        <f t="shared" ref="AD48" si="48">SUM(AD44:AD47)</f>
        <v>11</v>
      </c>
      <c r="AE48" s="222">
        <f t="shared" ref="AE48" si="49">SUM(AE44:AE47)</f>
        <v>582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1274</v>
      </c>
      <c r="AI48" s="222">
        <f t="shared" si="50"/>
        <v>-14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54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-72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730</v>
      </c>
      <c r="AB49" s="222">
        <f t="shared" ref="AB49" si="58">AB21+AB25+AB31+AB37+AB39+AB40+AB41+AB48</f>
        <v>102</v>
      </c>
      <c r="AC49" s="222">
        <f t="shared" si="53"/>
        <v>800</v>
      </c>
      <c r="AD49" s="222">
        <f t="shared" ref="AD49" si="59">AD21+AD25+AD31+AD37+AD39+AD40+AD41+AD48</f>
        <v>11</v>
      </c>
      <c r="AE49" s="222">
        <f t="shared" ref="AE49" si="60">AE21+AE25+AE31+AE37+AE39+AE40+AE41+AE48</f>
        <v>582</v>
      </c>
      <c r="AF49" s="222">
        <f t="shared" si="53"/>
        <v>476</v>
      </c>
      <c r="AG49" s="222">
        <f>AG21+AG25+AG31+AG37+AG39+AG40+AG41+AG48</f>
        <v>-1518</v>
      </c>
      <c r="AH49" s="222">
        <f t="shared" ref="AH49:AI49" si="61">AH21+AH25+AH31+AH37+AH39+AH40+AH41+AH48</f>
        <v>1621</v>
      </c>
      <c r="AI49" s="222">
        <f t="shared" si="61"/>
        <v>-14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-54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72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-730</v>
      </c>
      <c r="AB51" s="221">
        <f t="shared" ref="AB51" si="68">AB18-AB49</f>
        <v>-102</v>
      </c>
      <c r="AC51" s="221">
        <f t="shared" si="63"/>
        <v>-800</v>
      </c>
      <c r="AD51" s="221">
        <f t="shared" ref="AD51" si="69">AD18-AD49</f>
        <v>-11</v>
      </c>
      <c r="AE51" s="221">
        <f t="shared" ref="AE51" si="70">AE18-AE49</f>
        <v>-582</v>
      </c>
      <c r="AF51" s="221">
        <f t="shared" si="63"/>
        <v>-476</v>
      </c>
      <c r="AG51" s="221">
        <f>AG18-AG49</f>
        <v>1518</v>
      </c>
      <c r="AH51" s="221">
        <f t="shared" ref="AH51:AI51" si="71">AH18-AH49</f>
        <v>-1621</v>
      </c>
      <c r="AI51" s="221">
        <f t="shared" si="71"/>
        <v>14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-11.34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15.12</v>
      </c>
      <c r="W54" s="221">
        <f>'ADJ DETAIL INPUT'!W53</f>
        <v>249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-153.29999999999998</v>
      </c>
      <c r="AB54" s="221">
        <f>'ADJ DETAIL INPUT'!AD53</f>
        <v>-21.419999999999998</v>
      </c>
      <c r="AC54" s="221">
        <f>'ADJ DETAIL INPUT'!AE53</f>
        <v>-168</v>
      </c>
      <c r="AD54" s="221">
        <f>'ADJ DETAIL INPUT'!AF53</f>
        <v>-2.31</v>
      </c>
      <c r="AE54" s="221">
        <f>'ADJ DETAIL INPUT'!AG53</f>
        <v>-122.22</v>
      </c>
      <c r="AF54" s="221">
        <f>'ADJ DETAIL INPUT'!AH53</f>
        <v>-99.96</v>
      </c>
      <c r="AG54" s="221">
        <f>'ADJ DETAIL INPUT'!AI53</f>
        <v>318.77999999999997</v>
      </c>
      <c r="AH54" s="221">
        <f>'ADJ DETAIL INPUT'!AJ53</f>
        <v>-340.40999999999997</v>
      </c>
      <c r="AI54" s="221">
        <f>'ADJ DETAIL INPUT'!AK53</f>
        <v>2.94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6.7300589999999998</v>
      </c>
      <c r="G55" s="221">
        <f>'ADJ DETAIL INPUT'!G54</f>
        <v>3.7779E-2</v>
      </c>
      <c r="H55" s="221">
        <f>'ADJ DETAIL INPUT'!H54</f>
        <v>0</v>
      </c>
      <c r="I55" s="221">
        <f>'ADJ DETAIL INPUT'!I54</f>
        <v>32.587085999999999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-174.16658699999999</v>
      </c>
      <c r="Y55" s="221">
        <f>'ADJ DETAIL INPUT'!AA54</f>
        <v>0</v>
      </c>
      <c r="Z55" s="221">
        <f>'ADJ DETAIL INPUT'!AB54</f>
        <v>-0.51271500000000003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-136.31742600000001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-6.7300589999999998</v>
      </c>
      <c r="G59" s="344">
        <f t="shared" si="73"/>
        <v>-7.9377789999999999</v>
      </c>
      <c r="H59" s="344">
        <f t="shared" si="73"/>
        <v>0</v>
      </c>
      <c r="I59" s="344">
        <f t="shared" ref="I59" si="74">I51-SUM(I54:I57)</f>
        <v>-32.587085999999999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-42.66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56.88</v>
      </c>
      <c r="W59" s="344">
        <f>W51-SUM(W54:W57)</f>
        <v>-249</v>
      </c>
      <c r="X59" s="344">
        <f>X51-SUM(X54:X57)</f>
        <v>-1066.923413</v>
      </c>
      <c r="Y59" s="344">
        <f>Y51-SUM(Y54:Y57)</f>
        <v>403.69</v>
      </c>
      <c r="Z59" s="344">
        <f t="shared" ref="Z59" si="77">Z51-SUM(Z54:Z57)</f>
        <v>-1378.0372849999999</v>
      </c>
      <c r="AA59" s="344">
        <f t="shared" si="73"/>
        <v>-576.70000000000005</v>
      </c>
      <c r="AB59" s="344">
        <f t="shared" ref="AB59" si="78">AB51-SUM(AB54:AB57)</f>
        <v>-80.58</v>
      </c>
      <c r="AC59" s="344">
        <f t="shared" si="73"/>
        <v>-632</v>
      </c>
      <c r="AD59" s="344">
        <f t="shared" ref="AD59" si="79">AD51-SUM(AD54:AD57)</f>
        <v>-8.69</v>
      </c>
      <c r="AE59" s="344">
        <f t="shared" ref="AE59" si="80">AE51-SUM(AE54:AE57)</f>
        <v>-459.78</v>
      </c>
      <c r="AF59" s="344">
        <f t="shared" si="73"/>
        <v>-376.04</v>
      </c>
      <c r="AG59" s="344">
        <f>AG51-SUM(AG54:AG57)</f>
        <v>1199.22</v>
      </c>
      <c r="AH59" s="344">
        <f t="shared" ref="AH59:AI59" si="81">AH51-SUM(AH54:AH57)</f>
        <v>-1144.2725740000001</v>
      </c>
      <c r="AI59" s="344">
        <f t="shared" si="81"/>
        <v>11.06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14592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11926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26518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-156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-497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-653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25865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-607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25258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25258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D89126-0281-4DD8-BAAF-462466C6A61A}"/>
</file>

<file path=customXml/itemProps2.xml><?xml version="1.0" encoding="utf-8"?>
<ds:datastoreItem xmlns:ds="http://schemas.openxmlformats.org/officeDocument/2006/customXml" ds:itemID="{357651A8-FBEB-4DE2-BC12-6F43B08D1C54}"/>
</file>

<file path=customXml/itemProps3.xml><?xml version="1.0" encoding="utf-8"?>
<ds:datastoreItem xmlns:ds="http://schemas.openxmlformats.org/officeDocument/2006/customXml" ds:itemID="{488CCE72-63A6-4CE7-8BF8-C4E762270F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purl.org/dc/dcmitype/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EDC8A14-C418-4CC0-A6EC-D9CD243E44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2019-04-19T23:15:34Z</cp:lastPrinted>
  <dcterms:created xsi:type="dcterms:W3CDTF">1997-05-15T21:41:44Z</dcterms:created>
  <dcterms:modified xsi:type="dcterms:W3CDTF">2020-03-27T17:28:41Z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