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roforma - Proposed" sheetId="1" r:id="rId1"/>
    <sheet name="Sch 7 Revenue" sheetId="2" r:id="rId2"/>
    <sheet name="Sch 24 Revenue" sheetId="3" r:id="rId3"/>
    <sheet name="Sch 25 Revenue" sheetId="4" r:id="rId4"/>
    <sheet name="Sch 26 Revenue" sheetId="5" r:id="rId5"/>
    <sheet name="Sch 29 Revenue" sheetId="6" r:id="rId6"/>
    <sheet name="Sch 31 Revenue" sheetId="7" r:id="rId7"/>
    <sheet name="Sch 35 Revenue" sheetId="8" r:id="rId8"/>
    <sheet name="Sch 43 Revenue" sheetId="9" r:id="rId9"/>
    <sheet name="Sch 46 Revenue" sheetId="10" r:id="rId10"/>
    <sheet name="Sch 49 Revenue" sheetId="11" r:id="rId11"/>
    <sheet name="Lighting Revenue" sheetId="12" r:id="rId12"/>
    <sheet name="Small Firm Resale Revenue" sheetId="13" r:id="rId13"/>
    <sheet name="Sch 449 Revenue" sheetId="14" r:id="rId14"/>
    <sheet name="Sch 459 Revenue" sheetId="15" r:id="rId15"/>
    <sheet name="Transportation SC Revenue" sheetId="16" r:id="rId16"/>
    <sheet name="Rate Spread - Mod Parity Incr" sheetId="17" r:id="rId17"/>
    <sheet name="Sch 7 Rate Design" sheetId="18" r:id="rId18"/>
    <sheet name="Sch 24 Rate Design" sheetId="19" r:id="rId19"/>
    <sheet name="Sch 25 Rate Design" sheetId="20" r:id="rId20"/>
    <sheet name="Sch 29 Rate Design" sheetId="21" r:id="rId21"/>
    <sheet name="Sch 26 Rate Design" sheetId="22" r:id="rId22"/>
    <sheet name="Sch 31 Rate Design" sheetId="23" r:id="rId23"/>
    <sheet name="Sch 35 Rate Design" sheetId="24" r:id="rId24"/>
    <sheet name="Sch 43 Rate Design" sheetId="25" r:id="rId25"/>
    <sheet name="Sch 46 Rate Design" sheetId="26" r:id="rId26"/>
    <sheet name="Sch 49 Rate Design" sheetId="27" r:id="rId27"/>
    <sheet name="Sch 449 and 459 Rate Design" sheetId="28" r:id="rId28"/>
    <sheet name="Basic Charge Design" sheetId="29" r:id="rId29"/>
    <sheet name="Demand Charge Rate Spread 1" sheetId="30" r:id="rId30"/>
    <sheet name="Demand Charge Rate Spread 2" sheetId="31" r:id="rId31"/>
  </sheets>
  <definedNames>
    <definedName name="_xlnm.Print_Area" localSheetId="28">'Basic Charge Design'!$A$2:$W$11</definedName>
    <definedName name="_xlnm.Print_Area" localSheetId="29">'Demand Charge Rate Spread 1'!$A$1:$M$30</definedName>
    <definedName name="_xlnm.Print_Area" localSheetId="30">'Demand Charge Rate Spread 2'!$A$1:$H$26</definedName>
    <definedName name="_xlnm.Print_Area" localSheetId="11">'Lighting Revenue'!$A$1:$F$21</definedName>
    <definedName name="_xlnm.Print_Area" localSheetId="0">'Proforma - Proposed'!$A$1:$I$43</definedName>
    <definedName name="_xlnm.Print_Area" localSheetId="16">'Rate Spread - Mod Parity Incr'!$A$6:$U$40</definedName>
    <definedName name="_xlnm.Print_Area" localSheetId="18">'Sch 24 Rate Design'!$A$1:$G$61</definedName>
    <definedName name="_xlnm.Print_Area" localSheetId="2">'Sch 24 Revenue'!$A$1:$J$20</definedName>
    <definedName name="_xlnm.Print_Area" localSheetId="19">'Sch 25 Rate Design'!$A$1:$G$88</definedName>
    <definedName name="_xlnm.Print_Area" localSheetId="3">'Sch 25 Revenue'!$A$1:$J$25</definedName>
    <definedName name="_xlnm.Print_Area" localSheetId="21">'Sch 26 Rate Design'!$A$1:$G$66</definedName>
    <definedName name="_xlnm.Print_Area" localSheetId="4">'Sch 26 Revenue'!$A$1:$J$22</definedName>
    <definedName name="_xlnm.Print_Area" localSheetId="20">'Sch 29 Rate Design'!$A$1:$G$91</definedName>
    <definedName name="_xlnm.Print_Area" localSheetId="5">'Sch 29 Revenue'!$A$1:$J$28</definedName>
    <definedName name="_xlnm.Print_Area" localSheetId="22">'Sch 31 Rate Design'!$A$1:$H$70</definedName>
    <definedName name="_xlnm.Print_Area" localSheetId="6">'Sch 31 Revenue'!$A$1:$J$22</definedName>
    <definedName name="_xlnm.Print_Area" localSheetId="23">'Sch 35 Rate Design'!$A$1:$F$67</definedName>
    <definedName name="_xlnm.Print_Area" localSheetId="7">'Sch 35 Revenue'!$A$1:$H$22</definedName>
    <definedName name="_xlnm.Print_Area" localSheetId="24">'Sch 43 Rate Design'!$A$1:$F$66</definedName>
    <definedName name="_xlnm.Print_Area" localSheetId="8">'Sch 43 Revenue'!$A$1:$J$20</definedName>
    <definedName name="_xlnm.Print_Area" localSheetId="27">'Sch 449 and 459 Rate Design'!$A$1:$G$41</definedName>
    <definedName name="_xlnm.Print_Area" localSheetId="13">'Sch 449 Revenue'!$A$1:$H$22</definedName>
    <definedName name="_xlnm.Print_Area" localSheetId="14">'Sch 459 Revenue'!$A$1:$H$16</definedName>
    <definedName name="_xlnm.Print_Area" localSheetId="25">'Sch 46 Rate Design'!$A$1:$E$44</definedName>
    <definedName name="_xlnm.Print_Area" localSheetId="9">'Sch 46 Revenue'!$A$1:$H$23</definedName>
    <definedName name="_xlnm.Print_Area" localSheetId="26">'Sch 49 Rate Design'!$A$1:$E$49</definedName>
    <definedName name="_xlnm.Print_Area" localSheetId="10">'Sch 49 Revenue'!$A$1:$H$16</definedName>
    <definedName name="_xlnm.Print_Area" localSheetId="17">'Sch 7 Rate Design'!$A$1:$F$68</definedName>
    <definedName name="_xlnm.Print_Area" localSheetId="1">'Sch 7 Revenue'!$A$1:$J$21</definedName>
    <definedName name="_xlnm.Print_Area" localSheetId="12">'Small Firm Resale Revenue'!$A$1:$J$19</definedName>
    <definedName name="_xlnm.Print_Area" localSheetId="15">'Transportation SC Revenue'!$A$1:$H$15</definedName>
    <definedName name="_xlnm.Print_Titles" localSheetId="16">'Rate Spread - Mod Parity Incr'!$A:$B</definedName>
    <definedName name="_xlnm.Print_Titles" localSheetId="20">'Sch 29 Rate Design'!$1:$6</definedName>
    <definedName name="_xlnm.Print_Titles" localSheetId="22">'Sch 31 Rate Design'!$1:$6</definedName>
    <definedName name="_xlnm.Print_Titles" localSheetId="17">'Sch 7 Rate Design'!$1:$5</definedName>
  </definedNames>
  <calcPr fullCalcOnLoad="1" iterate="1" iterateCount="50" iterateDelta="0.001"/>
</workbook>
</file>

<file path=xl/comments12.xml><?xml version="1.0" encoding="utf-8"?>
<comments xmlns="http://schemas.openxmlformats.org/spreadsheetml/2006/main">
  <authors>
    <author>pse</author>
  </authors>
  <commentList>
    <comment ref="C7" authorId="0">
      <text>
        <r>
          <rPr>
            <b/>
            <sz val="8"/>
            <rFont val="Tahoma"/>
            <family val="0"/>
          </rPr>
          <t>pse:</t>
        </r>
        <r>
          <rPr>
            <sz val="8"/>
            <rFont val="Tahoma"/>
            <family val="0"/>
          </rPr>
          <t xml:space="preserve">
Revenue includes Low Income rates effective 10-1-03</t>
        </r>
      </text>
    </comment>
  </commentList>
</comments>
</file>

<file path=xl/comments20.xml><?xml version="1.0" encoding="utf-8"?>
<comments xmlns="http://schemas.openxmlformats.org/spreadsheetml/2006/main">
  <authors>
    <author>Pam Rasanen</author>
  </authors>
  <commentList>
    <comment ref="C14" authorId="0">
      <text>
        <r>
          <rPr>
            <b/>
            <sz val="8"/>
            <rFont val="Tahoma"/>
            <family val="0"/>
          </rPr>
          <t>Pam Rasanen:</t>
        </r>
        <r>
          <rPr>
            <sz val="8"/>
            <rFont val="Tahoma"/>
            <family val="0"/>
          </rPr>
          <t xml:space="preserve">
This is an estimated qty based on Unit price demand and bill frequency</t>
        </r>
      </text>
    </comment>
    <comment ref="C31" authorId="0">
      <text>
        <r>
          <rPr>
            <b/>
            <sz val="8"/>
            <rFont val="Tahoma"/>
            <family val="0"/>
          </rPr>
          <t>Pam Rasanen:</t>
        </r>
        <r>
          <rPr>
            <sz val="8"/>
            <rFont val="Tahoma"/>
            <family val="0"/>
          </rPr>
          <t xml:space="preserve">
Average Annual Demand Rate
</t>
        </r>
      </text>
    </comment>
  </commentList>
</comments>
</file>

<file path=xl/sharedStrings.xml><?xml version="1.0" encoding="utf-8"?>
<sst xmlns="http://schemas.openxmlformats.org/spreadsheetml/2006/main" count="1030" uniqueCount="406">
  <si>
    <t>Puget Sound Energy</t>
  </si>
  <si>
    <t>Twelve Months ended September 30, 2003</t>
  </si>
  <si>
    <t>Summary - Increase based on Cost of Service Parity Ratios</t>
  </si>
  <si>
    <t>Voltage Level</t>
  </si>
  <si>
    <t>Schedule</t>
  </si>
  <si>
    <t>Revenue Required from Rates (COS, TMP2, Line 11)</t>
  </si>
  <si>
    <t>Proforma
Tariffed Revenue
Effective
6-30-01</t>
  </si>
  <si>
    <t>Total Operating Revenue (COS, TMP2, Line 7)</t>
  </si>
  <si>
    <t>Revenue Required from Rates</t>
  </si>
  <si>
    <t>% to Total COS Costs</t>
  </si>
  <si>
    <t>Parity Cost of Service at Proposed Revenues</t>
  </si>
  <si>
    <t>Proforma Revenue % to Total</t>
  </si>
  <si>
    <t>Parity Difference</t>
  </si>
  <si>
    <t>Parity Movement</t>
  </si>
  <si>
    <t>New Ratio Sales of Electricty to Revenue Requirement</t>
  </si>
  <si>
    <t>Proposed Revenue</t>
  </si>
  <si>
    <t>Revenue Increase</t>
  </si>
  <si>
    <t>% Increase</t>
  </si>
  <si>
    <t>Constrained Increase</t>
  </si>
  <si>
    <t>Respread Increase</t>
  </si>
  <si>
    <t>Final Revenue Increase</t>
  </si>
  <si>
    <t>Final % Increase</t>
  </si>
  <si>
    <t>26/31 Adjustment</t>
  </si>
  <si>
    <t>Really Final % Increase</t>
  </si>
  <si>
    <t>A</t>
  </si>
  <si>
    <t>B</t>
  </si>
  <si>
    <t>C</t>
  </si>
  <si>
    <t>D =
A - (C - B)</t>
  </si>
  <si>
    <t>E =
D / Sum(D)</t>
  </si>
  <si>
    <t>F =
E * Proposed Revenue</t>
  </si>
  <si>
    <t>G =
B / Sum(B)</t>
  </si>
  <si>
    <t>H =
G - E</t>
  </si>
  <si>
    <t>I =
H * Parity Movement</t>
  </si>
  <si>
    <t>J =
G - I</t>
  </si>
  <si>
    <t>K =
J * Proposed Revenue</t>
  </si>
  <si>
    <t>L =
K - B</t>
  </si>
  <si>
    <t>M =
L / B</t>
  </si>
  <si>
    <t>N</t>
  </si>
  <si>
    <t>O</t>
  </si>
  <si>
    <t>P</t>
  </si>
  <si>
    <t>Q =
P / B</t>
  </si>
  <si>
    <t>R</t>
  </si>
  <si>
    <t>S</t>
  </si>
  <si>
    <t>Total Residential</t>
  </si>
  <si>
    <t>Secondary Voltage</t>
  </si>
  <si>
    <t>Demand &lt;= 50 kW</t>
  </si>
  <si>
    <t>Demand &gt; 50 kW but &lt;= 350 kW</t>
  </si>
  <si>
    <t>25 / 29</t>
  </si>
  <si>
    <t>Demand &gt; 350 kW</t>
  </si>
  <si>
    <t>Total Secondary Voltage</t>
  </si>
  <si>
    <t>Primary Voltage</t>
  </si>
  <si>
    <t>General Service</t>
  </si>
  <si>
    <t>Seasonal Irrigation &amp; Drainage Pumping</t>
  </si>
  <si>
    <t>Interruptible Total Electric Schools</t>
  </si>
  <si>
    <t>Total Primary Voltage</t>
  </si>
  <si>
    <t>Total High Voltage</t>
  </si>
  <si>
    <t>46 / 49</t>
  </si>
  <si>
    <t>Schedule 449</t>
  </si>
  <si>
    <t>Lighting</t>
  </si>
  <si>
    <t>50-59</t>
  </si>
  <si>
    <t>Firm Resale</t>
  </si>
  <si>
    <t>005</t>
  </si>
  <si>
    <t>Total Sales</t>
  </si>
  <si>
    <t xml:space="preserve">Proposed Revenue = </t>
  </si>
  <si>
    <t>% Move to Parity</t>
  </si>
  <si>
    <t>Max Increase</t>
  </si>
  <si>
    <t>Min Increase</t>
  </si>
  <si>
    <t xml:space="preserve"> </t>
  </si>
  <si>
    <t>Rate Design Workpapers</t>
  </si>
  <si>
    <t>Residential Schedule 7 Rate</t>
  </si>
  <si>
    <t>Line No.</t>
  </si>
  <si>
    <t>Total</t>
  </si>
  <si>
    <t>Temperature
Adjustment</t>
  </si>
  <si>
    <t>Basic Charges:</t>
  </si>
  <si>
    <t>1 Phase</t>
  </si>
  <si>
    <t>3 Phase</t>
  </si>
  <si>
    <t>kWh:</t>
  </si>
  <si>
    <t>First 600</t>
  </si>
  <si>
    <t>All Over 600</t>
  </si>
  <si>
    <t>Current Base Rates Effective 10-1-03</t>
  </si>
  <si>
    <t>Basic Charge:</t>
  </si>
  <si>
    <t>Energy Charge:</t>
  </si>
  <si>
    <t>Schedule 95</t>
  </si>
  <si>
    <t>&lt;= Differential</t>
  </si>
  <si>
    <t>Basic Charge Revenue:</t>
  </si>
  <si>
    <t>Subtotal Basic Charge $</t>
  </si>
  <si>
    <t>Energy Charge Revenue:</t>
  </si>
  <si>
    <t>Total Proforma Revenue</t>
  </si>
  <si>
    <t>Proposed Rates Effective 2005</t>
  </si>
  <si>
    <t>600 - 800</t>
  </si>
  <si>
    <t>All Over 800</t>
  </si>
  <si>
    <t>From COS Basic Charge Worksheet</t>
  </si>
  <si>
    <t>= ratio of $13.60 / $5.50 * $x.xx</t>
  </si>
  <si>
    <t>Target Proposed $ Increase</t>
  </si>
  <si>
    <t>= From COS Ratespread Document</t>
  </si>
  <si>
    <t>Target Proposed Revenue</t>
  </si>
  <si>
    <t>Target Proposed % Increase (Pre-Interim)</t>
  </si>
  <si>
    <t>Remaining Revenue Requirement To Spread</t>
  </si>
  <si>
    <t>First 800  (Flat)</t>
  </si>
  <si>
    <t>Spread remaing revenue to first block</t>
  </si>
  <si>
    <t>All Over 800 (Flat)</t>
  </si>
  <si>
    <t>&lt;= Resulting Differential</t>
  </si>
  <si>
    <t>First 800</t>
  </si>
  <si>
    <t>Total Proposed Revenue</t>
  </si>
  <si>
    <t>Difference due to rounding</t>
  </si>
  <si>
    <t>Schedule 24</t>
  </si>
  <si>
    <t>Total Winter</t>
  </si>
  <si>
    <t>Total Summer</t>
  </si>
  <si>
    <t xml:space="preserve">All </t>
  </si>
  <si>
    <t>Temperature Adjustment</t>
  </si>
  <si>
    <t>All kWh</t>
  </si>
  <si>
    <t>Same as Residential Basic Charge</t>
  </si>
  <si>
    <t>Target Proposed % Increase</t>
  </si>
  <si>
    <t>Retain Current Seasonal Percentage Differential</t>
  </si>
  <si>
    <t>All kWh - October to March</t>
  </si>
  <si>
    <t>All kWh - April to September</t>
  </si>
  <si>
    <t>Schedule 25</t>
  </si>
  <si>
    <t>Winter</t>
  </si>
  <si>
    <t>Summer</t>
  </si>
  <si>
    <t>First 20,000 kWh</t>
  </si>
  <si>
    <t>All over 20,000 kWh</t>
  </si>
  <si>
    <t>All over 20,000 kWh - Temperature Adjustment</t>
  </si>
  <si>
    <t>kW:</t>
  </si>
  <si>
    <t>First 50 kW</t>
  </si>
  <si>
    <t>All over 50 kW</t>
  </si>
  <si>
    <t>kVarh</t>
  </si>
  <si>
    <t>All kVarh</t>
  </si>
  <si>
    <t>Rates:</t>
  </si>
  <si>
    <t>All Phases</t>
  </si>
  <si>
    <t>Demand Charge:</t>
  </si>
  <si>
    <t>Reactive Power Charge:</t>
  </si>
  <si>
    <t>Revenue:</t>
  </si>
  <si>
    <t>Energy Revenue</t>
  </si>
  <si>
    <t>Demand Charge Revenue - Over 50 kW</t>
  </si>
  <si>
    <t>Reactive Power Revenue</t>
  </si>
  <si>
    <t>Total Proposed Increase Sch 25 &amp; Sch 29</t>
  </si>
  <si>
    <t>Total Proforma Revenue Sch 25 &amp; 29</t>
  </si>
  <si>
    <t>Target Proposed Revenue 25</t>
  </si>
  <si>
    <t>All Basic Charges</t>
  </si>
  <si>
    <t>Target Demand Revenue to Spread</t>
  </si>
  <si>
    <t>Up to 50 kW</t>
  </si>
  <si>
    <t>Apply average increase</t>
  </si>
  <si>
    <t>Demand Revenue:</t>
  </si>
  <si>
    <t>Target Reactive Power Revenue to Spread</t>
  </si>
  <si>
    <t>From Demand Revenue Allocation Spreadsheet</t>
  </si>
  <si>
    <t>Reactive Power Revenue:</t>
  </si>
  <si>
    <t>Proforma Energy Revenue</t>
  </si>
  <si>
    <t>Increase to Other Blocks</t>
  </si>
  <si>
    <t>All Over 20,000 kWh</t>
  </si>
  <si>
    <t>Spread remaining on equal percent increase</t>
  </si>
  <si>
    <t>Over 20,000 kWh</t>
  </si>
  <si>
    <t>Schedule 29</t>
  </si>
  <si>
    <t>Proforma Revenue:</t>
  </si>
  <si>
    <t>Subtotal Energy $</t>
  </si>
  <si>
    <t>Demand Charge Over 50 kW</t>
  </si>
  <si>
    <t>Single Phase set = Sched 24</t>
  </si>
  <si>
    <t xml:space="preserve"> = $18.10 / $5.50 * $x.xx</t>
  </si>
  <si>
    <t>Target Proposed Revenue 29</t>
  </si>
  <si>
    <t>Winter Demand = Schedule 25</t>
  </si>
  <si>
    <t>Assumed Load Factor (Current Rates)</t>
  </si>
  <si>
    <t>Add demand to summer first block as Energy Charge</t>
  </si>
  <si>
    <t>Winter Blocks same as Sch 25</t>
  </si>
  <si>
    <t>Summer 2nd Block equal average percentage increase</t>
  </si>
  <si>
    <t>Spread remainder to summer last block</t>
  </si>
  <si>
    <t>Schedule 26</t>
  </si>
  <si>
    <t>Basic Charges</t>
  </si>
  <si>
    <t>kWh</t>
  </si>
  <si>
    <t>Total kWh</t>
  </si>
  <si>
    <t>Current Base Rates Effective 7-1-05</t>
  </si>
  <si>
    <t>Basic Charge</t>
  </si>
  <si>
    <t>Energy Charge</t>
  </si>
  <si>
    <t xml:space="preserve">Demand Charge </t>
  </si>
  <si>
    <t xml:space="preserve">Reactive Power </t>
  </si>
  <si>
    <t>Target Proposed Revenue 26</t>
  </si>
  <si>
    <t>All Demand</t>
  </si>
  <si>
    <t>All kW</t>
  </si>
  <si>
    <t>Average Cents</t>
  </si>
  <si>
    <t>Schedule 31</t>
  </si>
  <si>
    <t>Demand Charge</t>
  </si>
  <si>
    <t>Reactive Power Charge</t>
  </si>
  <si>
    <t xml:space="preserve">Basic Charge </t>
  </si>
  <si>
    <t xml:space="preserve">Energy Charge </t>
  </si>
  <si>
    <t xml:space="preserve">Total Proforma </t>
  </si>
  <si>
    <t>Proposed Revenue Increase 31, 35</t>
  </si>
  <si>
    <t>Proforma Revenue 31, 35</t>
  </si>
  <si>
    <t>Target Proposed Revenue 31</t>
  </si>
  <si>
    <t>Leave unchanged (transformers already included in rentals)</t>
  </si>
  <si>
    <t xml:space="preserve">kW </t>
  </si>
  <si>
    <t>Schedule 35</t>
  </si>
  <si>
    <t>Total Winter 35</t>
  </si>
  <si>
    <t>Total Summer 35</t>
  </si>
  <si>
    <t>Target Proposed Revenue 35</t>
  </si>
  <si>
    <t>Same as Sch 31</t>
  </si>
  <si>
    <t>All kW - Average Annual</t>
  </si>
  <si>
    <t>Winter Demand Charge</t>
  </si>
  <si>
    <t>150% of Average Demand</t>
  </si>
  <si>
    <t>Summer Demand  Charge</t>
  </si>
  <si>
    <t>Schedule 43</t>
  </si>
  <si>
    <t>Target Proposed Revenue 43</t>
  </si>
  <si>
    <t>High Voltage</t>
  </si>
  <si>
    <t>Schedule 46</t>
  </si>
  <si>
    <t>kVa:</t>
  </si>
  <si>
    <t>Target Proposed $ Increase Sch 46 &amp; 49</t>
  </si>
  <si>
    <t>Target Proposed Revenue 46 &amp; 49</t>
  </si>
  <si>
    <t>Target Proposed % Increase Sch 46 &amp; 49</t>
  </si>
  <si>
    <t xml:space="preserve"> kVa </t>
  </si>
  <si>
    <t>All kVa</t>
  </si>
  <si>
    <t>Energy Charge Schedules 46 &amp; 49:</t>
  </si>
  <si>
    <t>From Schedule 49</t>
  </si>
  <si>
    <t>Total Proposed Revenue Schedule 46</t>
  </si>
  <si>
    <t>Schedule 49</t>
  </si>
  <si>
    <t xml:space="preserve"> kVa</t>
  </si>
  <si>
    <t>Schedule 46 Demand Revenue</t>
  </si>
  <si>
    <t>Total Sch 46 &amp; 49 kWh</t>
  </si>
  <si>
    <t>Total Proposed Revenue Sch 49</t>
  </si>
  <si>
    <t>Total Proposed Revenue Sch 46</t>
  </si>
  <si>
    <t>Schedule 449 &amp; 459- Primary &amp; High Voltage</t>
  </si>
  <si>
    <t>all Voltage</t>
  </si>
  <si>
    <t>Primary Voltage
Sch 449</t>
  </si>
  <si>
    <t>High Voltage
Sch 449</t>
  </si>
  <si>
    <t>High Voltage
Sch 459</t>
  </si>
  <si>
    <t>Registered kVa</t>
  </si>
  <si>
    <t>Customer Charge</t>
  </si>
  <si>
    <t>Customer Revenue</t>
  </si>
  <si>
    <t>Demand (Distribution) Revenue</t>
  </si>
  <si>
    <t>Target Proposed Revenue 449 (PV &amp; HV)</t>
  </si>
  <si>
    <t>From COS Basic Charge Template</t>
  </si>
  <si>
    <t>Subtotal Charges Before Demand</t>
  </si>
  <si>
    <t>Remaining Revenue to Spread</t>
  </si>
  <si>
    <t>Adjust Primary Voltage Rate to reduce rounding residual</t>
  </si>
  <si>
    <t>Equal Percentage Increase</t>
  </si>
  <si>
    <t>Total Proposed Revenue Sch 449</t>
  </si>
  <si>
    <t>Summary Class</t>
  </si>
  <si>
    <t>Residential</t>
  </si>
  <si>
    <t>Secondary Svc</t>
  </si>
  <si>
    <t>Primary Svc</t>
  </si>
  <si>
    <t>Retail Wheeling</t>
  </si>
  <si>
    <t>High Volt Svc</t>
  </si>
  <si>
    <t>Res Svc</t>
  </si>
  <si>
    <t>Sec Svc 24</t>
  </si>
  <si>
    <t>Sec Svc 25</t>
  </si>
  <si>
    <t>Sec Svc 26</t>
  </si>
  <si>
    <t>Pri Svc</t>
  </si>
  <si>
    <t>Lighting Svc</t>
  </si>
  <si>
    <t>All</t>
  </si>
  <si>
    <t xml:space="preserve">less than 50 kW </t>
  </si>
  <si>
    <t>51 kW to 350 kW</t>
  </si>
  <si>
    <t>over 350 kW</t>
  </si>
  <si>
    <t>Irrigation Service</t>
  </si>
  <si>
    <t>Interruptible Service</t>
  </si>
  <si>
    <t>GS &amp; Int (46/49)</t>
  </si>
  <si>
    <t>Street &amp; Area</t>
  </si>
  <si>
    <t>Large</t>
  </si>
  <si>
    <t>Small</t>
  </si>
  <si>
    <t>Description</t>
  </si>
  <si>
    <t>50-59, &amp; 003</t>
  </si>
  <si>
    <t>Include 100% of Transformer</t>
  </si>
  <si>
    <t>Exclude Transformer</t>
  </si>
  <si>
    <t>Meter, Service, 35% Transformer &amp; Bill</t>
  </si>
  <si>
    <t>Current Single Phase</t>
  </si>
  <si>
    <t>Current Three Phase</t>
  </si>
  <si>
    <t>Proforma Demand Revenue</t>
  </si>
  <si>
    <t>Demand
First 50 kW</t>
  </si>
  <si>
    <t>Demand
Over 50 kW</t>
  </si>
  <si>
    <t>All
Demand</t>
  </si>
  <si>
    <t>Proforma Reactive Power Revenue</t>
  </si>
  <si>
    <t>Total Proforma Demand Revenue</t>
  </si>
  <si>
    <t>Revenue % to Schedule</t>
  </si>
  <si>
    <t>Target Revenue</t>
  </si>
  <si>
    <t>Target Revenue by Schedule</t>
  </si>
  <si>
    <t>Average Increase</t>
  </si>
  <si>
    <t>Proposed kVarh Revenue</t>
  </si>
  <si>
    <t>Target Demand Revenue by Schedule</t>
  </si>
  <si>
    <t>Subtotal Schedules 11, 25 &amp; 29</t>
  </si>
  <si>
    <t>Subtotal Schedules 31, 35, &amp; 43</t>
  </si>
  <si>
    <t>Subtotal Schedules 46 &amp; 49</t>
  </si>
  <si>
    <t>Schedule 449 Primary Voltage</t>
  </si>
  <si>
    <t>Schedule 449 High Voltage Voltage</t>
  </si>
  <si>
    <t>Schedule 459 High Voltage Voltage</t>
  </si>
  <si>
    <t>Subtotal Schedule 449</t>
  </si>
  <si>
    <t>Total Related Demand</t>
  </si>
  <si>
    <t>(2) Give demand twice average increase since below target and trying to line up with Sch 26 Demand</t>
  </si>
  <si>
    <r>
      <t>Schedule 26</t>
    </r>
    <r>
      <rPr>
        <vertAlign val="superscript"/>
        <sz val="10"/>
        <rFont val="Arial"/>
        <family val="2"/>
      </rPr>
      <t>1</t>
    </r>
  </si>
  <si>
    <r>
      <t>Schedule 31</t>
    </r>
    <r>
      <rPr>
        <vertAlign val="superscript"/>
        <sz val="10"/>
        <rFont val="Arial"/>
        <family val="2"/>
      </rPr>
      <t>2</t>
    </r>
  </si>
  <si>
    <t>Allocation of Demand Revenue to Class</t>
  </si>
  <si>
    <t>Based on Ratios From Electric Cost of Service</t>
  </si>
  <si>
    <t>Source</t>
  </si>
  <si>
    <t>Secondary
Voltage
Schedules
25 &amp; 29</t>
  </si>
  <si>
    <t>Secondary
Voltage
Schedule
26</t>
  </si>
  <si>
    <t>Primary
Voltage
Schedules
31, 35 &amp; 43</t>
  </si>
  <si>
    <t>High
Voltage
Schedules
46 &amp; 49</t>
  </si>
  <si>
    <t>Transportation Schedules
449 &amp; 459</t>
  </si>
  <si>
    <t>Total Cost of Service Demand</t>
  </si>
  <si>
    <t>COS DEM, Line 7</t>
  </si>
  <si>
    <t>Total Cost of Service Revenue</t>
  </si>
  <si>
    <t>COS TMP2, Line 6</t>
  </si>
  <si>
    <t>Ratio Cost of Service Demand to Total Revenue</t>
  </si>
  <si>
    <t>Line 1 / Line 2</t>
  </si>
  <si>
    <t>Demand Revenue Table</t>
  </si>
  <si>
    <t>Target Proposed Revenue, Column 1</t>
  </si>
  <si>
    <t>Ratio Proforma Demand Revenue to Total Revenue</t>
  </si>
  <si>
    <t>Line 4 / Line 5</t>
  </si>
  <si>
    <t>Move 1/2 Distance toward Parity</t>
  </si>
  <si>
    <t>Line 6 + 1/2 * (Line 3 - Line 6)</t>
  </si>
  <si>
    <t>Target Proposed Revenue, Column (Last - 3)</t>
  </si>
  <si>
    <t>Proposed Demand Revenue</t>
  </si>
  <si>
    <t>Line 7 * Line 8</t>
  </si>
  <si>
    <t>Proforma and Proposed Revenue</t>
  </si>
  <si>
    <t>Schedule 7</t>
  </si>
  <si>
    <t>Bill Determinants</t>
  </si>
  <si>
    <t>Proforma</t>
  </si>
  <si>
    <t>Proposed</t>
  </si>
  <si>
    <t>Temperature</t>
  </si>
  <si>
    <t>Rates Effective 10-1-03</t>
  </si>
  <si>
    <t>Rates Effective 2005</t>
  </si>
  <si>
    <t>Differences</t>
  </si>
  <si>
    <t>Adjustment</t>
  </si>
  <si>
    <t>Charge</t>
  </si>
  <si>
    <t>Revenue</t>
  </si>
  <si>
    <t>$</t>
  </si>
  <si>
    <t>%</t>
  </si>
  <si>
    <t>Basic Charge - 1 Phase</t>
  </si>
  <si>
    <t>Basic Charge - 3 Phase</t>
  </si>
  <si>
    <t>Total Basic Charge</t>
  </si>
  <si>
    <t xml:space="preserve">First 600 kWh </t>
  </si>
  <si>
    <t>Next 200 kWh</t>
  </si>
  <si>
    <t>Total Revenue</t>
  </si>
  <si>
    <t>Summary</t>
  </si>
  <si>
    <t>Proforma
Revenue</t>
  </si>
  <si>
    <t>Proposed
Revenue</t>
  </si>
  <si>
    <t>$ Increase</t>
  </si>
  <si>
    <t>Increase as Allocated by Rate Spread</t>
  </si>
  <si>
    <t>Rounding Differences</t>
  </si>
  <si>
    <t>Interruptible</t>
  </si>
  <si>
    <t>Total Retail Sales to Customers</t>
  </si>
  <si>
    <t>Small Firm Resale</t>
  </si>
  <si>
    <t>Special Contract</t>
  </si>
  <si>
    <t>001</t>
  </si>
  <si>
    <t>Total Firm Resale</t>
  </si>
  <si>
    <t>Transportation Sales</t>
  </si>
  <si>
    <t>Total Transporation Sales</t>
  </si>
  <si>
    <t>Total Sales to Customers</t>
  </si>
  <si>
    <t>Secondary Voltage, Demand 50 kW or less</t>
  </si>
  <si>
    <t>Winter Energy</t>
  </si>
  <si>
    <t>Summer Energy</t>
  </si>
  <si>
    <t>Total Revenue Schedule 24</t>
  </si>
  <si>
    <t>Secondary Voltage, Demand Greater than 50 kW but less than or equal to 350 kW</t>
  </si>
  <si>
    <t xml:space="preserve">Winter - First 20,000 kWh </t>
  </si>
  <si>
    <t xml:space="preserve">Summer- First 20,000 kWh </t>
  </si>
  <si>
    <t>Total kWh Energy</t>
  </si>
  <si>
    <t>Winter - All Over 50 kW</t>
  </si>
  <si>
    <t>Summer- All Over 50 kW</t>
  </si>
  <si>
    <t>Total kW Demand</t>
  </si>
  <si>
    <t>Total kVarh Reactive Power</t>
  </si>
  <si>
    <t>Secondary Voltage, Demand Greater than 350 kW</t>
  </si>
  <si>
    <t>Winter - All kW</t>
  </si>
  <si>
    <t>Summer- All kW</t>
  </si>
  <si>
    <t>Secondary Voltage, Seasonal Irrigation &amp; Drainage Pumping Service</t>
  </si>
  <si>
    <t>Winter - All Over 20,000 kWh</t>
  </si>
  <si>
    <t>Summer- All Over 20,000 kWh</t>
  </si>
  <si>
    <t>Primary Voltage General Service</t>
  </si>
  <si>
    <t>Primary Voltage Seasonal Irrigation &amp; Drainage Pumping Service</t>
  </si>
  <si>
    <t>Bill</t>
  </si>
  <si>
    <t>Determinants</t>
  </si>
  <si>
    <t>Primary Voltage Interruptible Total Electric School Service</t>
  </si>
  <si>
    <t>High Voltage, Interruptible Service</t>
  </si>
  <si>
    <t>Total kVa Demand</t>
  </si>
  <si>
    <t>Annual Energy Minimum Charge</t>
  </si>
  <si>
    <t>Annual Demand Charge</t>
  </si>
  <si>
    <t>High Voltage, General Service</t>
  </si>
  <si>
    <t>Lighting Revenues</t>
  </si>
  <si>
    <t>Proforma &amp; Proposed</t>
  </si>
  <si>
    <t>Annual
Proforma Revenue</t>
  </si>
  <si>
    <t>Annual Proposed Revenue</t>
  </si>
  <si>
    <t>Revenue Change</t>
  </si>
  <si>
    <t>% Change</t>
  </si>
  <si>
    <t>03E</t>
  </si>
  <si>
    <t>50E-A</t>
  </si>
  <si>
    <t>50E-B</t>
  </si>
  <si>
    <t>52 O&amp;M</t>
  </si>
  <si>
    <t>52E</t>
  </si>
  <si>
    <t>53E</t>
  </si>
  <si>
    <t>54E</t>
  </si>
  <si>
    <t>55E &amp; 56E (No Res Exch)</t>
  </si>
  <si>
    <t>57E</t>
  </si>
  <si>
    <t>58E &amp; 59E (No Res Exch)</t>
  </si>
  <si>
    <t>Old Pole Revenue</t>
  </si>
  <si>
    <t>New Pole Revenue</t>
  </si>
  <si>
    <t>Allocation of Docket No. UE-011570 Revenue Increase</t>
  </si>
  <si>
    <t>Transportation</t>
  </si>
  <si>
    <t>Primary Voltage:</t>
  </si>
  <si>
    <t>Distribution Charge</t>
  </si>
  <si>
    <t>Total Primary Voltage Revenue</t>
  </si>
  <si>
    <t>High Voltage:</t>
  </si>
  <si>
    <t>Total High Voltage Revenue</t>
  </si>
  <si>
    <t>Total Schedule 449</t>
  </si>
  <si>
    <t>Transportation with Back-up Distribution</t>
  </si>
  <si>
    <t>Schedule 459</t>
  </si>
  <si>
    <t>Back-up Distrbution Service</t>
  </si>
  <si>
    <t>Transportation Special Contract</t>
  </si>
  <si>
    <t>Add Small Firm Resale Proforma Revenue</t>
  </si>
  <si>
    <t>Total Firm Resale Proforma Revenue</t>
  </si>
  <si>
    <t>Allocation of Firm Resale Increase</t>
  </si>
  <si>
    <t>All Over 800 kWh</t>
  </si>
  <si>
    <t>Allocation of Docket No. UE-040641 Revenue Increase</t>
  </si>
  <si>
    <t>h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</si>
</sst>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0.0%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_);_(* \(#,##0.000\);_(* &quot;-&quot;??_);_(@_)"/>
    <numFmt numFmtId="177" formatCode="#,##0\ \¢"/>
    <numFmt numFmtId="178" formatCode="#,##0.0\ \¢"/>
    <numFmt numFmtId="179" formatCode="#,##0.00\ \¢"/>
    <numFmt numFmtId="180" formatCode="#,##0.000\ \¢"/>
    <numFmt numFmtId="181" formatCode="#,##0.0000\ \¢"/>
    <numFmt numFmtId="182" formatCode="_(* #,##0.000000_);_(* \(#,##0.000000\);_(* &quot;-&quot;??????_);_(@_)"/>
    <numFmt numFmtId="183" formatCode="_(* #,##0.00000_);_(* \(#,##0.00000\);_(* &quot;-&quot;?????_);_(@_)"/>
    <numFmt numFmtId="184" formatCode="0.000%"/>
    <numFmt numFmtId="185" formatCode="m/d/yy\ h:m\i\n"/>
    <numFmt numFmtId="186" formatCode="&quot;$&quot;#,##0.0_);[Red]\(&quot;$&quot;#,##0.0\)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0.0000"/>
    <numFmt numFmtId="195" formatCode="0.0000000"/>
    <numFmt numFmtId="196" formatCode="0.0000\ "/>
    <numFmt numFmtId="197" formatCode="&quot;$&quot;#,##0.0000_);[Red]\(&quot;$&quot;#,##0.0000\)"/>
    <numFmt numFmtId="198" formatCode="mm/dd/yy"/>
    <numFmt numFmtId="199" formatCode="#,###"/>
    <numFmt numFmtId="200" formatCode="#,###.0"/>
    <numFmt numFmtId="201" formatCode="#,###.00"/>
    <numFmt numFmtId="202" formatCode="_(* #,##0.0000000_);_(* \(#,##0.0000000\);_(* &quot;-&quot;???????_);_(@_)"/>
    <numFmt numFmtId="203" formatCode="0.0000%"/>
    <numFmt numFmtId="204" formatCode="0.00000%"/>
    <numFmt numFmtId="205" formatCode="0.000000%"/>
    <numFmt numFmtId="206" formatCode="[$-409]dddd\,\ mmmm\ dd\,\ yyyy"/>
    <numFmt numFmtId="207" formatCode="[$-F800]dddd\,\ mmmm\ dd\,\ yyyy"/>
    <numFmt numFmtId="208" formatCode="0.000000"/>
    <numFmt numFmtId="209" formatCode="[$-409]mmmm\ d\,\ yyyy;@"/>
    <numFmt numFmtId="210" formatCode="&quot;$&quot;#,##0.000_);[Red]\(&quot;$&quot;#,##0.000\)"/>
    <numFmt numFmtId="211" formatCode="&quot;$&quot;#,##0.00000_);[Red]\(&quot;$&quot;#,##0.00000\)"/>
    <numFmt numFmtId="212" formatCode="&quot;$&quot;#,##0.000000_);[Red]\(&quot;$&quot;#,##0.000000\)"/>
    <numFmt numFmtId="213" formatCode="_(&quot;$&quot;* #,##0.0000000_);_(&quot;$&quot;* \(#,##0.0000000\);_(&quot;$&quot;* &quot;-&quot;??_);_(@_)"/>
    <numFmt numFmtId="214" formatCode="_(&quot;$&quot;* #,##0.00000000_);_(&quot;$&quot;* \(#,##0.00000000\);_(&quot;$&quot;* &quot;-&quot;??_);_(@_)"/>
    <numFmt numFmtId="215" formatCode="&quot;$&quot;#,##0.000_);\(&quot;$&quot;#,##0.000\)"/>
    <numFmt numFmtId="216" formatCode="&quot;$&quot;#,##0.0000_);\(&quot;$&quot;#,##0.0000\)"/>
    <numFmt numFmtId="217" formatCode="&quot;$&quot;#,##0.00000_);\(&quot;$&quot;#,##0.00000\)"/>
    <numFmt numFmtId="218" formatCode="_(&quot;$&quot;* #,##0.00000_);_(&quot;$&quot;* \(#,##0.00000\);_(&quot;$&quot;* &quot;-&quot;?????_);_(@_)"/>
    <numFmt numFmtId="219" formatCode="_(* #,##0.0000000_);_(* \(#,##0.0000000\);_(* &quot;-&quot;??_);_(@_)"/>
    <numFmt numFmtId="220" formatCode="_(* #,##0.00000000_);_(* \(#,##0.00000000\);_(* &quot;-&quot;??_);_(@_)"/>
    <numFmt numFmtId="221" formatCode="mmmm\-yy"/>
  </numFmts>
  <fonts count="1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Helv"/>
      <family val="0"/>
    </font>
    <font>
      <vertAlign val="superscript"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quotePrefix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7" fontId="0" fillId="0" borderId="2" xfId="17" applyNumberFormat="1" applyBorder="1" applyAlignment="1">
      <alignment/>
    </xf>
    <xf numFmtId="175" fontId="0" fillId="0" borderId="2" xfId="15" applyNumberFormat="1" applyBorder="1" applyAlignment="1">
      <alignment/>
    </xf>
    <xf numFmtId="10" fontId="0" fillId="0" borderId="2" xfId="21" applyNumberFormat="1" applyBorder="1" applyAlignment="1" quotePrefix="1">
      <alignment horizontal="right"/>
    </xf>
    <xf numFmtId="167" fontId="0" fillId="0" borderId="0" xfId="17" applyNumberFormat="1" applyBorder="1" applyAlignment="1">
      <alignment/>
    </xf>
    <xf numFmtId="10" fontId="0" fillId="0" borderId="0" xfId="21" applyNumberFormat="1" applyAlignment="1" quotePrefix="1">
      <alignment horizontal="right"/>
    </xf>
    <xf numFmtId="42" fontId="0" fillId="0" borderId="0" xfId="0" applyNumberFormat="1" applyAlignment="1">
      <alignment/>
    </xf>
    <xf numFmtId="0" fontId="0" fillId="0" borderId="0" xfId="0" applyAlignment="1" quotePrefix="1">
      <alignment horizontal="left" indent="1"/>
    </xf>
    <xf numFmtId="175" fontId="0" fillId="0" borderId="0" xfId="15" applyNumberFormat="1" applyBorder="1" applyAlignment="1">
      <alignment/>
    </xf>
    <xf numFmtId="10" fontId="0" fillId="0" borderId="0" xfId="21" applyNumberFormat="1" applyBorder="1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 quotePrefix="1">
      <alignment horizontal="center"/>
    </xf>
    <xf numFmtId="167" fontId="0" fillId="0" borderId="3" xfId="17" applyNumberFormat="1" applyBorder="1" applyAlignment="1">
      <alignment/>
    </xf>
    <xf numFmtId="175" fontId="0" fillId="0" borderId="3" xfId="15" applyNumberFormat="1" applyBorder="1" applyAlignment="1">
      <alignment/>
    </xf>
    <xf numFmtId="10" fontId="0" fillId="0" borderId="3" xfId="21" applyNumberFormat="1" applyBorder="1" applyAlignment="1" quotePrefix="1">
      <alignment horizontal="right"/>
    </xf>
    <xf numFmtId="43" fontId="0" fillId="0" borderId="0" xfId="0" applyNumberFormat="1" applyAlignment="1">
      <alignment/>
    </xf>
    <xf numFmtId="167" fontId="0" fillId="0" borderId="0" xfId="17" applyNumberFormat="1" applyAlignment="1">
      <alignment/>
    </xf>
    <xf numFmtId="3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15" applyNumberFormat="1" applyAlignment="1">
      <alignment/>
    </xf>
    <xf numFmtId="165" fontId="0" fillId="0" borderId="3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4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4" fontId="0" fillId="0" borderId="0" xfId="0" applyNumberFormat="1" applyAlignment="1">
      <alignment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9" fontId="0" fillId="0" borderId="0" xfId="21" applyAlignment="1">
      <alignment/>
    </xf>
    <xf numFmtId="167" fontId="0" fillId="0" borderId="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left" indent="1"/>
    </xf>
    <xf numFmtId="44" fontId="3" fillId="2" borderId="9" xfId="17" applyNumberFormat="1" applyFont="1" applyFill="1" applyBorder="1" applyAlignment="1">
      <alignment/>
    </xf>
    <xf numFmtId="44" fontId="0" fillId="0" borderId="0" xfId="17" applyAlignment="1">
      <alignment/>
    </xf>
    <xf numFmtId="0" fontId="0" fillId="3" borderId="0" xfId="0" applyFill="1" applyAlignment="1">
      <alignment horizontal="left"/>
    </xf>
    <xf numFmtId="0" fontId="0" fillId="3" borderId="0" xfId="0" applyFill="1" applyAlignment="1" quotePrefix="1">
      <alignment horizontal="left"/>
    </xf>
    <xf numFmtId="0" fontId="3" fillId="2" borderId="10" xfId="0" applyFont="1" applyFill="1" applyBorder="1" applyAlignment="1">
      <alignment horizontal="left" indent="1"/>
    </xf>
    <xf numFmtId="44" fontId="3" fillId="2" borderId="11" xfId="17" applyFont="1" applyFill="1" applyBorder="1" applyAlignment="1">
      <alignment/>
    </xf>
    <xf numFmtId="0" fontId="0" fillId="3" borderId="0" xfId="0" applyFill="1" applyAlignment="1">
      <alignment/>
    </xf>
    <xf numFmtId="167" fontId="0" fillId="0" borderId="0" xfId="17" applyNumberFormat="1" applyFill="1" applyAlignment="1">
      <alignment/>
    </xf>
    <xf numFmtId="10" fontId="0" fillId="0" borderId="0" xfId="21" applyNumberFormat="1" applyAlignment="1">
      <alignment/>
    </xf>
    <xf numFmtId="0" fontId="3" fillId="2" borderId="8" xfId="0" applyFont="1" applyFill="1" applyBorder="1" applyAlignment="1" quotePrefix="1">
      <alignment horizontal="left" indent="1"/>
    </xf>
    <xf numFmtId="171" fontId="3" fillId="2" borderId="9" xfId="17" applyNumberFormat="1" applyFont="1" applyFill="1" applyBorder="1" applyAlignment="1">
      <alignment/>
    </xf>
    <xf numFmtId="171" fontId="0" fillId="0" borderId="0" xfId="0" applyNumberFormat="1" applyAlignment="1">
      <alignment/>
    </xf>
    <xf numFmtId="0" fontId="3" fillId="2" borderId="10" xfId="0" applyFont="1" applyFill="1" applyBorder="1" applyAlignment="1" quotePrefix="1">
      <alignment horizontal="left" indent="1"/>
    </xf>
    <xf numFmtId="171" fontId="3" fillId="2" borderId="11" xfId="17" applyNumberFormat="1" applyFont="1" applyFill="1" applyBorder="1" applyAlignment="1">
      <alignment/>
    </xf>
    <xf numFmtId="167" fontId="0" fillId="4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 indent="1"/>
    </xf>
    <xf numFmtId="165" fontId="0" fillId="0" borderId="0" xfId="15" applyNumberFormat="1" applyFont="1" applyAlignment="1">
      <alignment/>
    </xf>
    <xf numFmtId="165" fontId="0" fillId="0" borderId="3" xfId="15" applyNumberFormat="1" applyFont="1" applyBorder="1" applyAlignment="1">
      <alignment/>
    </xf>
    <xf numFmtId="0" fontId="0" fillId="0" borderId="0" xfId="0" applyFont="1" applyAlignment="1" quotePrefix="1">
      <alignment horizontal="left" indent="1"/>
    </xf>
    <xf numFmtId="165" fontId="0" fillId="0" borderId="0" xfId="15" applyNumberFormat="1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44" fontId="0" fillId="0" borderId="0" xfId="0" applyNumberFormat="1" applyFont="1" applyAlignment="1">
      <alignment/>
    </xf>
    <xf numFmtId="171" fontId="0" fillId="0" borderId="0" xfId="17" applyNumberFormat="1" applyFont="1" applyAlignment="1">
      <alignment/>
    </xf>
    <xf numFmtId="167" fontId="0" fillId="0" borderId="0" xfId="0" applyNumberFormat="1" applyFont="1" applyAlignment="1">
      <alignment/>
    </xf>
    <xf numFmtId="167" fontId="0" fillId="0" borderId="2" xfId="0" applyNumberFormat="1" applyFont="1" applyBorder="1" applyAlignment="1">
      <alignment/>
    </xf>
    <xf numFmtId="167" fontId="0" fillId="0" borderId="0" xfId="17" applyNumberFormat="1" applyFont="1" applyAlignment="1">
      <alignment/>
    </xf>
    <xf numFmtId="0" fontId="0" fillId="0" borderId="0" xfId="0" applyFont="1" applyBorder="1" applyAlignment="1">
      <alignment horizontal="centerContinuous"/>
    </xf>
    <xf numFmtId="0" fontId="3" fillId="0" borderId="0" xfId="0" applyFont="1" applyAlignment="1" quotePrefix="1">
      <alignment horizontal="left"/>
    </xf>
    <xf numFmtId="7" fontId="3" fillId="2" borderId="9" xfId="17" applyNumberFormat="1" applyFont="1" applyFill="1" applyBorder="1" applyAlignment="1">
      <alignment/>
    </xf>
    <xf numFmtId="44" fontId="0" fillId="0" borderId="0" xfId="17" applyFont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7" fontId="3" fillId="2" borderId="11" xfId="17" applyNumberFormat="1" applyFont="1" applyFill="1" applyBorder="1" applyAlignment="1">
      <alignment/>
    </xf>
    <xf numFmtId="167" fontId="0" fillId="0" borderId="0" xfId="17" applyNumberFormat="1" applyFont="1" applyFill="1" applyAlignment="1">
      <alignment/>
    </xf>
    <xf numFmtId="10" fontId="0" fillId="0" borderId="0" xfId="21" applyNumberFormat="1" applyFont="1" applyAlignment="1">
      <alignment/>
    </xf>
    <xf numFmtId="0" fontId="0" fillId="3" borderId="0" xfId="0" applyFont="1" applyFill="1" applyAlignment="1">
      <alignment horizontal="center"/>
    </xf>
    <xf numFmtId="9" fontId="0" fillId="3" borderId="0" xfId="21" applyFill="1" applyAlignment="1">
      <alignment/>
    </xf>
    <xf numFmtId="10" fontId="0" fillId="3" borderId="0" xfId="21" applyNumberFormat="1" applyFont="1" applyFill="1" applyAlignment="1">
      <alignment/>
    </xf>
    <xf numFmtId="174" fontId="0" fillId="0" borderId="0" xfId="0" applyNumberFormat="1" applyFont="1" applyAlignment="1">
      <alignment/>
    </xf>
    <xf numFmtId="167" fontId="0" fillId="4" borderId="0" xfId="0" applyNumberFormat="1" applyFont="1" applyFill="1" applyAlignment="1">
      <alignment/>
    </xf>
    <xf numFmtId="165" fontId="0" fillId="5" borderId="0" xfId="15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indent="2"/>
    </xf>
    <xf numFmtId="0" fontId="0" fillId="0" borderId="0" xfId="0" applyFont="1" applyAlignment="1" quotePrefix="1">
      <alignment horizontal="left" indent="2"/>
    </xf>
    <xf numFmtId="170" fontId="0" fillId="0" borderId="0" xfId="17" applyNumberFormat="1" applyFont="1" applyAlignment="1">
      <alignment/>
    </xf>
    <xf numFmtId="0" fontId="0" fillId="0" borderId="0" xfId="0" applyFont="1" applyAlignment="1" quotePrefix="1">
      <alignment horizontal="left" indent="3"/>
    </xf>
    <xf numFmtId="0" fontId="0" fillId="0" borderId="0" xfId="0" applyFont="1" applyAlignment="1">
      <alignment horizontal="left" indent="3"/>
    </xf>
    <xf numFmtId="167" fontId="0" fillId="0" borderId="3" xfId="0" applyNumberFormat="1" applyFont="1" applyBorder="1" applyAlignment="1">
      <alignment/>
    </xf>
    <xf numFmtId="6" fontId="0" fillId="0" borderId="0" xfId="0" applyNumberFormat="1" applyFont="1" applyAlignment="1">
      <alignment/>
    </xf>
    <xf numFmtId="167" fontId="3" fillId="0" borderId="0" xfId="17" applyNumberFormat="1" applyFont="1" applyFill="1" applyAlignment="1">
      <alignment/>
    </xf>
    <xf numFmtId="167" fontId="0" fillId="0" borderId="0" xfId="0" applyNumberFormat="1" applyFont="1" applyBorder="1" applyAlignment="1">
      <alignment horizontal="centerContinuous"/>
    </xf>
    <xf numFmtId="43" fontId="0" fillId="0" borderId="0" xfId="0" applyNumberFormat="1" applyFont="1" applyAlignment="1">
      <alignment/>
    </xf>
    <xf numFmtId="44" fontId="3" fillId="2" borderId="11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2" borderId="6" xfId="0" applyFont="1" applyFill="1" applyBorder="1" applyAlignment="1" quotePrefix="1">
      <alignment horizontal="left"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44" fontId="3" fillId="2" borderId="9" xfId="17" applyFont="1" applyFill="1" applyBorder="1" applyAlignment="1">
      <alignment/>
    </xf>
    <xf numFmtId="0" fontId="0" fillId="3" borderId="0" xfId="0" applyFont="1" applyFill="1" applyAlignment="1" quotePrefix="1">
      <alignment horizontal="left" indent="1"/>
    </xf>
    <xf numFmtId="44" fontId="3" fillId="2" borderId="1" xfId="17" applyFont="1" applyFill="1" applyBorder="1" applyAlignment="1">
      <alignment/>
    </xf>
    <xf numFmtId="43" fontId="3" fillId="2" borderId="1" xfId="0" applyNumberFormat="1" applyFont="1" applyFill="1" applyBorder="1" applyAlignment="1">
      <alignment/>
    </xf>
    <xf numFmtId="43" fontId="3" fillId="2" borderId="11" xfId="0" applyNumberFormat="1" applyFont="1" applyFill="1" applyBorder="1" applyAlignment="1">
      <alignment/>
    </xf>
    <xf numFmtId="0" fontId="0" fillId="3" borderId="0" xfId="0" applyFont="1" applyFill="1" applyAlignment="1" quotePrefix="1">
      <alignment horizontal="left"/>
    </xf>
    <xf numFmtId="170" fontId="3" fillId="2" borderId="11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171" fontId="3" fillId="2" borderId="0" xfId="17" applyNumberFormat="1" applyFont="1" applyFill="1" applyBorder="1" applyAlignment="1">
      <alignment/>
    </xf>
    <xf numFmtId="171" fontId="3" fillId="2" borderId="1" xfId="17" applyNumberFormat="1" applyFont="1" applyFill="1" applyBorder="1" applyAlignment="1">
      <alignment/>
    </xf>
    <xf numFmtId="167" fontId="0" fillId="0" borderId="2" xfId="17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65" fontId="0" fillId="0" borderId="0" xfId="15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 quotePrefix="1">
      <alignment horizontal="left" indent="2"/>
    </xf>
    <xf numFmtId="170" fontId="0" fillId="0" borderId="0" xfId="17" applyNumberFormat="1" applyAlignment="1">
      <alignment/>
    </xf>
    <xf numFmtId="0" fontId="0" fillId="0" borderId="0" xfId="0" applyAlignment="1" quotePrefix="1">
      <alignment horizontal="left" indent="3"/>
    </xf>
    <xf numFmtId="0" fontId="0" fillId="0" borderId="0" xfId="0" applyAlignment="1">
      <alignment horizontal="left" indent="3"/>
    </xf>
    <xf numFmtId="167" fontId="0" fillId="0" borderId="0" xfId="0" applyNumberFormat="1" applyBorder="1" applyAlignment="1">
      <alignment/>
    </xf>
    <xf numFmtId="167" fontId="0" fillId="0" borderId="3" xfId="0" applyNumberFormat="1" applyBorder="1" applyAlignment="1">
      <alignment/>
    </xf>
    <xf numFmtId="0" fontId="0" fillId="0" borderId="0" xfId="0" applyFill="1" applyBorder="1" applyAlignment="1" quotePrefix="1">
      <alignment horizontal="left" indent="1"/>
    </xf>
    <xf numFmtId="167" fontId="3" fillId="2" borderId="7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44" fontId="0" fillId="0" borderId="0" xfId="17" applyFill="1" applyBorder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6" fillId="0" borderId="0" xfId="0" applyFont="1" applyAlignment="1" quotePrefix="1">
      <alignment horizontal="lef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 quotePrefix="1">
      <alignment horizontal="left"/>
    </xf>
    <xf numFmtId="6" fontId="0" fillId="2" borderId="0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right"/>
    </xf>
    <xf numFmtId="10" fontId="0" fillId="0" borderId="0" xfId="21" applyNumberFormat="1" applyBorder="1" applyAlignment="1">
      <alignment horizontal="right"/>
    </xf>
    <xf numFmtId="0" fontId="7" fillId="0" borderId="0" xfId="0" applyFont="1" applyAlignment="1" quotePrefix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/>
    </xf>
    <xf numFmtId="167" fontId="0" fillId="0" borderId="13" xfId="0" applyNumberFormat="1" applyBorder="1" applyAlignment="1">
      <alignment/>
    </xf>
    <xf numFmtId="167" fontId="0" fillId="2" borderId="0" xfId="17" applyNumberFormat="1" applyFill="1" applyAlignment="1">
      <alignment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7" fontId="3" fillId="2" borderId="2" xfId="17" applyNumberFormat="1" applyFont="1" applyFill="1" applyBorder="1" applyAlignment="1">
      <alignment/>
    </xf>
    <xf numFmtId="7" fontId="3" fillId="2" borderId="5" xfId="17" applyNumberFormat="1" applyFont="1" applyFill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0" xfId="0" applyNumberFormat="1" applyFill="1" applyBorder="1" applyAlignment="1">
      <alignment horizontal="left" indent="1"/>
    </xf>
    <xf numFmtId="167" fontId="3" fillId="2" borderId="12" xfId="0" applyNumberFormat="1" applyFont="1" applyFill="1" applyBorder="1" applyAlignment="1" quotePrefix="1">
      <alignment horizontal="left"/>
    </xf>
    <xf numFmtId="167" fontId="3" fillId="2" borderId="12" xfId="17" applyNumberFormat="1" applyFont="1" applyFill="1" applyBorder="1" applyAlignment="1">
      <alignment/>
    </xf>
    <xf numFmtId="167" fontId="3" fillId="2" borderId="7" xfId="17" applyNumberFormat="1" applyFont="1" applyFill="1" applyBorder="1" applyAlignment="1">
      <alignment/>
    </xf>
    <xf numFmtId="0" fontId="3" fillId="2" borderId="1" xfId="0" applyFont="1" applyFill="1" applyBorder="1" applyAlignment="1" quotePrefix="1">
      <alignment horizontal="left" indent="1"/>
    </xf>
    <xf numFmtId="42" fontId="0" fillId="0" borderId="0" xfId="15" applyNumberFormat="1" applyAlignment="1">
      <alignment/>
    </xf>
    <xf numFmtId="0" fontId="0" fillId="0" borderId="14" xfId="0" applyFill="1" applyBorder="1" applyAlignment="1">
      <alignment horizontal="right" wrapText="1"/>
    </xf>
    <xf numFmtId="14" fontId="0" fillId="0" borderId="15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8" fontId="0" fillId="0" borderId="0" xfId="0" applyNumberFormat="1" applyAlignment="1">
      <alignment/>
    </xf>
    <xf numFmtId="8" fontId="0" fillId="0" borderId="0" xfId="15" applyNumberFormat="1" applyAlignment="1">
      <alignment/>
    </xf>
    <xf numFmtId="44" fontId="0" fillId="0" borderId="0" xfId="17" applyNumberFormat="1" applyAlignment="1">
      <alignment/>
    </xf>
    <xf numFmtId="184" fontId="0" fillId="0" borderId="0" xfId="21" applyNumberFormat="1" applyAlignment="1">
      <alignment/>
    </xf>
    <xf numFmtId="165" fontId="0" fillId="0" borderId="2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84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 horizontal="left" wrapText="1"/>
    </xf>
    <xf numFmtId="167" fontId="0" fillId="0" borderId="0" xfId="17" applyNumberFormat="1" applyAlignment="1">
      <alignment wrapText="1"/>
    </xf>
    <xf numFmtId="0" fontId="0" fillId="0" borderId="0" xfId="0" applyFont="1" applyAlignment="1">
      <alignment wrapText="1"/>
    </xf>
    <xf numFmtId="174" fontId="0" fillId="0" borderId="0" xfId="15" applyNumberFormat="1" applyAlignment="1">
      <alignment wrapText="1"/>
    </xf>
    <xf numFmtId="0" fontId="0" fillId="0" borderId="0" xfId="0" applyAlignment="1" quotePrefix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6" xfId="0" applyBorder="1" applyAlignment="1" quotePrefix="1">
      <alignment horizontal="centerContinuous"/>
    </xf>
    <xf numFmtId="0" fontId="0" fillId="0" borderId="7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0" xfId="15" applyNumberFormat="1" applyAlignment="1" quotePrefix="1">
      <alignment horizontal="left"/>
    </xf>
    <xf numFmtId="172" fontId="0" fillId="0" borderId="0" xfId="21" applyNumberFormat="1" applyAlignment="1">
      <alignment/>
    </xf>
    <xf numFmtId="165" fontId="0" fillId="0" borderId="2" xfId="15" applyNumberFormat="1" applyBorder="1" applyAlignment="1">
      <alignment/>
    </xf>
    <xf numFmtId="172" fontId="0" fillId="0" borderId="2" xfId="21" applyNumberFormat="1" applyBorder="1" applyAlignment="1">
      <alignment/>
    </xf>
    <xf numFmtId="172" fontId="0" fillId="0" borderId="0" xfId="21" applyNumberFormat="1" applyBorder="1" applyAlignment="1">
      <alignment/>
    </xf>
    <xf numFmtId="172" fontId="0" fillId="0" borderId="3" xfId="21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 quotePrefix="1">
      <alignment horizontal="center" wrapText="1"/>
    </xf>
    <xf numFmtId="167" fontId="0" fillId="0" borderId="0" xfId="0" applyNumberFormat="1" applyBorder="1" applyAlignment="1" quotePrefix="1">
      <alignment horizontal="center" wrapText="1"/>
    </xf>
    <xf numFmtId="167" fontId="0" fillId="0" borderId="0" xfId="17" applyNumberFormat="1" applyAlignment="1" quotePrefix="1">
      <alignment horizontal="left"/>
    </xf>
    <xf numFmtId="172" fontId="0" fillId="0" borderId="0" xfId="21" applyNumberFormat="1" applyAlignment="1" quotePrefix="1">
      <alignment horizontal="center"/>
    </xf>
    <xf numFmtId="172" fontId="0" fillId="0" borderId="2" xfId="21" applyNumberFormat="1" applyBorder="1" applyAlignment="1" quotePrefix="1">
      <alignment horizontal="center"/>
    </xf>
    <xf numFmtId="167" fontId="0" fillId="0" borderId="2" xfId="17" applyNumberFormat="1" applyBorder="1" applyAlignment="1" quotePrefix="1">
      <alignment horizontal="left"/>
    </xf>
    <xf numFmtId="172" fontId="0" fillId="0" borderId="3" xfId="21" applyNumberFormat="1" applyBorder="1" applyAlignment="1" quotePrefix="1">
      <alignment horizontal="center"/>
    </xf>
    <xf numFmtId="165" fontId="0" fillId="0" borderId="12" xfId="0" applyNumberFormat="1" applyBorder="1" applyAlignment="1">
      <alignment/>
    </xf>
    <xf numFmtId="167" fontId="0" fillId="0" borderId="12" xfId="17" applyNumberFormat="1" applyBorder="1" applyAlignment="1">
      <alignment/>
    </xf>
    <xf numFmtId="172" fontId="0" fillId="0" borderId="12" xfId="21" applyNumberFormat="1" applyBorder="1" applyAlignment="1" quotePrefix="1">
      <alignment horizontal="center"/>
    </xf>
    <xf numFmtId="172" fontId="0" fillId="0" borderId="0" xfId="21" applyNumberFormat="1" applyAlignment="1" quotePrefix="1">
      <alignment horizontal="left"/>
    </xf>
    <xf numFmtId="167" fontId="0" fillId="0" borderId="0" xfId="17" applyNumberFormat="1" applyBorder="1" applyAlignment="1" quotePrefix="1">
      <alignment horizontal="left"/>
    </xf>
    <xf numFmtId="172" fontId="0" fillId="0" borderId="0" xfId="21" applyNumberFormat="1" applyBorder="1" applyAlignment="1" quotePrefix="1">
      <alignment horizontal="center"/>
    </xf>
    <xf numFmtId="168" fontId="0" fillId="0" borderId="0" xfId="17" applyNumberFormat="1" applyAlignment="1">
      <alignment/>
    </xf>
    <xf numFmtId="0" fontId="0" fillId="0" borderId="7" xfId="0" applyBorder="1" applyAlignment="1" quotePrefix="1">
      <alignment horizontal="centerContinuous"/>
    </xf>
    <xf numFmtId="0" fontId="0" fillId="0" borderId="12" xfId="0" applyBorder="1" applyAlignment="1" quotePrefix="1">
      <alignment horizontal="centerContinuous"/>
    </xf>
    <xf numFmtId="0" fontId="0" fillId="0" borderId="10" xfId="0" applyBorder="1" applyAlignment="1" quotePrefix="1">
      <alignment horizontal="centerContinuous"/>
    </xf>
    <xf numFmtId="0" fontId="0" fillId="0" borderId="11" xfId="0" applyBorder="1" applyAlignment="1" quotePrefix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9" xfId="0" applyBorder="1" applyAlignment="1" quotePrefix="1">
      <alignment horizontal="centerContinuous"/>
    </xf>
    <xf numFmtId="0" fontId="0" fillId="0" borderId="4" xfId="0" applyBorder="1" applyAlignment="1" quotePrefix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 quotePrefix="1">
      <alignment horizontal="centerContinuous"/>
    </xf>
    <xf numFmtId="7" fontId="0" fillId="0" borderId="0" xfId="17" applyNumberFormat="1" applyAlignment="1">
      <alignment/>
    </xf>
    <xf numFmtId="0" fontId="0" fillId="0" borderId="8" xfId="0" applyBorder="1" applyAlignment="1" quotePrefix="1">
      <alignment horizontal="centerContinuous"/>
    </xf>
    <xf numFmtId="165" fontId="0" fillId="0" borderId="2" xfId="15" applyNumberFormat="1" applyBorder="1" applyAlignment="1" quotePrefix="1">
      <alignment horizontal="left"/>
    </xf>
    <xf numFmtId="165" fontId="0" fillId="0" borderId="0" xfId="15" applyNumberFormat="1" applyBorder="1" applyAlignment="1" quotePrefix="1">
      <alignment horizontal="left"/>
    </xf>
    <xf numFmtId="167" fontId="0" fillId="0" borderId="0" xfId="17" applyNumberFormat="1" applyFill="1" applyBorder="1" applyAlignment="1">
      <alignment/>
    </xf>
    <xf numFmtId="175" fontId="0" fillId="0" borderId="0" xfId="15" applyNumberFormat="1" applyFon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 quotePrefix="1">
      <alignment horizontal="left" wrapText="1"/>
    </xf>
    <xf numFmtId="165" fontId="0" fillId="0" borderId="0" xfId="15" applyNumberFormat="1" applyBorder="1" applyAlignment="1">
      <alignment wrapText="1"/>
    </xf>
    <xf numFmtId="42" fontId="0" fillId="0" borderId="0" xfId="17" applyNumberFormat="1" applyAlignment="1">
      <alignment/>
    </xf>
    <xf numFmtId="172" fontId="0" fillId="0" borderId="0" xfId="21" applyNumberFormat="1" applyAlignment="1">
      <alignment horizontal="right"/>
    </xf>
    <xf numFmtId="165" fontId="0" fillId="0" borderId="2" xfId="15" applyNumberFormat="1" applyBorder="1" applyAlignment="1">
      <alignment/>
    </xf>
    <xf numFmtId="42" fontId="0" fillId="0" borderId="2" xfId="17" applyNumberFormat="1" applyBorder="1" applyAlignment="1">
      <alignment/>
    </xf>
    <xf numFmtId="172" fontId="0" fillId="0" borderId="2" xfId="21" applyNumberFormat="1" applyBorder="1" applyAlignment="1">
      <alignment horizontal="right"/>
    </xf>
    <xf numFmtId="165" fontId="0" fillId="0" borderId="0" xfId="15" applyNumberFormat="1" applyAlignment="1">
      <alignment horizontal="right"/>
    </xf>
    <xf numFmtId="42" fontId="0" fillId="0" borderId="0" xfId="0" applyNumberFormat="1" applyAlignment="1">
      <alignment horizontal="right"/>
    </xf>
    <xf numFmtId="165" fontId="0" fillId="0" borderId="3" xfId="15" applyNumberFormat="1" applyBorder="1" applyAlignment="1" quotePrefix="1">
      <alignment horizontal="left"/>
    </xf>
    <xf numFmtId="3" fontId="8" fillId="0" borderId="0" xfId="15" applyNumberFormat="1" applyFont="1" applyFill="1" applyBorder="1" applyAlignment="1" applyProtection="1">
      <alignment horizontal="center" wrapText="1"/>
      <protection locked="0"/>
    </xf>
    <xf numFmtId="42" fontId="8" fillId="0" borderId="0" xfId="15" applyNumberFormat="1" applyFont="1" applyFill="1" applyBorder="1" applyAlignment="1" applyProtection="1">
      <alignment horizontal="center" wrapText="1"/>
      <protection locked="0"/>
    </xf>
    <xf numFmtId="3" fontId="8" fillId="0" borderId="17" xfId="15" applyNumberFormat="1" applyFont="1" applyFill="1" applyBorder="1" applyAlignment="1" applyProtection="1">
      <alignment horizontal="center" wrapText="1"/>
      <protection locked="0"/>
    </xf>
    <xf numFmtId="42" fontId="8" fillId="0" borderId="17" xfId="15" applyNumberFormat="1" applyFont="1" applyFill="1" applyBorder="1" applyAlignment="1" applyProtection="1">
      <alignment horizontal="center" wrapText="1"/>
      <protection locked="0"/>
    </xf>
    <xf numFmtId="3" fontId="8" fillId="0" borderId="18" xfId="15" applyNumberFormat="1" applyFont="1" applyFill="1" applyBorder="1" applyAlignment="1" applyProtection="1">
      <alignment horizontal="center" wrapText="1"/>
      <protection locked="0"/>
    </xf>
    <xf numFmtId="3" fontId="8" fillId="0" borderId="19" xfId="15" applyNumberFormat="1" applyFont="1" applyFill="1" applyBorder="1" applyAlignment="1" applyProtection="1">
      <alignment horizontal="center" wrapText="1"/>
      <protection locked="0"/>
    </xf>
    <xf numFmtId="3" fontId="8" fillId="0" borderId="20" xfId="15" applyNumberFormat="1" applyFont="1" applyFill="1" applyBorder="1" applyAlignment="1" applyProtection="1">
      <alignment horizontal="center" wrapText="1"/>
      <protection locked="0"/>
    </xf>
    <xf numFmtId="42" fontId="8" fillId="0" borderId="20" xfId="15" applyNumberFormat="1" applyFont="1" applyFill="1" applyBorder="1" applyAlignment="1" applyProtection="1">
      <alignment horizontal="center" wrapText="1"/>
      <protection locked="0"/>
    </xf>
    <xf numFmtId="3" fontId="8" fillId="0" borderId="21" xfId="15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0" fontId="0" fillId="0" borderId="18" xfId="21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10" fontId="0" fillId="0" borderId="21" xfId="21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/>
    </xf>
    <xf numFmtId="9" fontId="0" fillId="0" borderId="24" xfId="21" applyFill="1" applyBorder="1" applyAlignment="1">
      <alignment/>
    </xf>
    <xf numFmtId="43" fontId="0" fillId="0" borderId="22" xfId="0" applyNumberFormat="1" applyFill="1" applyBorder="1" applyAlignment="1">
      <alignment/>
    </xf>
    <xf numFmtId="43" fontId="0" fillId="0" borderId="23" xfId="0" applyNumberFormat="1" applyFill="1" applyBorder="1" applyAlignment="1">
      <alignment/>
    </xf>
    <xf numFmtId="167" fontId="0" fillId="0" borderId="24" xfId="17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pane xSplit="2" ySplit="6" topLeftCell="C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/>
  <cols>
    <col min="1" max="1" width="38.00390625" style="0" customWidth="1"/>
    <col min="2" max="2" width="8.7109375" style="0" bestFit="1" customWidth="1"/>
    <col min="3" max="3" width="17.7109375" style="0" bestFit="1" customWidth="1"/>
    <col min="4" max="4" width="16.421875" style="0" customWidth="1"/>
    <col min="5" max="5" width="16.00390625" style="0" customWidth="1"/>
    <col min="6" max="7" width="12.28125" style="0" bestFit="1" customWidth="1"/>
    <col min="8" max="8" width="12.8515625" style="0" bestFit="1" customWidth="1"/>
    <col min="9" max="9" width="10.28125" style="0" bestFit="1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1" t="s">
        <v>307</v>
      </c>
      <c r="B2" s="1"/>
      <c r="C2" s="1"/>
      <c r="D2" s="1"/>
      <c r="E2" s="1"/>
      <c r="F2" s="1"/>
      <c r="G2" s="1"/>
      <c r="H2" s="1"/>
      <c r="I2" s="1"/>
    </row>
    <row r="3" spans="1:9" ht="12.75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327</v>
      </c>
      <c r="B4" s="1"/>
      <c r="C4" s="1"/>
      <c r="D4" s="1"/>
      <c r="E4" s="1"/>
      <c r="F4" s="1"/>
      <c r="G4" s="1"/>
      <c r="H4" s="1"/>
      <c r="I4" s="1"/>
    </row>
    <row r="6" spans="1:9" s="4" customFormat="1" ht="38.25">
      <c r="A6" s="2" t="s">
        <v>3</v>
      </c>
      <c r="B6" s="2" t="s">
        <v>4</v>
      </c>
      <c r="C6" s="2" t="s">
        <v>166</v>
      </c>
      <c r="D6" s="3" t="s">
        <v>328</v>
      </c>
      <c r="E6" s="3" t="s">
        <v>329</v>
      </c>
      <c r="F6" s="2" t="s">
        <v>330</v>
      </c>
      <c r="G6" s="2" t="s">
        <v>331</v>
      </c>
      <c r="H6" s="2" t="s">
        <v>332</v>
      </c>
      <c r="I6" s="2" t="s">
        <v>17</v>
      </c>
    </row>
    <row r="7" spans="1:9" s="4" customFormat="1" ht="12.75">
      <c r="A7" s="209" t="s">
        <v>233</v>
      </c>
      <c r="B7" s="127"/>
      <c r="C7" s="127"/>
      <c r="D7" s="210"/>
      <c r="E7" s="211"/>
      <c r="F7" s="210"/>
      <c r="G7" s="210"/>
      <c r="H7" s="210"/>
      <c r="I7" s="210"/>
    </row>
    <row r="8" spans="1:9" ht="12.75">
      <c r="A8" s="21" t="str">
        <f>+'Sch 7 Revenue'!A4</f>
        <v>Residential</v>
      </c>
      <c r="B8" s="10">
        <v>7</v>
      </c>
      <c r="C8" s="203">
        <f>+'Sch 7 Revenue'!D17</f>
        <v>9756700657.42176</v>
      </c>
      <c r="D8" s="212">
        <f>+'Sch 7 Revenue'!F21</f>
        <v>764791848.3859293</v>
      </c>
      <c r="E8" s="212">
        <f>+'Sch 7 Revenue'!H21</f>
        <v>821393084.299571</v>
      </c>
      <c r="F8" s="212">
        <f>+E8-D8</f>
        <v>56601235.91364169</v>
      </c>
      <c r="G8" s="212">
        <f>+'Sch 7 Rate Design'!$C$48</f>
        <v>56601431.98593104</v>
      </c>
      <c r="H8" s="212">
        <f>+G8-F8</f>
        <v>196.07228934764862</v>
      </c>
      <c r="I8" s="213">
        <f>+F8/D8</f>
        <v>0.07400868096737293</v>
      </c>
    </row>
    <row r="9" spans="1:9" ht="12.75">
      <c r="A9" s="9" t="s">
        <v>43</v>
      </c>
      <c r="C9" s="205">
        <f aca="true" t="shared" si="0" ref="C9:H9">SUM(C8:C8)</f>
        <v>9756700657.42176</v>
      </c>
      <c r="D9" s="11">
        <f t="shared" si="0"/>
        <v>764791848.3859293</v>
      </c>
      <c r="E9" s="11">
        <f t="shared" si="0"/>
        <v>821393084.299571</v>
      </c>
      <c r="F9" s="11">
        <f t="shared" si="0"/>
        <v>56601235.91364169</v>
      </c>
      <c r="G9" s="11">
        <f t="shared" si="0"/>
        <v>56601431.98593104</v>
      </c>
      <c r="H9" s="11">
        <f t="shared" si="0"/>
        <v>196.07228934764862</v>
      </c>
      <c r="I9" s="214">
        <f aca="true" t="shared" si="1" ref="I9:I31">+F9/D9</f>
        <v>0.07400868096737293</v>
      </c>
    </row>
    <row r="10" spans="3:9" ht="12.75">
      <c r="C10" s="128"/>
      <c r="D10" s="14"/>
      <c r="E10" s="14"/>
      <c r="F10" s="14"/>
      <c r="G10" s="14"/>
      <c r="H10" s="14"/>
      <c r="I10" s="213"/>
    </row>
    <row r="11" spans="1:9" ht="12.75">
      <c r="A11" t="s">
        <v>44</v>
      </c>
      <c r="C11" s="128"/>
      <c r="D11" s="14"/>
      <c r="E11" s="14"/>
      <c r="F11" s="14"/>
      <c r="G11" s="14"/>
      <c r="H11" s="14"/>
      <c r="I11" s="213"/>
    </row>
    <row r="12" spans="1:9" ht="12.75">
      <c r="A12" s="17" t="s">
        <v>45</v>
      </c>
      <c r="B12" s="10">
        <v>24</v>
      </c>
      <c r="C12" s="128">
        <f>+'Sch 24 Revenue'!D16</f>
        <v>2383338106.1946707</v>
      </c>
      <c r="D12" s="14">
        <f>+'Sch 24 Revenue'!F20</f>
        <v>173750826.62501916</v>
      </c>
      <c r="E12" s="14">
        <f>+'Sch 24 Revenue'!H20</f>
        <v>180404236.12450558</v>
      </c>
      <c r="F12" s="212">
        <f>+E12-D12</f>
        <v>6653409.499486417</v>
      </c>
      <c r="G12" s="212">
        <f>+'Sch 24 Rate Design'!$C$40</f>
        <v>6654047.645208627</v>
      </c>
      <c r="H12" s="212">
        <f>+G12-F12</f>
        <v>638.1457222104073</v>
      </c>
      <c r="I12" s="213">
        <f t="shared" si="1"/>
        <v>0.0382928221334192</v>
      </c>
    </row>
    <row r="13" spans="1:9" ht="12.75">
      <c r="A13" s="17" t="s">
        <v>46</v>
      </c>
      <c r="B13" s="10">
        <v>25</v>
      </c>
      <c r="C13" s="128">
        <f>+'Sch 25 Revenue'!D15</f>
        <v>2848998293.241209</v>
      </c>
      <c r="D13" s="14">
        <f>+'Sch 25 Revenue'!F25</f>
        <v>203290656.50554028</v>
      </c>
      <c r="E13" s="14">
        <f>+'Sch 25 Revenue'!H25</f>
        <v>209152353.85617307</v>
      </c>
      <c r="F13" s="212">
        <f>+E13-D13</f>
        <v>5861697.350632787</v>
      </c>
      <c r="G13" s="212">
        <f>+'Sch 25 Rate Design'!$C$50</f>
        <v>5862207.774907353</v>
      </c>
      <c r="H13" s="212">
        <f>+G13-F13</f>
        <v>510.42427456658334</v>
      </c>
      <c r="I13" s="213">
        <f t="shared" si="1"/>
        <v>0.028834071626272887</v>
      </c>
    </row>
    <row r="14" spans="1:9" ht="12.75">
      <c r="A14" s="17" t="s">
        <v>48</v>
      </c>
      <c r="B14" s="10">
        <v>26</v>
      </c>
      <c r="C14" s="128">
        <f>+'Sch 26 Revenue'!D12</f>
        <v>1886822193.5422368</v>
      </c>
      <c r="D14" s="14">
        <f>+'Sch 26 Revenue'!F22</f>
        <v>119831706.34756067</v>
      </c>
      <c r="E14" s="14">
        <f>+'Sch 26 Revenue'!H22</f>
        <v>122279923.2990648</v>
      </c>
      <c r="F14" s="212">
        <f>+E14-D14</f>
        <v>2448216.951504126</v>
      </c>
      <c r="G14" s="212">
        <f>+'Sch 26 Rate Design'!$C$36</f>
        <v>2447825.8621519506</v>
      </c>
      <c r="H14" s="212">
        <f>+G14-F14</f>
        <v>-391.0893521755934</v>
      </c>
      <c r="I14" s="213">
        <f t="shared" si="1"/>
        <v>0.020430460569453142</v>
      </c>
    </row>
    <row r="15" spans="1:9" ht="12.75">
      <c r="A15" s="21" t="s">
        <v>52</v>
      </c>
      <c r="B15" s="10">
        <v>29</v>
      </c>
      <c r="C15" s="128">
        <f>+'Sch 29 Revenue'!D18</f>
        <v>15065067.10113266</v>
      </c>
      <c r="D15" s="14">
        <f>+'Sch 29 Revenue'!F28</f>
        <v>914701.5313704906</v>
      </c>
      <c r="E15" s="14">
        <f>+'Sch 29 Revenue'!H28</f>
        <v>941084.4531623978</v>
      </c>
      <c r="F15" s="212">
        <f>+E15-D15</f>
        <v>26382.921791907283</v>
      </c>
      <c r="G15" s="212">
        <f>+'Sch 29 Rate Design'!$C$59</f>
        <v>26376.86611422617</v>
      </c>
      <c r="H15" s="212">
        <f>+G15-F15</f>
        <v>-6.055677681113593</v>
      </c>
      <c r="I15" s="213">
        <f t="shared" si="1"/>
        <v>0.028843202823086944</v>
      </c>
    </row>
    <row r="16" spans="1:9" ht="12.75">
      <c r="A16" s="20" t="s">
        <v>49</v>
      </c>
      <c r="C16" s="205">
        <f aca="true" t="shared" si="2" ref="C16:H16">SUM(C12:C15)</f>
        <v>7134223660.079249</v>
      </c>
      <c r="D16" s="11">
        <f t="shared" si="2"/>
        <v>497787891.00949055</v>
      </c>
      <c r="E16" s="11">
        <f t="shared" si="2"/>
        <v>512777597.73290586</v>
      </c>
      <c r="F16" s="11">
        <f t="shared" si="2"/>
        <v>14989706.723415237</v>
      </c>
      <c r="G16" s="11">
        <f t="shared" si="2"/>
        <v>14990458.148382157</v>
      </c>
      <c r="H16" s="11">
        <f t="shared" si="2"/>
        <v>751.4249669202836</v>
      </c>
      <c r="I16" s="214">
        <f t="shared" si="1"/>
        <v>0.03011263832275392</v>
      </c>
    </row>
    <row r="17" spans="3:9" ht="12.75">
      <c r="C17" s="128"/>
      <c r="D17" s="14"/>
      <c r="E17" s="14"/>
      <c r="F17" s="14"/>
      <c r="G17" s="14"/>
      <c r="H17" s="14"/>
      <c r="I17" s="213"/>
    </row>
    <row r="18" spans="1:9" ht="12.75">
      <c r="A18" t="s">
        <v>50</v>
      </c>
      <c r="C18" s="128"/>
      <c r="D18" s="14"/>
      <c r="E18" s="14"/>
      <c r="F18" s="14"/>
      <c r="G18" s="14"/>
      <c r="H18" s="14"/>
      <c r="I18" s="213"/>
    </row>
    <row r="19" spans="1:9" ht="12.75">
      <c r="A19" s="17" t="s">
        <v>51</v>
      </c>
      <c r="B19" s="10">
        <v>31</v>
      </c>
      <c r="C19" s="128">
        <f>+'Sch 31 Revenue'!D12</f>
        <v>1657531591.0765023</v>
      </c>
      <c r="D19" s="14">
        <f>+'Sch 31 Revenue'!F22</f>
        <v>96838451.52020907</v>
      </c>
      <c r="E19" s="14">
        <f>+'Sch 31 Revenue'!H22</f>
        <v>102422131.90348756</v>
      </c>
      <c r="F19" s="212">
        <f>+E19-D19</f>
        <v>5583680.383278489</v>
      </c>
      <c r="G19" s="212">
        <f>+'Sch 31 Rate Design'!$C$39</f>
        <v>5584313.776928057</v>
      </c>
      <c r="H19" s="212">
        <f>+G19-F19</f>
        <v>633.3936495678499</v>
      </c>
      <c r="I19" s="213">
        <f t="shared" si="1"/>
        <v>0.057659744612017456</v>
      </c>
    </row>
    <row r="20" spans="1:9" ht="12.75">
      <c r="A20" s="21" t="s">
        <v>52</v>
      </c>
      <c r="B20" s="10">
        <v>35</v>
      </c>
      <c r="C20" s="128">
        <f>+'Sch 35 Revenue'!B12</f>
        <v>4966200</v>
      </c>
      <c r="D20" s="14">
        <f>+'Sch 35 Revenue'!D22</f>
        <v>199990.02620000002</v>
      </c>
      <c r="E20" s="14">
        <f>+'Sch 35 Revenue'!F22</f>
        <v>211521.99923195483</v>
      </c>
      <c r="F20" s="212">
        <f>+E20-D20</f>
        <v>11531.97303195481</v>
      </c>
      <c r="G20" s="212">
        <f>+'Sch 35 Rate Design'!$C$34</f>
        <v>11532.681915342258</v>
      </c>
      <c r="H20" s="212">
        <f>+G20-F20</f>
        <v>0.7088833874477132</v>
      </c>
      <c r="I20" s="213">
        <f t="shared" si="1"/>
        <v>0.05766274074299216</v>
      </c>
    </row>
    <row r="21" spans="1:9" ht="12.75">
      <c r="A21" s="21" t="s">
        <v>53</v>
      </c>
      <c r="B21" s="10">
        <v>43</v>
      </c>
      <c r="C21" s="128">
        <f>+'Sch 43 Revenue'!D12</f>
        <v>189692764.85826433</v>
      </c>
      <c r="D21" s="14">
        <f>+'Sch 43 Revenue'!F20</f>
        <v>11991712.533453215</v>
      </c>
      <c r="E21" s="14">
        <f>+'Sch 43 Revenue'!H20</f>
        <v>13029198.671936672</v>
      </c>
      <c r="F21" s="212">
        <f>+E21-D21</f>
        <v>1037486.1384834573</v>
      </c>
      <c r="G21" s="212">
        <f>+'Sch 43 Rate Design'!$C$36</f>
        <v>1037400.021079883</v>
      </c>
      <c r="H21" s="212">
        <f>+G21-F21</f>
        <v>-86.11740357428789</v>
      </c>
      <c r="I21" s="213">
        <f t="shared" si="1"/>
        <v>0.08651692871966267</v>
      </c>
    </row>
    <row r="22" spans="1:9" ht="12.75">
      <c r="A22" s="9" t="s">
        <v>54</v>
      </c>
      <c r="C22" s="205">
        <f aca="true" t="shared" si="3" ref="C22:H22">SUM(C19:C21)</f>
        <v>1852190555.9347668</v>
      </c>
      <c r="D22" s="11">
        <f t="shared" si="3"/>
        <v>109030154.07986228</v>
      </c>
      <c r="E22" s="11">
        <f t="shared" si="3"/>
        <v>115662852.57465619</v>
      </c>
      <c r="F22" s="11">
        <f t="shared" si="3"/>
        <v>6632698.494793901</v>
      </c>
      <c r="G22" s="11">
        <f t="shared" si="3"/>
        <v>6633246.479923282</v>
      </c>
      <c r="H22" s="11">
        <f t="shared" si="3"/>
        <v>547.9851293810098</v>
      </c>
      <c r="I22" s="214">
        <f t="shared" si="1"/>
        <v>0.06083361571639704</v>
      </c>
    </row>
    <row r="23" ht="12.75">
      <c r="I23" s="213"/>
    </row>
    <row r="24" spans="1:9" ht="12.75">
      <c r="A24" t="s">
        <v>199</v>
      </c>
      <c r="C24" s="128"/>
      <c r="D24" s="14"/>
      <c r="E24" s="14"/>
      <c r="F24" s="14"/>
      <c r="G24" s="14"/>
      <c r="H24" s="14"/>
      <c r="I24" s="213"/>
    </row>
    <row r="25" spans="1:9" ht="12.75">
      <c r="A25" s="17" t="s">
        <v>333</v>
      </c>
      <c r="B25" s="10">
        <v>46</v>
      </c>
      <c r="C25" s="128">
        <f>+'Sch 46 Revenue'!B10</f>
        <v>51109000</v>
      </c>
      <c r="D25" s="14">
        <f>+'Sch 46 Revenue'!D16</f>
        <v>2226036.272</v>
      </c>
      <c r="E25" s="14">
        <f>+'Sch 46 Revenue'!F16</f>
        <v>2463767.901</v>
      </c>
      <c r="F25" s="212">
        <f>+E25-D25</f>
        <v>237731.6290000002</v>
      </c>
      <c r="G25" s="212"/>
      <c r="H25" s="212"/>
      <c r="I25" s="213">
        <f t="shared" si="1"/>
        <v>0.10679593679145594</v>
      </c>
    </row>
    <row r="26" spans="1:9" ht="12.75">
      <c r="A26" s="17" t="s">
        <v>51</v>
      </c>
      <c r="B26" s="10">
        <v>49</v>
      </c>
      <c r="C26" s="128">
        <f>+'Sch 49 Revenue'!B10</f>
        <v>424545212.4999</v>
      </c>
      <c r="D26" s="14">
        <f>+'Sch 49 Revenue'!D16</f>
        <v>19982500.414845962</v>
      </c>
      <c r="E26" s="14">
        <f>+'Sch 49 Revenue'!F16</f>
        <v>21665822.18240807</v>
      </c>
      <c r="F26" s="212">
        <f>+E26-D26</f>
        <v>1683321.7675621063</v>
      </c>
      <c r="G26" s="212"/>
      <c r="H26" s="212"/>
      <c r="I26" s="213">
        <f t="shared" si="1"/>
        <v>0.08423979645267443</v>
      </c>
    </row>
    <row r="27" spans="1:9" ht="12.75">
      <c r="A27" s="20" t="s">
        <v>55</v>
      </c>
      <c r="C27" s="205">
        <f>SUM(C25:C26)</f>
        <v>475654212.4999</v>
      </c>
      <c r="D27" s="11">
        <f>SUM(D25:D26)</f>
        <v>22208536.686845962</v>
      </c>
      <c r="E27" s="11">
        <f>SUM(E25:E26)</f>
        <v>24129590.08340807</v>
      </c>
      <c r="F27" s="11">
        <f>SUM(F25:F26)</f>
        <v>1921053.3965621064</v>
      </c>
      <c r="G27" s="11">
        <f>+'Sch 46 Rate Design'!$C$25</f>
        <v>1921254.8968977705</v>
      </c>
      <c r="H27" s="11">
        <f>+G27-F27</f>
        <v>201.5003356640227</v>
      </c>
      <c r="I27" s="214">
        <f t="shared" si="1"/>
        <v>0.08650067420695662</v>
      </c>
    </row>
    <row r="28" ht="12.75">
      <c r="I28" s="213"/>
    </row>
    <row r="29" spans="1:9" ht="12.75">
      <c r="A29" t="s">
        <v>58</v>
      </c>
      <c r="B29" s="10" t="s">
        <v>59</v>
      </c>
      <c r="C29" s="205">
        <f>+'Lighting Revenue'!B20</f>
        <v>82428541.5996</v>
      </c>
      <c r="D29" s="11">
        <f>+'Lighting Revenue'!C20</f>
        <v>12888320.439728683</v>
      </c>
      <c r="E29" s="11">
        <f>+'Lighting Revenue'!D20</f>
        <v>14003274.76731235</v>
      </c>
      <c r="F29" s="11">
        <f>+E29-D29</f>
        <v>1114954.327583667</v>
      </c>
      <c r="G29" s="215">
        <v>1114965.3444876727</v>
      </c>
      <c r="H29" s="215">
        <f>+G29-F29</f>
        <v>11.016904005780816</v>
      </c>
      <c r="I29" s="214">
        <f t="shared" si="1"/>
        <v>0.08650889251223011</v>
      </c>
    </row>
    <row r="30" spans="2:9" ht="12.75">
      <c r="B30" s="10"/>
      <c r="I30" s="213"/>
    </row>
    <row r="31" spans="1:9" ht="13.5" thickBot="1">
      <c r="A31" s="20" t="s">
        <v>334</v>
      </c>
      <c r="C31" s="185">
        <f aca="true" t="shared" si="4" ref="C31:H31">SUM(C9,C16,C22,C27,C29)</f>
        <v>19301197627.53528</v>
      </c>
      <c r="D31" s="24">
        <f t="shared" si="4"/>
        <v>1406706750.601857</v>
      </c>
      <c r="E31" s="24">
        <f t="shared" si="4"/>
        <v>1487966399.4578536</v>
      </c>
      <c r="F31" s="24">
        <f t="shared" si="4"/>
        <v>81259648.85599661</v>
      </c>
      <c r="G31" s="24">
        <f t="shared" si="4"/>
        <v>81261356.8556219</v>
      </c>
      <c r="H31" s="24">
        <f t="shared" si="4"/>
        <v>1707.9996253187455</v>
      </c>
      <c r="I31" s="216">
        <f t="shared" si="1"/>
        <v>0.05776587680497717</v>
      </c>
    </row>
    <row r="32" spans="3:9" ht="13.5" thickTop="1">
      <c r="C32" s="217"/>
      <c r="D32" s="218"/>
      <c r="E32" s="218"/>
      <c r="F32" s="218"/>
      <c r="G32" s="218"/>
      <c r="H32" s="218"/>
      <c r="I32" s="219"/>
    </row>
    <row r="33" spans="1:9" ht="12.75">
      <c r="A33" s="17" t="s">
        <v>335</v>
      </c>
      <c r="B33" s="10" t="s">
        <v>61</v>
      </c>
      <c r="C33" s="128">
        <f>+'Small Firm Resale Revenue'!D10</f>
        <v>7678077.648679508</v>
      </c>
      <c r="D33" s="14">
        <f>SUM('Small Firm Resale Revenue'!F19)</f>
        <v>457442.6812635774</v>
      </c>
      <c r="E33" s="14">
        <f>SUM('Small Firm Resale Revenue'!H19)</f>
        <v>497015.93202837184</v>
      </c>
      <c r="F33" s="212"/>
      <c r="G33" s="212"/>
      <c r="H33" s="212"/>
      <c r="I33" s="220"/>
    </row>
    <row r="34" spans="1:9" ht="12.75">
      <c r="A34" s="21" t="s">
        <v>336</v>
      </c>
      <c r="B34" s="23" t="s">
        <v>337</v>
      </c>
      <c r="C34" s="128">
        <f>+'Transportation SC Revenue'!B10</f>
        <v>128379640</v>
      </c>
      <c r="D34" s="14">
        <f>+'Transportation SC Revenue'!D15</f>
        <v>1339666.5288594202</v>
      </c>
      <c r="E34" s="14">
        <f>+'Transportation SC Revenue'!F15</f>
        <v>1455560.741750343</v>
      </c>
      <c r="F34" s="212"/>
      <c r="G34" s="212"/>
      <c r="H34" s="212"/>
      <c r="I34" s="220"/>
    </row>
    <row r="35" spans="1:9" ht="12.75">
      <c r="A35" s="20" t="s">
        <v>338</v>
      </c>
      <c r="C35" s="205">
        <f>SUM(C33:C34)</f>
        <v>136057717.6486795</v>
      </c>
      <c r="D35" s="11">
        <f>SUM(D33:D34)</f>
        <v>1797109.2101229976</v>
      </c>
      <c r="E35" s="11">
        <f>SUM(E33:E34)</f>
        <v>1952576.6737787148</v>
      </c>
      <c r="F35" s="11">
        <f>+E35-D35</f>
        <v>155467.4636557172</v>
      </c>
      <c r="G35" s="11">
        <v>155467.4636557172</v>
      </c>
      <c r="H35" s="11">
        <f>+G35-F35</f>
        <v>0</v>
      </c>
      <c r="I35" s="214">
        <f>+F35/D35</f>
        <v>0.08650974730972344</v>
      </c>
    </row>
    <row r="36" spans="2:9" ht="12.75">
      <c r="B36" s="23"/>
      <c r="C36" s="128"/>
      <c r="D36" s="14"/>
      <c r="E36" s="14"/>
      <c r="F36" s="14"/>
      <c r="G36" s="221"/>
      <c r="H36" s="221"/>
      <c r="I36" s="222"/>
    </row>
    <row r="37" ht="12.75">
      <c r="I37" s="213"/>
    </row>
    <row r="38" spans="1:9" ht="12.75">
      <c r="A38" t="s">
        <v>339</v>
      </c>
      <c r="C38" s="128"/>
      <c r="D38" s="14"/>
      <c r="E38" s="14"/>
      <c r="F38" s="14"/>
      <c r="G38" s="14"/>
      <c r="H38" s="14"/>
      <c r="I38" s="213"/>
    </row>
    <row r="39" spans="1:9" ht="12.75">
      <c r="A39" s="17"/>
      <c r="B39" s="10">
        <v>449</v>
      </c>
      <c r="C39" s="128">
        <f>SUM('Sch 449 Revenue'!B17,'Sch 449 Revenue'!B11)</f>
        <v>1687987484</v>
      </c>
      <c r="D39" s="14">
        <f>+'Sch 449 Revenue'!D22</f>
        <v>5384368.1</v>
      </c>
      <c r="E39" s="14">
        <f>+'Sch 449 Revenue'!F22</f>
        <v>5536278.840000001</v>
      </c>
      <c r="F39" s="212">
        <f>+E39-D39</f>
        <v>151910.74000000115</v>
      </c>
      <c r="G39" s="212"/>
      <c r="H39" s="212"/>
      <c r="I39" s="213">
        <f>+F39/D39</f>
        <v>0.028213290246631013</v>
      </c>
    </row>
    <row r="40" spans="1:9" ht="12.75">
      <c r="A40" s="17"/>
      <c r="B40" s="10">
        <v>459</v>
      </c>
      <c r="C40" s="128">
        <f>+'Sch 459 Revenue'!B11</f>
        <v>357930997</v>
      </c>
      <c r="D40" s="14">
        <f>+'Sch 459 Revenue'!D16</f>
        <v>994646.76</v>
      </c>
      <c r="E40" s="14">
        <f>+'Sch 459 Revenue'!F16</f>
        <v>1025761.3600000001</v>
      </c>
      <c r="F40" s="212">
        <f>+E40-D40</f>
        <v>31114.600000000093</v>
      </c>
      <c r="G40" s="212"/>
      <c r="H40" s="212"/>
      <c r="I40" s="213">
        <f>+F40/D40</f>
        <v>0.03128206037689209</v>
      </c>
    </row>
    <row r="41" spans="1:9" ht="12.75">
      <c r="A41" s="9" t="s">
        <v>340</v>
      </c>
      <c r="C41" s="205">
        <f>SUM(C39:C40)</f>
        <v>2045918481</v>
      </c>
      <c r="D41" s="11">
        <f>SUM(D39:D40)</f>
        <v>6379014.859999999</v>
      </c>
      <c r="E41" s="11">
        <f>SUM(E39:E40)</f>
        <v>6562040.200000001</v>
      </c>
      <c r="F41" s="11">
        <f>SUM(F39:F40)</f>
        <v>183025.34000000125</v>
      </c>
      <c r="G41" s="11">
        <f>+'Sch 449 and 459 Rate Design'!$C$21</f>
        <v>183948.98787452374</v>
      </c>
      <c r="H41" s="11">
        <f>+G41-F41</f>
        <v>923.6478745224886</v>
      </c>
      <c r="I41" s="214">
        <f>+F41/D41</f>
        <v>0.028691787684595748</v>
      </c>
    </row>
    <row r="42" spans="4:9" ht="12.75">
      <c r="D42" s="30"/>
      <c r="I42" s="213"/>
    </row>
    <row r="43" spans="1:9" ht="13.5" thickBot="1">
      <c r="A43" s="20" t="s">
        <v>341</v>
      </c>
      <c r="C43" s="33">
        <f aca="true" t="shared" si="5" ref="C43:H43">SUM(C31,C35,C41)</f>
        <v>21483173826.183956</v>
      </c>
      <c r="D43" s="24">
        <f t="shared" si="5"/>
        <v>1414882874.67198</v>
      </c>
      <c r="E43" s="24">
        <f t="shared" si="5"/>
        <v>1496481016.3316324</v>
      </c>
      <c r="F43" s="24">
        <f t="shared" si="5"/>
        <v>81598141.65965232</v>
      </c>
      <c r="G43" s="24">
        <f t="shared" si="5"/>
        <v>81600773.30715214</v>
      </c>
      <c r="H43" s="24">
        <f t="shared" si="5"/>
        <v>2631.647499841234</v>
      </c>
      <c r="I43" s="216">
        <f>+F43/D43</f>
        <v>0.05767130489763661</v>
      </c>
    </row>
    <row r="44" spans="4:8" ht="13.5" thickTop="1">
      <c r="D44" s="28"/>
      <c r="F44" s="30"/>
      <c r="G44" s="30"/>
      <c r="H44" s="30"/>
    </row>
    <row r="45" spans="4:8" ht="12.75">
      <c r="D45" s="223"/>
      <c r="E45" s="30"/>
      <c r="F45" s="28"/>
      <c r="G45" s="28"/>
      <c r="H45" s="28"/>
    </row>
    <row r="46" ht="12.75">
      <c r="D46" s="30"/>
    </row>
    <row r="47" spans="4:8" ht="12.75">
      <c r="D47" s="30"/>
      <c r="F47" s="30"/>
      <c r="G47" s="30"/>
      <c r="H47" s="30"/>
    </row>
  </sheetData>
  <printOptions horizontalCentered="1"/>
  <pageMargins left="0.25" right="0.25" top="1.25" bottom="1" header="1.25" footer="0.5"/>
  <pageSetup fitToHeight="1" fitToWidth="1" horizontalDpi="600" verticalDpi="600" orientation="landscape" scale="79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3.421875" style="0" bestFit="1" customWidth="1"/>
    <col min="5" max="5" width="11.421875" style="0" bestFit="1" customWidth="1"/>
    <col min="6" max="6" width="14.003906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365</v>
      </c>
      <c r="B4" s="1"/>
      <c r="C4" s="1"/>
      <c r="D4" s="1"/>
      <c r="E4" s="1"/>
      <c r="F4" s="1"/>
      <c r="G4" s="1"/>
      <c r="H4" s="1"/>
    </row>
    <row r="5" spans="1:8" ht="12.75">
      <c r="A5" s="1" t="s">
        <v>200</v>
      </c>
      <c r="B5" s="1"/>
      <c r="C5" s="1"/>
      <c r="D5" s="1"/>
      <c r="E5" s="1"/>
      <c r="F5" s="1"/>
      <c r="G5" s="1"/>
      <c r="H5" s="1"/>
    </row>
    <row r="7" spans="3:8" ht="12.75">
      <c r="C7" s="193" t="str">
        <f>+'Sch 7 Revenue'!E7</f>
        <v>Proforma</v>
      </c>
      <c r="D7" s="224"/>
      <c r="E7" s="225" t="str">
        <f>+'Sch 7 Revenue'!G7</f>
        <v>Proposed</v>
      </c>
      <c r="F7" s="224"/>
      <c r="G7" s="22"/>
      <c r="H7" s="22"/>
    </row>
    <row r="8" spans="3:8" ht="12.75">
      <c r="C8" s="234" t="str">
        <f>+'Sch 7 Revenue'!E8</f>
        <v>Rates Effective 10-1-03</v>
      </c>
      <c r="D8" s="229"/>
      <c r="E8" s="228" t="str">
        <f>+'Sch 7 Revenue'!G8</f>
        <v>Rates Effective 2005</v>
      </c>
      <c r="F8" s="229"/>
      <c r="G8" s="230" t="str">
        <f>+'Sch 7 Revenue'!I8</f>
        <v>Differences</v>
      </c>
      <c r="H8" s="231"/>
    </row>
    <row r="9" spans="1:8" ht="12.75">
      <c r="A9" s="200"/>
      <c r="B9" s="200"/>
      <c r="C9" s="230" t="str">
        <f>+'Sch 7 Revenue'!E9</f>
        <v>Charge</v>
      </c>
      <c r="D9" s="231" t="str">
        <f>+'Sch 7 Revenue'!F9</f>
        <v>Revenue</v>
      </c>
      <c r="E9" s="232" t="str">
        <f>+'Sch 7 Revenue'!G9</f>
        <v>Charge</v>
      </c>
      <c r="F9" s="231" t="str">
        <f>+'Sch 7 Revenue'!H9</f>
        <v>Revenue</v>
      </c>
      <c r="G9" s="232" t="str">
        <f>+'Sch 7 Revenue'!I9</f>
        <v>$</v>
      </c>
      <c r="H9" s="231" t="str">
        <f>+'Sch 7 Revenue'!J9</f>
        <v>%</v>
      </c>
    </row>
    <row r="10" spans="1:8" ht="12.75">
      <c r="A10" s="20" t="s">
        <v>349</v>
      </c>
      <c r="B10" s="205">
        <v>51109000</v>
      </c>
      <c r="C10" s="39">
        <v>0.037259</v>
      </c>
      <c r="D10" s="11">
        <f>+C10*B10</f>
        <v>1904270.231</v>
      </c>
      <c r="E10" s="39">
        <f>+'Sch 46 Rate Design'!$C$38</f>
        <v>0.043329</v>
      </c>
      <c r="F10" s="11">
        <f>+E10*B10</f>
        <v>2214501.861</v>
      </c>
      <c r="G10" s="11">
        <f>+F10-D10</f>
        <v>310231.6300000001</v>
      </c>
      <c r="H10" s="206">
        <f>+G10/D10</f>
        <v>0.16291365844493955</v>
      </c>
    </row>
    <row r="11" ht="12.75">
      <c r="B11" s="34"/>
    </row>
    <row r="12" spans="1:8" ht="12.75">
      <c r="A12" s="20" t="s">
        <v>366</v>
      </c>
      <c r="B12" s="205">
        <v>168423</v>
      </c>
      <c r="C12" s="48">
        <v>1.58</v>
      </c>
      <c r="D12" s="11">
        <f>+C12*B12</f>
        <v>266108.34</v>
      </c>
      <c r="E12" s="48">
        <f>+'Sch 46 Rate Design'!$C$30</f>
        <v>1.48</v>
      </c>
      <c r="F12" s="11">
        <f>+E12*B12</f>
        <v>249266.04</v>
      </c>
      <c r="G12" s="11">
        <f>+F12-D12</f>
        <v>-16842.300000000017</v>
      </c>
      <c r="H12" s="206">
        <f>+G12/D12</f>
        <v>-0.06329113924050639</v>
      </c>
    </row>
    <row r="13" spans="2:8" ht="12.75">
      <c r="B13" s="128"/>
      <c r="D13" s="14"/>
      <c r="F13" s="14"/>
      <c r="G13" s="14"/>
      <c r="H13" s="207"/>
    </row>
    <row r="14" spans="1:8" ht="12.75">
      <c r="A14" s="9" t="s">
        <v>82</v>
      </c>
      <c r="B14" s="205">
        <f>+B10</f>
        <v>51109000</v>
      </c>
      <c r="C14" s="39">
        <v>0.001089</v>
      </c>
      <c r="D14" s="11">
        <f>+C14*B14</f>
        <v>55657.700999999994</v>
      </c>
      <c r="E14" s="39">
        <v>0</v>
      </c>
      <c r="F14" s="11">
        <f>+E14*B14</f>
        <v>0</v>
      </c>
      <c r="G14" s="11">
        <f>+F14-D14</f>
        <v>-55657.700999999994</v>
      </c>
      <c r="H14" s="206">
        <f>+G14/D14</f>
        <v>-1</v>
      </c>
    </row>
    <row r="15" spans="2:8" ht="12.75">
      <c r="B15" s="128"/>
      <c r="D15" s="14"/>
      <c r="F15" s="14"/>
      <c r="G15" s="14"/>
      <c r="H15" s="207"/>
    </row>
    <row r="16" spans="1:8" ht="13.5" thickBot="1">
      <c r="A16" t="s">
        <v>326</v>
      </c>
      <c r="D16" s="136">
        <f>SUM(D12,D10,D14)</f>
        <v>2226036.272</v>
      </c>
      <c r="F16" s="136">
        <f>SUM(F12,F10,F14)</f>
        <v>2463767.901</v>
      </c>
      <c r="G16" s="136">
        <f>SUM(G12,G10,G14)</f>
        <v>237731.62900000007</v>
      </c>
      <c r="H16" s="208">
        <f>+G16/D16</f>
        <v>0.10679593679145588</v>
      </c>
    </row>
    <row r="17" ht="13.5" thickTop="1"/>
    <row r="18" ht="12.75">
      <c r="B18" s="27"/>
    </row>
    <row r="19" spans="2:7" ht="12.75">
      <c r="B19" s="34"/>
      <c r="F19" s="30"/>
      <c r="G19" s="238"/>
    </row>
    <row r="20" spans="2:7" ht="12.75">
      <c r="B20" s="41"/>
      <c r="F20" s="30"/>
      <c r="G20" s="238"/>
    </row>
    <row r="21" spans="1:6" ht="12.75">
      <c r="A21" s="20" t="s">
        <v>367</v>
      </c>
      <c r="D21" s="239">
        <v>0.9</v>
      </c>
      <c r="E21">
        <f>+E10*D21</f>
        <v>0.0389961</v>
      </c>
      <c r="F21" s="48"/>
    </row>
    <row r="22" spans="1:6" ht="12.75">
      <c r="A22" t="s">
        <v>368</v>
      </c>
      <c r="D22">
        <v>12</v>
      </c>
      <c r="E22" s="38">
        <f>+D22*C12</f>
        <v>18.96</v>
      </c>
      <c r="F22" s="48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8515625" style="0" bestFit="1" customWidth="1"/>
    <col min="2" max="2" width="14.00390625" style="0" bestFit="1" customWidth="1"/>
    <col min="3" max="3" width="11.8515625" style="0" bestFit="1" customWidth="1"/>
    <col min="4" max="4" width="15.00390625" style="0" bestFit="1" customWidth="1"/>
    <col min="5" max="5" width="11.421875" style="0" bestFit="1" customWidth="1"/>
    <col min="6" max="6" width="15.00390625" style="0" bestFit="1" customWidth="1"/>
    <col min="7" max="7" width="12.8515625" style="0" bestFit="1" customWidth="1"/>
    <col min="8" max="8" width="7.8515625" style="0" bestFit="1" customWidth="1"/>
  </cols>
  <sheetData>
    <row r="1" spans="1:8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369</v>
      </c>
      <c r="B4" s="1"/>
      <c r="C4" s="1"/>
      <c r="D4" s="1"/>
      <c r="E4" s="1"/>
      <c r="F4" s="1"/>
      <c r="G4" s="1"/>
      <c r="H4" s="1"/>
    </row>
    <row r="5" spans="1:8" ht="12.75">
      <c r="A5" s="1" t="s">
        <v>210</v>
      </c>
      <c r="B5" s="1"/>
      <c r="C5" s="1"/>
      <c r="D5" s="1"/>
      <c r="E5" s="1"/>
      <c r="F5" s="1"/>
      <c r="G5" s="1"/>
      <c r="H5" s="1"/>
    </row>
    <row r="7" spans="3:8" ht="12.75">
      <c r="C7" s="193" t="str">
        <f>+'Sch 7 Revenue'!E7</f>
        <v>Proforma</v>
      </c>
      <c r="D7" s="224"/>
      <c r="E7" s="225" t="str">
        <f>+'Sch 7 Revenue'!G7</f>
        <v>Proposed</v>
      </c>
      <c r="F7" s="224"/>
      <c r="G7" s="22"/>
      <c r="H7" s="22"/>
    </row>
    <row r="8" spans="3:8" ht="12.75">
      <c r="C8" s="234" t="str">
        <f>+'Sch 7 Revenue'!E8</f>
        <v>Rates Effective 10-1-03</v>
      </c>
      <c r="D8" s="229"/>
      <c r="E8" s="228" t="str">
        <f>+'Sch 7 Revenue'!G8</f>
        <v>Rates Effective 2005</v>
      </c>
      <c r="F8" s="229"/>
      <c r="G8" s="230" t="str">
        <f>+'Sch 7 Revenue'!I8</f>
        <v>Differences</v>
      </c>
      <c r="H8" s="231"/>
    </row>
    <row r="9" spans="1:8" ht="12.75">
      <c r="A9" s="200"/>
      <c r="B9" s="200"/>
      <c r="C9" s="230" t="str">
        <f>+'Sch 7 Revenue'!E9</f>
        <v>Charge</v>
      </c>
      <c r="D9" s="231" t="str">
        <f>+'Sch 7 Revenue'!F9</f>
        <v>Revenue</v>
      </c>
      <c r="E9" s="232" t="str">
        <f>+'Sch 7 Revenue'!G9</f>
        <v>Charge</v>
      </c>
      <c r="F9" s="231" t="str">
        <f>+'Sch 7 Revenue'!H9</f>
        <v>Revenue</v>
      </c>
      <c r="G9" s="232" t="str">
        <f>+'Sch 7 Revenue'!I9</f>
        <v>$</v>
      </c>
      <c r="H9" s="231" t="str">
        <f>+'Sch 7 Revenue'!J9</f>
        <v>%</v>
      </c>
    </row>
    <row r="10" spans="1:8" ht="12.75">
      <c r="A10" s="20" t="s">
        <v>349</v>
      </c>
      <c r="B10" s="205">
        <v>424545212.4999</v>
      </c>
      <c r="C10" s="39">
        <v>0.037259</v>
      </c>
      <c r="D10" s="11">
        <f>+C10*B10</f>
        <v>15818130.072533773</v>
      </c>
      <c r="E10" s="39">
        <f>+'Sch 49 Rate Design'!$C$41</f>
        <v>0.043329</v>
      </c>
      <c r="F10" s="11">
        <f>+E10*B10</f>
        <v>18395119.512408167</v>
      </c>
      <c r="G10" s="11">
        <f>+F10-D10</f>
        <v>2576989.439874394</v>
      </c>
      <c r="H10" s="206">
        <f>+G10/D10</f>
        <v>0.16291365844493955</v>
      </c>
    </row>
    <row r="11" ht="12.75">
      <c r="B11" s="34"/>
    </row>
    <row r="12" spans="1:8" ht="12.75">
      <c r="A12" s="20" t="s">
        <v>366</v>
      </c>
      <c r="B12" s="205">
        <v>1172294.8637992474</v>
      </c>
      <c r="C12" s="48">
        <v>2.79</v>
      </c>
      <c r="D12" s="11">
        <f>+C12*B12</f>
        <v>3270702.6699999003</v>
      </c>
      <c r="E12" s="48">
        <f>+'Sch 49 Rate Design'!$C$30</f>
        <v>2.79</v>
      </c>
      <c r="F12" s="11">
        <f>+E12*B12</f>
        <v>3270702.6699999003</v>
      </c>
      <c r="G12" s="11">
        <f>+F12-D12</f>
        <v>0</v>
      </c>
      <c r="H12" s="206">
        <f>+G12/D12</f>
        <v>0</v>
      </c>
    </row>
    <row r="13" spans="2:8" ht="12.75">
      <c r="B13" s="128"/>
      <c r="D13" s="14"/>
      <c r="F13" s="14"/>
      <c r="G13" s="14"/>
      <c r="H13" s="207"/>
    </row>
    <row r="14" spans="1:8" ht="12.75">
      <c r="A14" s="9" t="s">
        <v>82</v>
      </c>
      <c r="B14" s="205">
        <f>+B10</f>
        <v>424545212.4999</v>
      </c>
      <c r="C14" s="39">
        <v>0.002105</v>
      </c>
      <c r="D14" s="11">
        <f>+C14*B14</f>
        <v>893667.6723122895</v>
      </c>
      <c r="E14" s="39">
        <v>0</v>
      </c>
      <c r="F14" s="11">
        <f>+E14*B14</f>
        <v>0</v>
      </c>
      <c r="G14" s="11">
        <f>+F14-D14</f>
        <v>-893667.6723122895</v>
      </c>
      <c r="H14" s="206">
        <f>+G14/D14</f>
        <v>-1</v>
      </c>
    </row>
    <row r="15" spans="2:8" ht="12.75">
      <c r="B15" s="128"/>
      <c r="D15" s="14"/>
      <c r="F15" s="14"/>
      <c r="G15" s="14"/>
      <c r="H15" s="207"/>
    </row>
    <row r="16" spans="1:8" ht="13.5" thickBot="1">
      <c r="A16" t="s">
        <v>326</v>
      </c>
      <c r="D16" s="136">
        <f>SUM(D12,D10,D14)</f>
        <v>19982500.414845962</v>
      </c>
      <c r="F16" s="136">
        <f>SUM(F12,F10,F14)</f>
        <v>21665822.18240807</v>
      </c>
      <c r="G16" s="136">
        <f>SUM(G12,G10,G14)</f>
        <v>1683321.7675621044</v>
      </c>
      <c r="H16" s="208">
        <f>+G16/D16</f>
        <v>0.08423979645267433</v>
      </c>
    </row>
    <row r="17" ht="13.5" thickTop="1"/>
    <row r="19" spans="2:7" ht="12.75">
      <c r="B19" s="34"/>
      <c r="F19" s="30"/>
      <c r="G19" s="238"/>
    </row>
    <row r="20" spans="2:7" ht="12.75">
      <c r="B20" s="34"/>
      <c r="F20" s="30"/>
      <c r="G20" s="238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3.28125" style="0" bestFit="1" customWidth="1"/>
    <col min="2" max="2" width="13.8515625" style="0" bestFit="1" customWidth="1"/>
    <col min="3" max="4" width="15.00390625" style="0" bestFit="1" customWidth="1"/>
    <col min="5" max="5" width="12.8515625" style="0" bestFit="1" customWidth="1"/>
    <col min="6" max="6" width="7.8515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1" t="s">
        <v>370</v>
      </c>
      <c r="B2" s="1"/>
      <c r="C2" s="1"/>
      <c r="D2" s="1"/>
      <c r="E2" s="1"/>
      <c r="F2" s="1"/>
    </row>
    <row r="3" spans="1:6" ht="12.75">
      <c r="A3" s="1" t="s">
        <v>371</v>
      </c>
      <c r="B3" s="1"/>
      <c r="C3" s="1"/>
      <c r="D3" s="1"/>
      <c r="E3" s="1"/>
      <c r="F3" s="1"/>
    </row>
    <row r="4" spans="1:6" ht="12.75">
      <c r="A4" s="1" t="s">
        <v>1</v>
      </c>
      <c r="B4" s="1"/>
      <c r="C4" s="1"/>
      <c r="D4" s="1"/>
      <c r="E4" s="1"/>
      <c r="F4" s="1"/>
    </row>
    <row r="7" spans="1:6" s="4" customFormat="1" ht="38.25">
      <c r="A7" s="2" t="s">
        <v>4</v>
      </c>
      <c r="B7" s="2" t="s">
        <v>166</v>
      </c>
      <c r="C7" s="3" t="s">
        <v>372</v>
      </c>
      <c r="D7" s="3" t="s">
        <v>373</v>
      </c>
      <c r="E7" s="2" t="s">
        <v>374</v>
      </c>
      <c r="F7" s="2" t="s">
        <v>375</v>
      </c>
    </row>
    <row r="8" spans="1:6" s="4" customFormat="1" ht="12.75">
      <c r="A8" s="240" t="s">
        <v>376</v>
      </c>
      <c r="B8" s="241">
        <v>7056.72</v>
      </c>
      <c r="C8" s="242">
        <v>453.6</v>
      </c>
      <c r="D8" s="242">
        <v>492.84</v>
      </c>
      <c r="E8" s="242">
        <f aca="true" t="shared" si="0" ref="E8:E19">+D8-C8</f>
        <v>39.23999999999995</v>
      </c>
      <c r="F8" s="243">
        <f aca="true" t="shared" si="1" ref="F8:F20">+E8/C8</f>
        <v>0.0865079365079364</v>
      </c>
    </row>
    <row r="9" spans="1:6" ht="12.75">
      <c r="A9" s="9" t="s">
        <v>377</v>
      </c>
      <c r="B9" s="241">
        <v>211602.3416</v>
      </c>
      <c r="C9" s="242">
        <v>21014</v>
      </c>
      <c r="D9" s="242">
        <v>22832</v>
      </c>
      <c r="E9" s="242">
        <f t="shared" si="0"/>
        <v>1818</v>
      </c>
      <c r="F9" s="243">
        <f t="shared" si="1"/>
        <v>0.08651375273627106</v>
      </c>
    </row>
    <row r="10" spans="1:6" ht="12.75">
      <c r="A10" s="9" t="s">
        <v>378</v>
      </c>
      <c r="B10" s="241">
        <v>301836.48</v>
      </c>
      <c r="C10" s="242">
        <v>24045</v>
      </c>
      <c r="D10" s="242">
        <v>26124</v>
      </c>
      <c r="E10" s="242">
        <f t="shared" si="0"/>
        <v>2079</v>
      </c>
      <c r="F10" s="243">
        <f t="shared" si="1"/>
        <v>0.08646288209606987</v>
      </c>
    </row>
    <row r="11" spans="1:6" ht="12.75">
      <c r="A11" s="20" t="s">
        <v>379</v>
      </c>
      <c r="B11" s="241">
        <v>0</v>
      </c>
      <c r="C11" s="242">
        <v>334444.27383359993</v>
      </c>
      <c r="D11" s="242">
        <v>363376.9634521286</v>
      </c>
      <c r="E11" s="242">
        <f t="shared" si="0"/>
        <v>28932.689618528646</v>
      </c>
      <c r="F11" s="243">
        <f t="shared" si="1"/>
        <v>0.08650974730972333</v>
      </c>
    </row>
    <row r="12" spans="1:6" ht="12.75">
      <c r="A12" s="9" t="s">
        <v>380</v>
      </c>
      <c r="B12" s="241">
        <v>3807497.2569000004</v>
      </c>
      <c r="C12" s="242">
        <v>323857</v>
      </c>
      <c r="D12" s="242">
        <v>351874</v>
      </c>
      <c r="E12" s="242">
        <f t="shared" si="0"/>
        <v>28017</v>
      </c>
      <c r="F12" s="243">
        <f t="shared" si="1"/>
        <v>0.08651040428337198</v>
      </c>
    </row>
    <row r="13" spans="1:6" ht="12.75">
      <c r="A13" s="9" t="s">
        <v>381</v>
      </c>
      <c r="B13" s="241">
        <v>45792661.733600006</v>
      </c>
      <c r="C13" s="242">
        <v>9150748</v>
      </c>
      <c r="D13" s="242">
        <v>9942379</v>
      </c>
      <c r="E13" s="242">
        <f t="shared" si="0"/>
        <v>791631</v>
      </c>
      <c r="F13" s="243">
        <f t="shared" si="1"/>
        <v>0.08650997710788233</v>
      </c>
    </row>
    <row r="14" spans="1:6" ht="12.75">
      <c r="A14" s="20" t="s">
        <v>382</v>
      </c>
      <c r="B14" s="241">
        <v>16064011.057900002</v>
      </c>
      <c r="C14" s="242">
        <v>935533</v>
      </c>
      <c r="D14" s="242">
        <v>1016464</v>
      </c>
      <c r="E14" s="242">
        <f t="shared" si="0"/>
        <v>80931</v>
      </c>
      <c r="F14" s="243">
        <f t="shared" si="1"/>
        <v>0.0865079051193277</v>
      </c>
    </row>
    <row r="15" spans="1:6" ht="12.75">
      <c r="A15" s="20" t="s">
        <v>383</v>
      </c>
      <c r="B15" s="241">
        <v>4274893.09</v>
      </c>
      <c r="C15" s="242">
        <v>967433</v>
      </c>
      <c r="D15" s="242">
        <v>1051126</v>
      </c>
      <c r="E15" s="242">
        <f t="shared" si="0"/>
        <v>83693</v>
      </c>
      <c r="F15" s="243">
        <f t="shared" si="1"/>
        <v>0.08651038366481192</v>
      </c>
    </row>
    <row r="16" spans="1:6" ht="12.75">
      <c r="A16" s="20" t="s">
        <v>384</v>
      </c>
      <c r="B16" s="241">
        <v>10032757.8703</v>
      </c>
      <c r="C16" s="242">
        <v>769085.5658950824</v>
      </c>
      <c r="D16" s="242">
        <v>835618.9638602216</v>
      </c>
      <c r="E16" s="242">
        <f t="shared" si="0"/>
        <v>66533.39796513913</v>
      </c>
      <c r="F16" s="243">
        <f t="shared" si="1"/>
        <v>0.0865097473097233</v>
      </c>
    </row>
    <row r="17" spans="1:6" ht="12.75">
      <c r="A17" s="20" t="s">
        <v>385</v>
      </c>
      <c r="B17" s="241">
        <v>1936225.0493</v>
      </c>
      <c r="C17" s="242">
        <v>312831</v>
      </c>
      <c r="D17" s="242">
        <v>339893</v>
      </c>
      <c r="E17" s="242">
        <f t="shared" si="0"/>
        <v>27062</v>
      </c>
      <c r="F17" s="243">
        <f t="shared" si="1"/>
        <v>0.08650677202706893</v>
      </c>
    </row>
    <row r="18" spans="1:6" ht="12.75">
      <c r="A18" s="20" t="s">
        <v>386</v>
      </c>
      <c r="B18" s="241">
        <v>0</v>
      </c>
      <c r="C18" s="242">
        <v>30645</v>
      </c>
      <c r="D18" s="242">
        <v>33296</v>
      </c>
      <c r="E18" s="242">
        <f t="shared" si="0"/>
        <v>2651</v>
      </c>
      <c r="F18" s="243">
        <f t="shared" si="1"/>
        <v>0.08650677108826889</v>
      </c>
    </row>
    <row r="19" spans="1:6" ht="12.75">
      <c r="A19" t="s">
        <v>387</v>
      </c>
      <c r="B19" s="241">
        <v>0</v>
      </c>
      <c r="C19" s="242">
        <v>18231</v>
      </c>
      <c r="D19" s="242">
        <v>19798</v>
      </c>
      <c r="E19" s="242">
        <f t="shared" si="0"/>
        <v>1567</v>
      </c>
      <c r="F19" s="243">
        <f t="shared" si="1"/>
        <v>0.08595249849158028</v>
      </c>
    </row>
    <row r="20" spans="2:6" ht="12.75">
      <c r="B20" s="244">
        <f>SUM(B8:B19)</f>
        <v>82428541.5996</v>
      </c>
      <c r="C20" s="245">
        <f>SUM(C8:C19)</f>
        <v>12888320.439728683</v>
      </c>
      <c r="D20" s="245">
        <f>SUM(D8:D19)</f>
        <v>14003274.76731235</v>
      </c>
      <c r="E20" s="245">
        <f>SUM(E8:E19)</f>
        <v>1114954.3275836678</v>
      </c>
      <c r="F20" s="246">
        <f t="shared" si="1"/>
        <v>0.08650889251223018</v>
      </c>
    </row>
    <row r="21" spans="2:6" ht="12.75">
      <c r="B21" s="247"/>
      <c r="D21" s="248"/>
      <c r="E21" s="248"/>
      <c r="F21" s="243"/>
    </row>
    <row r="23" spans="2:3" ht="12.75">
      <c r="B23" s="27"/>
      <c r="C23" s="27"/>
    </row>
  </sheetData>
  <printOptions horizontalCentered="1"/>
  <pageMargins left="0.25" right="0.25" top="1.25" bottom="1" header="1.25" footer="0.5"/>
  <pageSetup fitToHeight="1" fitToWidth="1" horizontalDpi="600" verticalDpi="600" orientation="landscape" r:id="rId3"/>
  <headerFooter alignWithMargins="0">
    <oddFooter>&amp;LTenth Exhibit to Prefiled
Direct Testimony of James A. Heidell&amp;RExhibit No.___ (JAH-12)
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8.7109375" style="0" bestFit="1" customWidth="1"/>
    <col min="10" max="10" width="5.281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335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34" t="str">
        <f>+'Sch 7 Revenue'!E8</f>
        <v>Rates Effective 10-1-03</v>
      </c>
      <c r="F8" s="229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8" ht="13.5" thickBot="1">
      <c r="A10" s="20" t="s">
        <v>349</v>
      </c>
      <c r="B10" s="33">
        <v>7644104</v>
      </c>
      <c r="C10" s="33">
        <v>33973.64867950827</v>
      </c>
      <c r="D10" s="33">
        <f>+C10+B10</f>
        <v>7678077.648679508</v>
      </c>
      <c r="E10" s="39">
        <v>0.03514</v>
      </c>
      <c r="F10" s="24">
        <f>+E10*D10</f>
        <v>269807.6485745979</v>
      </c>
      <c r="G10" s="39">
        <f>+E10</f>
        <v>0.03514</v>
      </c>
      <c r="H10" s="24">
        <f>+G10*D10</f>
        <v>269807.6485745979</v>
      </c>
    </row>
    <row r="11" spans="2:4" ht="13.5" thickTop="1">
      <c r="B11" s="34"/>
      <c r="C11" s="34"/>
      <c r="D11" s="34"/>
    </row>
    <row r="12" spans="1:8" ht="13.5" thickBot="1">
      <c r="A12" s="20" t="s">
        <v>352</v>
      </c>
      <c r="B12" s="33">
        <v>15387.068571428572</v>
      </c>
      <c r="C12" s="33"/>
      <c r="D12" s="33">
        <f>+C12+B12</f>
        <v>15387.068571428572</v>
      </c>
      <c r="E12" s="48">
        <v>5.25</v>
      </c>
      <c r="F12" s="24">
        <f>+E12*D12</f>
        <v>80782.11</v>
      </c>
      <c r="G12" s="48">
        <f>+E12</f>
        <v>5.25</v>
      </c>
      <c r="H12" s="24">
        <f>+G12*D12</f>
        <v>80782.11</v>
      </c>
    </row>
    <row r="13" spans="2:8" ht="13.5" thickTop="1">
      <c r="B13" s="128"/>
      <c r="C13" s="128"/>
      <c r="D13" s="128"/>
      <c r="F13" s="14"/>
      <c r="H13" s="14"/>
    </row>
    <row r="14" spans="1:8" ht="13.5" thickBot="1">
      <c r="A14" s="20" t="s">
        <v>353</v>
      </c>
      <c r="B14" s="249">
        <v>2156640</v>
      </c>
      <c r="C14" s="249"/>
      <c r="D14" s="33">
        <f>+C14+B14</f>
        <v>2156640</v>
      </c>
      <c r="E14" s="132">
        <v>0.00025</v>
      </c>
      <c r="F14" s="24">
        <f>+E14*D14</f>
        <v>539.16</v>
      </c>
      <c r="G14" s="132">
        <f>+E14</f>
        <v>0.00025</v>
      </c>
      <c r="H14" s="24">
        <f>+G14*D14</f>
        <v>539.16</v>
      </c>
    </row>
    <row r="15" spans="2:4" ht="13.5" thickTop="1">
      <c r="B15" s="34"/>
      <c r="C15" s="34"/>
      <c r="D15" s="34"/>
    </row>
    <row r="16" spans="1:8" ht="13.5" thickBot="1">
      <c r="A16" s="20" t="s">
        <v>388</v>
      </c>
      <c r="B16" s="34"/>
      <c r="C16" s="34"/>
      <c r="D16" s="34"/>
      <c r="F16" s="24">
        <v>106313.76268897954</v>
      </c>
      <c r="H16" s="24">
        <f>+F16</f>
        <v>106313.76268897954</v>
      </c>
    </row>
    <row r="17" spans="1:8" ht="14.25" thickBot="1" thickTop="1">
      <c r="A17" s="20" t="s">
        <v>404</v>
      </c>
      <c r="B17" s="34"/>
      <c r="C17" s="34"/>
      <c r="D17" s="34"/>
      <c r="H17" s="24">
        <f>+F19*'Transportation SC Revenue'!D24</f>
        <v>39573.250764794444</v>
      </c>
    </row>
    <row r="18" spans="2:4" ht="13.5" thickTop="1">
      <c r="B18" s="34"/>
      <c r="C18" s="34"/>
      <c r="D18" s="34"/>
    </row>
    <row r="19" spans="1:10" ht="13.5" thickBot="1">
      <c r="A19" t="s">
        <v>326</v>
      </c>
      <c r="F19" s="136">
        <f>SUM(F14,F12,F10,F16)</f>
        <v>457442.6812635774</v>
      </c>
      <c r="H19" s="136">
        <f>SUM(H10,H12,H14,H16:H17)</f>
        <v>497015.93202837184</v>
      </c>
      <c r="I19" s="136">
        <f>+H19-F19</f>
        <v>39573.250764794415</v>
      </c>
      <c r="J19" s="208">
        <f>+I19/F19</f>
        <v>0.08650974730972337</v>
      </c>
    </row>
    <row r="20" ht="13.5" thickTop="1"/>
    <row r="21" ht="12.75">
      <c r="F21" s="30"/>
    </row>
    <row r="22" spans="4:9" ht="12.75">
      <c r="D22" s="34"/>
      <c r="H22" s="30"/>
      <c r="I22" s="39"/>
    </row>
    <row r="23" spans="4:9" ht="12.75">
      <c r="D23" s="34"/>
      <c r="H23" s="30"/>
      <c r="I23" s="39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D7" sqref="D7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389</v>
      </c>
      <c r="B4" s="1"/>
      <c r="C4" s="1"/>
      <c r="D4" s="1"/>
      <c r="E4" s="1"/>
      <c r="F4" s="1"/>
      <c r="G4" s="1"/>
      <c r="H4" s="1"/>
    </row>
    <row r="5" spans="1:8" ht="12.75">
      <c r="A5" s="1" t="s">
        <v>57</v>
      </c>
      <c r="B5" s="1"/>
      <c r="C5" s="1"/>
      <c r="D5" s="1"/>
      <c r="E5" s="1"/>
      <c r="F5" s="1"/>
      <c r="G5" s="1"/>
      <c r="H5" s="1"/>
    </row>
    <row r="7" spans="3:8" ht="12.75">
      <c r="C7" s="193" t="str">
        <f>+'Sch 7 Revenue'!E7</f>
        <v>Proforma</v>
      </c>
      <c r="D7" s="224"/>
      <c r="E7" s="225" t="str">
        <f>+'Sch 7 Revenue'!G7</f>
        <v>Proposed</v>
      </c>
      <c r="F7" s="224"/>
      <c r="G7" s="22"/>
      <c r="H7" s="22"/>
    </row>
    <row r="8" spans="3:8" ht="12.75">
      <c r="C8" s="234" t="str">
        <f>+'Sch 7 Revenue'!E8</f>
        <v>Rates Effective 10-1-03</v>
      </c>
      <c r="D8" s="229"/>
      <c r="E8" s="228" t="str">
        <f>+'Sch 7 Revenue'!G8</f>
        <v>Rates Effective 2005</v>
      </c>
      <c r="F8" s="229"/>
      <c r="G8" s="230" t="str">
        <f>+'Sch 7 Revenue'!I8</f>
        <v>Differences</v>
      </c>
      <c r="H8" s="231"/>
    </row>
    <row r="9" spans="1:8" ht="12.75">
      <c r="A9" s="200"/>
      <c r="B9" s="200"/>
      <c r="C9" s="230" t="str">
        <f>+'Sch 7 Revenue'!E9</f>
        <v>Charge</v>
      </c>
      <c r="D9" s="231" t="str">
        <f>+'Sch 7 Revenue'!F9</f>
        <v>Revenue</v>
      </c>
      <c r="E9" s="232" t="str">
        <f>+'Sch 7 Revenue'!G9</f>
        <v>Charge</v>
      </c>
      <c r="F9" s="231" t="str">
        <f>+'Sch 7 Revenue'!H9</f>
        <v>Revenue</v>
      </c>
      <c r="G9" s="232" t="str">
        <f>+'Sch 7 Revenue'!I9</f>
        <v>$</v>
      </c>
      <c r="H9" s="231" t="str">
        <f>+'Sch 7 Revenue'!J9</f>
        <v>%</v>
      </c>
    </row>
    <row r="10" spans="1:10" ht="12.75">
      <c r="A10" s="129" t="s">
        <v>390</v>
      </c>
      <c r="B10" s="196"/>
      <c r="C10" s="228"/>
      <c r="D10" s="228"/>
      <c r="E10" s="228"/>
      <c r="F10" s="228"/>
      <c r="G10" s="228"/>
      <c r="H10" s="228"/>
      <c r="I10" s="228"/>
      <c r="J10" s="228"/>
    </row>
    <row r="11" spans="1:8" ht="12.75">
      <c r="A11" s="21" t="s">
        <v>166</v>
      </c>
      <c r="B11" s="34">
        <v>115803576</v>
      </c>
      <c r="C11" s="38"/>
      <c r="D11" s="14"/>
      <c r="E11" s="178"/>
      <c r="F11" s="14"/>
      <c r="G11" s="135"/>
      <c r="H11" s="207"/>
    </row>
    <row r="12" spans="1:8" ht="12.75">
      <c r="A12" s="21" t="s">
        <v>222</v>
      </c>
      <c r="B12" s="236">
        <v>24</v>
      </c>
      <c r="C12" s="48">
        <v>709</v>
      </c>
      <c r="D12" s="14">
        <f>+C12*B12</f>
        <v>17016</v>
      </c>
      <c r="E12" s="233">
        <f>+'Sch 449 and 459 Rate Design'!$D$25</f>
        <v>709</v>
      </c>
      <c r="F12" s="14">
        <f>+E12*B12</f>
        <v>17016</v>
      </c>
      <c r="G12" s="135">
        <f>+F12-D12</f>
        <v>0</v>
      </c>
      <c r="H12" s="207">
        <f>+G12/D12</f>
        <v>0</v>
      </c>
    </row>
    <row r="13" spans="1:8" ht="12.75">
      <c r="A13" s="21" t="s">
        <v>391</v>
      </c>
      <c r="B13" s="32">
        <v>216056</v>
      </c>
      <c r="C13" s="38">
        <v>4</v>
      </c>
      <c r="D13" s="14">
        <f>+C13*B13</f>
        <v>864224</v>
      </c>
      <c r="E13" s="178">
        <f>+'Sch 449 and 459 Rate Design'!$D$34</f>
        <v>4.04</v>
      </c>
      <c r="F13" s="14">
        <f>+E13*B13</f>
        <v>872866.24</v>
      </c>
      <c r="G13" s="135">
        <f>+F13-D13</f>
        <v>8642.23999999999</v>
      </c>
      <c r="H13" s="207">
        <f>+G13/D13</f>
        <v>0.00999999999999999</v>
      </c>
    </row>
    <row r="14" spans="1:8" ht="13.5" thickBot="1">
      <c r="A14" s="131" t="s">
        <v>392</v>
      </c>
      <c r="D14" s="136">
        <f>SUM(D12:D13)</f>
        <v>881240</v>
      </c>
      <c r="F14" s="136">
        <f>SUM(F12:F13)</f>
        <v>889882.24</v>
      </c>
      <c r="G14" s="136">
        <f>SUM(G12:G13)</f>
        <v>8642.23999999999</v>
      </c>
      <c r="H14" s="208">
        <f>+G14/D14</f>
        <v>0.009806908447188043</v>
      </c>
    </row>
    <row r="15" ht="13.5" thickTop="1">
      <c r="D15" s="30"/>
    </row>
    <row r="16" spans="1:8" ht="12.75">
      <c r="A16" s="129" t="s">
        <v>393</v>
      </c>
      <c r="B16" s="196"/>
      <c r="C16" s="228"/>
      <c r="D16" s="228"/>
      <c r="E16" s="228"/>
      <c r="F16" s="228"/>
      <c r="G16" s="228"/>
      <c r="H16" s="228"/>
    </row>
    <row r="17" spans="1:8" ht="12.75">
      <c r="A17" s="21" t="s">
        <v>166</v>
      </c>
      <c r="B17" s="34">
        <v>1572183908</v>
      </c>
      <c r="C17" s="38"/>
      <c r="D17" s="14"/>
      <c r="E17" s="178"/>
      <c r="F17" s="14"/>
      <c r="G17" s="135"/>
      <c r="H17" s="207"/>
    </row>
    <row r="18" spans="1:8" ht="12.75">
      <c r="A18" s="21" t="s">
        <v>222</v>
      </c>
      <c r="B18" s="236">
        <v>168</v>
      </c>
      <c r="C18" s="48">
        <v>709</v>
      </c>
      <c r="D18" s="14">
        <f>+C18*B18</f>
        <v>119112</v>
      </c>
      <c r="E18" s="233">
        <f>+'Sch 449 and 459 Rate Design'!$E$25</f>
        <v>709</v>
      </c>
      <c r="F18" s="14">
        <f>+E18*B18</f>
        <v>119112</v>
      </c>
      <c r="G18" s="135">
        <f>+F18-D18</f>
        <v>0</v>
      </c>
      <c r="H18" s="207">
        <f>+G18/D18</f>
        <v>0</v>
      </c>
    </row>
    <row r="19" spans="1:8" ht="12.75">
      <c r="A19" s="21" t="s">
        <v>391</v>
      </c>
      <c r="B19" s="32">
        <v>2865370</v>
      </c>
      <c r="C19" s="38">
        <v>1.53</v>
      </c>
      <c r="D19" s="14">
        <f>+C19*B19</f>
        <v>4384016.1</v>
      </c>
      <c r="E19" s="178">
        <f>+'Sch 449 and 459 Rate Design'!$E$34</f>
        <v>1.58</v>
      </c>
      <c r="F19" s="14">
        <f>+E19*B19</f>
        <v>4527284.600000001</v>
      </c>
      <c r="G19" s="135">
        <f>+F19-D19</f>
        <v>143268.50000000093</v>
      </c>
      <c r="H19" s="207">
        <f>+G19/D19</f>
        <v>0.03267973856209172</v>
      </c>
    </row>
    <row r="20" spans="1:8" ht="13.5" thickBot="1">
      <c r="A20" s="131" t="s">
        <v>394</v>
      </c>
      <c r="D20" s="136">
        <f>SUM(D18:D19)</f>
        <v>4503128.1</v>
      </c>
      <c r="F20" s="136">
        <f>SUM(F18:F19)</f>
        <v>4646396.600000001</v>
      </c>
      <c r="G20" s="136">
        <f>SUM(G18:G19)</f>
        <v>143268.50000000093</v>
      </c>
      <c r="H20" s="208">
        <f>+G20/D20</f>
        <v>0.03181532854905925</v>
      </c>
    </row>
    <row r="21" ht="13.5" thickTop="1"/>
    <row r="22" spans="1:8" ht="13.5" thickBot="1">
      <c r="A22" t="s">
        <v>395</v>
      </c>
      <c r="D22" s="136">
        <f>+D20+D14</f>
        <v>5384368.1</v>
      </c>
      <c r="F22" s="136">
        <f>+F20+F14</f>
        <v>5536278.840000001</v>
      </c>
      <c r="G22" s="136">
        <f>+G20+G14</f>
        <v>151910.74000000092</v>
      </c>
      <c r="H22" s="208">
        <f>+G22/D22</f>
        <v>0.02821329024663097</v>
      </c>
    </row>
    <row r="23" ht="13.5" thickTop="1">
      <c r="B23" s="34"/>
    </row>
    <row r="24" ht="12.75">
      <c r="D24" s="30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D7" sqref="D7"/>
    </sheetView>
  </sheetViews>
  <sheetFormatPr defaultColWidth="9.140625" defaultRowHeight="12.75"/>
  <cols>
    <col min="1" max="1" width="29.8515625" style="0" bestFit="1" customWidth="1"/>
    <col min="2" max="2" width="14.00390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11.8515625" style="0" bestFit="1" customWidth="1"/>
    <col min="8" max="8" width="7.8515625" style="0" bestFit="1" customWidth="1"/>
  </cols>
  <sheetData>
    <row r="1" spans="1:8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396</v>
      </c>
      <c r="B4" s="1"/>
      <c r="C4" s="1"/>
      <c r="D4" s="1"/>
      <c r="E4" s="1"/>
      <c r="F4" s="1"/>
      <c r="G4" s="1"/>
      <c r="H4" s="1"/>
    </row>
    <row r="5" spans="1:8" ht="12.75">
      <c r="A5" s="1" t="s">
        <v>397</v>
      </c>
      <c r="B5" s="1"/>
      <c r="C5" s="1"/>
      <c r="D5" s="1"/>
      <c r="E5" s="1"/>
      <c r="F5" s="1"/>
      <c r="G5" s="1"/>
      <c r="H5" s="1"/>
    </row>
    <row r="7" spans="3:8" ht="12.75">
      <c r="C7" s="193" t="str">
        <f>+'Sch 7 Revenue'!E7</f>
        <v>Proforma</v>
      </c>
      <c r="D7" s="224"/>
      <c r="E7" s="225" t="str">
        <f>+'Sch 7 Revenue'!G7</f>
        <v>Proposed</v>
      </c>
      <c r="F7" s="224"/>
      <c r="G7" s="22"/>
      <c r="H7" s="22"/>
    </row>
    <row r="8" spans="3:8" ht="12.75">
      <c r="C8" s="234" t="str">
        <f>+'Sch 7 Revenue'!E8</f>
        <v>Rates Effective 10-1-03</v>
      </c>
      <c r="D8" s="229"/>
      <c r="E8" s="228" t="str">
        <f>+'Sch 7 Revenue'!G8</f>
        <v>Rates Effective 2005</v>
      </c>
      <c r="F8" s="229"/>
      <c r="G8" s="230" t="str">
        <f>+'Sch 7 Revenue'!I8</f>
        <v>Differences</v>
      </c>
      <c r="H8" s="231"/>
    </row>
    <row r="9" spans="1:8" ht="12.75">
      <c r="A9" s="200"/>
      <c r="B9" s="200"/>
      <c r="C9" s="230" t="str">
        <f>+'Sch 7 Revenue'!E9</f>
        <v>Charge</v>
      </c>
      <c r="D9" s="231" t="str">
        <f>+'Sch 7 Revenue'!F9</f>
        <v>Revenue</v>
      </c>
      <c r="E9" s="232" t="str">
        <f>+'Sch 7 Revenue'!G9</f>
        <v>Charge</v>
      </c>
      <c r="F9" s="231" t="str">
        <f>+'Sch 7 Revenue'!H9</f>
        <v>Revenue</v>
      </c>
      <c r="G9" s="232" t="str">
        <f>+'Sch 7 Revenue'!I9</f>
        <v>$</v>
      </c>
      <c r="H9" s="231" t="str">
        <f>+'Sch 7 Revenue'!J9</f>
        <v>%</v>
      </c>
    </row>
    <row r="10" spans="1:8" ht="12.75">
      <c r="A10" s="129" t="s">
        <v>393</v>
      </c>
      <c r="B10" s="196"/>
      <c r="C10" s="228"/>
      <c r="D10" s="228"/>
      <c r="E10" s="228"/>
      <c r="F10" s="228"/>
      <c r="G10" s="228"/>
      <c r="H10" s="228"/>
    </row>
    <row r="11" spans="1:8" ht="12.75">
      <c r="A11" s="21" t="s">
        <v>166</v>
      </c>
      <c r="B11" s="34">
        <v>357930997</v>
      </c>
      <c r="C11" s="38"/>
      <c r="D11" s="14"/>
      <c r="E11" s="178"/>
      <c r="F11" s="14"/>
      <c r="G11" s="135"/>
      <c r="H11" s="207"/>
    </row>
    <row r="12" spans="1:8" ht="12.75">
      <c r="A12" s="21" t="s">
        <v>222</v>
      </c>
      <c r="B12" s="236">
        <v>60</v>
      </c>
      <c r="C12" s="48">
        <v>709</v>
      </c>
      <c r="D12" s="14">
        <f>+C12*B12</f>
        <v>42540</v>
      </c>
      <c r="E12" s="233">
        <f>+'Sch 449 and 459 Rate Design'!$F$25</f>
        <v>709</v>
      </c>
      <c r="F12" s="14">
        <f>+E12*B12</f>
        <v>42540</v>
      </c>
      <c r="G12" s="135">
        <f>+F12-D12</f>
        <v>0</v>
      </c>
      <c r="H12" s="207">
        <f>+G12/D12</f>
        <v>0</v>
      </c>
    </row>
    <row r="13" spans="1:8" ht="12.75">
      <c r="A13" s="21" t="s">
        <v>398</v>
      </c>
      <c r="B13" s="32">
        <v>622292</v>
      </c>
      <c r="C13" s="38">
        <v>1.53</v>
      </c>
      <c r="D13" s="14">
        <f>+C13*B13</f>
        <v>952106.76</v>
      </c>
      <c r="E13" s="178">
        <f>+'Sch 449 and 459 Rate Design'!$F$34</f>
        <v>1.58</v>
      </c>
      <c r="F13" s="14">
        <f>+E13*B13</f>
        <v>983221.3600000001</v>
      </c>
      <c r="G13" s="135">
        <f>+F13-D13</f>
        <v>31114.600000000093</v>
      </c>
      <c r="H13" s="207">
        <f>+G13/D13</f>
        <v>0.0326797385620916</v>
      </c>
    </row>
    <row r="14" spans="1:8" ht="13.5" thickBot="1">
      <c r="A14" s="131" t="s">
        <v>394</v>
      </c>
      <c r="D14" s="136">
        <f>SUM(D12:D13)</f>
        <v>994646.76</v>
      </c>
      <c r="F14" s="136">
        <f>SUM(F12:F13)</f>
        <v>1025761.3600000001</v>
      </c>
      <c r="G14" s="136">
        <f>SUM(G12:G13)</f>
        <v>31114.600000000093</v>
      </c>
      <c r="H14" s="208">
        <f>+G14/D14</f>
        <v>0.03128206037689209</v>
      </c>
    </row>
    <row r="15" ht="13.5" thickTop="1"/>
    <row r="16" spans="1:8" ht="13.5" thickBot="1">
      <c r="A16" t="s">
        <v>395</v>
      </c>
      <c r="D16" s="136">
        <f>+D14</f>
        <v>994646.76</v>
      </c>
      <c r="F16" s="136">
        <f>+F14</f>
        <v>1025761.3600000001</v>
      </c>
      <c r="G16" s="136">
        <f>+G14</f>
        <v>31114.600000000093</v>
      </c>
      <c r="H16" s="208">
        <f>+G16/D16</f>
        <v>0.03128206037689209</v>
      </c>
    </row>
    <row r="17" ht="13.5" thickTop="1">
      <c r="B17" s="34"/>
    </row>
    <row r="18" ht="12.75">
      <c r="D18" s="30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3">
      <selection activeCell="D7" sqref="D7"/>
    </sheetView>
  </sheetViews>
  <sheetFormatPr defaultColWidth="9.140625" defaultRowHeight="12.75"/>
  <cols>
    <col min="1" max="1" width="38.57421875" style="0" customWidth="1"/>
    <col min="2" max="2" width="14.00390625" style="0" bestFit="1" customWidth="1"/>
    <col min="3" max="3" width="10.7109375" style="0" bestFit="1" customWidth="1"/>
    <col min="4" max="4" width="15.00390625" style="0" bestFit="1" customWidth="1"/>
    <col min="5" max="5" width="10.7109375" style="0" bestFit="1" customWidth="1"/>
    <col min="6" max="6" width="13.421875" style="0" bestFit="1" customWidth="1"/>
    <col min="7" max="7" width="9.7109375" style="0" bestFit="1" customWidth="1"/>
    <col min="8" max="8" width="7.00390625" style="0" bestFit="1" customWidth="1"/>
  </cols>
  <sheetData>
    <row r="1" spans="1:8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399</v>
      </c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7" spans="2:8" ht="12.75">
      <c r="B7" s="37"/>
      <c r="C7" s="193" t="str">
        <f>+'Sch 7 Revenue'!E7</f>
        <v>Proforma</v>
      </c>
      <c r="D7" s="224"/>
      <c r="E7" s="225" t="str">
        <f>+'Sch 7 Revenue'!G7</f>
        <v>Proposed</v>
      </c>
      <c r="F7" s="224"/>
      <c r="G7" s="22"/>
      <c r="H7" s="22"/>
    </row>
    <row r="8" spans="2:8" ht="12.75">
      <c r="B8" s="196"/>
      <c r="C8" s="234" t="str">
        <f>+'Sch 7 Revenue'!E8</f>
        <v>Rates Effective 10-1-03</v>
      </c>
      <c r="D8" s="229"/>
      <c r="E8" s="228" t="str">
        <f>+'Sch 7 Revenue'!G8</f>
        <v>Rates Effective 2005</v>
      </c>
      <c r="F8" s="229"/>
      <c r="G8" s="230" t="str">
        <f>+'Sch 7 Revenue'!I8</f>
        <v>Differences</v>
      </c>
      <c r="H8" s="231"/>
    </row>
    <row r="9" spans="1:8" ht="12.75">
      <c r="A9" s="200"/>
      <c r="B9" s="200" t="s">
        <v>71</v>
      </c>
      <c r="C9" s="230" t="str">
        <f>+'Sch 7 Revenue'!E9</f>
        <v>Charge</v>
      </c>
      <c r="D9" s="231" t="str">
        <f>+'Sch 7 Revenue'!F9</f>
        <v>Revenue</v>
      </c>
      <c r="E9" s="232" t="str">
        <f>+'Sch 7 Revenue'!G9</f>
        <v>Charge</v>
      </c>
      <c r="F9" s="231" t="str">
        <f>+'Sch 7 Revenue'!H9</f>
        <v>Revenue</v>
      </c>
      <c r="G9" s="232" t="str">
        <f>+'Sch 7 Revenue'!I9</f>
        <v>$</v>
      </c>
      <c r="H9" s="231" t="str">
        <f>+'Sch 7 Revenue'!J9</f>
        <v>%</v>
      </c>
    </row>
    <row r="10" spans="1:6" ht="13.5" thickBot="1">
      <c r="A10" s="20" t="s">
        <v>349</v>
      </c>
      <c r="B10" s="33">
        <v>128379640</v>
      </c>
      <c r="C10" s="39"/>
      <c r="D10" s="24">
        <v>909678.36</v>
      </c>
      <c r="E10" s="39"/>
      <c r="F10" s="24">
        <f>+D10</f>
        <v>909678.36</v>
      </c>
    </row>
    <row r="11" ht="13.5" thickTop="1">
      <c r="B11" s="34"/>
    </row>
    <row r="12" spans="1:6" ht="13.5" thickBot="1">
      <c r="A12" s="20" t="s">
        <v>388</v>
      </c>
      <c r="B12" s="34"/>
      <c r="D12" s="24">
        <v>429988.1688594201</v>
      </c>
      <c r="F12" s="24">
        <f>+D12</f>
        <v>429988.1688594201</v>
      </c>
    </row>
    <row r="13" spans="1:6" ht="14.25" thickBot="1" thickTop="1">
      <c r="A13" s="20" t="s">
        <v>404</v>
      </c>
      <c r="B13" s="34"/>
      <c r="F13" s="24">
        <f>+D24*D15</f>
        <v>115894.21289092276</v>
      </c>
    </row>
    <row r="14" ht="13.5" thickTop="1">
      <c r="B14" s="34"/>
    </row>
    <row r="15" spans="1:8" ht="13.5" thickBot="1">
      <c r="A15" t="s">
        <v>326</v>
      </c>
      <c r="D15" s="136">
        <f>SUM(D12,D10)</f>
        <v>1339666.5288594202</v>
      </c>
      <c r="F15" s="136">
        <f>SUM(F10,F12:F13)</f>
        <v>1455560.741750343</v>
      </c>
      <c r="G15" s="136">
        <f>+F15-D15</f>
        <v>115894.21289092279</v>
      </c>
      <c r="H15" s="208">
        <f>+G15/D15</f>
        <v>0.08650974730972345</v>
      </c>
    </row>
    <row r="16" ht="13.5" thickTop="1"/>
    <row r="17" ht="12.75">
      <c r="D17" s="30"/>
    </row>
    <row r="18" spans="2:7" ht="12.75">
      <c r="B18" s="34"/>
      <c r="F18" s="30"/>
      <c r="G18" s="39"/>
    </row>
    <row r="19" spans="2:7" ht="12.75">
      <c r="B19" s="34"/>
      <c r="F19" s="30"/>
      <c r="G19" s="39"/>
    </row>
    <row r="20" spans="1:4" ht="12.75">
      <c r="A20" s="20" t="s">
        <v>400</v>
      </c>
      <c r="D20" s="30">
        <f>+'Small Firm Resale Revenue'!F19</f>
        <v>457442.6812635774</v>
      </c>
    </row>
    <row r="21" spans="1:4" ht="12.75">
      <c r="A21" s="20" t="s">
        <v>401</v>
      </c>
      <c r="D21" s="30">
        <f>+D20+D15</f>
        <v>1797109.2101229976</v>
      </c>
    </row>
    <row r="22" spans="1:4" ht="12.75">
      <c r="A22" s="20"/>
      <c r="D22" s="32"/>
    </row>
    <row r="23" spans="1:4" ht="12.75">
      <c r="A23" t="s">
        <v>402</v>
      </c>
      <c r="D23" s="28">
        <v>155467.4636557172</v>
      </c>
    </row>
    <row r="24" spans="1:4" ht="12.75">
      <c r="A24" s="9" t="s">
        <v>17</v>
      </c>
      <c r="D24" s="55">
        <f>+D23/D21</f>
        <v>0.08650974730972344</v>
      </c>
    </row>
    <row r="26" ht="12.75">
      <c r="D26" s="30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O62"/>
  <sheetViews>
    <sheetView tabSelected="1" zoomScale="70" zoomScaleNormal="70" zoomScaleSheetLayoutView="40" workbookViewId="0" topLeftCell="A1">
      <pane xSplit="2" ySplit="6" topLeftCell="H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/>
  <cols>
    <col min="1" max="1" width="35.57421875" style="0" customWidth="1"/>
    <col min="2" max="2" width="8.7109375" style="0" customWidth="1"/>
    <col min="3" max="6" width="14.8515625" style="0" customWidth="1"/>
    <col min="7" max="7" width="10.28125" style="0" customWidth="1"/>
    <col min="8" max="8" width="14.8515625" style="0" customWidth="1"/>
    <col min="9" max="9" width="9.7109375" style="0" customWidth="1"/>
    <col min="10" max="11" width="10.28125" style="0" customWidth="1"/>
    <col min="12" max="12" width="11.421875" style="0" bestFit="1" customWidth="1"/>
    <col min="13" max="13" width="14.8515625" style="0" customWidth="1"/>
    <col min="14" max="14" width="13.28125" style="0" customWidth="1"/>
    <col min="15" max="15" width="10.8515625" style="0" customWidth="1"/>
    <col min="16" max="16" width="13.7109375" style="0" customWidth="1"/>
    <col min="17" max="17" width="12.00390625" style="0" customWidth="1"/>
    <col min="18" max="18" width="14.28125" style="0" customWidth="1"/>
    <col min="19" max="19" width="10.8515625" style="0" customWidth="1"/>
    <col min="20" max="20" width="14.28125" style="0" customWidth="1"/>
    <col min="21" max="21" width="16.57421875" style="0" customWidth="1"/>
    <col min="22" max="16384" width="8.851562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6" spans="1:21" s="4" customFormat="1" ht="63.75">
      <c r="A6" s="2" t="s">
        <v>3</v>
      </c>
      <c r="B6" s="2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2" t="s">
        <v>12</v>
      </c>
      <c r="K6" s="2" t="s">
        <v>13</v>
      </c>
      <c r="L6" s="2" t="s">
        <v>14</v>
      </c>
      <c r="M6" s="2" t="s">
        <v>15</v>
      </c>
      <c r="N6" s="2" t="s">
        <v>16</v>
      </c>
      <c r="O6" s="2" t="s">
        <v>17</v>
      </c>
      <c r="P6" s="2" t="s">
        <v>18</v>
      </c>
      <c r="Q6" s="2" t="s">
        <v>19</v>
      </c>
      <c r="R6" s="2" t="s">
        <v>20</v>
      </c>
      <c r="S6" s="2" t="s">
        <v>21</v>
      </c>
      <c r="T6" s="2" t="s">
        <v>22</v>
      </c>
      <c r="U6" s="2" t="s">
        <v>23</v>
      </c>
    </row>
    <row r="7" spans="1:21" s="8" customFormat="1" ht="38.25">
      <c r="A7" s="5"/>
      <c r="B7" s="6"/>
      <c r="C7" s="7" t="s">
        <v>24</v>
      </c>
      <c r="D7" s="7" t="s">
        <v>25</v>
      </c>
      <c r="E7" s="7" t="s">
        <v>26</v>
      </c>
      <c r="F7" s="7" t="s">
        <v>27</v>
      </c>
      <c r="G7" s="7" t="s">
        <v>28</v>
      </c>
      <c r="H7" s="7" t="s">
        <v>29</v>
      </c>
      <c r="I7" s="7" t="s">
        <v>30</v>
      </c>
      <c r="J7" s="7" t="s">
        <v>31</v>
      </c>
      <c r="K7" s="7" t="s">
        <v>32</v>
      </c>
      <c r="L7" s="7" t="s">
        <v>33</v>
      </c>
      <c r="M7" s="7" t="s">
        <v>34</v>
      </c>
      <c r="N7" s="7" t="s">
        <v>35</v>
      </c>
      <c r="O7" s="7" t="s">
        <v>36</v>
      </c>
      <c r="P7" s="6" t="s">
        <v>37</v>
      </c>
      <c r="Q7" s="7" t="s">
        <v>38</v>
      </c>
      <c r="R7" s="8" t="s">
        <v>39</v>
      </c>
      <c r="S7" s="7" t="s">
        <v>40</v>
      </c>
      <c r="T7" s="8" t="s">
        <v>41</v>
      </c>
      <c r="U7" s="7" t="s">
        <v>42</v>
      </c>
    </row>
    <row r="8" spans="1:21" s="8" customFormat="1" ht="12.75">
      <c r="A8" s="5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S8" s="7"/>
      <c r="U8" s="7"/>
    </row>
    <row r="9" spans="1:21" ht="12.75">
      <c r="A9" s="9" t="s">
        <v>43</v>
      </c>
      <c r="B9" s="10">
        <v>7</v>
      </c>
      <c r="C9" s="11">
        <v>846842983.992171</v>
      </c>
      <c r="D9" s="11">
        <v>764791848.3859293</v>
      </c>
      <c r="E9" s="11">
        <v>798471926.7337695</v>
      </c>
      <c r="F9" s="11">
        <f>+C9-(E9-D9)</f>
        <v>813162905.6443309</v>
      </c>
      <c r="G9" s="12">
        <f>+F9/$F$31</f>
        <v>0.5646396259030821</v>
      </c>
      <c r="H9" s="11">
        <f>+G9*$H$34</f>
        <v>844973967.1650169</v>
      </c>
      <c r="I9" s="12">
        <f>+D9/$D$31</f>
        <v>0.5405336809686351</v>
      </c>
      <c r="J9" s="12">
        <f>+I9-G9</f>
        <v>-0.024105944934447066</v>
      </c>
      <c r="K9" s="12">
        <f>+J9*$K$36</f>
        <v>-0.012052972467223533</v>
      </c>
      <c r="L9" s="12">
        <f>+I9-K9</f>
        <v>0.5525866534358586</v>
      </c>
      <c r="M9" s="11">
        <f>+L9*$H$34</f>
        <v>826936890.958274</v>
      </c>
      <c r="N9" s="11">
        <f>+M9-D9</f>
        <v>62145042.57234466</v>
      </c>
      <c r="O9" s="13">
        <f>+N9/D9</f>
        <v>0.08125745940349645</v>
      </c>
      <c r="P9" s="13">
        <f>IF(O9&gt;P$38,P$38,IF(O9&lt;P$39,P$39,O9))</f>
        <v>0.08125745940349645</v>
      </c>
      <c r="Q9" s="11">
        <f>IF(O9=P9,0,P9*D9-N9)</f>
        <v>0</v>
      </c>
      <c r="R9" s="11">
        <f>IF(Q9=0,N9-Q$31*(M9/SUMIF(Q$9:Q$29,"=0",M$9:M$29)),N9+Q9)</f>
        <v>56601431.98593099</v>
      </c>
      <c r="S9" s="13">
        <f>+R9/D9</f>
        <v>0.07400893734077663</v>
      </c>
      <c r="T9" s="11">
        <f>R9</f>
        <v>56601431.98593099</v>
      </c>
      <c r="U9" s="13">
        <f>+T9/D9</f>
        <v>0.07400893734077663</v>
      </c>
    </row>
    <row r="10" spans="2:21" ht="12.75">
      <c r="B10" s="10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Q10" s="16"/>
      <c r="S10" s="15"/>
      <c r="U10" s="15"/>
    </row>
    <row r="11" spans="1:21" ht="12.75">
      <c r="A11" t="s">
        <v>44</v>
      </c>
      <c r="B11" s="10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/>
      <c r="Q11" s="16"/>
      <c r="S11" s="15"/>
      <c r="U11" s="15"/>
    </row>
    <row r="12" spans="1:21" ht="12.75">
      <c r="A12" s="17" t="s">
        <v>45</v>
      </c>
      <c r="B12" s="10">
        <v>24</v>
      </c>
      <c r="C12" s="14">
        <v>180038248.11810768</v>
      </c>
      <c r="D12" s="14">
        <v>173750826.62501916</v>
      </c>
      <c r="E12" s="14">
        <v>181072495.7916627</v>
      </c>
      <c r="F12" s="14">
        <f>+C12-(E12-D12)</f>
        <v>172716578.95146415</v>
      </c>
      <c r="G12" s="18">
        <f>+F12/$F$31</f>
        <v>0.11992999662120625</v>
      </c>
      <c r="H12" s="14">
        <f>+G12*$H$34</f>
        <v>179473278.84582773</v>
      </c>
      <c r="I12" s="18">
        <f>+D12/$D$31</f>
        <v>0.12280226846713427</v>
      </c>
      <c r="J12" s="18">
        <f>+I12-G12</f>
        <v>0.0028722718459280178</v>
      </c>
      <c r="K12" s="18">
        <f>+J12*$K$36</f>
        <v>0.0014361359229640089</v>
      </c>
      <c r="L12" s="18">
        <f>+I12-K12</f>
        <v>0.12136613254417025</v>
      </c>
      <c r="M12" s="14">
        <f>+L12*$H$34</f>
        <v>181622432.77081877</v>
      </c>
      <c r="N12" s="14">
        <f>+M12-D12</f>
        <v>7871606.145799607</v>
      </c>
      <c r="O12" s="19">
        <f>+N12/D12</f>
        <v>0.04530399249718527</v>
      </c>
      <c r="P12" s="19">
        <f>IF(O12&gt;P$38,P$38,IF(O12&lt;P$39,P$39,O12))</f>
        <v>0.04530399249718527</v>
      </c>
      <c r="Q12" s="16">
        <f>IF(O12=P12,0,P12*D12-N12)</f>
        <v>0</v>
      </c>
      <c r="R12" s="14">
        <f>IF(Q12=0,N12-Q$31*(M12/SUMIF(Q$9:Q$29,"=0",M$9:M$29)),N12+Q12)</f>
        <v>6654047.645208634</v>
      </c>
      <c r="S12" s="19">
        <f>+R12/D12</f>
        <v>0.038296494897080896</v>
      </c>
      <c r="T12" s="14">
        <f>R12</f>
        <v>6654047.645208634</v>
      </c>
      <c r="U12" s="19">
        <f>+T12/D12</f>
        <v>0.038296494897080896</v>
      </c>
    </row>
    <row r="13" spans="1:21" ht="12.75">
      <c r="A13" s="17" t="s">
        <v>46</v>
      </c>
      <c r="B13" s="10" t="s">
        <v>47</v>
      </c>
      <c r="C13" s="14">
        <v>188605876.74564487</v>
      </c>
      <c r="D13" s="14">
        <v>204205358.03691077</v>
      </c>
      <c r="E13" s="14">
        <v>210386855.0359477</v>
      </c>
      <c r="F13" s="14">
        <f>+C13-(E13-D13)</f>
        <v>182424379.74660793</v>
      </c>
      <c r="G13" s="18">
        <f>+F13/$F$31</f>
        <v>0.12667084642050727</v>
      </c>
      <c r="H13" s="14">
        <f>+G13*$H$34</f>
        <v>189560850.3439651</v>
      </c>
      <c r="I13" s="18">
        <f>+D13/$D$31</f>
        <v>0.14432668717136946</v>
      </c>
      <c r="J13" s="18">
        <f>+I13-G13</f>
        <v>0.017655840750862184</v>
      </c>
      <c r="K13" s="18">
        <f>+J13*$K$36</f>
        <v>0.008827920375431092</v>
      </c>
      <c r="L13" s="18">
        <f>+I13-K13</f>
        <v>0.13549876679593836</v>
      </c>
      <c r="M13" s="14">
        <f>+L13*$H$34</f>
        <v>202771688.83145955</v>
      </c>
      <c r="N13" s="14">
        <f>+M13-D13</f>
        <v>-1433669.2054512203</v>
      </c>
      <c r="O13" s="19">
        <f>+N13/D13</f>
        <v>-0.007020722762779221</v>
      </c>
      <c r="P13" s="19">
        <f>IF(O13&gt;P$38,P$38,IF(O13&lt;P$39,P$39,O13))</f>
        <v>0.028836582436574505</v>
      </c>
      <c r="Q13" s="16">
        <f>IF(O13=P13,0,P13*D13-N13)</f>
        <v>7322253.84647281</v>
      </c>
      <c r="R13" s="14">
        <f>IF(Q13=0,N13-Q$31*(M13/SUMIF(Q$9:Q$29,"=0",M$9:M$29)),N13+Q13)</f>
        <v>5888584.64102159</v>
      </c>
      <c r="S13" s="19">
        <f>+R13/D13</f>
        <v>0.028836582436574505</v>
      </c>
      <c r="T13" s="14">
        <f>R13</f>
        <v>5888584.64102159</v>
      </c>
      <c r="U13" s="19">
        <f>+T13/D13</f>
        <v>0.028836582436574505</v>
      </c>
    </row>
    <row r="14" spans="1:21" ht="12.75">
      <c r="A14" s="17" t="s">
        <v>48</v>
      </c>
      <c r="B14" s="10">
        <v>26</v>
      </c>
      <c r="C14" s="14">
        <v>117087431.92764865</v>
      </c>
      <c r="D14" s="14">
        <v>119831706.34756067</v>
      </c>
      <c r="E14" s="14">
        <v>123648255.57471497</v>
      </c>
      <c r="F14" s="14">
        <f>+C14-(E14-D14)</f>
        <v>113270882.70049435</v>
      </c>
      <c r="G14" s="18">
        <f>+F14/$F$31</f>
        <v>0.07865241809455246</v>
      </c>
      <c r="H14" s="14">
        <f>+G14*$H$34</f>
        <v>117702057.55251577</v>
      </c>
      <c r="I14" s="18">
        <f>+D14/$D$31</f>
        <v>0.08469372871259179</v>
      </c>
      <c r="J14" s="18">
        <f>+I14-G14</f>
        <v>0.006041310618039322</v>
      </c>
      <c r="K14" s="18">
        <f>+J14*$K$36</f>
        <v>0.003020655309019661</v>
      </c>
      <c r="L14" s="18">
        <f>+I14-K14</f>
        <v>0.08167307340357213</v>
      </c>
      <c r="M14" s="14">
        <f>+L14*$H$34</f>
        <v>122222418.82864507</v>
      </c>
      <c r="N14" s="14">
        <f>+M14-D14</f>
        <v>2390712.4810843915</v>
      </c>
      <c r="O14" s="19">
        <f>+N14/D14</f>
        <v>0.019950583647289084</v>
      </c>
      <c r="P14" s="19">
        <f>IF(O14&gt;P$38,P$38,IF(O14&lt;P$39,P$39,O14))</f>
        <v>0.028836582436574505</v>
      </c>
      <c r="Q14" s="16">
        <f>IF(O14=P14,0,P14*D14-N14)</f>
        <v>1064824.3975224304</v>
      </c>
      <c r="R14" s="14">
        <f>IF(Q14=0,N14-Q$31*(M14/SUMIF(Q$9:Q$29,"=0",M$9:M$29)),N14+Q14)</f>
        <v>3455536.878606822</v>
      </c>
      <c r="S14" s="19">
        <f>+R14/D14</f>
        <v>0.028836582436574505</v>
      </c>
      <c r="T14" s="14">
        <f>R14-(T18-R18)</f>
        <v>2447825.862151954</v>
      </c>
      <c r="U14" s="19">
        <f>+T14/D14</f>
        <v>0.020427196914414816</v>
      </c>
    </row>
    <row r="15" spans="1:21" ht="12.75">
      <c r="A15" s="20" t="s">
        <v>49</v>
      </c>
      <c r="B15" s="10"/>
      <c r="C15" s="11">
        <f aca="true" t="shared" si="0" ref="C15:N15">SUM(C12:C14)</f>
        <v>485731556.7914012</v>
      </c>
      <c r="D15" s="11">
        <f>SUM(D12:D14)</f>
        <v>497787891.0094906</v>
      </c>
      <c r="E15" s="11">
        <f t="shared" si="0"/>
        <v>515107606.40232533</v>
      </c>
      <c r="F15" s="11">
        <f t="shared" si="0"/>
        <v>468411841.3985664</v>
      </c>
      <c r="G15" s="12">
        <f t="shared" si="0"/>
        <v>0.325253261136266</v>
      </c>
      <c r="H15" s="11">
        <f t="shared" si="0"/>
        <v>486736186.7423086</v>
      </c>
      <c r="I15" s="12">
        <f t="shared" si="0"/>
        <v>0.3518226843510955</v>
      </c>
      <c r="J15" s="12">
        <f t="shared" si="0"/>
        <v>0.026569423214829524</v>
      </c>
      <c r="K15" s="12">
        <f t="shared" si="0"/>
        <v>0.013284711607414762</v>
      </c>
      <c r="L15" s="12">
        <f t="shared" si="0"/>
        <v>0.3385379727436807</v>
      </c>
      <c r="M15" s="11">
        <f t="shared" si="0"/>
        <v>506616540.4309234</v>
      </c>
      <c r="N15" s="11">
        <f t="shared" si="0"/>
        <v>8828649.421432778</v>
      </c>
      <c r="O15" s="13">
        <f>+N15/D15</f>
        <v>0.017735765736544312</v>
      </c>
      <c r="P15" s="13">
        <f>IF(O15&gt;P$38,P$38,IF(O15&lt;P$39,P$39,O15))</f>
        <v>0.028836582436574505</v>
      </c>
      <c r="Q15" s="11">
        <f>SUM(Q12:Q14)</f>
        <v>8387078.24399524</v>
      </c>
      <c r="R15" s="11">
        <f>SUM(R12:R14)</f>
        <v>15998169.164837047</v>
      </c>
      <c r="S15" s="13">
        <f>+R15/D15</f>
        <v>0.032138526175061244</v>
      </c>
      <c r="T15" s="11">
        <f>SUM(T12:T14)</f>
        <v>14990458.14838218</v>
      </c>
      <c r="U15" s="13">
        <f>+T15/D15</f>
        <v>0.030114147851170565</v>
      </c>
    </row>
    <row r="16" spans="2:21" ht="12.75">
      <c r="B16" s="10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  <c r="S16" s="15"/>
      <c r="U16" s="15"/>
    </row>
    <row r="17" spans="1:21" ht="12.75">
      <c r="A17" t="s">
        <v>50</v>
      </c>
      <c r="B17" s="10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S17" s="15"/>
      <c r="U17" s="15"/>
    </row>
    <row r="18" spans="1:21" ht="12.75">
      <c r="A18" s="17" t="s">
        <v>51</v>
      </c>
      <c r="B18" s="10">
        <v>31</v>
      </c>
      <c r="C18" s="14">
        <v>101568114.67336719</v>
      </c>
      <c r="D18" s="14">
        <v>96838451.52020907</v>
      </c>
      <c r="E18" s="14">
        <v>100461275.83498174</v>
      </c>
      <c r="F18" s="14">
        <f>+C18-(E18-D18)</f>
        <v>97945290.35859452</v>
      </c>
      <c r="G18" s="18">
        <f>+F18/$F$31</f>
        <v>0.0680107168233703</v>
      </c>
      <c r="H18" s="14">
        <f>+G18*$H$34</f>
        <v>101776925.61351292</v>
      </c>
      <c r="I18" s="18">
        <f>+D18/$D$31</f>
        <v>0.06844273349669291</v>
      </c>
      <c r="J18" s="18">
        <f>+I18-G18</f>
        <v>0.0004320166733226133</v>
      </c>
      <c r="K18" s="18">
        <f>+J18*$K$36</f>
        <v>0.00021600833666130664</v>
      </c>
      <c r="L18" s="18">
        <f>+I18-K18</f>
        <v>0.06822672516003161</v>
      </c>
      <c r="M18" s="14">
        <f>+L18*$H$34</f>
        <v>102100178.55715375</v>
      </c>
      <c r="N18" s="14">
        <f>+M18-D18</f>
        <v>5261727.036944672</v>
      </c>
      <c r="O18" s="19">
        <f>+N18/D18</f>
        <v>0.05433510092679054</v>
      </c>
      <c r="P18" s="19">
        <f>IF(O18&gt;P$38,P$38,IF(O18&lt;P$39,P$39,O18))</f>
        <v>0.05433510092679054</v>
      </c>
      <c r="Q18" s="16">
        <f>IF(O18=P18,0,P18*D18-N18)</f>
        <v>0</v>
      </c>
      <c r="R18" s="14">
        <f>IF(Q18=0,N18-Q$31*(M18/SUMIF(Q$9:Q$29,"=0",M$9:M$29)),N18+Q18)</f>
        <v>4577268.964130597</v>
      </c>
      <c r="S18" s="19">
        <f>+R18/D18</f>
        <v>0.0472670606796658</v>
      </c>
      <c r="T18" s="14">
        <f>D18*S31</f>
        <v>5584979.980585465</v>
      </c>
      <c r="U18" s="19">
        <f>+T18/D18</f>
        <v>0.05767316487314901</v>
      </c>
    </row>
    <row r="19" spans="1:21" ht="12.75">
      <c r="A19" s="21" t="s">
        <v>52</v>
      </c>
      <c r="B19" s="10">
        <v>35</v>
      </c>
      <c r="C19" s="14">
        <v>323266.37224190705</v>
      </c>
      <c r="D19" s="14">
        <v>199990.02620000002</v>
      </c>
      <c r="E19" s="14">
        <v>209052.31495810585</v>
      </c>
      <c r="F19" s="14">
        <f>+C19-(E19-D19)</f>
        <v>314204.0834838012</v>
      </c>
      <c r="G19" s="18">
        <f>+F19/$F$31</f>
        <v>0.0002181753187756852</v>
      </c>
      <c r="H19" s="14">
        <f>+G19*$H$34</f>
        <v>326495.7969404474</v>
      </c>
      <c r="I19" s="18">
        <f>+D19/$D$31</f>
        <v>0.00014134740746393217</v>
      </c>
      <c r="J19" s="18">
        <f>+I19-G19</f>
        <v>-7.682791131175302E-05</v>
      </c>
      <c r="K19" s="18">
        <f>+J19*$K$36</f>
        <v>-3.841395565587651E-05</v>
      </c>
      <c r="L19" s="18">
        <f>+I19-K19</f>
        <v>0.00017976136311980868</v>
      </c>
      <c r="M19" s="14">
        <f>+L19*$H$34</f>
        <v>269009.94044723274</v>
      </c>
      <c r="N19" s="14">
        <f>+M19-D19</f>
        <v>69019.91424723272</v>
      </c>
      <c r="O19" s="19">
        <f>+N19/D19</f>
        <v>0.3451167818649584</v>
      </c>
      <c r="P19" s="19">
        <f>P18</f>
        <v>0.05433510092679054</v>
      </c>
      <c r="Q19" s="16">
        <f>IF(O19=P19,0,P19*D19-N19)</f>
        <v>-58153.435989304235</v>
      </c>
      <c r="R19" s="14">
        <f>IF(Q19=0,N19-Q$31*(M19/SUMIF(Q$9:Q$29,"=0",M$9:M$29)),N19+Q19)</f>
        <v>10866.478257928487</v>
      </c>
      <c r="S19" s="19">
        <f>+R19/D19</f>
        <v>0.05433510092679055</v>
      </c>
      <c r="T19" s="14">
        <f>R19</f>
        <v>10866.478257928487</v>
      </c>
      <c r="U19" s="19">
        <f>+T19/D19</f>
        <v>0.05433510092679055</v>
      </c>
    </row>
    <row r="20" spans="1:21" ht="12.75">
      <c r="A20" s="21" t="s">
        <v>53</v>
      </c>
      <c r="B20" s="10">
        <v>43</v>
      </c>
      <c r="C20" s="14">
        <v>14661995.447132204</v>
      </c>
      <c r="D20" s="14">
        <v>11991712.533453215</v>
      </c>
      <c r="E20" s="14">
        <v>12421758.234688958</v>
      </c>
      <c r="F20" s="14">
        <f>+C20-(E20-D20)</f>
        <v>14231949.74589646</v>
      </c>
      <c r="G20" s="18">
        <f>+F20/$F$31</f>
        <v>0.009882303686771064</v>
      </c>
      <c r="H20" s="14">
        <f>+G20*$H$34</f>
        <v>14788705.871616788</v>
      </c>
      <c r="I20" s="18">
        <f>+D20/$D$31</f>
        <v>0.008475410048505478</v>
      </c>
      <c r="J20" s="18">
        <f>+I20-G20</f>
        <v>-0.0014068936382655856</v>
      </c>
      <c r="K20" s="18">
        <f>+J20*$K$36</f>
        <v>-0.0007034468191327928</v>
      </c>
      <c r="L20" s="18">
        <f>+I20-K20</f>
        <v>0.009178856867638271</v>
      </c>
      <c r="M20" s="14">
        <f>+L20*$H$34</f>
        <v>13736009.209561631</v>
      </c>
      <c r="N20" s="14">
        <f>+M20-D20</f>
        <v>1744296.6761084162</v>
      </c>
      <c r="O20" s="19">
        <f>+N20/D20</f>
        <v>0.14545851322255776</v>
      </c>
      <c r="P20" s="19">
        <f>IF(O20&gt;P$38,P$38,IF(O20&lt;P$39,P$39,O20))</f>
        <v>0.08650974730972352</v>
      </c>
      <c r="Q20" s="16">
        <f>IF(O20=P20,0,P20*D20-N20)</f>
        <v>-706896.6550285341</v>
      </c>
      <c r="R20" s="14">
        <f>IF(Q20=0,N20-Q$31*(M20/SUMIF(Q$9:Q$29,"=0",M$9:M$29)),N20+Q20)</f>
        <v>1037400.021079882</v>
      </c>
      <c r="S20" s="19">
        <f>+R20/D20</f>
        <v>0.08650974730972352</v>
      </c>
      <c r="T20" s="14">
        <f>R20</f>
        <v>1037400.021079882</v>
      </c>
      <c r="U20" s="19">
        <f>+T20/D20</f>
        <v>0.08650974730972352</v>
      </c>
    </row>
    <row r="21" spans="1:21" ht="12.75">
      <c r="A21" s="9" t="s">
        <v>54</v>
      </c>
      <c r="B21" s="10"/>
      <c r="C21" s="11">
        <f aca="true" t="shared" si="1" ref="C21:N21">SUM(C18:C20)</f>
        <v>116553376.4927413</v>
      </c>
      <c r="D21" s="11">
        <f>SUM(D18:D20)</f>
        <v>109030154.07986228</v>
      </c>
      <c r="E21" s="11">
        <f t="shared" si="1"/>
        <v>113092086.3846288</v>
      </c>
      <c r="F21" s="11">
        <f t="shared" si="1"/>
        <v>112491444.18797478</v>
      </c>
      <c r="G21" s="12">
        <f t="shared" si="1"/>
        <v>0.07811119582891705</v>
      </c>
      <c r="H21" s="11">
        <f t="shared" si="1"/>
        <v>116892127.28207016</v>
      </c>
      <c r="I21" s="12">
        <f t="shared" si="1"/>
        <v>0.07705949095266233</v>
      </c>
      <c r="J21" s="12">
        <f t="shared" si="1"/>
        <v>-0.0010517048762547253</v>
      </c>
      <c r="K21" s="12">
        <f t="shared" si="1"/>
        <v>-0.0005258524381273627</v>
      </c>
      <c r="L21" s="12">
        <f t="shared" si="1"/>
        <v>0.0775853433907897</v>
      </c>
      <c r="M21" s="11">
        <f t="shared" si="1"/>
        <v>116105197.7071626</v>
      </c>
      <c r="N21" s="11">
        <f t="shared" si="1"/>
        <v>7075043.627300321</v>
      </c>
      <c r="O21" s="13">
        <f>+N21/D21</f>
        <v>0.06489070557598223</v>
      </c>
      <c r="P21" s="13">
        <f>IF(O21&gt;P$38,P$38,IF(O21&lt;P$39,P$39,O21))</f>
        <v>0.06489070557598223</v>
      </c>
      <c r="Q21" s="11">
        <f>SUM(Q18:Q20)</f>
        <v>-765050.0910178383</v>
      </c>
      <c r="R21" s="11">
        <f>SUM(R18:R20)</f>
        <v>5625535.463468407</v>
      </c>
      <c r="S21" s="13">
        <f>+R21/D21</f>
        <v>0.05159614338752398</v>
      </c>
      <c r="T21" s="11">
        <f>SUM(T18:T20)</f>
        <v>6633246.479923275</v>
      </c>
      <c r="U21" s="13">
        <f>+T21/D21</f>
        <v>0.06083864171249875</v>
      </c>
    </row>
    <row r="22" spans="2:21" ht="12.75">
      <c r="B22" s="10"/>
      <c r="O22" s="15"/>
      <c r="S22" s="15"/>
      <c r="U22" s="15"/>
    </row>
    <row r="23" spans="1:21" ht="12.75">
      <c r="A23" s="20" t="s">
        <v>55</v>
      </c>
      <c r="B23" s="10" t="s">
        <v>56</v>
      </c>
      <c r="C23" s="11">
        <v>26192231.24916913</v>
      </c>
      <c r="D23" s="11">
        <v>22208536.686845962</v>
      </c>
      <c r="E23" s="11">
        <v>23581875.378999148</v>
      </c>
      <c r="F23" s="11">
        <f aca="true" t="shared" si="2" ref="F23:F29">+C23-(E23-D23)</f>
        <v>24818892.557015944</v>
      </c>
      <c r="G23" s="12">
        <f>+F23/$F$31</f>
        <v>0.017233607326957598</v>
      </c>
      <c r="H23" s="11">
        <f>+G23*$H$34</f>
        <v>25789811.560485408</v>
      </c>
      <c r="I23" s="12">
        <f>+D23/$D$31</f>
        <v>0.015696378183950165</v>
      </c>
      <c r="J23" s="12">
        <f>+I23-G23</f>
        <v>-0.0015372291430074334</v>
      </c>
      <c r="K23" s="12">
        <f>+J23*$K$36</f>
        <v>-0.0007686145715037167</v>
      </c>
      <c r="L23" s="12">
        <f>+I23-K23</f>
        <v>0.01646499275545388</v>
      </c>
      <c r="M23" s="11">
        <f>+L23*$H$34</f>
        <v>24639592.422631606</v>
      </c>
      <c r="N23" s="11">
        <f>+M23-D23</f>
        <v>2431055.7357856445</v>
      </c>
      <c r="O23" s="13">
        <f>+N23/D23</f>
        <v>0.1094649219831557</v>
      </c>
      <c r="P23" s="13">
        <f>IF(O23&gt;P$38,P$38,IF(O23&lt;P$39,P$39,O23))</f>
        <v>0.08650974730972352</v>
      </c>
      <c r="Q23" s="11">
        <f>IF(O23=P23,0,P23*D23-N23)</f>
        <v>-509800.8388878759</v>
      </c>
      <c r="R23" s="11">
        <f>IF(Q23=0,N23-Q$31*(M23/SUMIF(Q$9:Q$29,"=0",M$9:M$29)),N23+Q23)</f>
        <v>1921254.8968977686</v>
      </c>
      <c r="S23" s="13">
        <f>+R23/D23</f>
        <v>0.08650974730972352</v>
      </c>
      <c r="T23" s="11">
        <f>R23</f>
        <v>1921254.8968977686</v>
      </c>
      <c r="U23" s="13">
        <f>+T23/D23</f>
        <v>0.08650974730972352</v>
      </c>
    </row>
    <row r="24" spans="2:21" ht="12.7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/>
      <c r="S24" s="19"/>
      <c r="U24" s="19"/>
    </row>
    <row r="25" spans="1:21" ht="12.75">
      <c r="A25" s="20" t="s">
        <v>57</v>
      </c>
      <c r="B25" s="10">
        <v>449</v>
      </c>
      <c r="C25" s="11">
        <v>7141613.129228146</v>
      </c>
      <c r="D25" s="11">
        <v>6379014.859999999</v>
      </c>
      <c r="E25" s="11">
        <v>9798347.030368775</v>
      </c>
      <c r="F25" s="11">
        <f t="shared" si="2"/>
        <v>3722280.95885937</v>
      </c>
      <c r="G25" s="12">
        <f>+F25/$F$31</f>
        <v>0.0025846571622092696</v>
      </c>
      <c r="H25" s="11">
        <f>+G25*$H$34</f>
        <v>3867897.1788783194</v>
      </c>
      <c r="I25" s="12">
        <f>+D25/$D$31</f>
        <v>0.004508510898104468</v>
      </c>
      <c r="J25" s="12">
        <f>+I25-G25</f>
        <v>0.0019238537358951982</v>
      </c>
      <c r="K25" s="12">
        <f>+J25*$K$36</f>
        <v>0.0009619268679475991</v>
      </c>
      <c r="L25" s="12">
        <f>+I25-K25</f>
        <v>0.0035465840301568685</v>
      </c>
      <c r="M25" s="11">
        <f>+L25*$H$34</f>
        <v>5307405.007313683</v>
      </c>
      <c r="N25" s="11">
        <f>+M25-D25</f>
        <v>-1071609.8526863167</v>
      </c>
      <c r="O25" s="13">
        <f>+N25/D25</f>
        <v>-0.16798986617916686</v>
      </c>
      <c r="P25" s="13">
        <f>IF(O25&gt;P$38,P$38,IF(O25&lt;P$39,P$39,O25))</f>
        <v>0.028836582436574505</v>
      </c>
      <c r="Q25" s="11">
        <f>IF(O25=P25,0,P25*D25-N25)</f>
        <v>1255558.8405608404</v>
      </c>
      <c r="R25" s="11">
        <f>IF(Q25=0,N25-Q$31*(M25/SUMIF(Q$9:Q$29,"=0",M$9:M$29)),N25+Q25)</f>
        <v>183948.98787452374</v>
      </c>
      <c r="S25" s="13">
        <f>+R25/D25</f>
        <v>0.028836582436574502</v>
      </c>
      <c r="T25" s="11">
        <f>R25</f>
        <v>183948.98787452374</v>
      </c>
      <c r="U25" s="13">
        <f>+T25/D25</f>
        <v>0.028836582436574502</v>
      </c>
    </row>
    <row r="26" spans="2:21" ht="12.75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19"/>
      <c r="S26" s="19"/>
      <c r="U26" s="19"/>
    </row>
    <row r="27" spans="1:21" ht="12.75">
      <c r="A27" t="s">
        <v>58</v>
      </c>
      <c r="B27" s="10" t="s">
        <v>59</v>
      </c>
      <c r="C27" s="11">
        <v>15794090.110363415</v>
      </c>
      <c r="D27" s="11">
        <v>12888320.439728683</v>
      </c>
      <c r="E27" s="11">
        <v>13100032.444748603</v>
      </c>
      <c r="F27" s="11">
        <f t="shared" si="2"/>
        <v>15582378.105343495</v>
      </c>
      <c r="G27" s="12">
        <f>+F27/$F$31</f>
        <v>0.01082000676987333</v>
      </c>
      <c r="H27" s="11">
        <f>+G27*$H$34</f>
        <v>16191963.202138947</v>
      </c>
      <c r="I27" s="12">
        <f>+D27/$D$31</f>
        <v>0.009109107665690458</v>
      </c>
      <c r="J27" s="12">
        <f>+I27-G27</f>
        <v>-0.0017108991041828725</v>
      </c>
      <c r="K27" s="12">
        <f>+J27*$K$36</f>
        <v>-0.0008554495520914362</v>
      </c>
      <c r="L27" s="12">
        <f>+I27-K27</f>
        <v>0.009964557217781894</v>
      </c>
      <c r="M27" s="11">
        <f>+L27*$H$34</f>
        <v>14911796.93576304</v>
      </c>
      <c r="N27" s="11">
        <f>+M27-D27</f>
        <v>2023476.4960343577</v>
      </c>
      <c r="O27" s="13">
        <f>+N27/D27</f>
        <v>0.15700079040531326</v>
      </c>
      <c r="P27" s="13">
        <f>IF(O27&gt;P$38,P$38,IF(O27&lt;P$39,P$39,O27))</f>
        <v>0.08650974730972352</v>
      </c>
      <c r="Q27" s="11">
        <f>IF(O27=P27,0,P27*D27-N27)</f>
        <v>-908511.1515466846</v>
      </c>
      <c r="R27" s="11">
        <f>IF(Q27=0,N27-Q$31*(M27/SUMIF(Q$9:Q$29,"=0",M$9:M$29)),N27+Q27)</f>
        <v>1114965.3444876731</v>
      </c>
      <c r="S27" s="13">
        <f>+R27/D27</f>
        <v>0.08650974730972352</v>
      </c>
      <c r="T27" s="11">
        <f>R27</f>
        <v>1114965.3444876731</v>
      </c>
      <c r="U27" s="13">
        <f>+T27/D27</f>
        <v>0.08650974730972352</v>
      </c>
    </row>
    <row r="28" spans="2:21" ht="12.75">
      <c r="B28" s="1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19"/>
      <c r="S28" s="19"/>
      <c r="U28" s="19"/>
    </row>
    <row r="29" spans="1:21" ht="12.75">
      <c r="A29" t="s">
        <v>60</v>
      </c>
      <c r="B29" s="23" t="s">
        <v>61</v>
      </c>
      <c r="C29" s="11">
        <v>2016904.4320779047</v>
      </c>
      <c r="D29" s="11">
        <v>1797109.2101229976</v>
      </c>
      <c r="E29" s="11">
        <v>1858806.7951598582</v>
      </c>
      <c r="F29" s="11">
        <f t="shared" si="2"/>
        <v>1955206.8470410442</v>
      </c>
      <c r="G29" s="12">
        <f>+F29/$F$31</f>
        <v>0.0013576458726946314</v>
      </c>
      <c r="H29" s="11">
        <f>+G29*$H$34</f>
        <v>2031694.8482338744</v>
      </c>
      <c r="I29" s="12">
        <f>+D29/$D$31</f>
        <v>0.0012701469798619418</v>
      </c>
      <c r="J29" s="12">
        <f>+I29-G29</f>
        <v>-8.74988928326896E-05</v>
      </c>
      <c r="K29" s="12">
        <f>+J29*$K$36</f>
        <v>-4.37494464163448E-05</v>
      </c>
      <c r="L29" s="12">
        <f>+I29-K29</f>
        <v>0.0013138964262782867</v>
      </c>
      <c r="M29" s="11">
        <f>+L29*$H$34</f>
        <v>1966224.5170636754</v>
      </c>
      <c r="N29" s="11">
        <f>+M29-D29</f>
        <v>169115.3069406778</v>
      </c>
      <c r="O29" s="13">
        <f>+N29/D29</f>
        <v>0.09410407892189436</v>
      </c>
      <c r="P29" s="13">
        <f>IF(O29&gt;P$38,P$38,IF(O29&lt;P$39,P$39,O29))</f>
        <v>0.08650974730972352</v>
      </c>
      <c r="Q29" s="11">
        <f>IF(O29=P29,0,P29*D29-N29)</f>
        <v>-13647.843284960458</v>
      </c>
      <c r="R29" s="11">
        <f>IF(Q29=0,N29-Q$31*(M29/SUMIF(Q$9:Q$29,"=0",M$9:M$29)),N29+Q29)</f>
        <v>155467.46365571735</v>
      </c>
      <c r="S29" s="13">
        <f>+R29/D29</f>
        <v>0.08650974730972352</v>
      </c>
      <c r="T29" s="11">
        <f>R29</f>
        <v>155467.46365571735</v>
      </c>
      <c r="U29" s="13">
        <f>+T29/D29</f>
        <v>0.08650974730972352</v>
      </c>
    </row>
    <row r="30" spans="2:21" ht="12.75">
      <c r="B30" s="10"/>
      <c r="O30" s="15"/>
      <c r="S30" s="15"/>
      <c r="U30" s="15"/>
    </row>
    <row r="31" spans="1:21" ht="13.5" thickBot="1">
      <c r="A31" t="s">
        <v>62</v>
      </c>
      <c r="B31" s="10"/>
      <c r="C31" s="24">
        <f aca="true" t="shared" si="3" ref="C31:N31">SUM(C29,C27,C25,C23,C21,C15,C9)</f>
        <v>1500272756.1971521</v>
      </c>
      <c r="D31" s="24">
        <f>SUM(D29,D27,D25,D23,D21,D15,D9)</f>
        <v>1414882874.67198</v>
      </c>
      <c r="E31" s="24">
        <f>SUM(E29,E27,E25,E23,E21,E15,E9)</f>
        <v>1475010681.17</v>
      </c>
      <c r="F31" s="24">
        <f t="shared" si="3"/>
        <v>1440144949.699132</v>
      </c>
      <c r="G31" s="25">
        <f t="shared" si="3"/>
        <v>1</v>
      </c>
      <c r="H31" s="24">
        <f t="shared" si="3"/>
        <v>1496483647.9791322</v>
      </c>
      <c r="I31" s="25">
        <f t="shared" si="3"/>
        <v>0.9999999999999999</v>
      </c>
      <c r="J31" s="25">
        <f t="shared" si="3"/>
        <v>-6.245004513516506E-17</v>
      </c>
      <c r="K31" s="25">
        <f t="shared" si="3"/>
        <v>-3.122502256758253E-17</v>
      </c>
      <c r="L31" s="25">
        <f t="shared" si="3"/>
        <v>0.9999999999999999</v>
      </c>
      <c r="M31" s="24">
        <f t="shared" si="3"/>
        <v>1496483647.9791322</v>
      </c>
      <c r="N31" s="24">
        <f t="shared" si="3"/>
        <v>81600773.30715212</v>
      </c>
      <c r="O31" s="26">
        <f>+N31/D31</f>
        <v>0.05767316487314901</v>
      </c>
      <c r="Q31" s="24">
        <f>SUM(Q29,Q27,Q25,Q23,Q21,Q15,Q9)</f>
        <v>7445627.159818721</v>
      </c>
      <c r="R31" s="24">
        <f>SUM(R29,R27,R25,R23,R21,R15,R9)</f>
        <v>81600773.30715212</v>
      </c>
      <c r="S31" s="13">
        <f>+R31/D31</f>
        <v>0.05767316487314901</v>
      </c>
      <c r="T31" s="24">
        <f>SUM(T29,T27,T25,T23,T21,T15,T9)</f>
        <v>81600773.30715212</v>
      </c>
      <c r="U31" s="13">
        <f>+T31/D31</f>
        <v>0.05767316487314901</v>
      </c>
    </row>
    <row r="32" spans="2:21" ht="13.5" thickTop="1">
      <c r="B32" s="10"/>
      <c r="C32" s="27"/>
      <c r="D32" s="28"/>
      <c r="E32" s="27"/>
      <c r="G32" s="27"/>
      <c r="H32" s="27"/>
      <c r="I32" s="27"/>
      <c r="J32" s="27"/>
      <c r="K32" s="27"/>
      <c r="L32" s="27"/>
      <c r="M32" s="27"/>
      <c r="N32" s="27"/>
      <c r="O32" s="27"/>
      <c r="S32" s="27"/>
      <c r="U32" s="27"/>
    </row>
    <row r="33" spans="2:8" ht="13.5" thickBot="1">
      <c r="B33" s="10"/>
      <c r="C33" s="29"/>
      <c r="E33" s="29"/>
      <c r="F33" s="29"/>
      <c r="G33" s="29"/>
      <c r="H33" s="30"/>
    </row>
    <row r="34" spans="1:93" ht="13.5" thickBot="1">
      <c r="A34" s="273" t="s">
        <v>63</v>
      </c>
      <c r="B34" s="270"/>
      <c r="C34" s="274"/>
      <c r="D34" s="271"/>
      <c r="E34" s="274"/>
      <c r="F34" s="274"/>
      <c r="G34" s="274"/>
      <c r="H34" s="275">
        <v>1496483647.9791322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</row>
    <row r="35" spans="1:18" ht="13.5" thickBot="1">
      <c r="A35" s="31"/>
      <c r="B35" s="259"/>
      <c r="C35" s="31"/>
      <c r="D35" s="31"/>
      <c r="E35" s="31"/>
      <c r="F35" s="31"/>
      <c r="G35" s="31"/>
      <c r="H35" s="260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3.5" thickBot="1">
      <c r="A36" s="269" t="s">
        <v>64</v>
      </c>
      <c r="B36" s="270"/>
      <c r="C36" s="271"/>
      <c r="D36" s="271"/>
      <c r="E36" s="271"/>
      <c r="F36" s="271"/>
      <c r="G36" s="271"/>
      <c r="H36" s="271"/>
      <c r="I36" s="271"/>
      <c r="J36" s="271"/>
      <c r="K36" s="272">
        <v>0.5</v>
      </c>
      <c r="L36" s="31"/>
      <c r="M36" s="31"/>
      <c r="N36" s="31"/>
      <c r="O36" s="31"/>
      <c r="P36" s="31"/>
      <c r="Q36" s="31"/>
      <c r="R36" s="31"/>
    </row>
    <row r="37" spans="1:18" ht="13.5" thickBot="1">
      <c r="A37" s="31"/>
      <c r="B37" s="259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261" t="s">
        <v>65</v>
      </c>
      <c r="B38" s="262"/>
      <c r="C38" s="263"/>
      <c r="D38" s="263"/>
      <c r="E38" s="263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4">
        <f>1.5*O31</f>
        <v>0.08650974730972352</v>
      </c>
      <c r="Q38" s="31"/>
      <c r="R38" s="31"/>
    </row>
    <row r="39" spans="1:18" ht="13.5" thickBot="1">
      <c r="A39" s="265" t="s">
        <v>66</v>
      </c>
      <c r="B39" s="266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8">
        <f>0.5*O31</f>
        <v>0.028836582436574505</v>
      </c>
      <c r="Q39" s="31"/>
      <c r="R39" s="31"/>
    </row>
    <row r="40" spans="1:18" ht="12.75">
      <c r="A40" s="31"/>
      <c r="B40" s="259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</sheetData>
  <printOptions horizontalCentered="1"/>
  <pageMargins left="0.25" right="0.25" top="1.75" bottom="1" header="1.25" footer="0.5"/>
  <pageSetup horizontalDpi="600" verticalDpi="600" orientation="landscape" scale="58" r:id="rId1"/>
  <headerFooter alignWithMargins="0">
    <oddHeader>&amp;CPuget Sound Energy
Twelve Months ended September 30, 2003
Summary
Increase Based on Cost of Service Parity Ratios</oddHeader>
    <oddFooter>&amp;L&amp;16Tenth Exhibit to Prefiled
Direct Testimony of James A. Heidell&amp;R&amp;16Exhibit No.___ (JAH-12)
Page &amp;P of &amp;N</oddFooter>
  </headerFooter>
  <colBreaks count="1" manualBreakCount="1">
    <brk id="13" min="5" max="3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="75" zoomScaleNormal="75" zoomScaleSheetLayoutView="40" workbookViewId="0" topLeftCell="A1">
      <selection activeCell="D7" sqref="D7"/>
    </sheetView>
  </sheetViews>
  <sheetFormatPr defaultColWidth="9.140625" defaultRowHeight="12.75"/>
  <cols>
    <col min="1" max="1" width="4.57421875" style="0" bestFit="1" customWidth="1"/>
    <col min="2" max="2" width="39.00390625" style="0" bestFit="1" customWidth="1"/>
    <col min="3" max="3" width="20.57421875" style="0" bestFit="1" customWidth="1"/>
    <col min="4" max="4" width="13.8515625" style="0" bestFit="1" customWidth="1"/>
    <col min="5" max="5" width="16.421875" style="0" customWidth="1"/>
    <col min="6" max="6" width="15.421875" style="0" bestFit="1" customWidth="1"/>
    <col min="7" max="7" width="16.7109375" style="0" bestFit="1" customWidth="1"/>
    <col min="8" max="8" width="13.8515625" style="0" bestFit="1" customWidth="1"/>
    <col min="9" max="9" width="14.140625" style="0" customWidth="1"/>
    <col min="10" max="10" width="13.28125" style="0" bestFit="1" customWidth="1"/>
    <col min="11" max="11" width="11.57421875" style="0" bestFit="1" customWidth="1"/>
    <col min="12" max="12" width="12.8515625" style="0" bestFit="1" customWidth="1"/>
    <col min="13" max="13" width="8.00390625" style="0" bestFit="1" customWidth="1"/>
    <col min="14" max="14" width="12.57421875" style="0" bestFit="1" customWidth="1"/>
  </cols>
  <sheetData>
    <row r="1" spans="2:12" ht="12.75">
      <c r="B1" s="1" t="s">
        <v>0</v>
      </c>
      <c r="C1" s="1"/>
      <c r="D1" s="1"/>
      <c r="E1" s="1"/>
      <c r="F1" s="1"/>
      <c r="H1" s="1"/>
      <c r="I1" s="1"/>
      <c r="J1" s="1"/>
      <c r="K1" s="1" t="s">
        <v>67</v>
      </c>
      <c r="L1" s="1"/>
    </row>
    <row r="2" spans="2:12" ht="12.75">
      <c r="B2" s="1" t="s">
        <v>68</v>
      </c>
      <c r="C2" s="1"/>
      <c r="D2" s="1"/>
      <c r="E2" s="1"/>
      <c r="F2" s="1"/>
      <c r="H2" s="1"/>
      <c r="I2" s="1"/>
      <c r="J2" s="1"/>
      <c r="K2" s="1" t="s">
        <v>67</v>
      </c>
      <c r="L2" s="1"/>
    </row>
    <row r="3" spans="2:12" ht="12.75">
      <c r="B3" s="1" t="s">
        <v>69</v>
      </c>
      <c r="C3" s="1"/>
      <c r="D3" s="1"/>
      <c r="E3" s="1"/>
      <c r="F3" s="1"/>
      <c r="H3" s="1"/>
      <c r="I3" s="1"/>
      <c r="J3" s="1"/>
      <c r="K3" s="1" t="s">
        <v>67</v>
      </c>
      <c r="L3" s="1"/>
    </row>
    <row r="5" spans="1:5" s="4" customFormat="1" ht="25.5">
      <c r="A5" s="2" t="s">
        <v>70</v>
      </c>
      <c r="B5" s="2"/>
      <c r="C5" s="3" t="s">
        <v>71</v>
      </c>
      <c r="D5" s="3" t="s">
        <v>72</v>
      </c>
      <c r="E5" s="2"/>
    </row>
    <row r="6" spans="1:2" ht="12.75">
      <c r="A6" s="10">
        <v>1</v>
      </c>
      <c r="B6" s="20" t="s">
        <v>73</v>
      </c>
    </row>
    <row r="7" spans="1:3" ht="12.75">
      <c r="A7" s="10">
        <f>+A6+1</f>
        <v>2</v>
      </c>
      <c r="B7" s="21" t="s">
        <v>74</v>
      </c>
      <c r="C7" s="32">
        <f>+'Sch 7 Revenue'!$D$10</f>
        <v>10495072.07104895</v>
      </c>
    </row>
    <row r="8" spans="1:3" ht="12.75">
      <c r="A8" s="10">
        <f aca="true" t="shared" si="0" ref="A8:A69">+A7+1</f>
        <v>3</v>
      </c>
      <c r="B8" s="21" t="s">
        <v>75</v>
      </c>
      <c r="C8" s="32">
        <f>+'Sch 7 Revenue'!$D$11</f>
        <v>3216.4338235294113</v>
      </c>
    </row>
    <row r="9" spans="1:3" ht="13.5" thickBot="1">
      <c r="A9" s="10">
        <f t="shared" si="0"/>
        <v>4</v>
      </c>
      <c r="C9" s="33">
        <f>SUM(C7:C8)</f>
        <v>10498288.50487248</v>
      </c>
    </row>
    <row r="10" spans="1:3" ht="13.5" thickTop="1">
      <c r="A10" s="10">
        <f t="shared" si="0"/>
        <v>5</v>
      </c>
      <c r="C10" s="32"/>
    </row>
    <row r="11" spans="1:3" ht="12.75">
      <c r="A11" s="10">
        <f t="shared" si="0"/>
        <v>6</v>
      </c>
      <c r="B11" s="20" t="s">
        <v>76</v>
      </c>
      <c r="C11" s="32"/>
    </row>
    <row r="12" spans="1:5" ht="12.75">
      <c r="A12" s="10">
        <f t="shared" si="0"/>
        <v>7</v>
      </c>
      <c r="B12" s="21" t="s">
        <v>77</v>
      </c>
      <c r="C12" s="32">
        <f>SUM(D12:E12)</f>
        <v>5357297988.156485</v>
      </c>
      <c r="D12" s="32">
        <f>+'Sch 7 Revenue'!$C$14</f>
        <v>0</v>
      </c>
      <c r="E12" s="32">
        <f>+'Sch 7 Revenue'!$B$14</f>
        <v>5357297988.156485</v>
      </c>
    </row>
    <row r="13" spans="1:5" ht="12.75">
      <c r="A13" s="10">
        <f t="shared" si="0"/>
        <v>8</v>
      </c>
      <c r="B13" s="21" t="s">
        <v>78</v>
      </c>
      <c r="C13" s="32">
        <f>SUM(D13:E13)</f>
        <v>4399402669.265277</v>
      </c>
      <c r="D13" s="32">
        <f>+'Sch 7 Revenue'!$C$16</f>
        <v>86881239.42596033</v>
      </c>
      <c r="E13" s="32">
        <f>SUM('Sch 7 Revenue'!$B$15:$B$16)</f>
        <v>4312521429.839316</v>
      </c>
    </row>
    <row r="14" spans="1:5" ht="13.5" thickBot="1">
      <c r="A14" s="10">
        <f t="shared" si="0"/>
        <v>9</v>
      </c>
      <c r="C14" s="33">
        <f>SUM(C12:C13)</f>
        <v>9756700657.42176</v>
      </c>
      <c r="D14" s="33">
        <f>SUM(D12:D13)</f>
        <v>86881239.42596033</v>
      </c>
      <c r="E14" s="33">
        <f>SUM(E12:E13)</f>
        <v>9669819417.9958</v>
      </c>
    </row>
    <row r="15" spans="1:10" ht="13.5" thickTop="1">
      <c r="A15" s="10">
        <f t="shared" si="0"/>
        <v>10</v>
      </c>
      <c r="J15" s="34"/>
    </row>
    <row r="16" spans="1:5" ht="12.75">
      <c r="A16" s="10">
        <f t="shared" si="0"/>
        <v>11</v>
      </c>
      <c r="B16" s="35" t="s">
        <v>79</v>
      </c>
      <c r="C16" s="36"/>
      <c r="D16" s="36"/>
      <c r="E16" s="37"/>
    </row>
    <row r="17" spans="1:2" ht="12.75">
      <c r="A17" s="10">
        <f t="shared" si="0"/>
        <v>12</v>
      </c>
      <c r="B17" t="s">
        <v>80</v>
      </c>
    </row>
    <row r="18" spans="1:5" ht="12.75">
      <c r="A18" s="10">
        <f t="shared" si="0"/>
        <v>13</v>
      </c>
      <c r="B18" s="21" t="s">
        <v>74</v>
      </c>
      <c r="C18" s="38">
        <f>+'Sch 7 Revenue'!$E$10</f>
        <v>5.5</v>
      </c>
      <c r="D18" s="38"/>
      <c r="E18" s="38"/>
    </row>
    <row r="19" spans="1:5" ht="12.75">
      <c r="A19" s="10">
        <f t="shared" si="0"/>
        <v>14</v>
      </c>
      <c r="B19" s="21" t="s">
        <v>75</v>
      </c>
      <c r="C19" s="38">
        <f>+'Sch 7 Revenue'!$E$11</f>
        <v>13.6</v>
      </c>
      <c r="D19" s="38"/>
      <c r="E19" s="38"/>
    </row>
    <row r="20" ht="12.75">
      <c r="A20" s="10">
        <f t="shared" si="0"/>
        <v>15</v>
      </c>
    </row>
    <row r="21" spans="1:2" ht="12.75">
      <c r="A21" s="10">
        <f t="shared" si="0"/>
        <v>16</v>
      </c>
      <c r="B21" t="s">
        <v>81</v>
      </c>
    </row>
    <row r="22" spans="1:5" ht="12.75">
      <c r="A22" s="10">
        <f t="shared" si="0"/>
        <v>17</v>
      </c>
      <c r="B22" s="21" t="s">
        <v>77</v>
      </c>
      <c r="C22" s="39">
        <f>+'Sch 7 Revenue'!$E$14</f>
        <v>0.062727</v>
      </c>
      <c r="D22" s="39"/>
      <c r="E22" s="39"/>
    </row>
    <row r="23" spans="1:5" ht="12.75">
      <c r="A23" s="10">
        <f t="shared" si="0"/>
        <v>18</v>
      </c>
      <c r="B23" s="21" t="s">
        <v>78</v>
      </c>
      <c r="C23" s="39">
        <f>+'Sch 7 Revenue'!$E$16</f>
        <v>0.07914399999999999</v>
      </c>
      <c r="D23" s="39"/>
      <c r="E23" s="39"/>
    </row>
    <row r="24" spans="1:6" ht="12.75">
      <c r="A24" s="10">
        <f t="shared" si="0"/>
        <v>19</v>
      </c>
      <c r="B24" s="21" t="s">
        <v>82</v>
      </c>
      <c r="C24" s="39">
        <f>+'Sch 7 Revenue'!$E$19</f>
        <v>0.002336</v>
      </c>
      <c r="D24" s="39"/>
      <c r="E24" s="40" t="s">
        <v>83</v>
      </c>
      <c r="F24" s="41">
        <f>((C23+C24)-(C22+C24))/(C22+C24)</f>
        <v>0.25232466993529323</v>
      </c>
    </row>
    <row r="25" spans="1:2" ht="12.75">
      <c r="A25" s="10">
        <f t="shared" si="0"/>
        <v>20</v>
      </c>
      <c r="B25" s="20" t="s">
        <v>84</v>
      </c>
    </row>
    <row r="26" spans="1:3" ht="12.75">
      <c r="A26" s="10">
        <f t="shared" si="0"/>
        <v>21</v>
      </c>
      <c r="B26" s="21" t="s">
        <v>74</v>
      </c>
      <c r="C26" s="30">
        <f>+C18*C7</f>
        <v>57722896.39076923</v>
      </c>
    </row>
    <row r="27" spans="1:3" ht="12.75">
      <c r="A27" s="10">
        <f t="shared" si="0"/>
        <v>22</v>
      </c>
      <c r="B27" s="21" t="s">
        <v>75</v>
      </c>
      <c r="C27" s="30">
        <f>+C8*C19</f>
        <v>43743.49999999999</v>
      </c>
    </row>
    <row r="28" spans="1:3" ht="12.75">
      <c r="A28" s="10">
        <f t="shared" si="0"/>
        <v>23</v>
      </c>
      <c r="B28" s="17" t="s">
        <v>85</v>
      </c>
      <c r="C28" s="42">
        <f>SUM(C26:C27)</f>
        <v>57766639.89076923</v>
      </c>
    </row>
    <row r="29" spans="1:2" ht="12.75">
      <c r="A29" s="10">
        <f t="shared" si="0"/>
        <v>24</v>
      </c>
      <c r="B29" t="s">
        <v>86</v>
      </c>
    </row>
    <row r="30" spans="1:3" ht="12.75">
      <c r="A30" s="10">
        <f t="shared" si="0"/>
        <v>25</v>
      </c>
      <c r="B30" s="21" t="s">
        <v>77</v>
      </c>
      <c r="C30" s="30">
        <f>+C12*C22</f>
        <v>336047230.90309185</v>
      </c>
    </row>
    <row r="31" spans="1:3" ht="12.75">
      <c r="A31" s="10">
        <f t="shared" si="0"/>
        <v>26</v>
      </c>
      <c r="B31" s="21" t="s">
        <v>78</v>
      </c>
      <c r="C31" s="30">
        <f>+C13*C23</f>
        <v>348186324.85633105</v>
      </c>
    </row>
    <row r="32" spans="1:3" ht="12.75">
      <c r="A32" s="10">
        <f t="shared" si="0"/>
        <v>27</v>
      </c>
      <c r="B32" s="21" t="s">
        <v>82</v>
      </c>
      <c r="C32" s="30">
        <f>+C14*C24</f>
        <v>22791652.73573723</v>
      </c>
    </row>
    <row r="33" spans="1:3" ht="12.75">
      <c r="A33" s="10">
        <f t="shared" si="0"/>
        <v>28</v>
      </c>
      <c r="B33" s="9" t="s">
        <v>87</v>
      </c>
      <c r="C33" s="30">
        <f>SUM(C28:C32)</f>
        <v>764791848.3859293</v>
      </c>
    </row>
    <row r="34" ht="12.75">
      <c r="A34" s="10">
        <f t="shared" si="0"/>
        <v>29</v>
      </c>
    </row>
    <row r="35" spans="1:5" ht="12.75">
      <c r="A35" s="10">
        <f t="shared" si="0"/>
        <v>30</v>
      </c>
      <c r="B35" s="35" t="s">
        <v>88</v>
      </c>
      <c r="C35" s="36"/>
      <c r="D35" s="36"/>
      <c r="E35" s="37"/>
    </row>
    <row r="36" spans="1:5" ht="12.75">
      <c r="A36" s="10">
        <f t="shared" si="0"/>
        <v>31</v>
      </c>
      <c r="B36" s="43"/>
      <c r="C36" s="43"/>
      <c r="D36" s="43"/>
      <c r="E36" s="43"/>
    </row>
    <row r="37" spans="1:3" ht="12.75">
      <c r="A37" s="10">
        <f t="shared" si="0"/>
        <v>32</v>
      </c>
      <c r="B37" s="20" t="s">
        <v>76</v>
      </c>
      <c r="C37" s="32"/>
    </row>
    <row r="38" spans="1:5" ht="12.75">
      <c r="A38" s="10">
        <f t="shared" si="0"/>
        <v>33</v>
      </c>
      <c r="B38" s="17" t="s">
        <v>89</v>
      </c>
      <c r="C38" s="32">
        <f>SUM(D38:E38)</f>
        <v>943012109.44261</v>
      </c>
      <c r="D38" s="32">
        <f>+'Sch 7 Revenue'!$C$14</f>
        <v>0</v>
      </c>
      <c r="E38" s="32">
        <v>943012109.44261</v>
      </c>
    </row>
    <row r="39" spans="1:5" ht="12.75">
      <c r="A39" s="10">
        <f t="shared" si="0"/>
        <v>34</v>
      </c>
      <c r="B39" s="21" t="s">
        <v>90</v>
      </c>
      <c r="C39" s="32">
        <f>SUM(D39:E39)</f>
        <v>3456390559.8226666</v>
      </c>
      <c r="D39" s="32">
        <f>D13</f>
        <v>86881239.42596033</v>
      </c>
      <c r="E39" s="32">
        <v>3369509320.396706</v>
      </c>
    </row>
    <row r="40" spans="1:5" ht="13.5" thickBot="1">
      <c r="A40" s="10">
        <f t="shared" si="0"/>
        <v>35</v>
      </c>
      <c r="C40" s="33">
        <f>SUM(C38:C39)</f>
        <v>4399402669.265277</v>
      </c>
      <c r="D40" s="33">
        <f>SUM(D38:D39)</f>
        <v>86881239.42596033</v>
      </c>
      <c r="E40" s="33">
        <f>SUM(E38:E39)</f>
        <v>4312521429.839316</v>
      </c>
    </row>
    <row r="41" spans="1:5" ht="13.5" thickTop="1">
      <c r="A41" s="10">
        <f t="shared" si="0"/>
        <v>36</v>
      </c>
      <c r="B41" s="43"/>
      <c r="C41" s="43"/>
      <c r="D41" s="43"/>
      <c r="E41" s="43"/>
    </row>
    <row r="42" spans="1:5" ht="12.75">
      <c r="A42" s="10">
        <f t="shared" si="0"/>
        <v>37</v>
      </c>
      <c r="B42" s="43"/>
      <c r="C42" s="43"/>
      <c r="D42" s="43"/>
      <c r="E42" s="43"/>
    </row>
    <row r="43" spans="1:5" ht="12.75">
      <c r="A43" s="10">
        <f t="shared" si="0"/>
        <v>38</v>
      </c>
      <c r="B43" s="43"/>
      <c r="C43" s="43"/>
      <c r="D43" s="43"/>
      <c r="E43" s="43"/>
    </row>
    <row r="44" spans="1:5" ht="12.75">
      <c r="A44" s="10">
        <f t="shared" si="0"/>
        <v>39</v>
      </c>
      <c r="B44" s="44" t="s">
        <v>80</v>
      </c>
      <c r="C44" s="45"/>
      <c r="E44" s="43"/>
    </row>
    <row r="45" spans="1:6" ht="12.75">
      <c r="A45" s="10">
        <f t="shared" si="0"/>
        <v>40</v>
      </c>
      <c r="B45" s="46" t="s">
        <v>74</v>
      </c>
      <c r="C45" s="47">
        <f>ROUND('Basic Charge Design'!$B$9,2)</f>
        <v>6.5</v>
      </c>
      <c r="D45" s="48"/>
      <c r="E45" s="49" t="s">
        <v>91</v>
      </c>
      <c r="F45" s="50"/>
    </row>
    <row r="46" spans="1:6" ht="12.75">
      <c r="A46" s="10">
        <f t="shared" si="0"/>
        <v>41</v>
      </c>
      <c r="B46" s="51" t="s">
        <v>75</v>
      </c>
      <c r="C46" s="52">
        <f>ROUND(C19/C18*C45,1)</f>
        <v>16.1</v>
      </c>
      <c r="D46" s="48"/>
      <c r="E46" s="50" t="s">
        <v>92</v>
      </c>
      <c r="F46" s="53"/>
    </row>
    <row r="47" ht="12.75">
      <c r="A47" s="10">
        <f t="shared" si="0"/>
        <v>42</v>
      </c>
    </row>
    <row r="48" spans="1:6" ht="12.75">
      <c r="A48" s="10">
        <f t="shared" si="0"/>
        <v>43</v>
      </c>
      <c r="B48" s="20" t="s">
        <v>93</v>
      </c>
      <c r="C48" s="54">
        <v>56601431.98593104</v>
      </c>
      <c r="E48" s="50" t="s">
        <v>94</v>
      </c>
      <c r="F48" s="50"/>
    </row>
    <row r="49" spans="1:3" ht="12.75">
      <c r="A49" s="10">
        <f t="shared" si="0"/>
        <v>44</v>
      </c>
      <c r="B49" t="s">
        <v>95</v>
      </c>
      <c r="C49" s="28">
        <f>+C48+C33</f>
        <v>821393280.3718604</v>
      </c>
    </row>
    <row r="50" spans="1:3" ht="12.75">
      <c r="A50" s="10">
        <f t="shared" si="0"/>
        <v>45</v>
      </c>
      <c r="B50" s="20" t="s">
        <v>96</v>
      </c>
      <c r="C50" s="55">
        <f>+C48/C33</f>
        <v>0.0740089373407767</v>
      </c>
    </row>
    <row r="51" ht="12.75">
      <c r="A51" s="10">
        <f t="shared" si="0"/>
        <v>46</v>
      </c>
    </row>
    <row r="52" spans="1:2" ht="12.75">
      <c r="A52" s="10">
        <f t="shared" si="0"/>
        <v>47</v>
      </c>
      <c r="B52" s="20" t="s">
        <v>84</v>
      </c>
    </row>
    <row r="53" spans="1:3" ht="12.75">
      <c r="A53" s="10">
        <f t="shared" si="0"/>
        <v>48</v>
      </c>
      <c r="B53" s="21" t="s">
        <v>74</v>
      </c>
      <c r="C53" s="30">
        <f>+C45*C7</f>
        <v>68217968.46181817</v>
      </c>
    </row>
    <row r="54" spans="1:3" ht="12.75">
      <c r="A54" s="10">
        <f t="shared" si="0"/>
        <v>49</v>
      </c>
      <c r="B54" s="21" t="s">
        <v>75</v>
      </c>
      <c r="C54" s="30">
        <f>+C46*C8</f>
        <v>51784.584558823524</v>
      </c>
    </row>
    <row r="55" spans="1:3" ht="12.75">
      <c r="A55" s="10">
        <f t="shared" si="0"/>
        <v>50</v>
      </c>
      <c r="B55" s="17" t="s">
        <v>85</v>
      </c>
      <c r="C55" s="42">
        <f>SUM(C53:C54)</f>
        <v>68269753.046377</v>
      </c>
    </row>
    <row r="56" spans="1:3" ht="12.75">
      <c r="A56" s="10">
        <f t="shared" si="0"/>
        <v>51</v>
      </c>
      <c r="B56" s="17"/>
      <c r="C56" s="30"/>
    </row>
    <row r="57" spans="1:3" ht="12.75">
      <c r="A57" s="10">
        <f t="shared" si="0"/>
        <v>52</v>
      </c>
      <c r="B57" s="21" t="s">
        <v>97</v>
      </c>
      <c r="C57" s="30">
        <f>+C49-C55</f>
        <v>753123527.3254833</v>
      </c>
    </row>
    <row r="58" spans="1:3" ht="12.75">
      <c r="A58" s="10">
        <f t="shared" si="0"/>
        <v>53</v>
      </c>
      <c r="B58" s="21"/>
      <c r="C58" s="30"/>
    </row>
    <row r="59" spans="1:3" ht="12.75">
      <c r="A59" s="10">
        <f t="shared" si="0"/>
        <v>54</v>
      </c>
      <c r="B59" s="44" t="s">
        <v>81</v>
      </c>
      <c r="C59" s="45"/>
    </row>
    <row r="60" spans="1:8" ht="12.75">
      <c r="A60" s="10">
        <f t="shared" si="0"/>
        <v>55</v>
      </c>
      <c r="B60" s="56" t="s">
        <v>98</v>
      </c>
      <c r="C60" s="57">
        <f>ROUND(C22*(1.1)*(C57/SUM(C30:C32)),6)</f>
        <v>0.073499</v>
      </c>
      <c r="E60" s="49" t="s">
        <v>99</v>
      </c>
      <c r="F60" s="53"/>
      <c r="H60" s="58"/>
    </row>
    <row r="61" spans="1:8" ht="12.75">
      <c r="A61" s="10">
        <f t="shared" si="0"/>
        <v>56</v>
      </c>
      <c r="B61" s="59" t="s">
        <v>100</v>
      </c>
      <c r="C61" s="60">
        <f>ROUND((C57-C60*(C12+C38))/C39,6)</f>
        <v>0.083919</v>
      </c>
      <c r="D61" s="55">
        <f>(C61-C60)/C60</f>
        <v>0.14177063633518822</v>
      </c>
      <c r="E61" s="49" t="s">
        <v>101</v>
      </c>
      <c r="F61" s="53"/>
      <c r="H61" s="58"/>
    </row>
    <row r="62" ht="12.75">
      <c r="A62" s="10">
        <f t="shared" si="0"/>
        <v>57</v>
      </c>
    </row>
    <row r="63" spans="1:2" ht="12.75">
      <c r="A63" s="10">
        <f t="shared" si="0"/>
        <v>58</v>
      </c>
      <c r="B63" t="s">
        <v>86</v>
      </c>
    </row>
    <row r="64" spans="1:4" ht="12.75">
      <c r="A64" s="10">
        <f t="shared" si="0"/>
        <v>59</v>
      </c>
      <c r="B64" s="21" t="s">
        <v>102</v>
      </c>
      <c r="C64" s="28">
        <f>C60*(C12+C38)</f>
        <v>463066491.8634358</v>
      </c>
      <c r="D64" s="28">
        <f>SUM('Sch 7 Revenue'!$H$14:$H$15)</f>
        <v>463066491.8634358</v>
      </c>
    </row>
    <row r="65" spans="1:4" ht="12.75">
      <c r="A65" s="10">
        <f t="shared" si="0"/>
        <v>60</v>
      </c>
      <c r="B65" s="21" t="s">
        <v>90</v>
      </c>
      <c r="C65" s="28">
        <f>C61*C39</f>
        <v>290056839.38975835</v>
      </c>
      <c r="D65" s="39"/>
    </row>
    <row r="66" spans="1:4" ht="12.75">
      <c r="A66" s="10">
        <f t="shared" si="0"/>
        <v>61</v>
      </c>
      <c r="B66" s="17"/>
      <c r="D66" s="28"/>
    </row>
    <row r="67" spans="1:7" ht="12.75">
      <c r="A67" s="10">
        <f t="shared" si="0"/>
        <v>62</v>
      </c>
      <c r="B67" t="s">
        <v>103</v>
      </c>
      <c r="C67" s="30">
        <f>+C65+C64+C55</f>
        <v>821393084.299571</v>
      </c>
      <c r="D67" s="28"/>
      <c r="G67" s="30"/>
    </row>
    <row r="68" spans="1:7" ht="12.75">
      <c r="A68" s="10">
        <f t="shared" si="0"/>
        <v>63</v>
      </c>
      <c r="B68" t="s">
        <v>104</v>
      </c>
      <c r="C68" s="61">
        <f>+C49-C67</f>
        <v>196.07228934764862</v>
      </c>
      <c r="G68" s="30"/>
    </row>
    <row r="69" spans="1:7" ht="12.75">
      <c r="A69" s="10">
        <f t="shared" si="0"/>
        <v>64</v>
      </c>
      <c r="G69" s="30"/>
    </row>
  </sheetData>
  <printOptions horizontalCentered="1"/>
  <pageMargins left="0.25" right="0.25" top="1" bottom="0.5" header="1" footer="0.5"/>
  <pageSetup fitToHeight="1" fitToWidth="1" horizontalDpi="600" verticalDpi="600" orientation="portrait" scale="72" r:id="rId1"/>
  <headerFooter alignWithMargins="0">
    <oddFooter>&amp;L&amp;14Tenth Exhibit to Prefiled
Direct Testimony of James A. Heidell&amp;R&amp;14Exhibit No.___ (JAH-12)
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4.57421875" style="62" customWidth="1"/>
    <col min="2" max="2" width="40.00390625" style="62" bestFit="1" customWidth="1"/>
    <col min="3" max="3" width="21.00390625" style="62" bestFit="1" customWidth="1"/>
    <col min="4" max="5" width="14.8515625" style="62" customWidth="1"/>
    <col min="6" max="6" width="14.28125" style="62" customWidth="1"/>
    <col min="7" max="7" width="15.140625" style="62" bestFit="1" customWidth="1"/>
    <col min="8" max="8" width="14.7109375" style="62" bestFit="1" customWidth="1"/>
    <col min="9" max="9" width="15.8515625" style="62" bestFit="1" customWidth="1"/>
    <col min="10" max="10" width="13.57421875" style="62" bestFit="1" customWidth="1"/>
    <col min="11" max="11" width="12.28125" style="62" bestFit="1" customWidth="1"/>
    <col min="12" max="12" width="13.140625" style="62" bestFit="1" customWidth="1"/>
    <col min="13" max="16384" width="9.140625" style="62" customWidth="1"/>
  </cols>
  <sheetData>
    <row r="1" spans="2:9" ht="12.75">
      <c r="B1" s="63" t="s">
        <v>0</v>
      </c>
      <c r="C1" s="63"/>
      <c r="D1" s="63"/>
      <c r="E1" s="63"/>
      <c r="F1" s="63"/>
      <c r="G1" s="63"/>
      <c r="H1" s="64"/>
      <c r="I1" s="64"/>
    </row>
    <row r="2" spans="2:9" ht="12.75">
      <c r="B2" s="63" t="s">
        <v>68</v>
      </c>
      <c r="C2" s="63"/>
      <c r="D2" s="63"/>
      <c r="E2" s="63"/>
      <c r="F2" s="63"/>
      <c r="G2" s="63"/>
      <c r="H2" s="64"/>
      <c r="I2" s="64"/>
    </row>
    <row r="3" spans="2:9" ht="12.75">
      <c r="B3" s="63" t="s">
        <v>44</v>
      </c>
      <c r="C3" s="63"/>
      <c r="D3" s="63"/>
      <c r="E3" s="63"/>
      <c r="F3" s="63"/>
      <c r="G3" s="63"/>
      <c r="H3" s="64"/>
      <c r="I3" s="64"/>
    </row>
    <row r="4" spans="2:9" ht="12.75">
      <c r="B4" s="63" t="s">
        <v>105</v>
      </c>
      <c r="C4" s="63"/>
      <c r="D4" s="63"/>
      <c r="E4" s="63"/>
      <c r="F4" s="63"/>
      <c r="G4" s="63"/>
      <c r="H4" s="64"/>
      <c r="I4" s="64"/>
    </row>
    <row r="5" spans="8:9" ht="12.75">
      <c r="H5" s="64"/>
      <c r="I5" s="64"/>
    </row>
    <row r="6" spans="1:5" s="64" customFormat="1" ht="25.5">
      <c r="A6" s="65" t="s">
        <v>70</v>
      </c>
      <c r="B6" s="65"/>
      <c r="C6" s="3" t="s">
        <v>71</v>
      </c>
      <c r="D6" s="65" t="s">
        <v>106</v>
      </c>
      <c r="E6" s="65" t="s">
        <v>107</v>
      </c>
    </row>
    <row r="7" spans="1:2" ht="12.75">
      <c r="A7" s="66">
        <v>1</v>
      </c>
      <c r="B7" s="67" t="s">
        <v>73</v>
      </c>
    </row>
    <row r="8" spans="1:3" ht="12.75">
      <c r="A8" s="66">
        <f>+A7+1</f>
        <v>2</v>
      </c>
      <c r="B8" s="68" t="s">
        <v>74</v>
      </c>
      <c r="C8" s="69">
        <f>+'Sch 24 Revenue'!$D$10</f>
        <v>954004.2297902098</v>
      </c>
    </row>
    <row r="9" spans="1:3" ht="12.75">
      <c r="A9" s="66">
        <f aca="true" t="shared" si="0" ref="A9:A61">+A8+1</f>
        <v>3</v>
      </c>
      <c r="B9" s="68" t="s">
        <v>75</v>
      </c>
      <c r="C9" s="69">
        <f>+'Sch 24 Revenue'!$D$11</f>
        <v>351858.924304996</v>
      </c>
    </row>
    <row r="10" spans="1:3" ht="13.5" thickBot="1">
      <c r="A10" s="66">
        <f t="shared" si="0"/>
        <v>4</v>
      </c>
      <c r="C10" s="70">
        <f>SUM(C8:C9)</f>
        <v>1305863.1540952057</v>
      </c>
    </row>
    <row r="11" spans="1:5" ht="13.5" thickTop="1">
      <c r="A11" s="66">
        <f t="shared" si="0"/>
        <v>5</v>
      </c>
      <c r="B11" s="67" t="s">
        <v>76</v>
      </c>
      <c r="C11" s="69"/>
      <c r="D11" s="69"/>
      <c r="E11" s="69"/>
    </row>
    <row r="12" spans="1:5" ht="12.75">
      <c r="A12" s="66">
        <f t="shared" si="0"/>
        <v>6</v>
      </c>
      <c r="B12" s="71" t="s">
        <v>108</v>
      </c>
      <c r="C12" s="69">
        <f>SUM(D12:E12)</f>
        <v>2382776164.6929</v>
      </c>
      <c r="D12" s="69">
        <f>+'Sch 24 Revenue'!$B$14</f>
        <v>1257189864.3315</v>
      </c>
      <c r="E12" s="69">
        <f>+'Sch 24 Revenue'!$B$15</f>
        <v>1125586300.3614001</v>
      </c>
    </row>
    <row r="13" spans="1:5" ht="12.75">
      <c r="A13" s="66"/>
      <c r="B13" s="68" t="s">
        <v>109</v>
      </c>
      <c r="C13" s="69">
        <f>SUM(D13:E13)</f>
        <v>561941.5017706435</v>
      </c>
      <c r="D13" s="69">
        <f>+'Sch 24 Revenue'!$C$14</f>
        <v>8390946.054473223</v>
      </c>
      <c r="E13" s="69">
        <f>+'Sch 24 Revenue'!$C$15</f>
        <v>-7829004.55270258</v>
      </c>
    </row>
    <row r="14" spans="1:5" ht="13.5" thickBot="1">
      <c r="A14" s="66">
        <f>+A12+1</f>
        <v>7</v>
      </c>
      <c r="B14" s="62" t="s">
        <v>71</v>
      </c>
      <c r="C14" s="70">
        <f>SUM(C12:C13)</f>
        <v>2383338106.1946707</v>
      </c>
      <c r="D14" s="70">
        <f>SUM(D12:D13)</f>
        <v>1265580810.3859732</v>
      </c>
      <c r="E14" s="70">
        <f>SUM(E12:E13)</f>
        <v>1117757295.8086975</v>
      </c>
    </row>
    <row r="15" spans="1:12" ht="13.5" thickTop="1">
      <c r="A15" s="66">
        <f t="shared" si="0"/>
        <v>8</v>
      </c>
      <c r="C15" s="72"/>
      <c r="D15" s="72"/>
      <c r="E15" s="72"/>
      <c r="J15" s="72"/>
      <c r="K15" s="72"/>
      <c r="L15" s="72"/>
    </row>
    <row r="16" ht="12.75">
      <c r="A16" s="66">
        <f t="shared" si="0"/>
        <v>9</v>
      </c>
    </row>
    <row r="17" spans="1:5" ht="12.75">
      <c r="A17" s="66">
        <f t="shared" si="0"/>
        <v>10</v>
      </c>
      <c r="B17" s="73" t="str">
        <f>+'Sch 7 Rate Design'!B16</f>
        <v>Current Base Rates Effective 10-1-03</v>
      </c>
      <c r="C17" s="74"/>
      <c r="D17" s="74"/>
      <c r="E17" s="75"/>
    </row>
    <row r="18" spans="1:2" ht="12.75">
      <c r="A18" s="66">
        <f t="shared" si="0"/>
        <v>11</v>
      </c>
      <c r="B18" s="62" t="s">
        <v>80</v>
      </c>
    </row>
    <row r="19" spans="1:3" ht="12.75">
      <c r="A19" s="66">
        <f t="shared" si="0"/>
        <v>12</v>
      </c>
      <c r="B19" s="68" t="s">
        <v>74</v>
      </c>
      <c r="C19" s="76">
        <f>+'Sch 24 Revenue'!$E$10</f>
        <v>5.5</v>
      </c>
    </row>
    <row r="20" spans="1:3" ht="12.75">
      <c r="A20" s="66">
        <f t="shared" si="0"/>
        <v>13</v>
      </c>
      <c r="B20" s="68" t="s">
        <v>75</v>
      </c>
      <c r="C20" s="76">
        <f>+'Sch 24 Revenue'!$E$11</f>
        <v>13.6</v>
      </c>
    </row>
    <row r="21" ht="12.75">
      <c r="A21" s="66">
        <f t="shared" si="0"/>
        <v>14</v>
      </c>
    </row>
    <row r="22" spans="1:2" ht="12.75">
      <c r="A22" s="66">
        <f t="shared" si="0"/>
        <v>15</v>
      </c>
      <c r="B22" s="62" t="s">
        <v>81</v>
      </c>
    </row>
    <row r="23" spans="1:5" ht="12.75">
      <c r="A23" s="66">
        <f t="shared" si="0"/>
        <v>16</v>
      </c>
      <c r="B23" s="68" t="s">
        <v>110</v>
      </c>
      <c r="D23" s="77">
        <f>+'Sch 24 Revenue'!$E$14</f>
        <v>0.06754500000000001</v>
      </c>
      <c r="E23" s="77">
        <f>+'Sch 24 Revenue'!$E$15</f>
        <v>0.064967</v>
      </c>
    </row>
    <row r="24" spans="1:3" ht="12.75">
      <c r="A24" s="66">
        <f t="shared" si="0"/>
        <v>17</v>
      </c>
      <c r="B24" s="68" t="s">
        <v>82</v>
      </c>
      <c r="C24" s="77">
        <f>+'Sch 24 Revenue'!$E$18</f>
        <v>0.0023569999999999997</v>
      </c>
    </row>
    <row r="25" spans="1:2" ht="12.75">
      <c r="A25" s="66">
        <f t="shared" si="0"/>
        <v>18</v>
      </c>
      <c r="B25" s="67" t="s">
        <v>84</v>
      </c>
    </row>
    <row r="26" spans="1:3" ht="12.75">
      <c r="A26" s="66">
        <f t="shared" si="0"/>
        <v>19</v>
      </c>
      <c r="B26" s="68" t="s">
        <v>74</v>
      </c>
      <c r="C26" s="78">
        <f>+C8*C19</f>
        <v>5247023.263846153</v>
      </c>
    </row>
    <row r="27" spans="1:3" ht="12.75">
      <c r="A27" s="66">
        <f t="shared" si="0"/>
        <v>20</v>
      </c>
      <c r="B27" s="68" t="s">
        <v>75</v>
      </c>
      <c r="C27" s="78">
        <f>+C9*C20</f>
        <v>4785281.370547946</v>
      </c>
    </row>
    <row r="28" spans="1:3" ht="12.75">
      <c r="A28" s="66">
        <f t="shared" si="0"/>
        <v>21</v>
      </c>
      <c r="B28" s="71" t="s">
        <v>85</v>
      </c>
      <c r="C28" s="79">
        <f>SUM(C26:C27)</f>
        <v>10032304.634394098</v>
      </c>
    </row>
    <row r="29" spans="1:2" ht="12.75">
      <c r="A29" s="66">
        <f t="shared" si="0"/>
        <v>22</v>
      </c>
      <c r="B29" s="62" t="s">
        <v>86</v>
      </c>
    </row>
    <row r="30" spans="1:5" ht="12.75">
      <c r="A30" s="66">
        <f t="shared" si="0"/>
        <v>23</v>
      </c>
      <c r="B30" s="68" t="s">
        <v>110</v>
      </c>
      <c r="C30" s="78">
        <f>SUM(D30:E30)</f>
        <v>158100994.07432422</v>
      </c>
      <c r="D30" s="80">
        <f>+D14*D23</f>
        <v>85483655.83752057</v>
      </c>
      <c r="E30" s="80">
        <f>+E14*E23</f>
        <v>72617338.23680365</v>
      </c>
    </row>
    <row r="31" spans="1:5" ht="12.75">
      <c r="A31" s="66">
        <f t="shared" si="0"/>
        <v>24</v>
      </c>
      <c r="B31" s="68" t="s">
        <v>82</v>
      </c>
      <c r="C31" s="78">
        <f>+C24*C14</f>
        <v>5617527.916300838</v>
      </c>
      <c r="D31" s="80"/>
      <c r="E31" s="80"/>
    </row>
    <row r="32" spans="1:6" ht="12.75">
      <c r="A32" s="66">
        <f t="shared" si="0"/>
        <v>25</v>
      </c>
      <c r="B32" s="62" t="s">
        <v>87</v>
      </c>
      <c r="C32" s="78">
        <f>SUM(C30,C28,C31)</f>
        <v>173750826.62501916</v>
      </c>
      <c r="D32" s="80"/>
      <c r="E32" s="80"/>
      <c r="F32" s="78"/>
    </row>
    <row r="33" ht="12.75">
      <c r="A33" s="66">
        <f t="shared" si="0"/>
        <v>26</v>
      </c>
    </row>
    <row r="34" spans="1:5" ht="12.75">
      <c r="A34" s="66">
        <f t="shared" si="0"/>
        <v>27</v>
      </c>
      <c r="B34" s="73" t="str">
        <f>+'Sch 7 Rate Design'!B35</f>
        <v>Proposed Rates Effective 2005</v>
      </c>
      <c r="C34" s="74"/>
      <c r="D34" s="74"/>
      <c r="E34" s="75"/>
    </row>
    <row r="35" spans="1:5" ht="12.75">
      <c r="A35" s="66">
        <f t="shared" si="0"/>
        <v>28</v>
      </c>
      <c r="B35" s="81"/>
      <c r="C35" s="81"/>
      <c r="D35" s="81"/>
      <c r="E35" s="81"/>
    </row>
    <row r="36" spans="1:5" ht="12.75">
      <c r="A36" s="66">
        <f t="shared" si="0"/>
        <v>29</v>
      </c>
      <c r="B36" s="44" t="s">
        <v>80</v>
      </c>
      <c r="C36" s="45"/>
      <c r="E36" s="82"/>
    </row>
    <row r="37" spans="1:6" ht="12.75">
      <c r="A37" s="66">
        <f t="shared" si="0"/>
        <v>30</v>
      </c>
      <c r="B37" s="46" t="s">
        <v>74</v>
      </c>
      <c r="C37" s="83">
        <f>+'Sch 7 Rate Design'!C45</f>
        <v>6.5</v>
      </c>
      <c r="D37" s="84"/>
      <c r="E37" s="85" t="s">
        <v>111</v>
      </c>
      <c r="F37" s="86"/>
    </row>
    <row r="38" spans="1:6" ht="12.75">
      <c r="A38" s="66">
        <f t="shared" si="0"/>
        <v>31</v>
      </c>
      <c r="B38" s="51" t="s">
        <v>75</v>
      </c>
      <c r="C38" s="87">
        <f>+'Sch 7 Rate Design'!C46</f>
        <v>16.1</v>
      </c>
      <c r="D38" s="84"/>
      <c r="E38" s="85" t="s">
        <v>111</v>
      </c>
      <c r="F38" s="86"/>
    </row>
    <row r="39" ht="12.75">
      <c r="A39" s="66">
        <f t="shared" si="0"/>
        <v>32</v>
      </c>
    </row>
    <row r="40" spans="1:6" ht="12.75">
      <c r="A40" s="66">
        <f>+A41+1</f>
        <v>34</v>
      </c>
      <c r="B40" s="67" t="s">
        <v>93</v>
      </c>
      <c r="C40" s="88">
        <v>6654047.645208627</v>
      </c>
      <c r="E40" s="50" t="s">
        <v>94</v>
      </c>
      <c r="F40" s="50"/>
    </row>
    <row r="41" spans="1:3" ht="12.75">
      <c r="A41" s="66">
        <f>+A39+1</f>
        <v>33</v>
      </c>
      <c r="B41" s="62" t="s">
        <v>95</v>
      </c>
      <c r="C41" s="80">
        <f>+C40+C32</f>
        <v>180404874.2702278</v>
      </c>
    </row>
    <row r="42" spans="1:3" ht="12.75">
      <c r="A42" s="66">
        <f>+A40+1</f>
        <v>35</v>
      </c>
      <c r="B42" s="67" t="s">
        <v>112</v>
      </c>
      <c r="C42" s="89">
        <f>+C40/C32</f>
        <v>0.038296494897080854</v>
      </c>
    </row>
    <row r="43" ht="12.75">
      <c r="A43" s="66">
        <f t="shared" si="0"/>
        <v>36</v>
      </c>
    </row>
    <row r="44" spans="1:2" ht="12.75">
      <c r="A44" s="66">
        <f t="shared" si="0"/>
        <v>37</v>
      </c>
      <c r="B44" s="67" t="s">
        <v>84</v>
      </c>
    </row>
    <row r="45" spans="1:3" ht="12.75">
      <c r="A45" s="66">
        <f t="shared" si="0"/>
        <v>38</v>
      </c>
      <c r="B45" s="68" t="s">
        <v>74</v>
      </c>
      <c r="C45" s="78">
        <f>+C37*C8</f>
        <v>6201027.493636364</v>
      </c>
    </row>
    <row r="46" spans="1:3" ht="12.75">
      <c r="A46" s="66">
        <f t="shared" si="0"/>
        <v>39</v>
      </c>
      <c r="B46" s="68" t="s">
        <v>75</v>
      </c>
      <c r="C46" s="78">
        <f>+C38*C9</f>
        <v>5664928.681310436</v>
      </c>
    </row>
    <row r="47" spans="1:3" ht="12.75">
      <c r="A47" s="66">
        <f t="shared" si="0"/>
        <v>40</v>
      </c>
      <c r="B47" s="71" t="s">
        <v>85</v>
      </c>
      <c r="C47" s="79">
        <f>SUM(C45:C46)</f>
        <v>11865956.1749468</v>
      </c>
    </row>
    <row r="48" spans="1:3" ht="12.75">
      <c r="A48" s="66">
        <f t="shared" si="0"/>
        <v>41</v>
      </c>
      <c r="B48" s="71"/>
      <c r="C48" s="78"/>
    </row>
    <row r="49" spans="1:3" ht="12.75">
      <c r="A49" s="66">
        <f t="shared" si="0"/>
        <v>42</v>
      </c>
      <c r="B49" s="68" t="s">
        <v>97</v>
      </c>
      <c r="C49" s="78">
        <f>+C41-C47</f>
        <v>168538918.095281</v>
      </c>
    </row>
    <row r="50" spans="1:4" ht="12.75">
      <c r="A50" s="66">
        <f t="shared" si="0"/>
        <v>43</v>
      </c>
      <c r="B50" s="68"/>
      <c r="C50" s="78"/>
      <c r="D50"/>
    </row>
    <row r="51" spans="1:7" ht="12.75">
      <c r="A51" s="66">
        <f t="shared" si="0"/>
        <v>44</v>
      </c>
      <c r="B51" s="44" t="s">
        <v>81</v>
      </c>
      <c r="C51" s="45"/>
      <c r="D51"/>
      <c r="E51" s="49" t="s">
        <v>113</v>
      </c>
      <c r="F51" s="90"/>
      <c r="G51" s="90"/>
    </row>
    <row r="52" spans="1:7" ht="12.75">
      <c r="A52" s="66">
        <f t="shared" si="0"/>
        <v>45</v>
      </c>
      <c r="B52" s="56" t="s">
        <v>114</v>
      </c>
      <c r="C52" s="57">
        <f>ROUND(C53*(D23/E23),6)</f>
        <v>0.072004</v>
      </c>
      <c r="D52"/>
      <c r="E52" s="91">
        <f>D23/E23</f>
        <v>1.0396816845475396</v>
      </c>
      <c r="F52" s="92"/>
      <c r="G52" s="92"/>
    </row>
    <row r="53" spans="1:4" ht="12.75">
      <c r="A53" s="66">
        <f t="shared" si="0"/>
        <v>46</v>
      </c>
      <c r="B53" s="59" t="s">
        <v>115</v>
      </c>
      <c r="C53" s="60">
        <f>ROUND(C49/(E14+D14*(D23/E23)),6)</f>
        <v>0.069256</v>
      </c>
      <c r="D53"/>
    </row>
    <row r="54" spans="1:7" ht="12.75">
      <c r="A54" s="66">
        <f t="shared" si="0"/>
        <v>47</v>
      </c>
      <c r="G54" s="93"/>
    </row>
    <row r="55" spans="1:7" ht="12.75">
      <c r="A55" s="66">
        <f t="shared" si="0"/>
        <v>48</v>
      </c>
      <c r="B55" s="62" t="s">
        <v>86</v>
      </c>
      <c r="G55" s="93"/>
    </row>
    <row r="56" ht="12.75">
      <c r="A56" s="66">
        <f t="shared" si="0"/>
        <v>49</v>
      </c>
    </row>
    <row r="57" spans="1:4" ht="12.75">
      <c r="A57" s="66">
        <f t="shared" si="0"/>
        <v>50</v>
      </c>
      <c r="B57" s="68" t="s">
        <v>110</v>
      </c>
      <c r="C57" s="80">
        <f>+C52*D14+C53*E14</f>
        <v>168538279.94955876</v>
      </c>
      <c r="D57" s="77"/>
    </row>
    <row r="58" spans="1:4" ht="12.75">
      <c r="A58" s="66">
        <f t="shared" si="0"/>
        <v>51</v>
      </c>
      <c r="B58" s="71"/>
      <c r="D58" s="80"/>
    </row>
    <row r="59" spans="1:4" ht="12.75">
      <c r="A59" s="66">
        <f t="shared" si="0"/>
        <v>52</v>
      </c>
      <c r="B59" s="62" t="s">
        <v>103</v>
      </c>
      <c r="C59" s="78">
        <f>+C57+C47</f>
        <v>180404236.12450558</v>
      </c>
      <c r="D59" s="78"/>
    </row>
    <row r="60" spans="1:3" ht="12.75">
      <c r="A60" s="66">
        <f t="shared" si="0"/>
        <v>53</v>
      </c>
      <c r="B60" s="62" t="s">
        <v>104</v>
      </c>
      <c r="C60" s="94">
        <f>+C59-C41</f>
        <v>-638.1457222104073</v>
      </c>
    </row>
    <row r="61" ht="12.75">
      <c r="A61" s="66">
        <f t="shared" si="0"/>
        <v>54</v>
      </c>
    </row>
    <row r="62" spans="6:8" ht="12.75">
      <c r="F62"/>
      <c r="G62"/>
      <c r="H62" s="30"/>
    </row>
    <row r="63" spans="6:8" ht="12.75">
      <c r="F63"/>
      <c r="G63" s="30"/>
      <c r="H63"/>
    </row>
    <row r="64" spans="6:8" ht="12.75">
      <c r="F64"/>
      <c r="G64"/>
      <c r="H64" s="30"/>
    </row>
  </sheetData>
  <printOptions horizontalCentered="1"/>
  <pageMargins left="0.75" right="0.75" top="1.25" bottom="1" header="1.25" footer="0.5"/>
  <pageSetup fitToHeight="1" fitToWidth="1" horizontalDpi="600" verticalDpi="600" orientation="portrait" scale="72" r:id="rId1"/>
  <headerFooter alignWithMargins="0">
    <oddFooter>&amp;L&amp;14Tenth Exhibit to Prefiled
Direct Testimony of James A. Heidell&amp;R&amp;14Exhibit No.___ (JAH-12)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1.0039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8515625" style="0" bestFit="1" customWidth="1"/>
    <col min="10" max="10" width="7.8515625" style="0" bestFit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307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+'Proforma - Proposed'!A3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233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308</v>
      </c>
      <c r="B5" s="1"/>
      <c r="C5" s="1"/>
      <c r="D5" s="1"/>
      <c r="E5" s="1"/>
      <c r="F5" s="1"/>
      <c r="G5" s="1"/>
      <c r="H5" s="1"/>
      <c r="I5" s="1"/>
      <c r="J5" s="1"/>
    </row>
    <row r="7" spans="2:8" ht="12.75">
      <c r="B7" s="35" t="s">
        <v>309</v>
      </c>
      <c r="C7" s="36"/>
      <c r="D7" s="37"/>
      <c r="E7" s="193" t="s">
        <v>310</v>
      </c>
      <c r="F7" s="194"/>
      <c r="G7" s="195" t="s">
        <v>311</v>
      </c>
      <c r="H7" s="194"/>
    </row>
    <row r="8" spans="3:10" ht="12.75">
      <c r="C8" s="23" t="s">
        <v>312</v>
      </c>
      <c r="D8" s="196"/>
      <c r="E8" s="197" t="s">
        <v>313</v>
      </c>
      <c r="F8" s="198"/>
      <c r="G8" s="199" t="s">
        <v>314</v>
      </c>
      <c r="H8" s="198"/>
      <c r="I8" s="35" t="s">
        <v>315</v>
      </c>
      <c r="J8" s="37"/>
    </row>
    <row r="9" spans="1:10" ht="12.75">
      <c r="A9" s="200"/>
      <c r="B9" s="200"/>
      <c r="C9" s="200" t="s">
        <v>316</v>
      </c>
      <c r="D9" s="200" t="s">
        <v>71</v>
      </c>
      <c r="E9" s="201" t="s">
        <v>317</v>
      </c>
      <c r="F9" s="202" t="s">
        <v>318</v>
      </c>
      <c r="G9" s="200" t="s">
        <v>317</v>
      </c>
      <c r="H9" s="202" t="s">
        <v>318</v>
      </c>
      <c r="I9" s="201" t="s">
        <v>319</v>
      </c>
      <c r="J9" s="202" t="s">
        <v>320</v>
      </c>
    </row>
    <row r="10" spans="1:10" ht="12.75">
      <c r="A10" s="20" t="s">
        <v>321</v>
      </c>
      <c r="B10" s="203">
        <v>10495072.07104895</v>
      </c>
      <c r="C10" s="203"/>
      <c r="D10" s="203">
        <f>+B10</f>
        <v>10495072.07104895</v>
      </c>
      <c r="E10" s="48">
        <v>5.5</v>
      </c>
      <c r="F10" s="28">
        <f>+E10*D10</f>
        <v>57722896.39076923</v>
      </c>
      <c r="G10" s="178">
        <f>+'Sch 7 Rate Design'!$C$45</f>
        <v>6.5</v>
      </c>
      <c r="H10" s="28">
        <f>+G10*B10</f>
        <v>68217968.46181817</v>
      </c>
      <c r="I10" s="30">
        <f>+H10-F10</f>
        <v>10495072.071048945</v>
      </c>
      <c r="J10" s="204">
        <f>+I10/F10</f>
        <v>0.1818181818181817</v>
      </c>
    </row>
    <row r="11" spans="1:10" ht="12.75">
      <c r="A11" t="s">
        <v>322</v>
      </c>
      <c r="B11" s="203">
        <v>3216.4338235294113</v>
      </c>
      <c r="C11" s="203"/>
      <c r="D11" s="203">
        <f>+B11</f>
        <v>3216.4338235294113</v>
      </c>
      <c r="E11" s="48">
        <v>13.6</v>
      </c>
      <c r="F11" s="28">
        <f>+E11*D11</f>
        <v>43743.49999999999</v>
      </c>
      <c r="G11" s="178">
        <f>+'Sch 7 Rate Design'!$C$46</f>
        <v>16.1</v>
      </c>
      <c r="H11" s="28">
        <f>+G11*B11</f>
        <v>51784.584558823524</v>
      </c>
      <c r="I11" s="30">
        <f>+H11-F11</f>
        <v>8041.084558823532</v>
      </c>
      <c r="J11" s="204">
        <f>+I11/F11</f>
        <v>0.18382352941176477</v>
      </c>
    </row>
    <row r="12" spans="1:10" ht="12.75">
      <c r="A12" t="s">
        <v>323</v>
      </c>
      <c r="B12" s="205">
        <f>SUM(B10:B11)</f>
        <v>10498288.50487248</v>
      </c>
      <c r="C12" s="205"/>
      <c r="D12" s="205">
        <f>SUM(D10:D11)</f>
        <v>10498288.50487248</v>
      </c>
      <c r="F12" s="11">
        <f>SUM(F10:F11)</f>
        <v>57766639.89076923</v>
      </c>
      <c r="H12" s="11">
        <f>SUM(H10:H11)</f>
        <v>68269753.046377</v>
      </c>
      <c r="I12" s="11">
        <f>SUM(I10:I11)</f>
        <v>10503113.15560777</v>
      </c>
      <c r="J12" s="206">
        <f>+I12/F12</f>
        <v>0.18181970035764716</v>
      </c>
    </row>
    <row r="13" spans="6:8" ht="12.75">
      <c r="F13" s="28"/>
      <c r="H13" s="28"/>
    </row>
    <row r="14" spans="1:10" ht="12.75">
      <c r="A14" t="s">
        <v>324</v>
      </c>
      <c r="B14" s="32">
        <v>5357297988.156485</v>
      </c>
      <c r="C14" s="32"/>
      <c r="D14" s="32">
        <f>+C14+B14</f>
        <v>5357297988.156485</v>
      </c>
      <c r="E14" s="39">
        <v>0.062727</v>
      </c>
      <c r="F14" s="28">
        <f>+E14*D14</f>
        <v>336047230.90309185</v>
      </c>
      <c r="G14" s="39">
        <f>+'Sch 7 Rate Design'!$C$60</f>
        <v>0.073499</v>
      </c>
      <c r="H14" s="28">
        <f>+G14*D14</f>
        <v>393756044.8315134</v>
      </c>
      <c r="I14" s="30">
        <f>+H14-F14</f>
        <v>57708813.92842156</v>
      </c>
      <c r="J14" s="204">
        <f>+I14/F14</f>
        <v>0.17172828287659192</v>
      </c>
    </row>
    <row r="15" spans="1:10" ht="12.75">
      <c r="A15" t="s">
        <v>325</v>
      </c>
      <c r="B15" s="32">
        <v>943012109.44261</v>
      </c>
      <c r="C15" s="32"/>
      <c r="D15" s="32">
        <f>+C15+B15</f>
        <v>943012109.44261</v>
      </c>
      <c r="E15" s="39">
        <v>0.07914399999999999</v>
      </c>
      <c r="F15" s="28">
        <f>+E15*D15</f>
        <v>74633750.38972592</v>
      </c>
      <c r="G15" s="39">
        <f>+'Sch 7 Rate Design'!$C$60</f>
        <v>0.073499</v>
      </c>
      <c r="H15" s="28">
        <f>+G15*D15</f>
        <v>69310447.03192239</v>
      </c>
      <c r="I15" s="30">
        <f>+H15-F15</f>
        <v>-5323303.357803538</v>
      </c>
      <c r="J15" s="204">
        <f>+I15/F15</f>
        <v>-0.07132568482765599</v>
      </c>
    </row>
    <row r="16" spans="1:10" ht="12.75">
      <c r="A16" s="20" t="s">
        <v>403</v>
      </c>
      <c r="B16" s="32">
        <v>3369509320.396706</v>
      </c>
      <c r="C16" s="32">
        <v>86881239.42596033</v>
      </c>
      <c r="D16" s="32">
        <f>+C16+B16</f>
        <v>3456390559.8226666</v>
      </c>
      <c r="E16" s="39">
        <v>0.07914399999999999</v>
      </c>
      <c r="F16" s="28">
        <f>+E16*D16</f>
        <v>273552574.4666051</v>
      </c>
      <c r="G16" s="39">
        <f>+'Sch 7 Rate Design'!$C$61</f>
        <v>0.083919</v>
      </c>
      <c r="H16" s="28">
        <f>+G16*D16</f>
        <v>290056839.38975835</v>
      </c>
      <c r="I16" s="30">
        <f>+H16-F16</f>
        <v>16504264.923153222</v>
      </c>
      <c r="J16" s="204">
        <f>+I16/F16</f>
        <v>0.06033306378247241</v>
      </c>
    </row>
    <row r="17" spans="1:10" ht="12.75">
      <c r="A17" t="s">
        <v>167</v>
      </c>
      <c r="B17" s="205">
        <f>SUM(B14:B16)</f>
        <v>9669819417.9958</v>
      </c>
      <c r="C17" s="205">
        <f>SUM(C14:C16)</f>
        <v>86881239.42596033</v>
      </c>
      <c r="D17" s="205">
        <f>SUM(D14:D16)</f>
        <v>9756700657.42176</v>
      </c>
      <c r="F17" s="11">
        <f>SUM(F14:F16)</f>
        <v>684233555.7594229</v>
      </c>
      <c r="H17" s="11">
        <f>SUM(H14:H16)</f>
        <v>753123331.2531941</v>
      </c>
      <c r="I17" s="11">
        <f>SUM(I14:I16)</f>
        <v>68889775.49377124</v>
      </c>
      <c r="J17" s="206">
        <f>+I17/F17</f>
        <v>0.10068166770527832</v>
      </c>
    </row>
    <row r="18" spans="2:10" ht="12.75">
      <c r="B18" s="128"/>
      <c r="C18" s="128"/>
      <c r="D18" s="128"/>
      <c r="F18" s="14"/>
      <c r="H18" s="14"/>
      <c r="I18" s="14"/>
      <c r="J18" s="207"/>
    </row>
    <row r="19" spans="1:10" ht="12.75">
      <c r="A19" t="s">
        <v>82</v>
      </c>
      <c r="B19" s="128"/>
      <c r="C19" s="128"/>
      <c r="D19" s="205">
        <f>+D17</f>
        <v>9756700657.42176</v>
      </c>
      <c r="E19" s="39">
        <v>0.002336</v>
      </c>
      <c r="F19" s="11">
        <f>+E19*D19</f>
        <v>22791652.73573723</v>
      </c>
      <c r="G19" s="39">
        <v>0</v>
      </c>
      <c r="H19" s="11">
        <f>+G19*D19</f>
        <v>0</v>
      </c>
      <c r="I19" s="11">
        <f>+H19-F19</f>
        <v>-22791652.73573723</v>
      </c>
      <c r="J19" s="206">
        <f>+I19/F19</f>
        <v>-1</v>
      </c>
    </row>
    <row r="21" spans="1:10" ht="13.5" thickBot="1">
      <c r="A21" t="s">
        <v>326</v>
      </c>
      <c r="B21" s="27"/>
      <c r="C21" s="27"/>
      <c r="D21" s="34"/>
      <c r="F21" s="136">
        <f>SUM(F12,F17,F19)</f>
        <v>764791848.3859293</v>
      </c>
      <c r="H21" s="136">
        <f>SUM(H12,H17,H19)</f>
        <v>821393084.299571</v>
      </c>
      <c r="I21" s="136">
        <f>SUM(I12,I17,I19)</f>
        <v>56601235.91364178</v>
      </c>
      <c r="J21" s="208">
        <f>+I21/F21</f>
        <v>0.07400868096737305</v>
      </c>
    </row>
    <row r="22" ht="13.5" thickTop="1"/>
    <row r="23" ht="12.75">
      <c r="F23" s="30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4.8515625" style="62" bestFit="1" customWidth="1"/>
    <col min="2" max="2" width="44.140625" style="62" bestFit="1" customWidth="1"/>
    <col min="3" max="3" width="15.00390625" style="62" bestFit="1" customWidth="1"/>
    <col min="4" max="5" width="13.28125" style="62" bestFit="1" customWidth="1"/>
    <col min="6" max="6" width="6.421875" style="62" customWidth="1"/>
    <col min="7" max="7" width="43.8515625" style="62" bestFit="1" customWidth="1"/>
    <col min="8" max="16384" width="9.140625" style="62" customWidth="1"/>
  </cols>
  <sheetData>
    <row r="1" spans="2:7" ht="12.75">
      <c r="B1" s="63" t="s">
        <v>0</v>
      </c>
      <c r="C1" s="63"/>
      <c r="D1" s="63"/>
      <c r="E1" s="63"/>
      <c r="F1" s="63"/>
      <c r="G1" s="63"/>
    </row>
    <row r="2" spans="2:7" ht="12.75">
      <c r="B2" s="63" t="s">
        <v>68</v>
      </c>
      <c r="C2" s="63"/>
      <c r="D2" s="63"/>
      <c r="E2" s="63"/>
      <c r="F2" s="63"/>
      <c r="G2" s="63"/>
    </row>
    <row r="3" spans="2:7" ht="12.75">
      <c r="B3" s="63" t="s">
        <v>44</v>
      </c>
      <c r="C3" s="63"/>
      <c r="D3" s="63"/>
      <c r="E3" s="63"/>
      <c r="F3" s="63"/>
      <c r="G3" s="63"/>
    </row>
    <row r="4" spans="2:7" ht="12.75">
      <c r="B4" s="63" t="s">
        <v>116</v>
      </c>
      <c r="C4" s="63"/>
      <c r="D4" s="63"/>
      <c r="E4" s="63"/>
      <c r="F4" s="63"/>
      <c r="G4" s="63"/>
    </row>
    <row r="5" ht="12.75"/>
    <row r="6" spans="1:5" s="64" customFormat="1" ht="25.5">
      <c r="A6" s="65" t="s">
        <v>70</v>
      </c>
      <c r="B6" s="65"/>
      <c r="C6" s="3" t="s">
        <v>71</v>
      </c>
      <c r="D6" s="65" t="s">
        <v>117</v>
      </c>
      <c r="E6" s="65" t="s">
        <v>118</v>
      </c>
    </row>
    <row r="7" spans="1:5" ht="13.5" thickBot="1">
      <c r="A7" s="66">
        <v>1</v>
      </c>
      <c r="B7" s="67" t="s">
        <v>73</v>
      </c>
      <c r="C7" s="70">
        <f>+'Sch 25 Revenue'!$D$10</f>
        <v>87939.87429718864</v>
      </c>
      <c r="D7" s="69"/>
      <c r="E7" s="69"/>
    </row>
    <row r="8" spans="1:5" ht="13.5" thickTop="1">
      <c r="A8" s="66">
        <f>+A7+1</f>
        <v>2</v>
      </c>
      <c r="B8" s="67" t="s">
        <v>76</v>
      </c>
      <c r="C8" s="69"/>
      <c r="D8" s="69"/>
      <c r="E8" s="69"/>
    </row>
    <row r="9" spans="1:5" ht="12.75">
      <c r="A9" s="66">
        <f aca="true" t="shared" si="0" ref="A9:A68">+A8+1</f>
        <v>3</v>
      </c>
      <c r="B9" s="68" t="s">
        <v>119</v>
      </c>
      <c r="C9" s="69">
        <f>SUM(D9:E9)</f>
        <v>1443691610.3191</v>
      </c>
      <c r="D9" s="69">
        <f>+'Sch 25 Revenue'!$D$12</f>
        <v>725287982.5006</v>
      </c>
      <c r="E9" s="69">
        <f>+'Sch 25 Revenue'!$D$13</f>
        <v>718403627.8185</v>
      </c>
    </row>
    <row r="10" spans="1:5" ht="12.75">
      <c r="A10" s="66">
        <f t="shared" si="0"/>
        <v>4</v>
      </c>
      <c r="B10" s="68" t="s">
        <v>120</v>
      </c>
      <c r="C10" s="69">
        <f>+'Sch 25 Revenue'!$B$14</f>
        <v>1408084335.5730999</v>
      </c>
      <c r="D10" s="69"/>
      <c r="E10" s="69"/>
    </row>
    <row r="11" spans="1:5" ht="12.75">
      <c r="A11" s="66">
        <f t="shared" si="0"/>
        <v>5</v>
      </c>
      <c r="B11" s="71" t="s">
        <v>121</v>
      </c>
      <c r="C11" s="69">
        <f>+'Sch 25 Revenue'!$C$14</f>
        <v>-2777652.650990819</v>
      </c>
      <c r="D11" s="69"/>
      <c r="E11" s="69"/>
    </row>
    <row r="12" spans="1:5" ht="13.5" thickBot="1">
      <c r="A12" s="66">
        <f t="shared" si="0"/>
        <v>6</v>
      </c>
      <c r="C12" s="70">
        <f>SUM(C9:C11)</f>
        <v>2848998293.2412086</v>
      </c>
      <c r="D12" s="69"/>
      <c r="E12" s="69"/>
    </row>
    <row r="13" spans="1:5" ht="13.5" thickTop="1">
      <c r="A13" s="66">
        <f t="shared" si="0"/>
        <v>7</v>
      </c>
      <c r="B13" s="67" t="s">
        <v>122</v>
      </c>
      <c r="C13" s="69"/>
      <c r="D13" s="69"/>
      <c r="E13" s="69"/>
    </row>
    <row r="14" spans="1:5" ht="12.75">
      <c r="A14" s="66">
        <f t="shared" si="0"/>
        <v>8</v>
      </c>
      <c r="B14" s="68" t="s">
        <v>123</v>
      </c>
      <c r="C14" s="95">
        <f>SUM(D14:E14)</f>
        <v>4082201.201703973</v>
      </c>
      <c r="D14" s="69">
        <v>2023407.6200112926</v>
      </c>
      <c r="E14" s="69">
        <v>2058793.5816926805</v>
      </c>
    </row>
    <row r="15" spans="1:5" ht="12.75">
      <c r="A15" s="66">
        <f t="shared" si="0"/>
        <v>9</v>
      </c>
      <c r="B15" s="71" t="s">
        <v>124</v>
      </c>
      <c r="C15" s="69">
        <f>SUM(D15:E15)</f>
        <v>4287493.58933934</v>
      </c>
      <c r="D15" s="69">
        <f>+'Sch 25 Revenue'!$D$17</f>
        <v>2125410.9204204204</v>
      </c>
      <c r="E15" s="69">
        <f>+'Sch 25 Revenue'!$D$18</f>
        <v>2162082.66891892</v>
      </c>
    </row>
    <row r="16" spans="1:7" ht="13.5" thickBot="1">
      <c r="A16" s="66">
        <f t="shared" si="0"/>
        <v>10</v>
      </c>
      <c r="C16" s="70">
        <f>SUM(C14:C15)</f>
        <v>8369694.791043313</v>
      </c>
      <c r="G16" s="76">
        <f>SUM(E14:E15)*E31+SUM(D14:D15)*D31</f>
        <v>46371822.031990714</v>
      </c>
    </row>
    <row r="17" spans="1:5" ht="13.5" thickTop="1">
      <c r="A17" s="66">
        <f t="shared" si="0"/>
        <v>11</v>
      </c>
      <c r="B17" s="96" t="s">
        <v>125</v>
      </c>
      <c r="C17" s="69"/>
      <c r="D17" s="69"/>
      <c r="E17" s="69"/>
    </row>
    <row r="18" spans="1:5" ht="12.75">
      <c r="A18" s="66">
        <f t="shared" si="0"/>
        <v>12</v>
      </c>
      <c r="B18" s="68" t="s">
        <v>126</v>
      </c>
      <c r="C18" s="69">
        <f>+'Sch 25 Revenue'!$D$21</f>
        <v>745499708.1545074</v>
      </c>
      <c r="D18" s="69"/>
      <c r="E18" s="69"/>
    </row>
    <row r="19" spans="1:5" ht="13.5" thickBot="1">
      <c r="A19" s="66">
        <f t="shared" si="0"/>
        <v>13</v>
      </c>
      <c r="C19" s="70">
        <f>SUM(C18:C18)</f>
        <v>745499708.1545074</v>
      </c>
      <c r="D19" s="69"/>
      <c r="E19" s="69"/>
    </row>
    <row r="20" spans="1:5" ht="13.5" thickTop="1">
      <c r="A20" s="66">
        <f t="shared" si="0"/>
        <v>14</v>
      </c>
      <c r="D20" s="69"/>
      <c r="E20" s="69"/>
    </row>
    <row r="21" spans="1:5" ht="12.75">
      <c r="A21" s="66">
        <f t="shared" si="0"/>
        <v>15</v>
      </c>
      <c r="B21" s="73" t="str">
        <f>+'Sch 7 Rate Design'!B16</f>
        <v>Current Base Rates Effective 10-1-03</v>
      </c>
      <c r="C21" s="74"/>
      <c r="D21" s="74"/>
      <c r="E21" s="75"/>
    </row>
    <row r="22" spans="1:5" ht="12.75">
      <c r="A22" s="66">
        <f t="shared" si="0"/>
        <v>16</v>
      </c>
      <c r="B22" s="97" t="s">
        <v>127</v>
      </c>
      <c r="C22" s="81"/>
      <c r="D22" s="81"/>
      <c r="E22" s="81"/>
    </row>
    <row r="23" spans="1:2" ht="12.75">
      <c r="A23" s="66">
        <f t="shared" si="0"/>
        <v>17</v>
      </c>
      <c r="B23" s="68" t="s">
        <v>80</v>
      </c>
    </row>
    <row r="24" spans="1:5" ht="12.75">
      <c r="A24" s="66">
        <f t="shared" si="0"/>
        <v>18</v>
      </c>
      <c r="B24" s="98" t="s">
        <v>128</v>
      </c>
      <c r="C24" s="76">
        <f>+'Sch 25 Revenue'!$E$10</f>
        <v>24.9</v>
      </c>
      <c r="D24" s="76"/>
      <c r="E24" s="76"/>
    </row>
    <row r="25" spans="1:2" ht="12.75">
      <c r="A25" s="66">
        <f t="shared" si="0"/>
        <v>19</v>
      </c>
      <c r="B25" s="68" t="s">
        <v>81</v>
      </c>
    </row>
    <row r="26" spans="1:5" ht="12.75">
      <c r="A26" s="66">
        <f t="shared" si="0"/>
        <v>20</v>
      </c>
      <c r="B26" s="98" t="s">
        <v>119</v>
      </c>
      <c r="D26" s="77">
        <f>+'Sch 25 Revenue'!$E$12</f>
        <v>0.069616</v>
      </c>
      <c r="E26" s="77">
        <f>+'Sch 25 Revenue'!$E$13</f>
        <v>0.062652</v>
      </c>
    </row>
    <row r="27" spans="1:5" ht="12.75">
      <c r="A27" s="66">
        <f t="shared" si="0"/>
        <v>21</v>
      </c>
      <c r="B27" s="98" t="s">
        <v>120</v>
      </c>
      <c r="C27" s="77">
        <f>+'Sch 25 Revenue'!$E$14</f>
        <v>0.05226</v>
      </c>
      <c r="D27" s="77"/>
      <c r="E27" s="77"/>
    </row>
    <row r="28" spans="1:5" ht="12.75">
      <c r="A28" s="66"/>
      <c r="B28" s="98" t="s">
        <v>82</v>
      </c>
      <c r="C28" s="77">
        <f>+'Sch 25 Revenue'!$E$23</f>
        <v>0.00234</v>
      </c>
      <c r="D28" s="77"/>
      <c r="E28" s="77"/>
    </row>
    <row r="29" spans="1:2" ht="12.75">
      <c r="A29" s="66">
        <f>+A27+1</f>
        <v>22</v>
      </c>
      <c r="B29" s="71" t="s">
        <v>129</v>
      </c>
    </row>
    <row r="30" spans="1:5" ht="12.75">
      <c r="A30" s="66">
        <f t="shared" si="0"/>
        <v>23</v>
      </c>
      <c r="B30" s="99" t="s">
        <v>123</v>
      </c>
      <c r="D30" s="76">
        <v>0</v>
      </c>
      <c r="E30" s="76">
        <v>0</v>
      </c>
    </row>
    <row r="31" spans="1:5" ht="12.75">
      <c r="A31" s="66">
        <f t="shared" si="0"/>
        <v>24</v>
      </c>
      <c r="B31" s="99" t="s">
        <v>124</v>
      </c>
      <c r="C31" s="76">
        <f>(D31*D15+E31*E15)/C15</f>
        <v>5.54050595878801</v>
      </c>
      <c r="D31" s="76">
        <f>+'Sch 25 Revenue'!$E$17</f>
        <v>6.66</v>
      </c>
      <c r="E31" s="76">
        <f>+'Sch 25 Revenue'!$E$18</f>
        <v>4.44</v>
      </c>
    </row>
    <row r="32" spans="1:5" ht="12.75">
      <c r="A32" s="66">
        <f t="shared" si="0"/>
        <v>25</v>
      </c>
      <c r="B32" s="68" t="s">
        <v>130</v>
      </c>
      <c r="C32" s="100">
        <f>+'Sch 25 Revenue'!$E$21</f>
        <v>0.00233</v>
      </c>
      <c r="D32" s="100"/>
      <c r="E32" s="100"/>
    </row>
    <row r="33" ht="12.75">
      <c r="A33" s="66">
        <f t="shared" si="0"/>
        <v>26</v>
      </c>
    </row>
    <row r="34" spans="1:2" ht="12.75">
      <c r="A34" s="66">
        <f t="shared" si="0"/>
        <v>27</v>
      </c>
      <c r="B34" s="62" t="s">
        <v>131</v>
      </c>
    </row>
    <row r="35" spans="1:7" ht="12.75">
      <c r="A35" s="66">
        <f t="shared" si="0"/>
        <v>28</v>
      </c>
      <c r="B35" s="71" t="s">
        <v>84</v>
      </c>
      <c r="C35" s="79">
        <f>+C24*C7</f>
        <v>2189702.869999997</v>
      </c>
      <c r="G35" s="80"/>
    </row>
    <row r="36" spans="1:7" ht="12.75">
      <c r="A36" s="66">
        <f t="shared" si="0"/>
        <v>29</v>
      </c>
      <c r="B36" s="68" t="s">
        <v>86</v>
      </c>
      <c r="C36" s="78"/>
      <c r="G36" s="80"/>
    </row>
    <row r="37" spans="1:7" ht="12.75">
      <c r="A37" s="66">
        <f t="shared" si="0"/>
        <v>30</v>
      </c>
      <c r="B37" s="98" t="s">
        <v>119</v>
      </c>
      <c r="C37" s="78">
        <f>SUM(D37:E37)</f>
        <v>95501072.27984643</v>
      </c>
      <c r="D37" s="80">
        <f>+D26*D9</f>
        <v>50491648.189761765</v>
      </c>
      <c r="E37" s="80">
        <f>+E26*E9</f>
        <v>45009424.090084665</v>
      </c>
      <c r="G37" s="80"/>
    </row>
    <row r="38" spans="1:7" ht="12.75">
      <c r="A38" s="66">
        <f t="shared" si="0"/>
        <v>31</v>
      </c>
      <c r="B38" s="98" t="s">
        <v>120</v>
      </c>
      <c r="C38" s="78">
        <f>SUM(C10:C11)*C27</f>
        <v>73441327.24950942</v>
      </c>
      <c r="D38" s="80"/>
      <c r="E38" s="80"/>
      <c r="G38" s="80"/>
    </row>
    <row r="39" spans="1:7" ht="12.75">
      <c r="A39" s="66">
        <f t="shared" si="0"/>
        <v>32</v>
      </c>
      <c r="B39" s="101" t="s">
        <v>132</v>
      </c>
      <c r="C39" s="79">
        <f>SUM(C37:C38)</f>
        <v>168942399.52935585</v>
      </c>
      <c r="D39" s="80"/>
      <c r="E39" s="80"/>
      <c r="G39" s="80"/>
    </row>
    <row r="40" spans="1:7" ht="12.75">
      <c r="A40" s="66"/>
      <c r="B40" s="102" t="s">
        <v>82</v>
      </c>
      <c r="C40" s="79">
        <f>+C28*C12</f>
        <v>6666656.006184428</v>
      </c>
      <c r="D40" s="80"/>
      <c r="E40" s="80"/>
      <c r="G40" s="80"/>
    </row>
    <row r="41" spans="1:7" ht="12.75">
      <c r="A41" s="66">
        <f>+A39+1</f>
        <v>33</v>
      </c>
      <c r="B41" s="71" t="s">
        <v>133</v>
      </c>
      <c r="C41" s="79">
        <f>SUM(D41:E41)</f>
        <v>23754883.78000001</v>
      </c>
      <c r="D41" s="80">
        <f>+D31*D15</f>
        <v>14155236.73</v>
      </c>
      <c r="E41" s="80">
        <f>+E31*E15</f>
        <v>9599647.050000006</v>
      </c>
      <c r="G41" s="80"/>
    </row>
    <row r="42" spans="1:7" ht="12.75">
      <c r="A42" s="66">
        <f t="shared" si="0"/>
        <v>34</v>
      </c>
      <c r="B42" s="68" t="s">
        <v>134</v>
      </c>
      <c r="C42" s="79">
        <f>+C32*C19</f>
        <v>1737014.3200000022</v>
      </c>
      <c r="G42" s="80"/>
    </row>
    <row r="43" spans="1:7" ht="13.5" thickBot="1">
      <c r="A43" s="66">
        <f t="shared" si="0"/>
        <v>35</v>
      </c>
      <c r="B43" s="62" t="s">
        <v>87</v>
      </c>
      <c r="C43" s="103">
        <f>SUM(C42,C41,C39,C35,C40)</f>
        <v>203290656.50554028</v>
      </c>
      <c r="G43" s="78"/>
    </row>
    <row r="44" spans="1:3" ht="13.5" thickTop="1">
      <c r="A44" s="66">
        <f t="shared" si="0"/>
        <v>36</v>
      </c>
      <c r="C44" s="78"/>
    </row>
    <row r="45" spans="1:5" ht="12.75">
      <c r="A45" s="66">
        <f t="shared" si="0"/>
        <v>37</v>
      </c>
      <c r="B45" s="73" t="str">
        <f>+'Sch 7 Rate Design'!B35</f>
        <v>Proposed Rates Effective 2005</v>
      </c>
      <c r="C45" s="74"/>
      <c r="D45" s="74"/>
      <c r="E45" s="75"/>
    </row>
    <row r="46" spans="1:5" ht="12.75">
      <c r="A46" s="66">
        <f t="shared" si="0"/>
        <v>38</v>
      </c>
      <c r="B46" s="81"/>
      <c r="C46" s="81"/>
      <c r="D46" s="104"/>
      <c r="E46" s="81"/>
    </row>
    <row r="47" spans="1:7" ht="12.75">
      <c r="A47" s="66">
        <f t="shared" si="0"/>
        <v>39</v>
      </c>
      <c r="B47" s="97" t="s">
        <v>135</v>
      </c>
      <c r="C47" s="105">
        <v>5888584.6410215795</v>
      </c>
      <c r="D47" s="104"/>
      <c r="G47" s="50" t="s">
        <v>94</v>
      </c>
    </row>
    <row r="48" spans="1:5" ht="12.75">
      <c r="A48" s="66">
        <f t="shared" si="0"/>
        <v>40</v>
      </c>
      <c r="B48" s="97" t="s">
        <v>136</v>
      </c>
      <c r="C48" s="106">
        <f>+C43+'Sch 29 Rate Design'!C49</f>
        <v>204205358.03691077</v>
      </c>
      <c r="D48" s="104"/>
      <c r="E48" s="81"/>
    </row>
    <row r="49" spans="1:5" ht="12.75">
      <c r="A49" s="66">
        <f t="shared" si="0"/>
        <v>41</v>
      </c>
      <c r="B49" s="81"/>
      <c r="C49" s="81"/>
      <c r="D49" s="104"/>
      <c r="E49" s="81"/>
    </row>
    <row r="50" spans="1:6" ht="12.75">
      <c r="A50" s="66">
        <f t="shared" si="0"/>
        <v>42</v>
      </c>
      <c r="B50" s="67" t="s">
        <v>93</v>
      </c>
      <c r="C50" s="80">
        <f>+C47/C48*C43</f>
        <v>5862207.774907353</v>
      </c>
      <c r="D50" s="78"/>
      <c r="F50" s="107"/>
    </row>
    <row r="51" spans="1:3" ht="12.75">
      <c r="A51" s="66">
        <f t="shared" si="0"/>
        <v>43</v>
      </c>
      <c r="B51" s="67" t="s">
        <v>137</v>
      </c>
      <c r="C51" s="80">
        <f>+C50+C43</f>
        <v>209152864.28044763</v>
      </c>
    </row>
    <row r="52" spans="1:3" ht="12.75">
      <c r="A52" s="66">
        <f t="shared" si="0"/>
        <v>44</v>
      </c>
      <c r="B52" s="67" t="s">
        <v>112</v>
      </c>
      <c r="C52" s="89">
        <f>+C50/C43</f>
        <v>0.028836582436574457</v>
      </c>
    </row>
    <row r="53" ht="12.75">
      <c r="A53" s="66">
        <f t="shared" si="0"/>
        <v>45</v>
      </c>
    </row>
    <row r="54" spans="1:5" ht="12.75">
      <c r="A54" s="66">
        <f t="shared" si="0"/>
        <v>46</v>
      </c>
      <c r="B54" s="44" t="s">
        <v>80</v>
      </c>
      <c r="C54" s="45"/>
      <c r="E54" s="82"/>
    </row>
    <row r="55" spans="1:7" ht="12.75">
      <c r="A55" s="66">
        <f t="shared" si="0"/>
        <v>47</v>
      </c>
      <c r="B55" s="51" t="s">
        <v>138</v>
      </c>
      <c r="C55" s="108">
        <f>ROUND('Basic Charge Design'!$D$9,1)</f>
        <v>33.5</v>
      </c>
      <c r="D55" s="84"/>
      <c r="E55" s="84"/>
      <c r="G55" s="49" t="s">
        <v>91</v>
      </c>
    </row>
    <row r="56" ht="12.75">
      <c r="A56" s="66">
        <f t="shared" si="0"/>
        <v>48</v>
      </c>
    </row>
    <row r="57" spans="1:2" ht="12.75">
      <c r="A57" s="66">
        <f t="shared" si="0"/>
        <v>49</v>
      </c>
      <c r="B57" s="67" t="s">
        <v>84</v>
      </c>
    </row>
    <row r="58" spans="1:3" ht="12.75">
      <c r="A58" s="66">
        <f t="shared" si="0"/>
        <v>50</v>
      </c>
      <c r="B58" s="71" t="s">
        <v>85</v>
      </c>
      <c r="C58" s="79">
        <f>+C55*C7</f>
        <v>2945985.7889558193</v>
      </c>
    </row>
    <row r="59" spans="1:7" ht="12.75">
      <c r="A59" s="66">
        <f t="shared" si="0"/>
        <v>51</v>
      </c>
      <c r="B59" s="71"/>
      <c r="C59" s="78"/>
      <c r="F59" s="109"/>
      <c r="G59" s="109"/>
    </row>
    <row r="60" spans="1:6" ht="12.75">
      <c r="A60" s="66">
        <f t="shared" si="0"/>
        <v>52</v>
      </c>
      <c r="B60" s="110" t="s">
        <v>139</v>
      </c>
      <c r="C60" s="111">
        <f>'Demand Charge Rate Spread 1'!$M$6</f>
        <v>38798766.905786134</v>
      </c>
      <c r="D60" s="112" t="s">
        <v>117</v>
      </c>
      <c r="E60" s="113" t="s">
        <v>118</v>
      </c>
      <c r="F60" s="107"/>
    </row>
    <row r="61" spans="1:7" ht="12.75">
      <c r="A61" s="66">
        <f t="shared" si="0"/>
        <v>53</v>
      </c>
      <c r="B61" s="46" t="s">
        <v>140</v>
      </c>
      <c r="C61" s="114">
        <v>0</v>
      </c>
      <c r="D61" s="114">
        <v>0</v>
      </c>
      <c r="E61" s="115">
        <v>0</v>
      </c>
      <c r="G61" s="116"/>
    </row>
    <row r="62" spans="1:7" ht="12.75">
      <c r="A62" s="66">
        <f t="shared" si="0"/>
        <v>54</v>
      </c>
      <c r="B62" s="51" t="s">
        <v>124</v>
      </c>
      <c r="C62" s="117">
        <f>IF(C60/C16&lt;C31,C31,ROUND(C60/C16,2))</f>
        <v>5.54050595878801</v>
      </c>
      <c r="D62" s="118">
        <f>ROUND(D31*(1+C52),2)</f>
        <v>6.85</v>
      </c>
      <c r="E62" s="119">
        <f>ROUND(E31*(1+C52),2)</f>
        <v>4.57</v>
      </c>
      <c r="G62" s="85" t="s">
        <v>141</v>
      </c>
    </row>
    <row r="63" spans="1:3" ht="12.75">
      <c r="A63" s="66">
        <f t="shared" si="0"/>
        <v>55</v>
      </c>
      <c r="B63" s="71"/>
      <c r="C63" s="78"/>
    </row>
    <row r="64" spans="1:3" ht="12.75">
      <c r="A64" s="66">
        <f t="shared" si="0"/>
        <v>56</v>
      </c>
      <c r="B64" s="96" t="s">
        <v>142</v>
      </c>
      <c r="C64" s="78"/>
    </row>
    <row r="65" spans="1:3" ht="12.75">
      <c r="A65" s="66">
        <f t="shared" si="0"/>
        <v>57</v>
      </c>
      <c r="B65" s="68" t="s">
        <v>124</v>
      </c>
      <c r="C65" s="79">
        <f>+D62*D15+E15*E62</f>
        <v>24439782.601839345</v>
      </c>
    </row>
    <row r="66" spans="1:3" ht="12.75">
      <c r="A66" s="66">
        <f t="shared" si="0"/>
        <v>58</v>
      </c>
      <c r="B66" s="71"/>
      <c r="C66" s="78"/>
    </row>
    <row r="67" spans="1:7" ht="12.75">
      <c r="A67" s="66">
        <f aca="true" t="shared" si="1" ref="A67:A88">+A66+1</f>
        <v>59</v>
      </c>
      <c r="B67" s="110" t="s">
        <v>143</v>
      </c>
      <c r="C67" s="138">
        <f>+'Demand Charge Rate Spread 1'!$L$6</f>
        <v>1787103.8766321924</v>
      </c>
      <c r="D67" s="78"/>
      <c r="G67" s="120" t="s">
        <v>144</v>
      </c>
    </row>
    <row r="68" spans="1:3" ht="12.75">
      <c r="A68" s="66">
        <f t="shared" si="0"/>
        <v>60</v>
      </c>
      <c r="B68" s="51" t="s">
        <v>126</v>
      </c>
      <c r="C68" s="121">
        <f>ROUND(C67/C18,5)</f>
        <v>0.0024</v>
      </c>
    </row>
    <row r="69" spans="1:3" ht="12.75">
      <c r="A69" s="66">
        <f t="shared" si="1"/>
        <v>61</v>
      </c>
      <c r="B69" s="71"/>
      <c r="C69" s="78"/>
    </row>
    <row r="70" spans="1:3" ht="12.75">
      <c r="A70" s="66">
        <f t="shared" si="1"/>
        <v>62</v>
      </c>
      <c r="B70" s="96" t="s">
        <v>145</v>
      </c>
      <c r="C70" s="79">
        <f>+C68*C19</f>
        <v>1789199.2995708175</v>
      </c>
    </row>
    <row r="71" spans="1:6" ht="12.75">
      <c r="A71" s="66">
        <f t="shared" si="1"/>
        <v>63</v>
      </c>
      <c r="F71" s="122"/>
    </row>
    <row r="72" spans="1:3" ht="12.75">
      <c r="A72" s="66">
        <f t="shared" si="1"/>
        <v>64</v>
      </c>
      <c r="B72" s="68" t="s">
        <v>97</v>
      </c>
      <c r="C72" s="78">
        <f>+C51-C58-C65-C70</f>
        <v>179977896.59008166</v>
      </c>
    </row>
    <row r="73" spans="1:3" ht="12.75">
      <c r="A73" s="66">
        <f t="shared" si="1"/>
        <v>65</v>
      </c>
      <c r="B73" s="68" t="s">
        <v>146</v>
      </c>
      <c r="C73" s="78">
        <f>+C39+C40</f>
        <v>175609055.53554028</v>
      </c>
    </row>
    <row r="74" spans="1:3" ht="12.75">
      <c r="A74" s="66">
        <f t="shared" si="1"/>
        <v>66</v>
      </c>
      <c r="B74" s="68" t="s">
        <v>16</v>
      </c>
      <c r="C74" s="80">
        <f>+C72-C73</f>
        <v>4368841.054541379</v>
      </c>
    </row>
    <row r="75" spans="1:3" ht="12.75">
      <c r="A75" s="66">
        <f t="shared" si="1"/>
        <v>67</v>
      </c>
      <c r="B75" s="68" t="s">
        <v>17</v>
      </c>
      <c r="C75" s="89">
        <f>+C74/C73</f>
        <v>0.024878221918670933</v>
      </c>
    </row>
    <row r="76" spans="1:3" ht="12.75">
      <c r="A76" s="66">
        <f t="shared" si="1"/>
        <v>68</v>
      </c>
      <c r="B76" s="68" t="s">
        <v>147</v>
      </c>
      <c r="C76" s="77"/>
    </row>
    <row r="77" spans="1:3" ht="12.75">
      <c r="A77" s="66">
        <f t="shared" si="1"/>
        <v>69</v>
      </c>
      <c r="B77" s="68"/>
      <c r="C77" s="78"/>
    </row>
    <row r="78" spans="1:6" ht="12.75">
      <c r="A78" s="66">
        <f t="shared" si="1"/>
        <v>70</v>
      </c>
      <c r="B78" s="44" t="s">
        <v>81</v>
      </c>
      <c r="C78" s="123"/>
      <c r="D78" s="123" t="s">
        <v>117</v>
      </c>
      <c r="E78" s="45" t="s">
        <v>118</v>
      </c>
      <c r="F78" s="122"/>
    </row>
    <row r="79" spans="1:7" ht="12.75">
      <c r="A79" s="66">
        <f t="shared" si="1"/>
        <v>71</v>
      </c>
      <c r="B79" s="46" t="s">
        <v>119</v>
      </c>
      <c r="C79" s="124"/>
      <c r="D79" s="124">
        <f>ROUND((D26+C28)*(1+$C75),6)</f>
        <v>0.073746</v>
      </c>
      <c r="E79" s="57">
        <f>ROUND((E26+C28)*(1+$C75),6)</f>
        <v>0.066609</v>
      </c>
      <c r="F79" s="122"/>
      <c r="G79" s="120"/>
    </row>
    <row r="80" spans="1:7" ht="12.75">
      <c r="A80" s="66">
        <f t="shared" si="1"/>
        <v>72</v>
      </c>
      <c r="B80" s="51" t="s">
        <v>148</v>
      </c>
      <c r="C80" s="125"/>
      <c r="D80" s="125">
        <f>ROUND((C27+C28)*(1+C75),6)</f>
        <v>0.055958</v>
      </c>
      <c r="E80" s="60">
        <f>ROUND(+D80,6)</f>
        <v>0.055958</v>
      </c>
      <c r="F80" s="122"/>
      <c r="G80" s="85" t="s">
        <v>149</v>
      </c>
    </row>
    <row r="81" ht="12.75">
      <c r="A81" s="66">
        <f t="shared" si="1"/>
        <v>73</v>
      </c>
    </row>
    <row r="82" spans="1:2" ht="12.75">
      <c r="A82" s="66">
        <f t="shared" si="1"/>
        <v>74</v>
      </c>
      <c r="B82" s="62" t="s">
        <v>86</v>
      </c>
    </row>
    <row r="83" spans="1:3" ht="12.75">
      <c r="A83" s="66">
        <f t="shared" si="1"/>
        <v>75</v>
      </c>
      <c r="B83" s="62" t="s">
        <v>119</v>
      </c>
      <c r="C83" s="80">
        <f>+D79*D9+E79*E9</f>
        <v>101339234.80285172</v>
      </c>
    </row>
    <row r="84" spans="1:3" ht="12.75">
      <c r="A84" s="66">
        <f t="shared" si="1"/>
        <v>76</v>
      </c>
      <c r="B84" s="62" t="s">
        <v>150</v>
      </c>
      <c r="C84" s="80">
        <f>+D80*SUM(C10,C11)</f>
        <v>78638151.36295538</v>
      </c>
    </row>
    <row r="85" spans="1:3" ht="12.75">
      <c r="A85" s="66">
        <f t="shared" si="1"/>
        <v>77</v>
      </c>
      <c r="B85" s="68" t="s">
        <v>110</v>
      </c>
      <c r="C85" s="126">
        <f>SUM(C83:C84)</f>
        <v>179977386.1658071</v>
      </c>
    </row>
    <row r="86" spans="1:2" ht="12.75">
      <c r="A86" s="66">
        <f t="shared" si="1"/>
        <v>78</v>
      </c>
      <c r="B86" s="71"/>
    </row>
    <row r="87" spans="1:3" ht="12.75">
      <c r="A87" s="66">
        <f t="shared" si="1"/>
        <v>79</v>
      </c>
      <c r="B87" s="62" t="s">
        <v>103</v>
      </c>
      <c r="C87" s="78">
        <f>+C85+C70+C65+C58</f>
        <v>209152353.85617307</v>
      </c>
    </row>
    <row r="88" spans="1:3" ht="12.75">
      <c r="A88" s="66">
        <f t="shared" si="1"/>
        <v>80</v>
      </c>
      <c r="B88" s="62" t="s">
        <v>104</v>
      </c>
      <c r="C88" s="94">
        <f>+C87-C51</f>
        <v>-510.42427456378937</v>
      </c>
    </row>
  </sheetData>
  <printOptions horizontalCentered="1"/>
  <pageMargins left="0.25" right="0.25" top="1.25" bottom="1" header="1.25" footer="0.5"/>
  <pageSetup fitToHeight="1" fitToWidth="1" horizontalDpi="600" verticalDpi="600" orientation="portrait" scale="56" r:id="rId3"/>
  <headerFooter alignWithMargins="0">
    <oddFooter>&amp;L&amp;18Tenth Exhibit to Prefiled
Direct Testimony of James A. Heidell&amp;R&amp;18Exhibit No.___ (JAH-12)
Page &amp;P of &amp;N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="85" zoomScaleNormal="85" workbookViewId="0" topLeftCell="A61">
      <selection activeCell="D7" sqref="D7"/>
    </sheetView>
  </sheetViews>
  <sheetFormatPr defaultColWidth="9.140625" defaultRowHeight="12.75"/>
  <cols>
    <col min="1" max="1" width="4.57421875" style="0" customWidth="1"/>
    <col min="2" max="2" width="46.00390625" style="0" bestFit="1" customWidth="1"/>
    <col min="3" max="3" width="11.57421875" style="0" bestFit="1" customWidth="1"/>
    <col min="4" max="4" width="14.7109375" style="0" bestFit="1" customWidth="1"/>
    <col min="5" max="5" width="12.57421875" style="0" bestFit="1" customWidth="1"/>
    <col min="7" max="7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44</v>
      </c>
      <c r="C3" s="1"/>
      <c r="D3" s="1"/>
      <c r="E3" s="1"/>
    </row>
    <row r="4" spans="2:5" ht="12.75">
      <c r="B4" s="1" t="s">
        <v>151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 s="2" t="s">
        <v>106</v>
      </c>
      <c r="E6" s="2" t="s">
        <v>107</v>
      </c>
    </row>
    <row r="7" spans="1:5" s="4" customFormat="1" ht="12.75">
      <c r="A7" s="10">
        <v>1</v>
      </c>
      <c r="B7" s="20" t="s">
        <v>73</v>
      </c>
      <c r="C7" s="127"/>
      <c r="D7" s="127"/>
      <c r="E7" s="127"/>
    </row>
    <row r="8" spans="1:5" s="4" customFormat="1" ht="12.75">
      <c r="A8" s="10">
        <f>+A7+1</f>
        <v>2</v>
      </c>
      <c r="B8" s="21" t="s">
        <v>74</v>
      </c>
      <c r="C8" s="32">
        <f>+'Sch 29 Revenue'!$D$10</f>
        <v>2191.9527272727273</v>
      </c>
      <c r="D8" s="127"/>
      <c r="E8" s="127"/>
    </row>
    <row r="9" spans="1:5" s="4" customFormat="1" ht="12.75">
      <c r="A9" s="10">
        <f aca="true" t="shared" si="0" ref="A9:A68">+A8+1</f>
        <v>3</v>
      </c>
      <c r="B9" s="21" t="s">
        <v>75</v>
      </c>
      <c r="C9" s="32">
        <f>+'Sch 29 Revenue'!$D$11</f>
        <v>5087.546961325864</v>
      </c>
      <c r="D9" s="127"/>
      <c r="E9" s="127"/>
    </row>
    <row r="10" spans="1:5" ht="13.5" thickBot="1">
      <c r="A10" s="10">
        <f t="shared" si="0"/>
        <v>4</v>
      </c>
      <c r="B10" s="20"/>
      <c r="C10" s="33">
        <f>SUM(C8:C9)</f>
        <v>7279.499688598591</v>
      </c>
      <c r="D10" s="127"/>
      <c r="E10" s="127"/>
    </row>
    <row r="11" spans="1:5" ht="13.5" thickTop="1">
      <c r="A11" s="10">
        <f t="shared" si="0"/>
        <v>5</v>
      </c>
      <c r="B11" s="20" t="s">
        <v>76</v>
      </c>
      <c r="C11" s="32"/>
      <c r="D11" s="32"/>
      <c r="E11" s="32"/>
    </row>
    <row r="12" spans="1:5" ht="12.75">
      <c r="A12" s="10">
        <f t="shared" si="0"/>
        <v>6</v>
      </c>
      <c r="B12" s="21" t="s">
        <v>119</v>
      </c>
      <c r="C12" s="32">
        <f>SUM(D12:E12)</f>
        <v>13804007.298500001</v>
      </c>
      <c r="D12" s="32">
        <f>+'Sch 29 Revenue'!$B$14</f>
        <v>1692450.5580999998</v>
      </c>
      <c r="E12" s="32">
        <f>+'Sch 29 Revenue'!$B$16</f>
        <v>12111556.740400001</v>
      </c>
    </row>
    <row r="13" spans="1:5" ht="12.75">
      <c r="A13" s="10">
        <f t="shared" si="0"/>
        <v>7</v>
      </c>
      <c r="B13" s="21" t="s">
        <v>120</v>
      </c>
      <c r="C13" s="32">
        <f>SUM(D13:E13)</f>
        <v>919225.6115</v>
      </c>
      <c r="D13" s="32">
        <f>+'Sch 29 Revenue'!$B$15</f>
        <v>66057.1333</v>
      </c>
      <c r="E13" s="32">
        <f>+'Sch 29 Revenue'!$B$17</f>
        <v>853168.4782</v>
      </c>
    </row>
    <row r="14" spans="1:5" ht="12.75">
      <c r="A14" s="10">
        <f t="shared" si="0"/>
        <v>8</v>
      </c>
      <c r="B14" s="71" t="s">
        <v>121</v>
      </c>
      <c r="C14" s="32">
        <f>SUM(D14:E14)</f>
        <v>341834.19113265636</v>
      </c>
      <c r="D14" s="32">
        <f>+'Sch 29 Revenue'!$C$15</f>
        <v>151247.37039957766</v>
      </c>
      <c r="E14" s="32">
        <f>+'Sch 29 Revenue'!$C$17</f>
        <v>190586.8207330787</v>
      </c>
    </row>
    <row r="15" spans="1:5" ht="13.5" thickBot="1">
      <c r="A15" s="10">
        <f t="shared" si="0"/>
        <v>9</v>
      </c>
      <c r="C15" s="33">
        <f>SUM(C12:C14)</f>
        <v>15065067.10113266</v>
      </c>
      <c r="D15" s="33">
        <f>SUM(D12:D14)</f>
        <v>1909755.0617995774</v>
      </c>
      <c r="E15" s="33">
        <f>SUM(E12:E14)</f>
        <v>13155312.039333079</v>
      </c>
    </row>
    <row r="16" spans="1:5" ht="13.5" thickTop="1">
      <c r="A16" s="10">
        <f t="shared" si="0"/>
        <v>10</v>
      </c>
      <c r="B16" s="20" t="s">
        <v>122</v>
      </c>
      <c r="C16" s="32"/>
      <c r="D16" s="32"/>
      <c r="E16" s="32"/>
    </row>
    <row r="17" spans="1:5" ht="12.75">
      <c r="A17" s="10">
        <f t="shared" si="0"/>
        <v>11</v>
      </c>
      <c r="B17" s="17" t="s">
        <v>123</v>
      </c>
      <c r="C17" s="32">
        <f>SUM(D17:E17)</f>
        <v>17056.937680184776</v>
      </c>
      <c r="D17" s="32">
        <v>3395.6724335560502</v>
      </c>
      <c r="E17" s="32">
        <v>13661.265246628725</v>
      </c>
    </row>
    <row r="18" spans="1:5" ht="12.75">
      <c r="A18" s="10">
        <f t="shared" si="0"/>
        <v>12</v>
      </c>
      <c r="B18" s="17" t="s">
        <v>124</v>
      </c>
      <c r="C18" s="32">
        <f>SUM(D18:E18)</f>
        <v>10243.781613931036</v>
      </c>
      <c r="D18" s="32">
        <v>2025.126126126126</v>
      </c>
      <c r="E18" s="32">
        <v>8218.65548780491</v>
      </c>
    </row>
    <row r="19" spans="1:5" ht="13.5" thickBot="1">
      <c r="A19" s="10">
        <f t="shared" si="0"/>
        <v>13</v>
      </c>
      <c r="C19" s="33">
        <f>SUM(C17:C18)</f>
        <v>27300.719294115814</v>
      </c>
      <c r="D19" s="33">
        <f>SUM(D17:D18)</f>
        <v>5420.798559682176</v>
      </c>
      <c r="E19" s="33">
        <f>SUM(E17:E18)</f>
        <v>21879.920734433636</v>
      </c>
    </row>
    <row r="20" spans="1:5" ht="14.25" thickBot="1" thickTop="1">
      <c r="A20" s="10">
        <f t="shared" si="0"/>
        <v>14</v>
      </c>
      <c r="C20" s="33"/>
      <c r="D20" s="128"/>
      <c r="E20" s="128"/>
    </row>
    <row r="21" spans="1:3" ht="14.25" thickBot="1" thickTop="1">
      <c r="A21" s="10">
        <f t="shared" si="0"/>
        <v>15</v>
      </c>
      <c r="B21" s="21" t="s">
        <v>126</v>
      </c>
      <c r="C21" s="33">
        <f>+'Sch 29 Revenue'!$D$24</f>
        <v>393795.8333333334</v>
      </c>
    </row>
    <row r="22" ht="13.5" thickTop="1">
      <c r="A22" s="10">
        <f t="shared" si="0"/>
        <v>16</v>
      </c>
    </row>
    <row r="23" spans="1:5" ht="12.75">
      <c r="A23" s="10">
        <f t="shared" si="0"/>
        <v>17</v>
      </c>
      <c r="B23" s="35" t="str">
        <f>+'Sch 7 Rate Design'!B16</f>
        <v>Current Base Rates Effective 10-1-03</v>
      </c>
      <c r="C23" s="36"/>
      <c r="D23" s="36"/>
      <c r="E23" s="37"/>
    </row>
    <row r="24" spans="1:5" ht="12.75">
      <c r="A24" s="10">
        <f t="shared" si="0"/>
        <v>18</v>
      </c>
      <c r="B24" s="129" t="s">
        <v>127</v>
      </c>
      <c r="C24" s="43"/>
      <c r="D24" s="43"/>
      <c r="E24" s="43"/>
    </row>
    <row r="25" spans="1:2" ht="12.75">
      <c r="A25" s="10">
        <f t="shared" si="0"/>
        <v>19</v>
      </c>
      <c r="B25" s="21" t="s">
        <v>80</v>
      </c>
    </row>
    <row r="26" spans="1:5" ht="12.75">
      <c r="A26" s="10">
        <f t="shared" si="0"/>
        <v>20</v>
      </c>
      <c r="B26" s="130" t="s">
        <v>74</v>
      </c>
      <c r="C26" s="38">
        <f>+'Sch 29 Revenue'!$E$10</f>
        <v>5.5</v>
      </c>
      <c r="E26" s="38"/>
    </row>
    <row r="27" spans="1:5" ht="12.75">
      <c r="A27" s="10">
        <f t="shared" si="0"/>
        <v>21</v>
      </c>
      <c r="B27" s="130" t="s">
        <v>75</v>
      </c>
      <c r="C27" s="38">
        <f>+'Sch 29 Revenue'!$E$11</f>
        <v>18.1</v>
      </c>
      <c r="D27" s="38"/>
      <c r="E27" s="38"/>
    </row>
    <row r="28" spans="1:2" ht="12.75">
      <c r="A28" s="10">
        <f t="shared" si="0"/>
        <v>22</v>
      </c>
      <c r="B28" s="21" t="s">
        <v>81</v>
      </c>
    </row>
    <row r="29" spans="1:5" ht="12.75">
      <c r="A29" s="10">
        <f t="shared" si="0"/>
        <v>23</v>
      </c>
      <c r="B29" s="130" t="s">
        <v>119</v>
      </c>
      <c r="D29" s="39">
        <f>+'Sch 29 Revenue'!$E$14</f>
        <v>0.069616</v>
      </c>
      <c r="E29" s="39">
        <f>+'Sch 29 Revenue'!$E$16</f>
        <v>0.047359</v>
      </c>
    </row>
    <row r="30" spans="1:5" ht="12.75">
      <c r="A30" s="10">
        <f t="shared" si="0"/>
        <v>24</v>
      </c>
      <c r="B30" s="130" t="s">
        <v>120</v>
      </c>
      <c r="D30" s="39">
        <f>+'Sch 29 Revenue'!$E$15</f>
        <v>0.054356999999999996</v>
      </c>
      <c r="E30" s="39">
        <f>+'Sch 29 Revenue'!$E$17</f>
        <v>0.041171</v>
      </c>
    </row>
    <row r="31" spans="1:5" ht="12.75">
      <c r="A31" s="10"/>
      <c r="B31" s="130" t="s">
        <v>82</v>
      </c>
      <c r="C31" s="39">
        <f>+'Sch 29 Revenue'!$E$26</f>
        <v>0.0015249999999999999</v>
      </c>
      <c r="D31" s="39"/>
      <c r="E31" s="39"/>
    </row>
    <row r="32" spans="1:2" ht="12.75">
      <c r="A32" s="10">
        <f>+A30+1</f>
        <v>25</v>
      </c>
      <c r="B32" s="17" t="s">
        <v>129</v>
      </c>
    </row>
    <row r="33" spans="1:5" ht="12.75">
      <c r="A33" s="10">
        <f t="shared" si="0"/>
        <v>26</v>
      </c>
      <c r="B33" s="131" t="s">
        <v>123</v>
      </c>
      <c r="D33" s="38">
        <v>0</v>
      </c>
      <c r="E33" s="38">
        <f>+D33</f>
        <v>0</v>
      </c>
    </row>
    <row r="34" spans="1:5" ht="12.75">
      <c r="A34" s="10">
        <f t="shared" si="0"/>
        <v>27</v>
      </c>
      <c r="B34" s="131" t="s">
        <v>124</v>
      </c>
      <c r="D34" s="38">
        <f>+'Sch 29 Revenue'!$E$20</f>
        <v>6.66</v>
      </c>
      <c r="E34" s="38">
        <f>+'Sch 29 Revenue'!$E$21</f>
        <v>3.28</v>
      </c>
    </row>
    <row r="35" spans="1:5" ht="12.75">
      <c r="A35" s="10">
        <f t="shared" si="0"/>
        <v>28</v>
      </c>
      <c r="B35" s="21" t="s">
        <v>130</v>
      </c>
      <c r="C35" s="132">
        <f>+'Sch 29 Revenue'!$E$24</f>
        <v>0.0024</v>
      </c>
      <c r="D35" s="132"/>
      <c r="E35" s="132"/>
    </row>
    <row r="36" spans="1:5" ht="12.75">
      <c r="A36" s="10">
        <f t="shared" si="0"/>
        <v>29</v>
      </c>
      <c r="B36" s="130"/>
      <c r="D36" s="132"/>
      <c r="E36" s="132"/>
    </row>
    <row r="37" spans="1:5" ht="12.75">
      <c r="A37" s="10">
        <f t="shared" si="0"/>
        <v>30</v>
      </c>
      <c r="B37" s="20" t="s">
        <v>152</v>
      </c>
      <c r="D37" s="132"/>
      <c r="E37" s="132"/>
    </row>
    <row r="38" spans="1:2" ht="12.75">
      <c r="A38" s="10">
        <f t="shared" si="0"/>
        <v>31</v>
      </c>
      <c r="B38" s="17" t="s">
        <v>84</v>
      </c>
    </row>
    <row r="39" spans="1:3" ht="12.75">
      <c r="A39" s="10">
        <f t="shared" si="0"/>
        <v>32</v>
      </c>
      <c r="B39" s="130" t="s">
        <v>74</v>
      </c>
      <c r="C39" s="30">
        <f>+C8*C26</f>
        <v>12055.74</v>
      </c>
    </row>
    <row r="40" spans="1:3" ht="12.75">
      <c r="A40" s="10">
        <f t="shared" si="0"/>
        <v>33</v>
      </c>
      <c r="B40" s="130" t="s">
        <v>75</v>
      </c>
      <c r="C40" s="30">
        <f>+C9*C27</f>
        <v>92084.59999999814</v>
      </c>
    </row>
    <row r="41" spans="1:3" ht="12.75">
      <c r="A41" s="10">
        <f t="shared" si="0"/>
        <v>34</v>
      </c>
      <c r="B41" s="133" t="s">
        <v>85</v>
      </c>
      <c r="C41" s="42">
        <f>SUM(C39:C40)</f>
        <v>104140.33999999815</v>
      </c>
    </row>
    <row r="42" spans="1:2" ht="12.75">
      <c r="A42" s="10">
        <f t="shared" si="0"/>
        <v>35</v>
      </c>
      <c r="B42" s="21" t="s">
        <v>86</v>
      </c>
    </row>
    <row r="43" spans="1:5" ht="12.75">
      <c r="A43" s="10">
        <f t="shared" si="0"/>
        <v>36</v>
      </c>
      <c r="B43" s="130" t="s">
        <v>119</v>
      </c>
      <c r="C43" s="30">
        <f>SUM(D43:E43)</f>
        <v>691412.8537212933</v>
      </c>
      <c r="D43" s="28">
        <f>+D29*D12</f>
        <v>117821.63805268958</v>
      </c>
      <c r="E43" s="28">
        <f>+E29*E12</f>
        <v>573591.2156686037</v>
      </c>
    </row>
    <row r="44" spans="1:5" ht="12.75">
      <c r="A44" s="10">
        <f t="shared" si="0"/>
        <v>37</v>
      </c>
      <c r="B44" s="130" t="s">
        <v>120</v>
      </c>
      <c r="C44" s="30">
        <f>SUM(D44:E44)</f>
        <v>54784.470319971726</v>
      </c>
      <c r="D44" s="28">
        <f>SUM(D13:D14)*D30</f>
        <v>11812.020907597942</v>
      </c>
      <c r="E44" s="28">
        <f>SUM(E13:E14)*E30</f>
        <v>42972.44941237378</v>
      </c>
    </row>
    <row r="45" spans="1:3" ht="12.75">
      <c r="A45" s="10">
        <f t="shared" si="0"/>
        <v>38</v>
      </c>
      <c r="B45" s="134" t="s">
        <v>153</v>
      </c>
      <c r="C45" s="42">
        <f>SUM(C43:C44)</f>
        <v>746197.324041265</v>
      </c>
    </row>
    <row r="46" spans="1:3" ht="12.75">
      <c r="A46" s="10"/>
      <c r="B46" s="134" t="s">
        <v>82</v>
      </c>
      <c r="C46" s="135">
        <f>+C15*C31</f>
        <v>22974.227329227302</v>
      </c>
    </row>
    <row r="47" spans="1:5" ht="12.75">
      <c r="A47" s="10">
        <f>+A45+1</f>
        <v>39</v>
      </c>
      <c r="B47" s="17" t="s">
        <v>154</v>
      </c>
      <c r="C47" s="28">
        <f>SUM(D47:E47)</f>
        <v>40444.5300000001</v>
      </c>
      <c r="D47" s="28">
        <f>+D34*D18</f>
        <v>13487.34</v>
      </c>
      <c r="E47" s="28">
        <f>+E34*E18</f>
        <v>26957.190000000104</v>
      </c>
    </row>
    <row r="48" spans="1:3" ht="12.75">
      <c r="A48" s="10">
        <f t="shared" si="0"/>
        <v>40</v>
      </c>
      <c r="B48" s="21" t="s">
        <v>134</v>
      </c>
      <c r="C48" s="42">
        <f>+C35*C21</f>
        <v>945.11</v>
      </c>
    </row>
    <row r="49" spans="1:3" ht="13.5" thickBot="1">
      <c r="A49" s="10">
        <f t="shared" si="0"/>
        <v>41</v>
      </c>
      <c r="B49" s="21" t="s">
        <v>87</v>
      </c>
      <c r="C49" s="136">
        <f>SUM(C48,C47,C45,C41,C46)</f>
        <v>914701.5313704904</v>
      </c>
    </row>
    <row r="50" spans="1:3" ht="13.5" thickTop="1">
      <c r="A50" s="10">
        <f t="shared" si="0"/>
        <v>42</v>
      </c>
      <c r="C50" s="30"/>
    </row>
    <row r="51" spans="1:5" ht="12.75">
      <c r="A51" s="10">
        <f t="shared" si="0"/>
        <v>43</v>
      </c>
      <c r="B51" s="73" t="str">
        <f>+'Sch 7 Rate Design'!B35</f>
        <v>Proposed Rates Effective 2005</v>
      </c>
      <c r="C51" s="36"/>
      <c r="D51" s="36"/>
      <c r="E51" s="37"/>
    </row>
    <row r="52" spans="1:5" ht="12.75">
      <c r="A52" s="10">
        <f t="shared" si="0"/>
        <v>44</v>
      </c>
      <c r="B52" s="43"/>
      <c r="C52" s="43"/>
      <c r="D52" s="43"/>
      <c r="E52" s="43"/>
    </row>
    <row r="53" spans="1:3" ht="12.75">
      <c r="A53" s="10">
        <f t="shared" si="0"/>
        <v>45</v>
      </c>
      <c r="B53" s="44" t="s">
        <v>80</v>
      </c>
      <c r="C53" s="45"/>
    </row>
    <row r="54" spans="1:7" ht="12.75">
      <c r="A54" s="10">
        <f t="shared" si="0"/>
        <v>46</v>
      </c>
      <c r="B54" s="46" t="s">
        <v>74</v>
      </c>
      <c r="C54" s="83">
        <f>'Sch 24 Rate Design'!C37</f>
        <v>6.5</v>
      </c>
      <c r="G54" s="50" t="s">
        <v>155</v>
      </c>
    </row>
    <row r="55" spans="1:7" ht="12.75">
      <c r="A55" s="10">
        <f t="shared" si="0"/>
        <v>47</v>
      </c>
      <c r="B55" s="51" t="s">
        <v>75</v>
      </c>
      <c r="C55" s="87">
        <f>ROUND(+C27/C26*C54,1)</f>
        <v>21.4</v>
      </c>
      <c r="D55" s="48"/>
      <c r="E55" s="48"/>
      <c r="G55" s="50" t="s">
        <v>156</v>
      </c>
    </row>
    <row r="56" ht="12.75">
      <c r="A56" s="10">
        <f t="shared" si="0"/>
        <v>48</v>
      </c>
    </row>
    <row r="57" spans="1:3" ht="12.75">
      <c r="A57" s="10">
        <f>+A59+1</f>
        <v>51</v>
      </c>
      <c r="B57" s="20" t="s">
        <v>112</v>
      </c>
      <c r="C57" s="55">
        <f>+'Sch 25 Rate Design'!C52</f>
        <v>0.028836582436574457</v>
      </c>
    </row>
    <row r="58" spans="1:3" ht="12.75">
      <c r="A58" s="10">
        <f>+A56+1</f>
        <v>49</v>
      </c>
      <c r="B58" s="20" t="s">
        <v>157</v>
      </c>
      <c r="C58" s="80">
        <f>C49*(1+C57)</f>
        <v>941078.3974847164</v>
      </c>
    </row>
    <row r="59" spans="1:4" ht="12.75">
      <c r="A59" s="10">
        <f t="shared" si="0"/>
        <v>50</v>
      </c>
      <c r="B59" s="20" t="s">
        <v>93</v>
      </c>
      <c r="C59" s="28">
        <f>+'Sch 25 Rate Design'!C47-'Sch 25 Rate Design'!C50</f>
        <v>26376.86611422617</v>
      </c>
      <c r="D59" s="30"/>
    </row>
    <row r="60" ht="12.75">
      <c r="A60" s="10">
        <f t="shared" si="0"/>
        <v>51</v>
      </c>
    </row>
    <row r="61" spans="1:2" ht="12.75">
      <c r="A61" s="10">
        <f t="shared" si="0"/>
        <v>52</v>
      </c>
      <c r="B61" s="20" t="s">
        <v>84</v>
      </c>
    </row>
    <row r="62" spans="1:3" ht="12.75">
      <c r="A62" s="10">
        <f t="shared" si="0"/>
        <v>53</v>
      </c>
      <c r="B62" s="21" t="s">
        <v>74</v>
      </c>
      <c r="C62" s="28">
        <f>+C54*C8</f>
        <v>14247.692727272728</v>
      </c>
    </row>
    <row r="63" spans="1:3" ht="12.75">
      <c r="A63" s="10">
        <f t="shared" si="0"/>
        <v>54</v>
      </c>
      <c r="B63" s="21" t="s">
        <v>75</v>
      </c>
      <c r="C63" s="28">
        <f>+C55*C9</f>
        <v>108873.50497237348</v>
      </c>
    </row>
    <row r="64" spans="1:3" ht="12.75">
      <c r="A64" s="10">
        <f t="shared" si="0"/>
        <v>55</v>
      </c>
      <c r="B64" s="17" t="s">
        <v>85</v>
      </c>
      <c r="C64" s="42">
        <f>SUM(C62:C63)</f>
        <v>123121.19769964622</v>
      </c>
    </row>
    <row r="65" spans="1:3" ht="12.75">
      <c r="A65" s="10">
        <f t="shared" si="0"/>
        <v>56</v>
      </c>
      <c r="B65" s="21"/>
      <c r="C65" s="30"/>
    </row>
    <row r="66" spans="1:7" ht="12.75">
      <c r="A66" s="10">
        <f t="shared" si="0"/>
        <v>57</v>
      </c>
      <c r="B66" s="110" t="s">
        <v>139</v>
      </c>
      <c r="C66" s="111">
        <f>'Demand Charge Rate Spread 1'!$M$7</f>
        <v>64924.43900569106</v>
      </c>
      <c r="D66" s="112" t="s">
        <v>117</v>
      </c>
      <c r="E66" s="113" t="s">
        <v>118</v>
      </c>
      <c r="G66" s="50" t="s">
        <v>144</v>
      </c>
    </row>
    <row r="67" spans="1:7" ht="12.75">
      <c r="A67" s="10">
        <f>+A66+1</f>
        <v>58</v>
      </c>
      <c r="B67" s="51" t="s">
        <v>124</v>
      </c>
      <c r="C67" s="117">
        <f>(D67*D18+E18*E67)/C18</f>
        <v>4.065995457781043</v>
      </c>
      <c r="D67" s="118">
        <f>+'Sch 25 Rate Design'!D62</f>
        <v>6.85</v>
      </c>
      <c r="E67" s="119">
        <f>ROUND(E34*('Sch 25 Rate Design'!E62/'Sch 25 Rate Design'!E31),2)</f>
        <v>3.38</v>
      </c>
      <c r="G67" s="53" t="s">
        <v>158</v>
      </c>
    </row>
    <row r="68" spans="1:3" ht="12.75">
      <c r="A68" s="10">
        <f t="shared" si="0"/>
        <v>59</v>
      </c>
      <c r="B68" s="17"/>
      <c r="C68" s="30"/>
    </row>
    <row r="69" spans="1:3" ht="12.75">
      <c r="A69" s="10">
        <f>+A68+1</f>
        <v>60</v>
      </c>
      <c r="B69" s="9" t="s">
        <v>142</v>
      </c>
      <c r="C69" s="30"/>
    </row>
    <row r="70" spans="1:3" ht="12.75">
      <c r="A70" s="10">
        <f aca="true" t="shared" si="1" ref="A70:A91">+A69+1</f>
        <v>61</v>
      </c>
      <c r="B70" s="137" t="s">
        <v>124</v>
      </c>
      <c r="C70" s="42">
        <f>+C67*SUM(C18)</f>
        <v>41651.16951274456</v>
      </c>
    </row>
    <row r="71" spans="1:3" ht="12.75">
      <c r="A71" s="10">
        <f t="shared" si="1"/>
        <v>62</v>
      </c>
      <c r="B71" s="17"/>
      <c r="C71" s="30"/>
    </row>
    <row r="72" spans="1:7" ht="12.75">
      <c r="A72" s="10">
        <f t="shared" si="1"/>
        <v>63</v>
      </c>
      <c r="B72" s="110" t="s">
        <v>143</v>
      </c>
      <c r="C72" s="138">
        <f>+'Demand Charge Rate Spread 1'!$L$7</f>
        <v>972.3637424266308</v>
      </c>
      <c r="G72" s="50" t="s">
        <v>144</v>
      </c>
    </row>
    <row r="73" spans="1:3" ht="12.75">
      <c r="A73" s="10">
        <f t="shared" si="1"/>
        <v>64</v>
      </c>
      <c r="B73" s="51" t="s">
        <v>126</v>
      </c>
      <c r="C73" s="121">
        <f>ROUND(+C72/C21,5)</f>
        <v>0.00247</v>
      </c>
    </row>
    <row r="74" spans="1:3" ht="12.75">
      <c r="A74" s="10">
        <f t="shared" si="1"/>
        <v>65</v>
      </c>
      <c r="B74" s="17"/>
      <c r="C74" s="30"/>
    </row>
    <row r="75" spans="1:3" ht="12.75">
      <c r="A75" s="10">
        <f t="shared" si="1"/>
        <v>66</v>
      </c>
      <c r="B75" s="9" t="s">
        <v>145</v>
      </c>
      <c r="C75" s="30"/>
    </row>
    <row r="76" spans="1:3" ht="12.75">
      <c r="A76" s="10">
        <f t="shared" si="1"/>
        <v>67</v>
      </c>
      <c r="B76" s="139" t="s">
        <v>126</v>
      </c>
      <c r="C76" s="42">
        <f>+C73*C21</f>
        <v>972.6757083333334</v>
      </c>
    </row>
    <row r="77" spans="1:3" s="141" customFormat="1" ht="12.75">
      <c r="A77" s="10">
        <f t="shared" si="1"/>
        <v>68</v>
      </c>
      <c r="B77" s="139"/>
      <c r="C77" s="140"/>
    </row>
    <row r="78" spans="1:3" ht="12.75">
      <c r="A78" s="10">
        <f t="shared" si="1"/>
        <v>69</v>
      </c>
      <c r="B78" s="21" t="s">
        <v>97</v>
      </c>
      <c r="C78" s="30">
        <f>+C58-C64-C70-C76</f>
        <v>775333.3545639922</v>
      </c>
    </row>
    <row r="79" ht="12.75">
      <c r="A79" s="10">
        <f t="shared" si="1"/>
        <v>70</v>
      </c>
    </row>
    <row r="80" spans="1:5" ht="12.75">
      <c r="A80" s="10">
        <f t="shared" si="1"/>
        <v>71</v>
      </c>
      <c r="B80" s="67" t="s">
        <v>159</v>
      </c>
      <c r="C80" s="89">
        <f>AVERAGE(D80:E80)</f>
        <v>0.662001303727704</v>
      </c>
      <c r="D80" s="89">
        <f>(E34/(E29-E30))/730</f>
        <v>0.7261070919410968</v>
      </c>
      <c r="E80" s="89">
        <f>(D34/(D29-D30))/730</f>
        <v>0.5978955155143113</v>
      </c>
    </row>
    <row r="81" spans="1:3" ht="12.75">
      <c r="A81" s="10">
        <f t="shared" si="1"/>
        <v>72</v>
      </c>
      <c r="B81" s="67" t="s">
        <v>160</v>
      </c>
      <c r="C81" s="77">
        <f>ROUND(E67/(730*C80),6)</f>
        <v>0.006994</v>
      </c>
    </row>
    <row r="82" spans="1:3" s="141" customFormat="1" ht="12.75">
      <c r="A82" s="10">
        <f t="shared" si="1"/>
        <v>73</v>
      </c>
      <c r="B82" s="139"/>
      <c r="C82" s="140"/>
    </row>
    <row r="83" spans="1:6" ht="12.75">
      <c r="A83" s="10">
        <f t="shared" si="1"/>
        <v>74</v>
      </c>
      <c r="B83" s="44" t="s">
        <v>81</v>
      </c>
      <c r="C83" s="123"/>
      <c r="D83" s="112" t="s">
        <v>117</v>
      </c>
      <c r="E83" s="113" t="s">
        <v>118</v>
      </c>
      <c r="F83" s="141"/>
    </row>
    <row r="84" spans="1:7" ht="12.75">
      <c r="A84" s="10">
        <f t="shared" si="1"/>
        <v>75</v>
      </c>
      <c r="B84" s="46" t="s">
        <v>119</v>
      </c>
      <c r="C84" s="142"/>
      <c r="D84" s="124">
        <f>+'Sch 25 Rate Design'!D79</f>
        <v>0.073746</v>
      </c>
      <c r="E84" s="57">
        <f>ROUND((C78-D84*D12-D85*(D13+D14)-E85*(E13+E14))/E12,6)</f>
        <v>0.049057</v>
      </c>
      <c r="F84" s="141"/>
      <c r="G84" s="50" t="s">
        <v>161</v>
      </c>
    </row>
    <row r="85" spans="1:7" ht="12.75">
      <c r="A85" s="10">
        <f t="shared" si="1"/>
        <v>76</v>
      </c>
      <c r="B85" s="51" t="s">
        <v>148</v>
      </c>
      <c r="C85" s="143"/>
      <c r="D85" s="125">
        <f>'Sch 25 Rate Design'!D80</f>
        <v>0.055958</v>
      </c>
      <c r="E85" s="60">
        <f>ROUND(E30*(1+C57),6)</f>
        <v>0.042358</v>
      </c>
      <c r="F85" s="141"/>
      <c r="G85" s="49" t="s">
        <v>162</v>
      </c>
    </row>
    <row r="86" spans="1:7" ht="12.75">
      <c r="A86" s="10">
        <f t="shared" si="1"/>
        <v>77</v>
      </c>
      <c r="F86" s="141"/>
      <c r="G86" s="50" t="s">
        <v>163</v>
      </c>
    </row>
    <row r="87" spans="1:6" ht="12.75">
      <c r="A87" s="10">
        <f t="shared" si="1"/>
        <v>78</v>
      </c>
      <c r="B87" t="s">
        <v>86</v>
      </c>
      <c r="F87" s="141"/>
    </row>
    <row r="88" spans="1:4" ht="12.75">
      <c r="A88" s="10">
        <f t="shared" si="1"/>
        <v>79</v>
      </c>
      <c r="B88" s="21" t="s">
        <v>110</v>
      </c>
      <c r="C88" s="126">
        <f>E84*E12+SUM(E13,E14)*E85+D84*D12+D85*SUM(D13,D14)</f>
        <v>775339.4102416737</v>
      </c>
      <c r="D88" s="39"/>
    </row>
    <row r="89" spans="1:4" ht="12.75">
      <c r="A89" s="10">
        <f t="shared" si="1"/>
        <v>80</v>
      </c>
      <c r="B89" s="17"/>
      <c r="D89" s="28"/>
    </row>
    <row r="90" spans="1:4" ht="13.5" thickBot="1">
      <c r="A90" s="10">
        <f t="shared" si="1"/>
        <v>81</v>
      </c>
      <c r="B90" t="s">
        <v>103</v>
      </c>
      <c r="C90" s="136">
        <f>SUM(C88,C76,C64,C70)</f>
        <v>941084.4531623978</v>
      </c>
      <c r="D90" s="30"/>
    </row>
    <row r="91" spans="1:3" ht="13.5" thickTop="1">
      <c r="A91" s="10">
        <f t="shared" si="1"/>
        <v>82</v>
      </c>
      <c r="B91" t="s">
        <v>104</v>
      </c>
      <c r="C91" s="61">
        <f>+C58-C90</f>
        <v>-6.055677681462839</v>
      </c>
    </row>
    <row r="92" ht="12.75">
      <c r="A92" s="10"/>
    </row>
    <row r="93" spans="1:3" ht="12.75">
      <c r="A93" s="10"/>
      <c r="B93" s="144"/>
      <c r="C93" s="145"/>
    </row>
    <row r="94" spans="1:3" ht="12.75">
      <c r="A94" s="10"/>
      <c r="B94" s="146"/>
      <c r="C94" s="147"/>
    </row>
    <row r="95" spans="1:3" ht="12.75">
      <c r="A95" s="10"/>
      <c r="B95" s="148"/>
      <c r="C95" s="148"/>
    </row>
    <row r="96" spans="1:3" ht="12.75">
      <c r="A96" s="10"/>
      <c r="B96" s="148"/>
      <c r="C96" s="147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</sheetData>
  <printOptions horizontalCentered="1"/>
  <pageMargins left="0.25" right="0.25" top="1" bottom="0.5" header="1" footer="0.5"/>
  <pageSetup fitToHeight="1" fitToWidth="1" horizontalDpi="600" verticalDpi="600" orientation="portrait" scale="54" r:id="rId1"/>
  <headerFooter alignWithMargins="0">
    <oddFooter>&amp;L&amp;16Tenth Exhibit to Prefiled
Direct Testimony of James A. Heidell&amp;R&amp;16Exhibit No.___ (JAH-12)
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="85" zoomScaleNormal="85" workbookViewId="0" topLeftCell="A30">
      <selection activeCell="D7" sqref="D7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4.28125" style="0" bestFit="1" customWidth="1"/>
    <col min="4" max="5" width="12.57421875" style="0" bestFit="1" customWidth="1"/>
    <col min="6" max="6" width="10.7109375" style="0" customWidth="1"/>
    <col min="7" max="7" width="41.00390625" style="0" bestFit="1" customWidth="1"/>
  </cols>
  <sheetData>
    <row r="1" spans="2:7" ht="12.75">
      <c r="B1" s="1" t="s">
        <v>0</v>
      </c>
      <c r="C1" s="1"/>
      <c r="D1" s="1"/>
      <c r="E1" s="1"/>
      <c r="F1" s="1"/>
      <c r="G1" s="1"/>
    </row>
    <row r="2" spans="2:7" ht="12.75">
      <c r="B2" s="1" t="s">
        <v>68</v>
      </c>
      <c r="C2" s="1"/>
      <c r="D2" s="1"/>
      <c r="E2" s="1"/>
      <c r="F2" s="1"/>
      <c r="G2" s="1"/>
    </row>
    <row r="3" spans="2:7" ht="12.75">
      <c r="B3" s="1" t="s">
        <v>44</v>
      </c>
      <c r="C3" s="1"/>
      <c r="D3" s="1"/>
      <c r="E3" s="1"/>
      <c r="F3" s="1"/>
      <c r="G3" s="1"/>
    </row>
    <row r="4" spans="2:7" ht="12.75">
      <c r="B4" s="1" t="s">
        <v>164</v>
      </c>
      <c r="C4" s="1"/>
      <c r="D4" s="1"/>
      <c r="E4" s="1"/>
      <c r="F4" s="1"/>
      <c r="G4" s="1"/>
    </row>
    <row r="6" spans="1:5" s="4" customFormat="1" ht="25.5">
      <c r="A6" s="2" t="s">
        <v>70</v>
      </c>
      <c r="B6" s="2"/>
      <c r="C6" s="2" t="s">
        <v>71</v>
      </c>
      <c r="D6" s="2" t="s">
        <v>106</v>
      </c>
      <c r="E6" s="2" t="s">
        <v>107</v>
      </c>
    </row>
    <row r="7" spans="1:5" ht="13.5" thickBot="1">
      <c r="A7" s="10">
        <v>1</v>
      </c>
      <c r="B7" s="20" t="s">
        <v>165</v>
      </c>
      <c r="C7" s="33">
        <f>+'Sch 26 Revenue'!$D$10</f>
        <v>8698.775601374571</v>
      </c>
      <c r="D7" s="32"/>
      <c r="E7" s="32"/>
    </row>
    <row r="8" spans="1:5" ht="13.5" thickTop="1">
      <c r="A8" s="10">
        <f>+A7+1</f>
        <v>2</v>
      </c>
      <c r="C8" s="32"/>
      <c r="D8" s="32"/>
      <c r="E8" s="32"/>
    </row>
    <row r="9" spans="1:5" ht="12.75">
      <c r="A9" s="10">
        <f>+A8+1</f>
        <v>3</v>
      </c>
      <c r="B9" t="s">
        <v>166</v>
      </c>
      <c r="C9" s="32">
        <f>+'Sch 26 Revenue'!$B$12</f>
        <v>1890378961.9696</v>
      </c>
      <c r="D9" s="32"/>
      <c r="E9" s="32"/>
    </row>
    <row r="10" spans="1:5" ht="12.75">
      <c r="A10" s="10">
        <f>+A9+1</f>
        <v>4</v>
      </c>
      <c r="B10" t="s">
        <v>109</v>
      </c>
      <c r="C10" s="32">
        <f>+'Sch 26 Revenue'!$C$12</f>
        <v>-3556768.427363172</v>
      </c>
      <c r="D10" s="32"/>
      <c r="E10" s="32"/>
    </row>
    <row r="11" spans="1:5" ht="13.5" thickBot="1">
      <c r="A11" s="10">
        <f>+A10+1</f>
        <v>5</v>
      </c>
      <c r="B11" s="9" t="s">
        <v>167</v>
      </c>
      <c r="C11" s="33">
        <f>SUM(C9:C10)</f>
        <v>1886822193.5422368</v>
      </c>
      <c r="D11" s="32"/>
      <c r="E11" s="32"/>
    </row>
    <row r="12" ht="13.5" thickTop="1">
      <c r="A12" s="10">
        <f aca="true" t="shared" si="0" ref="A12:A66">+A11+1</f>
        <v>6</v>
      </c>
    </row>
    <row r="13" spans="1:5" ht="13.5" thickBot="1">
      <c r="A13" s="10">
        <f t="shared" si="0"/>
        <v>7</v>
      </c>
      <c r="B13" s="20" t="s">
        <v>122</v>
      </c>
      <c r="C13" s="33">
        <f>SUM(D13:E13)</f>
        <v>4387268.884314232</v>
      </c>
      <c r="D13" s="33">
        <f>+'Sch 26 Revenue'!$D$14</f>
        <v>2134139.841514701</v>
      </c>
      <c r="E13" s="33">
        <f>+'Sch 26 Revenue'!$D$15</f>
        <v>2253129.0427995306</v>
      </c>
    </row>
    <row r="14" ht="13.5" thickTop="1">
      <c r="A14" s="10">
        <f t="shared" si="0"/>
        <v>8</v>
      </c>
    </row>
    <row r="15" spans="1:3" ht="13.5" thickBot="1">
      <c r="A15" s="10">
        <f t="shared" si="0"/>
        <v>9</v>
      </c>
      <c r="B15" s="9" t="s">
        <v>125</v>
      </c>
      <c r="C15" s="33">
        <f>+'Sch 26 Revenue'!$D$18</f>
        <v>934070048.1194694</v>
      </c>
    </row>
    <row r="16" ht="13.5" thickTop="1">
      <c r="A16" s="10">
        <f t="shared" si="0"/>
        <v>10</v>
      </c>
    </row>
    <row r="17" spans="1:5" ht="12.75">
      <c r="A17" s="10">
        <f t="shared" si="0"/>
        <v>11</v>
      </c>
      <c r="B17" s="35" t="s">
        <v>168</v>
      </c>
      <c r="C17" s="36"/>
      <c r="D17" s="36"/>
      <c r="E17" s="37"/>
    </row>
    <row r="18" spans="1:5" ht="12.75">
      <c r="A18" s="10">
        <f t="shared" si="0"/>
        <v>12</v>
      </c>
      <c r="B18" s="129" t="s">
        <v>127</v>
      </c>
      <c r="C18" s="43"/>
      <c r="D18" s="43"/>
      <c r="E18" s="43"/>
    </row>
    <row r="19" spans="1:5" ht="12.75">
      <c r="A19" s="10">
        <f t="shared" si="0"/>
        <v>13</v>
      </c>
      <c r="B19" s="21" t="s">
        <v>80</v>
      </c>
      <c r="C19" s="38">
        <f>+'Sch 26 Revenue'!$E$10</f>
        <v>29.1</v>
      </c>
      <c r="D19" s="38"/>
      <c r="E19" s="38"/>
    </row>
    <row r="20" spans="1:5" ht="12.75">
      <c r="A20" s="10">
        <f t="shared" si="0"/>
        <v>14</v>
      </c>
      <c r="B20" s="21" t="s">
        <v>81</v>
      </c>
      <c r="C20" s="39">
        <f>+'Sch 26 Revenue'!$E$12</f>
        <v>0.04732</v>
      </c>
      <c r="D20" s="39"/>
      <c r="E20" s="39"/>
    </row>
    <row r="21" spans="1:5" ht="12.75">
      <c r="A21" s="10"/>
      <c r="B21" s="21" t="s">
        <v>82</v>
      </c>
      <c r="C21" s="39">
        <f>+'Sch 26 Revenue'!$E$20</f>
        <v>0.002191</v>
      </c>
      <c r="D21" s="38"/>
      <c r="E21" s="38"/>
    </row>
    <row r="22" spans="1:5" ht="12.75">
      <c r="A22" s="10">
        <f>+A20+1</f>
        <v>15</v>
      </c>
      <c r="B22" s="17" t="s">
        <v>129</v>
      </c>
      <c r="D22" s="38">
        <f>+'Sch 26 Revenue'!$E$14</f>
        <v>6.92</v>
      </c>
      <c r="E22" s="38">
        <f>+'Sch 26 Revenue'!$E$15</f>
        <v>4.6</v>
      </c>
    </row>
    <row r="23" spans="1:5" ht="12.75">
      <c r="A23" s="10">
        <f>+A22+1</f>
        <v>16</v>
      </c>
      <c r="B23" s="21" t="s">
        <v>130</v>
      </c>
      <c r="C23" s="132">
        <f>+'Sch 26 Revenue'!$E$18</f>
        <v>0.0011</v>
      </c>
      <c r="D23" s="132"/>
      <c r="E23" s="132"/>
    </row>
    <row r="24" spans="1:5" ht="12.75">
      <c r="A24" s="10">
        <f t="shared" si="0"/>
        <v>17</v>
      </c>
      <c r="B24" s="21"/>
      <c r="D24" s="132"/>
      <c r="E24" s="132"/>
    </row>
    <row r="25" spans="1:2" ht="12.75">
      <c r="A25" s="10">
        <f t="shared" si="0"/>
        <v>18</v>
      </c>
      <c r="B25" s="9" t="s">
        <v>131</v>
      </c>
    </row>
    <row r="26" spans="1:7" ht="12.75">
      <c r="A26" s="10">
        <f t="shared" si="0"/>
        <v>19</v>
      </c>
      <c r="B26" s="17" t="s">
        <v>169</v>
      </c>
      <c r="C26" s="135">
        <f>+C19*C7</f>
        <v>253134.37000000002</v>
      </c>
      <c r="D26" s="22"/>
      <c r="E26" s="22"/>
      <c r="G26" s="28"/>
    </row>
    <row r="27" spans="1:7" ht="12.75">
      <c r="A27" s="10">
        <f t="shared" si="0"/>
        <v>20</v>
      </c>
      <c r="B27" s="17" t="s">
        <v>170</v>
      </c>
      <c r="C27" s="135">
        <f>+C11*C20</f>
        <v>89284426.19841865</v>
      </c>
      <c r="D27" s="22"/>
      <c r="E27" s="22"/>
      <c r="G27" s="28"/>
    </row>
    <row r="28" spans="1:7" ht="12.75">
      <c r="A28" s="10"/>
      <c r="B28" s="21" t="s">
        <v>82</v>
      </c>
      <c r="C28" s="135">
        <f>+C11*C21</f>
        <v>4134027.4260510406</v>
      </c>
      <c r="D28" s="22"/>
      <c r="E28" s="22"/>
      <c r="G28" s="28"/>
    </row>
    <row r="29" spans="1:7" ht="12.75">
      <c r="A29" s="10">
        <f>+A27+1</f>
        <v>21</v>
      </c>
      <c r="B29" s="21" t="s">
        <v>171</v>
      </c>
      <c r="C29" s="135">
        <f>SUM(D29:E29)</f>
        <v>25132641.30015957</v>
      </c>
      <c r="D29" s="135">
        <f>+D22*D13</f>
        <v>14768247.70328173</v>
      </c>
      <c r="E29" s="135">
        <f>+E22*E13</f>
        <v>10364393.59687784</v>
      </c>
      <c r="G29" s="28"/>
    </row>
    <row r="30" spans="1:7" ht="12.75">
      <c r="A30" s="10">
        <f t="shared" si="0"/>
        <v>22</v>
      </c>
      <c r="B30" s="21" t="s">
        <v>172</v>
      </c>
      <c r="C30" s="135">
        <f>+C15*C23</f>
        <v>1027477.0529314164</v>
      </c>
      <c r="D30" s="22"/>
      <c r="E30" s="22"/>
      <c r="G30" s="28"/>
    </row>
    <row r="31" spans="1:7" ht="13.5" thickBot="1">
      <c r="A31" s="10">
        <f t="shared" si="0"/>
        <v>23</v>
      </c>
      <c r="B31" s="21" t="s">
        <v>87</v>
      </c>
      <c r="C31" s="136">
        <f>SUM(C30,C29,C27,C26,C28)</f>
        <v>119831706.34756067</v>
      </c>
      <c r="G31" s="30"/>
    </row>
    <row r="32" spans="1:3" ht="13.5" thickTop="1">
      <c r="A32" s="10">
        <f t="shared" si="0"/>
        <v>24</v>
      </c>
      <c r="C32" s="30"/>
    </row>
    <row r="33" spans="1:5" ht="12.75">
      <c r="A33" s="10">
        <f t="shared" si="0"/>
        <v>25</v>
      </c>
      <c r="B33" s="73" t="str">
        <f>+'Sch 7 Rate Design'!B35</f>
        <v>Proposed Rates Effective 2005</v>
      </c>
      <c r="C33" s="36"/>
      <c r="D33" s="36"/>
      <c r="E33" s="37"/>
    </row>
    <row r="34" spans="1:5" ht="12.75">
      <c r="A34" s="10">
        <f t="shared" si="0"/>
        <v>26</v>
      </c>
      <c r="B34" s="43"/>
      <c r="C34" s="43"/>
      <c r="D34" s="43"/>
      <c r="E34" s="43"/>
    </row>
    <row r="35" spans="1:7" ht="12.75">
      <c r="A35" s="10">
        <f t="shared" si="0"/>
        <v>27</v>
      </c>
      <c r="B35" s="20" t="s">
        <v>173</v>
      </c>
      <c r="C35" s="54">
        <f>+C31+C36</f>
        <v>122279532.20971262</v>
      </c>
      <c r="G35" s="50" t="s">
        <v>94</v>
      </c>
    </row>
    <row r="36" spans="1:4" ht="12.75">
      <c r="A36" s="10">
        <f t="shared" si="0"/>
        <v>28</v>
      </c>
      <c r="B36" s="20" t="s">
        <v>93</v>
      </c>
      <c r="C36" s="28">
        <v>2447825.8621519506</v>
      </c>
      <c r="D36" s="30"/>
    </row>
    <row r="37" spans="1:3" ht="12.75">
      <c r="A37" s="10">
        <f t="shared" si="0"/>
        <v>29</v>
      </c>
      <c r="B37" s="20" t="s">
        <v>112</v>
      </c>
      <c r="C37" s="55">
        <f>+C36/C31</f>
        <v>0.02042719691441479</v>
      </c>
    </row>
    <row r="38" ht="12.75">
      <c r="A38" s="10">
        <f t="shared" si="0"/>
        <v>30</v>
      </c>
    </row>
    <row r="39" spans="1:5" ht="12.75">
      <c r="A39" s="10">
        <f t="shared" si="0"/>
        <v>31</v>
      </c>
      <c r="B39" s="44" t="s">
        <v>80</v>
      </c>
      <c r="C39" s="45"/>
      <c r="E39" s="82"/>
    </row>
    <row r="40" spans="1:7" ht="12.75">
      <c r="A40" s="10">
        <f t="shared" si="0"/>
        <v>32</v>
      </c>
      <c r="B40" s="51" t="s">
        <v>138</v>
      </c>
      <c r="C40" s="108">
        <f>ROUND('Basic Charge Design'!$E$9,0)</f>
        <v>79</v>
      </c>
      <c r="D40" s="48"/>
      <c r="E40" s="48"/>
      <c r="G40" s="49" t="s">
        <v>91</v>
      </c>
    </row>
    <row r="41" ht="12.75">
      <c r="A41" s="10">
        <f t="shared" si="0"/>
        <v>33</v>
      </c>
    </row>
    <row r="42" spans="1:2" ht="12.75">
      <c r="A42" s="10">
        <f t="shared" si="0"/>
        <v>34</v>
      </c>
      <c r="B42" s="20" t="s">
        <v>84</v>
      </c>
    </row>
    <row r="43" spans="1:3" ht="12.75">
      <c r="A43" s="10">
        <f t="shared" si="0"/>
        <v>35</v>
      </c>
      <c r="B43" s="17" t="s">
        <v>85</v>
      </c>
      <c r="C43" s="42">
        <f>+C40*C7</f>
        <v>687203.2725085911</v>
      </c>
    </row>
    <row r="44" spans="1:3" ht="12.75">
      <c r="A44" s="10">
        <f t="shared" si="0"/>
        <v>36</v>
      </c>
      <c r="B44" s="17"/>
      <c r="C44" s="30"/>
    </row>
    <row r="45" spans="1:7" ht="12.75">
      <c r="A45" s="10">
        <f t="shared" si="0"/>
        <v>37</v>
      </c>
      <c r="B45" s="110" t="s">
        <v>139</v>
      </c>
      <c r="C45" s="111">
        <f>'Demand Charge Rate Spread 1'!$M$10</f>
        <v>25335119.65117774</v>
      </c>
      <c r="D45" s="112" t="s">
        <v>117</v>
      </c>
      <c r="E45" s="113" t="s">
        <v>118</v>
      </c>
      <c r="G45" s="50" t="s">
        <v>144</v>
      </c>
    </row>
    <row r="46" spans="1:5" ht="12.75">
      <c r="A46" s="10">
        <f t="shared" si="0"/>
        <v>38</v>
      </c>
      <c r="B46" s="59" t="s">
        <v>174</v>
      </c>
      <c r="C46" s="117">
        <f>C45/C13</f>
        <v>5.774690432528127</v>
      </c>
      <c r="D46" s="118">
        <f>ROUND((D22/E22)*E46,2)</f>
        <v>6.98</v>
      </c>
      <c r="E46" s="119">
        <f>ROUND(C45/(E13+(D22/E22)*D13),2)</f>
        <v>4.64</v>
      </c>
    </row>
    <row r="47" spans="1:3" ht="12.75">
      <c r="A47" s="10">
        <f t="shared" si="0"/>
        <v>39</v>
      </c>
      <c r="B47" s="17"/>
      <c r="C47" s="30"/>
    </row>
    <row r="48" spans="1:3" ht="12.75">
      <c r="A48" s="10">
        <f t="shared" si="0"/>
        <v>40</v>
      </c>
      <c r="B48" s="9" t="s">
        <v>142</v>
      </c>
      <c r="C48" s="30"/>
    </row>
    <row r="49" spans="1:3" ht="12.75">
      <c r="A49" s="10">
        <f t="shared" si="0"/>
        <v>41</v>
      </c>
      <c r="B49" s="139" t="s">
        <v>175</v>
      </c>
      <c r="C49" s="42">
        <f>D46*D13+E13*E46</f>
        <v>25350814.852362435</v>
      </c>
    </row>
    <row r="50" spans="1:3" ht="12.75">
      <c r="A50" s="10">
        <f t="shared" si="0"/>
        <v>42</v>
      </c>
      <c r="B50" s="17"/>
      <c r="C50" s="30"/>
    </row>
    <row r="51" spans="1:7" ht="12.75">
      <c r="A51" s="10">
        <f t="shared" si="0"/>
        <v>43</v>
      </c>
      <c r="B51" s="110" t="s">
        <v>143</v>
      </c>
      <c r="C51" s="138">
        <f>'Demand Charge Rate Spread 1'!$L$10</f>
        <v>1057105.9796699616</v>
      </c>
      <c r="G51" s="50" t="s">
        <v>144</v>
      </c>
    </row>
    <row r="52" spans="1:3" ht="12.75">
      <c r="A52" s="10">
        <f t="shared" si="0"/>
        <v>44</v>
      </c>
      <c r="B52" s="51" t="s">
        <v>126</v>
      </c>
      <c r="C52" s="121">
        <f>ROUND(C51/C15,5)</f>
        <v>0.00113</v>
      </c>
    </row>
    <row r="53" spans="1:3" ht="12.75">
      <c r="A53" s="10">
        <f t="shared" si="0"/>
        <v>45</v>
      </c>
      <c r="B53" s="17"/>
      <c r="C53" s="30"/>
    </row>
    <row r="54" spans="1:3" ht="12.75">
      <c r="A54" s="10">
        <f t="shared" si="0"/>
        <v>46</v>
      </c>
      <c r="B54" s="9" t="s">
        <v>145</v>
      </c>
      <c r="C54" s="30"/>
    </row>
    <row r="55" spans="1:3" ht="12.75">
      <c r="A55" s="10">
        <f t="shared" si="0"/>
        <v>47</v>
      </c>
      <c r="B55" s="139" t="s">
        <v>126</v>
      </c>
      <c r="C55" s="42">
        <f>+C52*C15</f>
        <v>1055499.1543750004</v>
      </c>
    </row>
    <row r="56" spans="1:6" ht="12.75">
      <c r="A56" s="10">
        <f t="shared" si="0"/>
        <v>48</v>
      </c>
      <c r="F56" s="141"/>
    </row>
    <row r="57" spans="1:3" ht="12.75">
      <c r="A57" s="10">
        <f t="shared" si="0"/>
        <v>49</v>
      </c>
      <c r="B57" s="21" t="s">
        <v>97</v>
      </c>
      <c r="C57" s="30">
        <f>+C35-C43-C49-C55</f>
        <v>95186014.93046659</v>
      </c>
    </row>
    <row r="58" spans="1:3" ht="12.75">
      <c r="A58" s="10">
        <f t="shared" si="0"/>
        <v>50</v>
      </c>
      <c r="B58" s="21"/>
      <c r="C58" s="30"/>
    </row>
    <row r="59" spans="1:6" ht="12.75">
      <c r="A59" s="10">
        <f t="shared" si="0"/>
        <v>51</v>
      </c>
      <c r="B59" s="44" t="s">
        <v>81</v>
      </c>
      <c r="C59" s="45"/>
      <c r="D59" s="39"/>
      <c r="F59" s="141"/>
    </row>
    <row r="60" spans="1:7" ht="12.75">
      <c r="A60" s="10">
        <f t="shared" si="0"/>
        <v>52</v>
      </c>
      <c r="B60" s="51" t="s">
        <v>110</v>
      </c>
      <c r="C60" s="60">
        <f>ROUND(+C57/C11,6)</f>
        <v>0.050448</v>
      </c>
      <c r="D60" s="30"/>
      <c r="G60" s="53" t="s">
        <v>176</v>
      </c>
    </row>
    <row r="61" ht="12.75">
      <c r="A61" s="10">
        <f t="shared" si="0"/>
        <v>53</v>
      </c>
    </row>
    <row r="62" spans="1:2" ht="12.75">
      <c r="A62" s="10">
        <f t="shared" si="0"/>
        <v>54</v>
      </c>
      <c r="B62" t="s">
        <v>86</v>
      </c>
    </row>
    <row r="63" spans="1:3" ht="12.75">
      <c r="A63" s="10">
        <f t="shared" si="0"/>
        <v>55</v>
      </c>
      <c r="B63" s="21" t="s">
        <v>110</v>
      </c>
      <c r="C63" s="11">
        <f>+C60*C11</f>
        <v>95186406.01981877</v>
      </c>
    </row>
    <row r="64" spans="1:2" ht="12.75">
      <c r="A64" s="10">
        <f t="shared" si="0"/>
        <v>56</v>
      </c>
      <c r="B64" s="17"/>
    </row>
    <row r="65" spans="1:3" ht="12.75">
      <c r="A65" s="10">
        <f t="shared" si="0"/>
        <v>57</v>
      </c>
      <c r="B65" t="s">
        <v>103</v>
      </c>
      <c r="C65" s="30">
        <f>+C63+C55+C49+C43</f>
        <v>122279923.2990648</v>
      </c>
    </row>
    <row r="66" spans="1:3" ht="12.75">
      <c r="A66" s="10">
        <f t="shared" si="0"/>
        <v>58</v>
      </c>
      <c r="B66" t="s">
        <v>104</v>
      </c>
      <c r="C66" s="61">
        <f>+C65-C35</f>
        <v>391.0893521755934</v>
      </c>
    </row>
  </sheetData>
  <printOptions horizontalCentered="1"/>
  <pageMargins left="0.5" right="0.5" top="1" bottom="1" header="1" footer="0.5"/>
  <pageSetup fitToHeight="1" fitToWidth="1" horizontalDpi="600" verticalDpi="600" orientation="portrait" scale="71" r:id="rId1"/>
  <headerFooter alignWithMargins="0">
    <oddFooter>&amp;L&amp;16Tenth Exhibit to Prefiled
Direct Testimony of James A. Heidell&amp;R&amp;16Exhibit No.___ (JAH-12)
Page &amp;P of &amp;N</oddFooter>
  </headerFooter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85" zoomScaleNormal="85" workbookViewId="0" topLeftCell="A28">
      <selection activeCell="D7" sqref="D7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4.28125" style="0" bestFit="1" customWidth="1"/>
    <col min="4" max="5" width="12.57421875" style="0" bestFit="1" customWidth="1"/>
    <col min="6" max="6" width="6.8515625" style="0" customWidth="1"/>
    <col min="7" max="7" width="41.00390625" style="0" bestFit="1" customWidth="1"/>
  </cols>
  <sheetData>
    <row r="1" spans="2:7" ht="12.75">
      <c r="B1" s="1" t="s">
        <v>0</v>
      </c>
      <c r="C1" s="1"/>
      <c r="D1" s="1"/>
      <c r="E1" s="1"/>
      <c r="F1" s="1"/>
      <c r="G1" s="1"/>
    </row>
    <row r="2" spans="2:7" ht="12.75">
      <c r="B2" s="1" t="s">
        <v>68</v>
      </c>
      <c r="C2" s="1"/>
      <c r="D2" s="1"/>
      <c r="E2" s="1"/>
      <c r="F2" s="1"/>
      <c r="G2" s="1"/>
    </row>
    <row r="3" spans="2:7" ht="12.75">
      <c r="B3" s="1" t="s">
        <v>50</v>
      </c>
      <c r="C3" s="1"/>
      <c r="D3" s="1"/>
      <c r="E3" s="1"/>
      <c r="F3" s="1"/>
      <c r="G3" s="1"/>
    </row>
    <row r="4" spans="2:7" ht="12.75">
      <c r="B4" s="1" t="s">
        <v>177</v>
      </c>
      <c r="C4" s="1"/>
      <c r="D4" s="1"/>
      <c r="E4" s="1"/>
      <c r="F4" s="1"/>
      <c r="G4" s="1"/>
    </row>
    <row r="6" spans="1:5" s="4" customFormat="1" ht="25.5">
      <c r="A6" s="2" t="s">
        <v>70</v>
      </c>
      <c r="B6" s="2"/>
      <c r="C6" s="2" t="s">
        <v>71</v>
      </c>
      <c r="D6" s="2" t="s">
        <v>106</v>
      </c>
      <c r="E6" s="2" t="s">
        <v>107</v>
      </c>
    </row>
    <row r="7" spans="1:3" ht="13.5" thickBot="1">
      <c r="A7" s="10">
        <v>1</v>
      </c>
      <c r="B7" s="20" t="s">
        <v>73</v>
      </c>
      <c r="C7" s="33">
        <f>+'Sch 31 Revenue'!$D$10</f>
        <v>6077.528599999999</v>
      </c>
    </row>
    <row r="8" spans="1:3" ht="13.5" thickTop="1">
      <c r="A8" s="10">
        <f>+A7+1</f>
        <v>2</v>
      </c>
      <c r="C8" s="32"/>
    </row>
    <row r="9" spans="1:3" ht="12.75">
      <c r="A9" s="10">
        <f>+A8+1</f>
        <v>3</v>
      </c>
      <c r="B9" s="17" t="s">
        <v>166</v>
      </c>
      <c r="C9" s="32">
        <f>+'Sch 31 Revenue'!$B$12</f>
        <v>1661414453.1427002</v>
      </c>
    </row>
    <row r="10" spans="1:3" ht="12.75">
      <c r="A10" s="10">
        <f>+A9+1</f>
        <v>4</v>
      </c>
      <c r="B10" s="21" t="s">
        <v>109</v>
      </c>
      <c r="C10" s="32">
        <f>+'Sch 31 Revenue'!$C$12</f>
        <v>-3882862.066197941</v>
      </c>
    </row>
    <row r="11" spans="1:3" ht="13.5" thickBot="1">
      <c r="A11" s="10">
        <f>+A10+1</f>
        <v>5</v>
      </c>
      <c r="B11" s="9" t="s">
        <v>167</v>
      </c>
      <c r="C11" s="33">
        <f>SUM(C9:C10)</f>
        <v>1657531591.0765023</v>
      </c>
    </row>
    <row r="12" ht="13.5" thickTop="1">
      <c r="A12" s="10">
        <f aca="true" t="shared" si="0" ref="A12:A67">+A11+1</f>
        <v>6</v>
      </c>
    </row>
    <row r="13" spans="1:5" ht="13.5" thickBot="1">
      <c r="A13" s="10">
        <f t="shared" si="0"/>
        <v>7</v>
      </c>
      <c r="B13" s="20" t="s">
        <v>122</v>
      </c>
      <c r="C13" s="33">
        <f>SUM(D13:E13)</f>
        <v>3946814.654071696</v>
      </c>
      <c r="D13" s="33">
        <f>+'Sch 31 Revenue'!$D$14</f>
        <v>1927229.011235914</v>
      </c>
      <c r="E13" s="33">
        <f>+'Sch 31 Revenue'!$D$15</f>
        <v>2019585.6428357824</v>
      </c>
    </row>
    <row r="14" ht="13.5" thickTop="1">
      <c r="A14" s="10">
        <f t="shared" si="0"/>
        <v>8</v>
      </c>
    </row>
    <row r="15" spans="1:3" ht="13.5" thickBot="1">
      <c r="A15" s="10">
        <f t="shared" si="0"/>
        <v>9</v>
      </c>
      <c r="B15" s="9" t="s">
        <v>125</v>
      </c>
      <c r="C15" s="33">
        <f>+'Sch 31 Revenue'!$D$18</f>
        <v>919421179.1755927</v>
      </c>
    </row>
    <row r="16" ht="13.5" thickTop="1">
      <c r="A16" s="10">
        <f t="shared" si="0"/>
        <v>10</v>
      </c>
    </row>
    <row r="17" spans="1:5" ht="12.75">
      <c r="A17" s="10">
        <f t="shared" si="0"/>
        <v>11</v>
      </c>
      <c r="B17" s="35" t="s">
        <v>168</v>
      </c>
      <c r="C17" s="36"/>
      <c r="D17" s="36"/>
      <c r="E17" s="37"/>
    </row>
    <row r="18" spans="1:2" ht="12.75">
      <c r="A18" s="10">
        <f t="shared" si="0"/>
        <v>12</v>
      </c>
      <c r="B18" t="s">
        <v>127</v>
      </c>
    </row>
    <row r="19" spans="1:5" ht="12.75">
      <c r="A19" s="10">
        <f t="shared" si="0"/>
        <v>13</v>
      </c>
      <c r="B19" s="21" t="s">
        <v>169</v>
      </c>
      <c r="C19" s="38">
        <f>+'Sch 31 Revenue'!$E$10</f>
        <v>200</v>
      </c>
      <c r="D19" s="38"/>
      <c r="E19" s="38"/>
    </row>
    <row r="20" spans="1:5" ht="12.75">
      <c r="A20" s="10">
        <f t="shared" si="0"/>
        <v>14</v>
      </c>
      <c r="B20" s="21" t="s">
        <v>170</v>
      </c>
      <c r="C20" s="39">
        <f>+'Sch 31 Revenue'!$E$12</f>
        <v>0.042539999999999994</v>
      </c>
      <c r="D20" s="39"/>
      <c r="E20" s="39"/>
    </row>
    <row r="21" spans="1:5" ht="12.75">
      <c r="A21" s="10"/>
      <c r="B21" s="21" t="s">
        <v>82</v>
      </c>
      <c r="C21" s="39">
        <f>+'Sch 31 Revenue'!$E$20</f>
        <v>0.002045</v>
      </c>
      <c r="D21" s="39"/>
      <c r="E21" s="39"/>
    </row>
    <row r="22" spans="1:5" ht="12.75">
      <c r="A22" s="10">
        <f>+A20+1</f>
        <v>15</v>
      </c>
      <c r="B22" s="17" t="s">
        <v>178</v>
      </c>
      <c r="D22" s="38">
        <f>+'Sch 31 Revenue'!$E$14</f>
        <v>6.41</v>
      </c>
      <c r="E22" s="38">
        <f>+'Sch 31 Revenue'!$E$15</f>
        <v>4.27</v>
      </c>
    </row>
    <row r="23" spans="1:5" ht="12.75">
      <c r="A23" s="10">
        <f t="shared" si="0"/>
        <v>16</v>
      </c>
      <c r="B23" s="21" t="s">
        <v>179</v>
      </c>
      <c r="C23" s="132">
        <f>+'Sch 31 Revenue'!$E$18</f>
        <v>0.0008100000000000001</v>
      </c>
      <c r="D23" s="132"/>
      <c r="E23" s="132"/>
    </row>
    <row r="24" ht="12.75">
      <c r="A24" s="10">
        <f t="shared" si="0"/>
        <v>17</v>
      </c>
    </row>
    <row r="25" spans="1:2" ht="12.75">
      <c r="A25" s="10">
        <f t="shared" si="0"/>
        <v>18</v>
      </c>
      <c r="B25" t="s">
        <v>131</v>
      </c>
    </row>
    <row r="26" spans="1:7" ht="12.75">
      <c r="A26" s="10">
        <f t="shared" si="0"/>
        <v>19</v>
      </c>
      <c r="B26" s="17" t="s">
        <v>180</v>
      </c>
      <c r="C26" s="135">
        <f>+C7*C19</f>
        <v>1215505.7199999997</v>
      </c>
      <c r="D26" s="135"/>
      <c r="E26" s="135"/>
      <c r="F26" s="22"/>
      <c r="G26" s="28"/>
    </row>
    <row r="27" spans="1:7" ht="12.75">
      <c r="A27" s="10">
        <f t="shared" si="0"/>
        <v>20</v>
      </c>
      <c r="B27" s="21" t="s">
        <v>181</v>
      </c>
      <c r="C27" s="135">
        <f>+C11*C20</f>
        <v>70511393.88439439</v>
      </c>
      <c r="D27" s="135"/>
      <c r="E27" s="135"/>
      <c r="F27" s="22"/>
      <c r="G27" s="28"/>
    </row>
    <row r="28" spans="1:7" ht="12.75">
      <c r="A28" s="10">
        <f t="shared" si="0"/>
        <v>21</v>
      </c>
      <c r="B28" s="21" t="s">
        <v>82</v>
      </c>
      <c r="C28" s="135">
        <f>+C11*C21</f>
        <v>3389652.103751447</v>
      </c>
      <c r="D28" s="135"/>
      <c r="E28" s="135"/>
      <c r="F28" s="22"/>
      <c r="G28" s="28"/>
    </row>
    <row r="29" spans="1:7" ht="12.75">
      <c r="A29" s="10">
        <f t="shared" si="0"/>
        <v>22</v>
      </c>
      <c r="B29" s="21" t="s">
        <v>171</v>
      </c>
      <c r="C29" s="135">
        <f>SUM(D29:E29)</f>
        <v>20977168.656930998</v>
      </c>
      <c r="D29" s="135">
        <f>+D13*D22</f>
        <v>12353537.96202221</v>
      </c>
      <c r="E29" s="135">
        <f>+E13*E22</f>
        <v>8623630.69490879</v>
      </c>
      <c r="F29" s="22"/>
      <c r="G29" s="28"/>
    </row>
    <row r="30" spans="1:7" ht="12.75">
      <c r="A30" s="10">
        <f t="shared" si="0"/>
        <v>23</v>
      </c>
      <c r="B30" s="21" t="s">
        <v>172</v>
      </c>
      <c r="C30" s="135">
        <f>+C15*C23</f>
        <v>744731.1551322301</v>
      </c>
      <c r="F30" s="22"/>
      <c r="G30" s="28"/>
    </row>
    <row r="31" spans="1:7" ht="13.5" thickBot="1">
      <c r="A31" s="10">
        <f t="shared" si="0"/>
        <v>24</v>
      </c>
      <c r="B31" s="21" t="s">
        <v>182</v>
      </c>
      <c r="C31" s="136">
        <f>SUM(C30,C29,C27,C26,C28)</f>
        <v>96838451.52020907</v>
      </c>
      <c r="F31" s="30"/>
      <c r="G31" s="30"/>
    </row>
    <row r="32" spans="1:3" ht="13.5" thickTop="1">
      <c r="A32" s="10">
        <f t="shared" si="0"/>
        <v>25</v>
      </c>
      <c r="C32" s="30"/>
    </row>
    <row r="33" spans="1:5" ht="12.75">
      <c r="A33" s="10">
        <f t="shared" si="0"/>
        <v>26</v>
      </c>
      <c r="B33" s="73" t="str">
        <f>+'Sch 7 Rate Design'!B35</f>
        <v>Proposed Rates Effective 2005</v>
      </c>
      <c r="C33" s="36"/>
      <c r="D33" s="36"/>
      <c r="E33" s="37"/>
    </row>
    <row r="34" spans="1:5" ht="12.75">
      <c r="A34" s="10">
        <f t="shared" si="0"/>
        <v>27</v>
      </c>
      <c r="B34" s="43"/>
      <c r="C34" s="43"/>
      <c r="D34" s="43"/>
      <c r="E34" s="43"/>
    </row>
    <row r="35" spans="1:7" ht="12.75">
      <c r="A35" s="10">
        <f t="shared" si="0"/>
        <v>28</v>
      </c>
      <c r="B35" s="149" t="s">
        <v>183</v>
      </c>
      <c r="C35" s="150">
        <v>5595846.458843399</v>
      </c>
      <c r="D35" s="151"/>
      <c r="E35" s="43"/>
      <c r="G35" s="50" t="s">
        <v>94</v>
      </c>
    </row>
    <row r="36" spans="1:5" ht="12.75">
      <c r="A36" s="10">
        <f t="shared" si="0"/>
        <v>29</v>
      </c>
      <c r="B36" s="149" t="s">
        <v>184</v>
      </c>
      <c r="C36" s="152">
        <f>+C31+'Sch 35 Rate Design'!C29</f>
        <v>97038441.54640907</v>
      </c>
      <c r="E36" s="43"/>
    </row>
    <row r="37" spans="1:5" ht="12.75">
      <c r="A37" s="10">
        <f t="shared" si="0"/>
        <v>30</v>
      </c>
      <c r="B37" s="129" t="s">
        <v>17</v>
      </c>
      <c r="C37" s="153">
        <f>+C35/C36</f>
        <v>0.05766628533669474</v>
      </c>
      <c r="D37" s="43"/>
      <c r="E37" s="43"/>
    </row>
    <row r="38" spans="1:5" ht="12.75">
      <c r="A38" s="10">
        <f t="shared" si="0"/>
        <v>31</v>
      </c>
      <c r="B38" s="43"/>
      <c r="C38" s="43"/>
      <c r="D38" s="43"/>
      <c r="E38" s="43"/>
    </row>
    <row r="39" spans="1:4" ht="12.75">
      <c r="A39" s="10">
        <f t="shared" si="0"/>
        <v>32</v>
      </c>
      <c r="B39" s="20" t="s">
        <v>93</v>
      </c>
      <c r="C39" s="28">
        <f>+C37*C31</f>
        <v>5584313.776928057</v>
      </c>
      <c r="D39" s="30"/>
    </row>
    <row r="40" spans="1:3" ht="12.75">
      <c r="A40" s="10">
        <f t="shared" si="0"/>
        <v>33</v>
      </c>
      <c r="B40" s="20" t="s">
        <v>185</v>
      </c>
      <c r="C40" s="28">
        <f>+C31+C39</f>
        <v>102422765.29713713</v>
      </c>
    </row>
    <row r="41" spans="1:3" ht="12.75">
      <c r="A41" s="10">
        <f t="shared" si="0"/>
        <v>34</v>
      </c>
      <c r="B41" s="20" t="s">
        <v>112</v>
      </c>
      <c r="C41" s="55">
        <f>+C39/C31</f>
        <v>0.05766628533669474</v>
      </c>
    </row>
    <row r="42" ht="12.75">
      <c r="A42" s="10">
        <f t="shared" si="0"/>
        <v>35</v>
      </c>
    </row>
    <row r="43" spans="1:5" ht="12.75">
      <c r="A43" s="10">
        <f t="shared" si="0"/>
        <v>36</v>
      </c>
      <c r="B43" s="44" t="s">
        <v>80</v>
      </c>
      <c r="C43" s="45"/>
      <c r="E43" s="154"/>
    </row>
    <row r="44" spans="1:8" ht="12.75">
      <c r="A44" s="10">
        <f t="shared" si="0"/>
        <v>37</v>
      </c>
      <c r="B44" s="51" t="s">
        <v>138</v>
      </c>
      <c r="C44" s="108">
        <f>C19</f>
        <v>200</v>
      </c>
      <c r="D44" s="48"/>
      <c r="E44" s="48"/>
      <c r="G44" s="155" t="s">
        <v>186</v>
      </c>
      <c r="H44" s="156"/>
    </row>
    <row r="45" ht="12.75">
      <c r="A45" s="10">
        <f t="shared" si="0"/>
        <v>38</v>
      </c>
    </row>
    <row r="46" spans="1:2" ht="12.75">
      <c r="A46" s="10">
        <f t="shared" si="0"/>
        <v>39</v>
      </c>
      <c r="B46" s="20" t="s">
        <v>84</v>
      </c>
    </row>
    <row r="47" spans="1:3" ht="12.75">
      <c r="A47" s="10">
        <f t="shared" si="0"/>
        <v>40</v>
      </c>
      <c r="B47" s="17" t="s">
        <v>85</v>
      </c>
      <c r="C47" s="42">
        <f>+C44*C7</f>
        <v>1215505.7199999997</v>
      </c>
    </row>
    <row r="48" spans="1:3" ht="12.75">
      <c r="A48" s="10">
        <f t="shared" si="0"/>
        <v>41</v>
      </c>
      <c r="B48" s="17"/>
      <c r="C48" s="30"/>
    </row>
    <row r="49" spans="1:5" ht="12.75">
      <c r="A49" s="10">
        <f t="shared" si="0"/>
        <v>42</v>
      </c>
      <c r="B49" s="110" t="s">
        <v>139</v>
      </c>
      <c r="C49" s="111">
        <f>'Demand Charge Rate Spread 1'!$M$12</f>
        <v>21267834.190875895</v>
      </c>
      <c r="D49" s="112"/>
      <c r="E49" s="113"/>
    </row>
    <row r="50" spans="1:7" ht="12.75">
      <c r="A50" s="10">
        <f t="shared" si="0"/>
        <v>43</v>
      </c>
      <c r="B50" s="59" t="s">
        <v>187</v>
      </c>
      <c r="C50" s="117">
        <f>ROUND(C49/C13,2)</f>
        <v>5.39</v>
      </c>
      <c r="D50" s="118">
        <f>ROUND((D22/E22)*E50,2)</f>
        <v>6.5</v>
      </c>
      <c r="E50" s="119">
        <f>ROUND(C49/(E13+(D22/E22)*D13),2)</f>
        <v>4.33</v>
      </c>
      <c r="G50" s="120" t="s">
        <v>144</v>
      </c>
    </row>
    <row r="51" spans="1:3" ht="12.75">
      <c r="A51" s="10">
        <f t="shared" si="0"/>
        <v>44</v>
      </c>
      <c r="B51" s="17"/>
      <c r="C51" s="30"/>
    </row>
    <row r="52" spans="1:3" ht="12.75">
      <c r="A52" s="10">
        <f t="shared" si="0"/>
        <v>45</v>
      </c>
      <c r="B52" s="9" t="s">
        <v>142</v>
      </c>
      <c r="C52" s="30"/>
    </row>
    <row r="53" spans="1:3" ht="12.75">
      <c r="A53" s="10">
        <f t="shared" si="0"/>
        <v>46</v>
      </c>
      <c r="B53" s="139" t="s">
        <v>175</v>
      </c>
      <c r="C53" s="42">
        <f>D50*D13+E13*E50</f>
        <v>21271794.40651238</v>
      </c>
    </row>
    <row r="54" spans="1:3" ht="12.75">
      <c r="A54" s="10">
        <f t="shared" si="0"/>
        <v>47</v>
      </c>
      <c r="B54" s="17"/>
      <c r="C54" s="30"/>
    </row>
    <row r="55" spans="1:7" ht="12.75">
      <c r="A55" s="10">
        <f t="shared" si="0"/>
        <v>48</v>
      </c>
      <c r="B55" s="110" t="s">
        <v>143</v>
      </c>
      <c r="C55" s="138">
        <f>'Demand Charge Rate Spread 1'!$L$12</f>
        <v>825661.2400871003</v>
      </c>
      <c r="G55" s="50" t="s">
        <v>144</v>
      </c>
    </row>
    <row r="56" spans="1:3" ht="12.75">
      <c r="A56" s="10">
        <f t="shared" si="0"/>
        <v>49</v>
      </c>
      <c r="B56" s="51" t="s">
        <v>126</v>
      </c>
      <c r="C56" s="121">
        <f>ROUND(C55/C15,5)</f>
        <v>0.0009</v>
      </c>
    </row>
    <row r="57" spans="1:3" ht="12.75">
      <c r="A57" s="10">
        <f t="shared" si="0"/>
        <v>50</v>
      </c>
      <c r="B57" s="17"/>
      <c r="C57" s="30"/>
    </row>
    <row r="58" spans="1:3" ht="12.75">
      <c r="A58" s="10">
        <f t="shared" si="0"/>
        <v>51</v>
      </c>
      <c r="B58" s="9" t="s">
        <v>145</v>
      </c>
      <c r="C58" s="30"/>
    </row>
    <row r="59" spans="1:3" ht="12.75">
      <c r="A59" s="10">
        <f t="shared" si="0"/>
        <v>52</v>
      </c>
      <c r="B59" s="139" t="s">
        <v>126</v>
      </c>
      <c r="C59" s="42">
        <f>+C56*C15</f>
        <v>827479.0612580334</v>
      </c>
    </row>
    <row r="60" spans="1:6" ht="12.75">
      <c r="A60" s="10">
        <f t="shared" si="0"/>
        <v>53</v>
      </c>
      <c r="F60" s="141"/>
    </row>
    <row r="61" spans="1:4" ht="12.75">
      <c r="A61" s="10">
        <f t="shared" si="0"/>
        <v>54</v>
      </c>
      <c r="B61" s="21" t="s">
        <v>97</v>
      </c>
      <c r="C61" s="30">
        <f>+C40-C47-C53-C59</f>
        <v>79107986.10936671</v>
      </c>
      <c r="D61" s="30"/>
    </row>
    <row r="62" spans="1:3" ht="12.75">
      <c r="A62" s="10">
        <f t="shared" si="0"/>
        <v>55</v>
      </c>
      <c r="B62" s="21"/>
      <c r="C62" s="30"/>
    </row>
    <row r="63" spans="1:6" ht="12.75">
      <c r="A63" s="10">
        <f t="shared" si="0"/>
        <v>56</v>
      </c>
      <c r="B63" s="44" t="s">
        <v>81</v>
      </c>
      <c r="C63" s="45"/>
      <c r="D63" s="39"/>
      <c r="F63" s="141"/>
    </row>
    <row r="64" spans="1:7" ht="12.75">
      <c r="A64" s="10">
        <f t="shared" si="0"/>
        <v>57</v>
      </c>
      <c r="B64" s="51" t="s">
        <v>110</v>
      </c>
      <c r="C64" s="60">
        <f>ROUND(+C61/C11,6)</f>
        <v>0.047726</v>
      </c>
      <c r="D64" s="30"/>
      <c r="G64" s="53" t="s">
        <v>176</v>
      </c>
    </row>
    <row r="65" ht="12.75">
      <c r="A65" s="10">
        <f t="shared" si="0"/>
        <v>58</v>
      </c>
    </row>
    <row r="66" spans="1:2" ht="12.75">
      <c r="A66" s="10">
        <f t="shared" si="0"/>
        <v>59</v>
      </c>
      <c r="B66" t="s">
        <v>86</v>
      </c>
    </row>
    <row r="67" spans="1:3" ht="12.75">
      <c r="A67" s="10">
        <f t="shared" si="0"/>
        <v>60</v>
      </c>
      <c r="B67" s="21" t="s">
        <v>110</v>
      </c>
      <c r="C67" s="11">
        <f>+C64*C11</f>
        <v>79107352.71571715</v>
      </c>
    </row>
    <row r="68" spans="1:2" ht="12.75">
      <c r="A68" s="10">
        <f>+A67+1</f>
        <v>61</v>
      </c>
      <c r="B68" s="17"/>
    </row>
    <row r="69" spans="1:3" ht="12.75">
      <c r="A69" s="10">
        <f>+A68+1</f>
        <v>62</v>
      </c>
      <c r="B69" t="s">
        <v>103</v>
      </c>
      <c r="C69" s="30">
        <f>+C67+C59+C53+C47</f>
        <v>102422131.90348756</v>
      </c>
    </row>
    <row r="70" spans="1:3" ht="12.75">
      <c r="A70" s="10">
        <f>+A69+1</f>
        <v>63</v>
      </c>
      <c r="B70" t="s">
        <v>104</v>
      </c>
      <c r="C70" s="61">
        <f>+C69-C40</f>
        <v>-633.3936495631933</v>
      </c>
    </row>
  </sheetData>
  <printOptions horizontalCentered="1"/>
  <pageMargins left="0.5" right="0.5" top="1.25" bottom="1" header="1.25" footer="0.5"/>
  <pageSetup fitToHeight="1" fitToWidth="1" horizontalDpi="600" verticalDpi="600" orientation="portrait" scale="64" r:id="rId1"/>
  <headerFooter alignWithMargins="0">
    <oddFooter>&amp;L&amp;16Tenth Exhibit to Prefiled
Direct Testimony of James A. Heidell&amp;R&amp;16Exhibit No.___ (JAH-12)
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zoomScale="85" zoomScaleNormal="85" workbookViewId="0" topLeftCell="A31">
      <selection activeCell="D7" sqref="D7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1.00390625" style="0" bestFit="1" customWidth="1"/>
    <col min="4" max="4" width="13.7109375" style="0" bestFit="1" customWidth="1"/>
    <col min="5" max="5" width="14.7109375" style="0" bestFit="1" customWidth="1"/>
    <col min="6" max="6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50</v>
      </c>
      <c r="C3" s="1"/>
      <c r="D3" s="1"/>
      <c r="E3" s="1"/>
    </row>
    <row r="4" spans="2:5" ht="12.75">
      <c r="B4" s="1" t="s">
        <v>188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 s="3" t="s">
        <v>189</v>
      </c>
      <c r="E6" s="3" t="s">
        <v>190</v>
      </c>
    </row>
    <row r="7" spans="1:3" ht="13.5" thickBot="1">
      <c r="A7" s="10">
        <v>1</v>
      </c>
      <c r="B7" s="20" t="s">
        <v>73</v>
      </c>
      <c r="C7" s="33">
        <f>+'Sch 35 Revenue'!$B$10</f>
        <v>12</v>
      </c>
    </row>
    <row r="8" spans="1:3" ht="13.5" thickTop="1">
      <c r="A8" s="10">
        <f>+A7+1</f>
        <v>2</v>
      </c>
      <c r="C8" s="32"/>
    </row>
    <row r="9" spans="1:3" ht="13.5" thickBot="1">
      <c r="A9" s="10">
        <f aca="true" t="shared" si="0" ref="A9:A67">+A8+1</f>
        <v>3</v>
      </c>
      <c r="B9" s="20" t="s">
        <v>76</v>
      </c>
      <c r="C9" s="33">
        <f>+'Sch 35 Revenue'!$B$12</f>
        <v>4966200</v>
      </c>
    </row>
    <row r="10" ht="13.5" thickTop="1">
      <c r="A10" s="10">
        <f t="shared" si="0"/>
        <v>4</v>
      </c>
    </row>
    <row r="11" spans="1:5" ht="13.5" thickBot="1">
      <c r="A11" s="10">
        <f t="shared" si="0"/>
        <v>5</v>
      </c>
      <c r="B11" s="20" t="s">
        <v>122</v>
      </c>
      <c r="C11" s="33">
        <f>SUM(D11:E11)</f>
        <v>9073.797297297298</v>
      </c>
      <c r="D11" s="33">
        <f>+'Sch 35 Revenue'!$B$14</f>
        <v>1064.7927927927929</v>
      </c>
      <c r="E11" s="33">
        <f>+'Sch 35 Revenue'!$B$15</f>
        <v>8009.004504504505</v>
      </c>
    </row>
    <row r="12" ht="13.5" thickTop="1">
      <c r="A12" s="10">
        <f t="shared" si="0"/>
        <v>6</v>
      </c>
    </row>
    <row r="13" spans="1:3" ht="13.5" thickBot="1">
      <c r="A13" s="10">
        <f t="shared" si="0"/>
        <v>7</v>
      </c>
      <c r="B13" s="9" t="s">
        <v>125</v>
      </c>
      <c r="C13" s="33">
        <f>+'Sch 35 Revenue'!$B$18</f>
        <v>2344204.8192771086</v>
      </c>
    </row>
    <row r="14" ht="13.5" thickTop="1">
      <c r="A14" s="10">
        <f t="shared" si="0"/>
        <v>8</v>
      </c>
    </row>
    <row r="15" spans="1:5" ht="12.75">
      <c r="A15" s="10">
        <f t="shared" si="0"/>
        <v>9</v>
      </c>
      <c r="B15" s="35" t="str">
        <f>+'Sch 7 Rate Design'!B16</f>
        <v>Current Base Rates Effective 10-1-03</v>
      </c>
      <c r="C15" s="36"/>
      <c r="D15" s="36"/>
      <c r="E15" s="37"/>
    </row>
    <row r="16" spans="1:2" ht="12.75">
      <c r="A16" s="10">
        <f>+A15+1</f>
        <v>10</v>
      </c>
      <c r="B16" t="s">
        <v>127</v>
      </c>
    </row>
    <row r="17" spans="1:5" ht="12.75">
      <c r="A17" s="10">
        <f t="shared" si="0"/>
        <v>11</v>
      </c>
      <c r="B17" s="21" t="s">
        <v>169</v>
      </c>
      <c r="C17" s="38">
        <f>+'Sch 35 Revenue'!$C$10</f>
        <v>200</v>
      </c>
      <c r="D17" s="38"/>
      <c r="E17" s="38"/>
    </row>
    <row r="18" spans="1:5" ht="12.75">
      <c r="A18" s="10">
        <f t="shared" si="0"/>
        <v>12</v>
      </c>
      <c r="B18" s="21" t="s">
        <v>170</v>
      </c>
      <c r="C18" s="39">
        <f>+'Sch 35 Revenue'!$C$12</f>
        <v>0.033147</v>
      </c>
      <c r="D18" s="39"/>
      <c r="E18" s="39"/>
    </row>
    <row r="19" spans="1:5" ht="12.75">
      <c r="A19" s="10"/>
      <c r="B19" s="21" t="s">
        <v>82</v>
      </c>
      <c r="C19" s="39">
        <f>+'Sch 35 Revenue'!$C$20</f>
        <v>0.001954</v>
      </c>
      <c r="D19" s="39"/>
      <c r="E19" s="39"/>
    </row>
    <row r="20" spans="1:5" ht="12.75">
      <c r="A20" s="10">
        <f>+A18+1</f>
        <v>13</v>
      </c>
      <c r="B20" s="17" t="s">
        <v>178</v>
      </c>
      <c r="D20" s="38">
        <f>+'Sch 35 Revenue'!$C$14</f>
        <v>3.33</v>
      </c>
      <c r="E20" s="38">
        <f>+'Sch 35 Revenue'!$C$15</f>
        <v>2.22</v>
      </c>
    </row>
    <row r="21" spans="1:5" ht="12.75">
      <c r="A21" s="10">
        <f t="shared" si="0"/>
        <v>14</v>
      </c>
      <c r="B21" s="21" t="s">
        <v>179</v>
      </c>
      <c r="C21" s="132">
        <f>+'Sch 35 Revenue'!$C$18</f>
        <v>0.00083</v>
      </c>
      <c r="D21" s="132"/>
      <c r="E21" s="132"/>
    </row>
    <row r="22" spans="1:5" ht="12.75">
      <c r="A22" s="10">
        <f t="shared" si="0"/>
        <v>15</v>
      </c>
      <c r="B22" s="21"/>
      <c r="D22" s="132"/>
      <c r="E22" s="132"/>
    </row>
    <row r="23" spans="1:5" ht="12.75">
      <c r="A23" s="10">
        <f t="shared" si="0"/>
        <v>16</v>
      </c>
      <c r="B23" t="s">
        <v>131</v>
      </c>
      <c r="C23" s="22"/>
      <c r="D23" s="22"/>
      <c r="E23" s="22"/>
    </row>
    <row r="24" spans="1:5" ht="12.75">
      <c r="A24" s="10">
        <f t="shared" si="0"/>
        <v>17</v>
      </c>
      <c r="B24" s="17" t="s">
        <v>180</v>
      </c>
      <c r="C24" s="135">
        <f>+C7*C17</f>
        <v>2400</v>
      </c>
      <c r="D24" s="22"/>
      <c r="E24" s="22"/>
    </row>
    <row r="25" spans="1:5" ht="12.75">
      <c r="A25" s="10">
        <f t="shared" si="0"/>
        <v>18</v>
      </c>
      <c r="B25" s="21" t="s">
        <v>181</v>
      </c>
      <c r="C25" s="135">
        <f>+C9*C18</f>
        <v>164614.6314</v>
      </c>
      <c r="D25" s="22"/>
      <c r="E25" s="22"/>
    </row>
    <row r="26" spans="1:5" ht="12.75">
      <c r="A26" s="10"/>
      <c r="B26" s="21" t="s">
        <v>82</v>
      </c>
      <c r="C26" s="135">
        <f>+C9*C19</f>
        <v>9703.9548</v>
      </c>
      <c r="D26" s="22"/>
      <c r="E26" s="22"/>
    </row>
    <row r="27" spans="1:5" ht="12.75">
      <c r="A27" s="10">
        <f>+A25+1</f>
        <v>19</v>
      </c>
      <c r="B27" s="21" t="s">
        <v>171</v>
      </c>
      <c r="C27" s="135">
        <f>SUM(D27:E27)</f>
        <v>21325.750000000007</v>
      </c>
      <c r="D27" s="135">
        <f>+D20*D11</f>
        <v>3545.76</v>
      </c>
      <c r="E27" s="135">
        <f>+E20*E11</f>
        <v>17779.990000000005</v>
      </c>
    </row>
    <row r="28" spans="1:5" ht="12.75">
      <c r="A28" s="10">
        <f t="shared" si="0"/>
        <v>20</v>
      </c>
      <c r="B28" s="21" t="s">
        <v>172</v>
      </c>
      <c r="C28" s="135">
        <f>+C13*C21</f>
        <v>1945.6900000000003</v>
      </c>
      <c r="D28" s="135"/>
      <c r="E28" s="135"/>
    </row>
    <row r="29" spans="1:6" ht="13.5" thickBot="1">
      <c r="A29" s="10">
        <f t="shared" si="0"/>
        <v>21</v>
      </c>
      <c r="B29" s="21" t="s">
        <v>182</v>
      </c>
      <c r="C29" s="136">
        <f>SUM(C28,C27,C25,C24,C26)</f>
        <v>199990.02620000002</v>
      </c>
      <c r="D29" s="135"/>
      <c r="E29" s="135"/>
      <c r="F29" s="30"/>
    </row>
    <row r="30" spans="1:3" ht="13.5" thickTop="1">
      <c r="A30" s="10">
        <f t="shared" si="0"/>
        <v>22</v>
      </c>
      <c r="C30" s="30"/>
    </row>
    <row r="31" spans="1:5" ht="12.75">
      <c r="A31" s="10">
        <f t="shared" si="0"/>
        <v>23</v>
      </c>
      <c r="B31" s="73" t="str">
        <f>+'Sch 7 Rate Design'!B35</f>
        <v>Proposed Rates Effective 2005</v>
      </c>
      <c r="C31" s="36"/>
      <c r="D31" s="36"/>
      <c r="E31" s="37"/>
    </row>
    <row r="32" spans="1:5" ht="12.75">
      <c r="A32" s="10">
        <f t="shared" si="0"/>
        <v>24</v>
      </c>
      <c r="B32" s="43"/>
      <c r="C32" s="43"/>
      <c r="D32" s="43"/>
      <c r="E32" s="43"/>
    </row>
    <row r="33" spans="1:3" ht="12.75">
      <c r="A33" s="10">
        <f t="shared" si="0"/>
        <v>25</v>
      </c>
      <c r="B33" s="20" t="s">
        <v>112</v>
      </c>
      <c r="C33" s="55">
        <f>+'Sch 31 Rate Design'!C37</f>
        <v>0.05766628533669474</v>
      </c>
    </row>
    <row r="34" spans="1:4" ht="12.75">
      <c r="A34" s="10">
        <f t="shared" si="0"/>
        <v>26</v>
      </c>
      <c r="B34" s="20" t="s">
        <v>93</v>
      </c>
      <c r="C34" s="28">
        <f>+C29*C33</f>
        <v>11532.681915342258</v>
      </c>
      <c r="D34" s="30"/>
    </row>
    <row r="35" spans="1:3" ht="12.75">
      <c r="A35" s="10">
        <f t="shared" si="0"/>
        <v>27</v>
      </c>
      <c r="B35" s="20" t="s">
        <v>191</v>
      </c>
      <c r="C35" s="28">
        <f>+C34+C29</f>
        <v>211522.70811534228</v>
      </c>
    </row>
    <row r="36" ht="12.75">
      <c r="A36" s="10">
        <f t="shared" si="0"/>
        <v>28</v>
      </c>
    </row>
    <row r="37" spans="1:3" ht="12.75">
      <c r="A37" s="10">
        <f t="shared" si="0"/>
        <v>29</v>
      </c>
      <c r="B37" s="44" t="s">
        <v>80</v>
      </c>
      <c r="C37" s="45"/>
    </row>
    <row r="38" spans="1:6" ht="12.75">
      <c r="A38" s="10">
        <f t="shared" si="0"/>
        <v>30</v>
      </c>
      <c r="B38" s="51" t="s">
        <v>138</v>
      </c>
      <c r="C38" s="108">
        <f>+'Sch 31 Rate Design'!C44</f>
        <v>200</v>
      </c>
      <c r="D38" s="48"/>
      <c r="F38" s="50" t="s">
        <v>192</v>
      </c>
    </row>
    <row r="39" ht="12.75">
      <c r="A39" s="10">
        <f t="shared" si="0"/>
        <v>31</v>
      </c>
    </row>
    <row r="40" spans="1:2" ht="12.75">
      <c r="A40" s="10">
        <f t="shared" si="0"/>
        <v>32</v>
      </c>
      <c r="B40" s="20" t="s">
        <v>84</v>
      </c>
    </row>
    <row r="41" spans="1:3" ht="12.75">
      <c r="A41" s="10">
        <f t="shared" si="0"/>
        <v>33</v>
      </c>
      <c r="B41" s="17" t="s">
        <v>85</v>
      </c>
      <c r="C41" s="42">
        <f>+C38*C7</f>
        <v>2400</v>
      </c>
    </row>
    <row r="42" spans="1:3" ht="12.75">
      <c r="A42" s="10">
        <f t="shared" si="0"/>
        <v>34</v>
      </c>
      <c r="B42" s="17"/>
      <c r="C42" s="30"/>
    </row>
    <row r="43" spans="1:6" ht="12.75">
      <c r="A43" s="10">
        <f t="shared" si="0"/>
        <v>35</v>
      </c>
      <c r="B43" s="110" t="s">
        <v>139</v>
      </c>
      <c r="C43" s="138">
        <f>+'Demand Charge Rate Spread 1'!$M$13</f>
        <v>21618.134274659453</v>
      </c>
      <c r="F43" s="50" t="s">
        <v>144</v>
      </c>
    </row>
    <row r="44" spans="1:3" ht="12.75">
      <c r="A44" s="10">
        <f t="shared" si="0"/>
        <v>36</v>
      </c>
      <c r="B44" s="157"/>
      <c r="C44" s="158"/>
    </row>
    <row r="45" spans="1:3" ht="12.75">
      <c r="A45" s="10">
        <f t="shared" si="0"/>
        <v>37</v>
      </c>
      <c r="B45" s="56" t="s">
        <v>193</v>
      </c>
      <c r="C45" s="115">
        <f>ROUND(C43/C11,2)</f>
        <v>2.38</v>
      </c>
    </row>
    <row r="46" spans="1:6" ht="12.75">
      <c r="A46" s="10">
        <f t="shared" si="0"/>
        <v>38</v>
      </c>
      <c r="B46" s="46" t="s">
        <v>194</v>
      </c>
      <c r="C46" s="115">
        <f>ROUND(C45*1.5,2)</f>
        <v>3.57</v>
      </c>
      <c r="F46" s="49" t="s">
        <v>195</v>
      </c>
    </row>
    <row r="47" spans="1:3" ht="12.75">
      <c r="A47" s="10">
        <f t="shared" si="0"/>
        <v>39</v>
      </c>
      <c r="B47" s="51" t="s">
        <v>196</v>
      </c>
      <c r="C47" s="52">
        <f>+C45</f>
        <v>2.38</v>
      </c>
    </row>
    <row r="48" spans="1:3" ht="12.75">
      <c r="A48" s="10">
        <f t="shared" si="0"/>
        <v>40</v>
      </c>
      <c r="B48" s="17"/>
      <c r="C48" s="30"/>
    </row>
    <row r="49" spans="1:3" ht="12.75">
      <c r="A49" s="10">
        <f t="shared" si="0"/>
        <v>41</v>
      </c>
      <c r="B49" s="9" t="s">
        <v>142</v>
      </c>
      <c r="C49" s="30"/>
    </row>
    <row r="50" spans="1:4" ht="12.75">
      <c r="A50" s="10">
        <f t="shared" si="0"/>
        <v>42</v>
      </c>
      <c r="B50" s="139" t="s">
        <v>175</v>
      </c>
      <c r="C50" s="42">
        <f>+C46*D11+E11*C47</f>
        <v>22862.74099099099</v>
      </c>
      <c r="D50" s="30"/>
    </row>
    <row r="51" spans="1:3" ht="12.75">
      <c r="A51" s="10">
        <f t="shared" si="0"/>
        <v>43</v>
      </c>
      <c r="B51" s="17"/>
      <c r="C51" s="30"/>
    </row>
    <row r="52" spans="1:6" ht="12.75">
      <c r="A52" s="10">
        <f t="shared" si="0"/>
        <v>44</v>
      </c>
      <c r="B52" s="110" t="s">
        <v>143</v>
      </c>
      <c r="C52" s="138">
        <f>+'Demand Charge Rate Spread 1'!$L$13</f>
        <v>2051.409262522248</v>
      </c>
      <c r="F52" s="50" t="s">
        <v>144</v>
      </c>
    </row>
    <row r="53" spans="1:3" ht="12.75">
      <c r="A53" s="10">
        <f t="shared" si="0"/>
        <v>45</v>
      </c>
      <c r="B53" s="51" t="s">
        <v>126</v>
      </c>
      <c r="C53" s="121">
        <f>ROUND(C52/C13,5)</f>
        <v>0.00088</v>
      </c>
    </row>
    <row r="54" spans="1:3" ht="12.75">
      <c r="A54" s="10">
        <f t="shared" si="0"/>
        <v>46</v>
      </c>
      <c r="B54" s="17"/>
      <c r="C54" s="30"/>
    </row>
    <row r="55" spans="1:3" ht="12.75">
      <c r="A55" s="10">
        <f t="shared" si="0"/>
        <v>47</v>
      </c>
      <c r="B55" s="9" t="s">
        <v>145</v>
      </c>
      <c r="C55" s="30"/>
    </row>
    <row r="56" spans="1:3" ht="12.75">
      <c r="A56" s="10">
        <f t="shared" si="0"/>
        <v>48</v>
      </c>
      <c r="B56" s="139" t="s">
        <v>126</v>
      </c>
      <c r="C56" s="42">
        <f>+C53*C13</f>
        <v>2062.9002409638556</v>
      </c>
    </row>
    <row r="57" spans="1:5" ht="12.75">
      <c r="A57" s="10">
        <f t="shared" si="0"/>
        <v>49</v>
      </c>
      <c r="E57" s="141"/>
    </row>
    <row r="58" spans="1:3" ht="12.75">
      <c r="A58" s="10">
        <f t="shared" si="0"/>
        <v>50</v>
      </c>
      <c r="B58" s="21" t="s">
        <v>97</v>
      </c>
      <c r="C58" s="30">
        <f>+C35-C41-C50-C56</f>
        <v>184197.06688338745</v>
      </c>
    </row>
    <row r="59" spans="1:5" ht="12.75">
      <c r="A59" s="10">
        <f t="shared" si="0"/>
        <v>51</v>
      </c>
      <c r="B59" s="139"/>
      <c r="C59" s="140"/>
      <c r="E59" s="141"/>
    </row>
    <row r="60" spans="1:5" ht="12.75">
      <c r="A60" s="10">
        <f t="shared" si="0"/>
        <v>52</v>
      </c>
      <c r="B60" s="44" t="s">
        <v>81</v>
      </c>
      <c r="C60" s="45"/>
      <c r="D60" s="39"/>
      <c r="E60" s="141"/>
    </row>
    <row r="61" spans="1:6" ht="12.75">
      <c r="A61" s="10">
        <f t="shared" si="0"/>
        <v>53</v>
      </c>
      <c r="B61" s="51" t="s">
        <v>110</v>
      </c>
      <c r="C61" s="60">
        <f>ROUND(+C58/C9,6)</f>
        <v>0.03709</v>
      </c>
      <c r="D61" s="30"/>
      <c r="F61" s="53" t="s">
        <v>176</v>
      </c>
    </row>
    <row r="62" ht="12.75">
      <c r="A62" s="10">
        <f t="shared" si="0"/>
        <v>54</v>
      </c>
    </row>
    <row r="63" spans="1:2" ht="12.75">
      <c r="A63" s="10">
        <f t="shared" si="0"/>
        <v>55</v>
      </c>
      <c r="B63" t="s">
        <v>86</v>
      </c>
    </row>
    <row r="64" spans="1:3" ht="12.75">
      <c r="A64" s="10">
        <f t="shared" si="0"/>
        <v>56</v>
      </c>
      <c r="B64" s="21" t="s">
        <v>110</v>
      </c>
      <c r="C64" s="11">
        <f>+C61*C9</f>
        <v>184196.35799999998</v>
      </c>
    </row>
    <row r="65" spans="1:2" ht="12.75">
      <c r="A65" s="10">
        <f t="shared" si="0"/>
        <v>57</v>
      </c>
      <c r="B65" s="17"/>
    </row>
    <row r="66" spans="1:3" ht="12.75">
      <c r="A66" s="10">
        <f t="shared" si="0"/>
        <v>58</v>
      </c>
      <c r="B66" t="s">
        <v>103</v>
      </c>
      <c r="C66" s="30">
        <f>+C64+C56+C50+C41</f>
        <v>211521.9992319548</v>
      </c>
    </row>
    <row r="67" spans="1:3" ht="12.75">
      <c r="A67" s="10">
        <f t="shared" si="0"/>
        <v>59</v>
      </c>
      <c r="B67" t="s">
        <v>104</v>
      </c>
      <c r="C67" s="61">
        <f>+C66-C35</f>
        <v>-0.708883387473179</v>
      </c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</sheetData>
  <printOptions horizontalCentered="1"/>
  <pageMargins left="0.5" right="0.5" top="1" bottom="1" header="1" footer="0.5"/>
  <pageSetup fitToHeight="1" fitToWidth="1" horizontalDpi="600" verticalDpi="600" orientation="portrait" scale="75" r:id="rId1"/>
  <headerFooter alignWithMargins="0">
    <oddFooter>&amp;L&amp;16Tenth Exhibit to Prefiled
Direct Testimony of James A. Heidell&amp;R&amp;16Exhibit No.___ (JAH-12)
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="85" zoomScaleNormal="85" workbookViewId="0" topLeftCell="A32">
      <selection activeCell="D7" sqref="D7"/>
    </sheetView>
  </sheetViews>
  <sheetFormatPr defaultColWidth="9.140625" defaultRowHeight="12.75"/>
  <cols>
    <col min="1" max="1" width="4.57421875" style="0" customWidth="1"/>
    <col min="2" max="2" width="41.140625" style="0" bestFit="1" customWidth="1"/>
    <col min="3" max="3" width="12.57421875" style="0" bestFit="1" customWidth="1"/>
    <col min="4" max="5" width="8.421875" style="0" customWidth="1"/>
    <col min="6" max="6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50</v>
      </c>
      <c r="C3" s="1"/>
      <c r="D3" s="1"/>
      <c r="E3" s="1"/>
    </row>
    <row r="4" spans="2:5" ht="12.75">
      <c r="B4" s="1" t="s">
        <v>197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 s="127"/>
      <c r="E6" s="127"/>
    </row>
    <row r="7" spans="1:5" ht="13.5" thickBot="1">
      <c r="A7" s="10">
        <v>1</v>
      </c>
      <c r="B7" s="20" t="s">
        <v>73</v>
      </c>
      <c r="C7" s="33">
        <f>+'Sch 43 Revenue'!$D$10</f>
        <v>2388.0666</v>
      </c>
      <c r="D7" s="128"/>
      <c r="E7" s="128"/>
    </row>
    <row r="8" spans="1:5" ht="13.5" thickTop="1">
      <c r="A8" s="10">
        <f aca="true" t="shared" si="0" ref="A8:A66">+A7+1</f>
        <v>2</v>
      </c>
      <c r="C8" s="32"/>
      <c r="D8" s="32"/>
      <c r="E8" s="32"/>
    </row>
    <row r="9" spans="1:5" ht="12.75">
      <c r="A9" s="10">
        <f t="shared" si="0"/>
        <v>3</v>
      </c>
      <c r="B9" s="17" t="s">
        <v>166</v>
      </c>
      <c r="C9" s="32">
        <f>+'Sch 43 Revenue'!$B$12</f>
        <v>175656470.41949996</v>
      </c>
      <c r="D9" s="32"/>
      <c r="E9" s="32"/>
    </row>
    <row r="10" spans="1:5" ht="12.75">
      <c r="A10" s="10">
        <f t="shared" si="0"/>
        <v>4</v>
      </c>
      <c r="B10" s="21" t="s">
        <v>109</v>
      </c>
      <c r="C10" s="32">
        <f>+'Sch 43 Revenue'!$C$12</f>
        <v>14036294.438764367</v>
      </c>
      <c r="D10" s="32"/>
      <c r="E10" s="32"/>
    </row>
    <row r="11" spans="1:5" ht="13.5" thickBot="1">
      <c r="A11" s="10">
        <f t="shared" si="0"/>
        <v>5</v>
      </c>
      <c r="B11" s="20" t="s">
        <v>76</v>
      </c>
      <c r="C11" s="33">
        <f>SUM(C9:C10)</f>
        <v>189692764.85826433</v>
      </c>
      <c r="D11" s="128"/>
      <c r="E11" s="128"/>
    </row>
    <row r="12" ht="13.5" thickTop="1">
      <c r="A12" s="10">
        <f t="shared" si="0"/>
        <v>6</v>
      </c>
    </row>
    <row r="13" spans="1:5" ht="13.5" thickBot="1">
      <c r="A13" s="10">
        <f t="shared" si="0"/>
        <v>7</v>
      </c>
      <c r="B13" s="20" t="s">
        <v>122</v>
      </c>
      <c r="C13" s="33">
        <f>+'Sch 43 Revenue'!$D$14</f>
        <v>864944.7382920106</v>
      </c>
      <c r="D13" s="128"/>
      <c r="E13" s="128"/>
    </row>
    <row r="14" ht="13.5" thickTop="1">
      <c r="A14" s="10">
        <f t="shared" si="0"/>
        <v>8</v>
      </c>
    </row>
    <row r="15" spans="1:5" ht="13.5" thickBot="1">
      <c r="A15" s="10">
        <f t="shared" si="0"/>
        <v>9</v>
      </c>
      <c r="B15" s="9" t="s">
        <v>125</v>
      </c>
      <c r="C15" s="33">
        <f>+'Sch 43 Revenue'!$D$16</f>
        <v>82811957.44680853</v>
      </c>
      <c r="D15" s="128"/>
      <c r="E15" s="128"/>
    </row>
    <row r="16" ht="13.5" thickTop="1">
      <c r="A16" s="10">
        <f t="shared" si="0"/>
        <v>10</v>
      </c>
    </row>
    <row r="17" spans="1:5" ht="12.75">
      <c r="A17" s="10">
        <f t="shared" si="0"/>
        <v>11</v>
      </c>
      <c r="B17" s="35" t="str">
        <f>+'Sch 7 Rate Design'!B16</f>
        <v>Current Base Rates Effective 10-1-03</v>
      </c>
      <c r="C17" s="36"/>
      <c r="D17" s="36"/>
      <c r="E17" s="37"/>
    </row>
    <row r="18" spans="1:2" ht="12.75">
      <c r="A18" s="10">
        <f t="shared" si="0"/>
        <v>12</v>
      </c>
      <c r="B18" t="s">
        <v>127</v>
      </c>
    </row>
    <row r="19" spans="1:5" ht="12.75">
      <c r="A19" s="10">
        <f t="shared" si="0"/>
        <v>13</v>
      </c>
      <c r="B19" s="21" t="s">
        <v>169</v>
      </c>
      <c r="C19" s="38">
        <f>+'Sch 43 Revenue'!$E$10</f>
        <v>200</v>
      </c>
      <c r="D19" s="38"/>
      <c r="E19" s="38"/>
    </row>
    <row r="20" spans="1:5" ht="12.75">
      <c r="A20" s="10">
        <f t="shared" si="0"/>
        <v>14</v>
      </c>
      <c r="B20" s="21" t="s">
        <v>170</v>
      </c>
      <c r="C20" s="39">
        <f>+'Sch 43 Revenue'!$E$12</f>
        <v>0.040898000000000004</v>
      </c>
      <c r="D20" s="39"/>
      <c r="E20" s="39"/>
    </row>
    <row r="21" spans="1:5" ht="12.75">
      <c r="A21" s="10"/>
      <c r="B21" s="21" t="s">
        <v>82</v>
      </c>
      <c r="C21" s="39">
        <f>+'Sch 43 Revenue'!$E$18</f>
        <v>0.002223</v>
      </c>
      <c r="D21" s="39"/>
      <c r="E21" s="39"/>
    </row>
    <row r="22" spans="1:5" ht="12.75">
      <c r="A22" s="10">
        <f>+A20+1</f>
        <v>15</v>
      </c>
      <c r="B22" s="17" t="s">
        <v>178</v>
      </c>
      <c r="C22" s="38">
        <f>+'Sch 43 Revenue'!$E$14</f>
        <v>3.63</v>
      </c>
      <c r="D22" s="38"/>
      <c r="E22" s="38"/>
    </row>
    <row r="23" spans="1:5" ht="12.75">
      <c r="A23" s="10">
        <f t="shared" si="0"/>
        <v>16</v>
      </c>
      <c r="B23" s="21" t="s">
        <v>179</v>
      </c>
      <c r="C23" s="132">
        <f>+'Sch 43 Revenue'!$E$16</f>
        <v>0.0023499999999999997</v>
      </c>
      <c r="D23" s="132"/>
      <c r="E23" s="132"/>
    </row>
    <row r="24" spans="1:2" ht="12.75">
      <c r="A24" s="10">
        <f t="shared" si="0"/>
        <v>17</v>
      </c>
      <c r="B24" s="21"/>
    </row>
    <row r="25" spans="1:5" ht="12.75">
      <c r="A25" s="10">
        <f t="shared" si="0"/>
        <v>18</v>
      </c>
      <c r="B25" t="s">
        <v>131</v>
      </c>
      <c r="C25" s="22"/>
      <c r="D25" s="22"/>
      <c r="E25" s="22"/>
    </row>
    <row r="26" spans="1:5" ht="12.75">
      <c r="A26" s="10">
        <f t="shared" si="0"/>
        <v>19</v>
      </c>
      <c r="B26" s="17" t="s">
        <v>180</v>
      </c>
      <c r="C26" s="135">
        <f>+C7*C19</f>
        <v>477613.32</v>
      </c>
      <c r="D26" s="135"/>
      <c r="E26" s="135"/>
    </row>
    <row r="27" spans="1:5" ht="12.75">
      <c r="A27" s="10">
        <f t="shared" si="0"/>
        <v>20</v>
      </c>
      <c r="B27" s="21" t="s">
        <v>181</v>
      </c>
      <c r="C27" s="135">
        <f>+C11*C20</f>
        <v>7758054.697173296</v>
      </c>
      <c r="D27" s="135"/>
      <c r="E27" s="135"/>
    </row>
    <row r="28" spans="1:5" ht="12.75">
      <c r="A28" s="10"/>
      <c r="B28" s="21" t="s">
        <v>82</v>
      </c>
      <c r="C28" s="135">
        <f>+C11*C21</f>
        <v>421687.01627992163</v>
      </c>
      <c r="D28" s="135"/>
      <c r="E28" s="135"/>
    </row>
    <row r="29" spans="1:5" ht="12.75">
      <c r="A29" s="10">
        <f>+A27+1</f>
        <v>21</v>
      </c>
      <c r="B29" s="21" t="s">
        <v>171</v>
      </c>
      <c r="C29" s="135">
        <f>+C13*C22</f>
        <v>3139749.3999999985</v>
      </c>
      <c r="D29" s="135"/>
      <c r="E29" s="135"/>
    </row>
    <row r="30" spans="1:5" ht="12.75">
      <c r="A30" s="10">
        <f t="shared" si="0"/>
        <v>22</v>
      </c>
      <c r="B30" s="21" t="s">
        <v>172</v>
      </c>
      <c r="C30" s="135">
        <f>+C15*C23</f>
        <v>194608.10000000003</v>
      </c>
      <c r="D30" s="135"/>
      <c r="E30" s="135"/>
    </row>
    <row r="31" spans="1:5" ht="13.5" thickBot="1">
      <c r="A31" s="10">
        <f t="shared" si="0"/>
        <v>23</v>
      </c>
      <c r="B31" s="21" t="s">
        <v>182</v>
      </c>
      <c r="C31" s="136">
        <f>SUM(C26:C30)</f>
        <v>11991712.533453215</v>
      </c>
      <c r="D31" s="135"/>
      <c r="E31" s="135"/>
    </row>
    <row r="32" spans="1:5" ht="13.5" thickTop="1">
      <c r="A32" s="10">
        <f t="shared" si="0"/>
        <v>24</v>
      </c>
      <c r="C32" s="30"/>
      <c r="D32" s="30"/>
      <c r="E32" s="30"/>
    </row>
    <row r="33" spans="1:5" ht="12.75">
      <c r="A33" s="10">
        <f t="shared" si="0"/>
        <v>25</v>
      </c>
      <c r="B33" s="73" t="str">
        <f>+'Sch 7 Rate Design'!B35</f>
        <v>Proposed Rates Effective 2005</v>
      </c>
      <c r="C33" s="36"/>
      <c r="D33" s="36"/>
      <c r="E33" s="37"/>
    </row>
    <row r="34" spans="1:5" ht="12.75">
      <c r="A34" s="10">
        <f t="shared" si="0"/>
        <v>26</v>
      </c>
      <c r="B34" s="43"/>
      <c r="C34" s="43"/>
      <c r="D34" s="43"/>
      <c r="E34" s="43"/>
    </row>
    <row r="35" spans="1:5" ht="12.75">
      <c r="A35" s="10">
        <f t="shared" si="0"/>
        <v>27</v>
      </c>
      <c r="B35" s="20" t="s">
        <v>112</v>
      </c>
      <c r="C35" s="55">
        <f>C36/C31</f>
        <v>0.08650974730972359</v>
      </c>
      <c r="D35" s="55"/>
      <c r="E35" s="55"/>
    </row>
    <row r="36" spans="1:5" ht="12.75">
      <c r="A36" s="10">
        <f t="shared" si="0"/>
        <v>28</v>
      </c>
      <c r="B36" s="20" t="s">
        <v>93</v>
      </c>
      <c r="C36" s="28">
        <v>1037400.021079883</v>
      </c>
      <c r="D36" s="28"/>
      <c r="E36" s="28"/>
    </row>
    <row r="37" spans="1:5" ht="12.75">
      <c r="A37" s="10">
        <f>+A34+1</f>
        <v>27</v>
      </c>
      <c r="B37" s="20" t="s">
        <v>198</v>
      </c>
      <c r="C37" s="28">
        <f>C31+C36</f>
        <v>13029112.554533098</v>
      </c>
      <c r="D37" s="28"/>
      <c r="E37" s="28"/>
    </row>
    <row r="38" spans="1:5" ht="12.75">
      <c r="A38" s="10">
        <f>+A35+1</f>
        <v>28</v>
      </c>
      <c r="D38" s="28"/>
      <c r="E38" s="28"/>
    </row>
    <row r="39" spans="1:5" ht="12.75">
      <c r="A39" s="10">
        <f t="shared" si="0"/>
        <v>29</v>
      </c>
      <c r="B39" s="44" t="s">
        <v>80</v>
      </c>
      <c r="C39" s="45"/>
      <c r="D39" s="28"/>
      <c r="E39" s="28"/>
    </row>
    <row r="40" spans="1:6" ht="12.75">
      <c r="A40" s="10">
        <f t="shared" si="0"/>
        <v>30</v>
      </c>
      <c r="B40" s="51" t="s">
        <v>138</v>
      </c>
      <c r="C40" s="108">
        <f>+'Sch 31 Rate Design'!C44</f>
        <v>200</v>
      </c>
      <c r="D40" s="28"/>
      <c r="E40" s="28"/>
      <c r="F40" s="49" t="s">
        <v>192</v>
      </c>
    </row>
    <row r="41" spans="1:5" ht="12.75">
      <c r="A41" s="10">
        <f t="shared" si="0"/>
        <v>31</v>
      </c>
      <c r="D41" s="28"/>
      <c r="E41" s="28"/>
    </row>
    <row r="42" spans="1:5" ht="12.75">
      <c r="A42" s="10">
        <f t="shared" si="0"/>
        <v>32</v>
      </c>
      <c r="B42" s="20" t="s">
        <v>84</v>
      </c>
      <c r="D42" s="28"/>
      <c r="E42" s="28"/>
    </row>
    <row r="43" spans="1:5" ht="12.75">
      <c r="A43" s="10">
        <f t="shared" si="0"/>
        <v>33</v>
      </c>
      <c r="B43" s="17" t="s">
        <v>85</v>
      </c>
      <c r="C43" s="42">
        <f>+C40*C7</f>
        <v>477613.32</v>
      </c>
      <c r="D43" s="28"/>
      <c r="E43" s="28"/>
    </row>
    <row r="44" spans="1:5" ht="12.75">
      <c r="A44" s="10">
        <f t="shared" si="0"/>
        <v>34</v>
      </c>
      <c r="B44" s="17"/>
      <c r="C44" s="30"/>
      <c r="D44" s="28"/>
      <c r="E44" s="28"/>
    </row>
    <row r="45" spans="1:6" ht="12.75">
      <c r="A45" s="10">
        <f t="shared" si="0"/>
        <v>35</v>
      </c>
      <c r="B45" s="110" t="s">
        <v>139</v>
      </c>
      <c r="C45" s="138">
        <f>'Demand Charge Rate Spread 1'!$M$14</f>
        <v>3179954.614793199</v>
      </c>
      <c r="D45" s="28"/>
      <c r="E45" s="28"/>
      <c r="F45" s="50" t="s">
        <v>144</v>
      </c>
    </row>
    <row r="46" spans="1:5" ht="12.75">
      <c r="A46" s="10">
        <f t="shared" si="0"/>
        <v>36</v>
      </c>
      <c r="B46" s="59" t="s">
        <v>175</v>
      </c>
      <c r="C46" s="52">
        <f>ROUND(C45/C13,2)</f>
        <v>3.68</v>
      </c>
      <c r="D46" s="28"/>
      <c r="E46" s="28"/>
    </row>
    <row r="47" spans="1:5" ht="12.75">
      <c r="A47" s="10">
        <f t="shared" si="0"/>
        <v>37</v>
      </c>
      <c r="B47" s="17"/>
      <c r="C47" s="30"/>
      <c r="D47" s="28"/>
      <c r="E47" s="28"/>
    </row>
    <row r="48" spans="1:5" ht="12.75">
      <c r="A48" s="10">
        <f t="shared" si="0"/>
        <v>38</v>
      </c>
      <c r="B48" s="9" t="s">
        <v>142</v>
      </c>
      <c r="C48" s="30"/>
      <c r="D48" s="28"/>
      <c r="E48" s="28"/>
    </row>
    <row r="49" spans="1:5" ht="12.75">
      <c r="A49" s="10">
        <f t="shared" si="0"/>
        <v>39</v>
      </c>
      <c r="B49" s="139" t="s">
        <v>175</v>
      </c>
      <c r="C49" s="42">
        <f>+C46*C13</f>
        <v>3182996.636914599</v>
      </c>
      <c r="D49" s="28"/>
      <c r="E49" s="28"/>
    </row>
    <row r="50" spans="1:5" ht="12.75">
      <c r="A50" s="10">
        <f t="shared" si="0"/>
        <v>40</v>
      </c>
      <c r="B50" s="17"/>
      <c r="C50" s="30"/>
      <c r="D50" s="28"/>
      <c r="E50" s="28"/>
    </row>
    <row r="51" spans="1:6" ht="12.75">
      <c r="A51" s="10">
        <f t="shared" si="0"/>
        <v>41</v>
      </c>
      <c r="B51" s="110" t="s">
        <v>143</v>
      </c>
      <c r="C51" s="138">
        <f>'Demand Charge Rate Spread 1'!$L$14</f>
        <v>211443.59755542545</v>
      </c>
      <c r="D51" s="28"/>
      <c r="E51" s="28"/>
      <c r="F51" s="50" t="s">
        <v>144</v>
      </c>
    </row>
    <row r="52" spans="1:5" ht="12.75">
      <c r="A52" s="10">
        <f t="shared" si="0"/>
        <v>42</v>
      </c>
      <c r="B52" s="51" t="s">
        <v>126</v>
      </c>
      <c r="C52" s="121">
        <f>ROUND(C51/C15,5)</f>
        <v>0.00255</v>
      </c>
      <c r="D52" s="28"/>
      <c r="E52" s="28"/>
    </row>
    <row r="53" spans="1:5" ht="12.75">
      <c r="A53" s="10">
        <f t="shared" si="0"/>
        <v>43</v>
      </c>
      <c r="B53" s="17"/>
      <c r="C53" s="30"/>
      <c r="D53" s="28"/>
      <c r="E53" s="28"/>
    </row>
    <row r="54" spans="1:5" ht="12.75">
      <c r="A54" s="10">
        <f t="shared" si="0"/>
        <v>44</v>
      </c>
      <c r="B54" s="9" t="s">
        <v>145</v>
      </c>
      <c r="C54" s="30"/>
      <c r="D54" s="28"/>
      <c r="E54" s="28"/>
    </row>
    <row r="55" spans="1:5" ht="12.75">
      <c r="A55" s="10">
        <f t="shared" si="0"/>
        <v>45</v>
      </c>
      <c r="B55" s="139" t="s">
        <v>126</v>
      </c>
      <c r="C55" s="42">
        <f>+C52*C15</f>
        <v>211170.49148936177</v>
      </c>
      <c r="D55" s="28"/>
      <c r="E55" s="28"/>
    </row>
    <row r="56" spans="1:6" ht="12.75">
      <c r="A56" s="10">
        <f t="shared" si="0"/>
        <v>46</v>
      </c>
      <c r="D56" s="28"/>
      <c r="E56" s="28"/>
      <c r="F56" s="141"/>
    </row>
    <row r="57" spans="1:5" ht="12.75">
      <c r="A57" s="10">
        <f t="shared" si="0"/>
        <v>47</v>
      </c>
      <c r="B57" s="21" t="s">
        <v>97</v>
      </c>
      <c r="C57" s="30">
        <f>+C37-C43-C49-C55</f>
        <v>9157332.106129136</v>
      </c>
      <c r="D57" s="28"/>
      <c r="E57" s="28"/>
    </row>
    <row r="58" spans="1:6" ht="12.75">
      <c r="A58" s="10">
        <f t="shared" si="0"/>
        <v>48</v>
      </c>
      <c r="B58" s="139"/>
      <c r="C58" s="140"/>
      <c r="D58" s="28"/>
      <c r="E58" s="28"/>
      <c r="F58" s="141"/>
    </row>
    <row r="59" spans="1:6" ht="12.75">
      <c r="A59" s="10">
        <f t="shared" si="0"/>
        <v>49</v>
      </c>
      <c r="B59" s="44" t="s">
        <v>81</v>
      </c>
      <c r="C59" s="45"/>
      <c r="D59" s="28"/>
      <c r="E59" s="28"/>
      <c r="F59" s="141"/>
    </row>
    <row r="60" spans="1:6" ht="12.75">
      <c r="A60" s="10">
        <f t="shared" si="0"/>
        <v>50</v>
      </c>
      <c r="B60" s="51" t="s">
        <v>110</v>
      </c>
      <c r="C60" s="60">
        <f>ROUND(+C57/C11,6)</f>
        <v>0.048275</v>
      </c>
      <c r="D60" s="28"/>
      <c r="E60" s="28"/>
      <c r="F60" s="53" t="s">
        <v>176</v>
      </c>
    </row>
    <row r="61" spans="1:5" ht="12.75">
      <c r="A61" s="10">
        <f t="shared" si="0"/>
        <v>51</v>
      </c>
      <c r="D61" s="28"/>
      <c r="E61" s="28"/>
    </row>
    <row r="62" spans="1:5" ht="12.75">
      <c r="A62" s="10">
        <f t="shared" si="0"/>
        <v>52</v>
      </c>
      <c r="B62" t="s">
        <v>86</v>
      </c>
      <c r="D62" s="28"/>
      <c r="E62" s="28"/>
    </row>
    <row r="63" spans="1:5" ht="12.75">
      <c r="A63" s="10">
        <f t="shared" si="0"/>
        <v>53</v>
      </c>
      <c r="B63" s="21" t="s">
        <v>110</v>
      </c>
      <c r="C63" s="11">
        <f>+C60*C11</f>
        <v>9157418.22353271</v>
      </c>
      <c r="D63" s="28"/>
      <c r="E63" s="28"/>
    </row>
    <row r="64" spans="1:5" ht="12.75">
      <c r="A64" s="10">
        <f t="shared" si="0"/>
        <v>54</v>
      </c>
      <c r="B64" s="17"/>
      <c r="D64" s="28"/>
      <c r="E64" s="28"/>
    </row>
    <row r="65" spans="1:5" ht="12.75">
      <c r="A65" s="10">
        <f t="shared" si="0"/>
        <v>55</v>
      </c>
      <c r="B65" t="s">
        <v>103</v>
      </c>
      <c r="C65" s="30">
        <f>+C63+C55+C49+C43</f>
        <v>13029198.671936672</v>
      </c>
      <c r="D65" s="28"/>
      <c r="E65" s="28"/>
    </row>
    <row r="66" spans="1:5" ht="12.75">
      <c r="A66" s="10">
        <f t="shared" si="0"/>
        <v>56</v>
      </c>
      <c r="B66" t="s">
        <v>104</v>
      </c>
      <c r="C66" s="61">
        <f>+C65-C37</f>
        <v>86.11740357428789</v>
      </c>
      <c r="D66" s="28"/>
      <c r="E66" s="28"/>
    </row>
    <row r="67" spans="1:5" ht="12.75">
      <c r="A67" s="10"/>
      <c r="D67" s="28"/>
      <c r="E67" s="28"/>
    </row>
    <row r="68" spans="1:5" ht="12.75">
      <c r="A68" s="10"/>
      <c r="D68" s="28"/>
      <c r="E68" s="28"/>
    </row>
    <row r="69" spans="1:5" ht="12.75">
      <c r="A69" s="10"/>
      <c r="D69" s="28"/>
      <c r="E69" s="28"/>
    </row>
    <row r="70" spans="1:5" ht="12.75">
      <c r="A70" s="10"/>
      <c r="D70" s="28"/>
      <c r="E70" s="28"/>
    </row>
    <row r="71" spans="1:5" ht="12.75">
      <c r="A71" s="10"/>
      <c r="D71" s="28"/>
      <c r="E71" s="28"/>
    </row>
    <row r="72" spans="1:5" ht="12.75">
      <c r="A72" s="10"/>
      <c r="D72" s="28"/>
      <c r="E72" s="28"/>
    </row>
    <row r="73" spans="1:5" ht="12.75">
      <c r="A73" s="10"/>
      <c r="D73" s="28"/>
      <c r="E73" s="28"/>
    </row>
    <row r="74" spans="1:5" ht="12.75">
      <c r="A74" s="10"/>
      <c r="D74" s="28"/>
      <c r="E74" s="28"/>
    </row>
    <row r="75" spans="1:5" ht="12.75">
      <c r="A75" s="10"/>
      <c r="D75" s="28"/>
      <c r="E75" s="28"/>
    </row>
    <row r="76" spans="1:5" ht="12.75">
      <c r="A76" s="10"/>
      <c r="D76" s="28"/>
      <c r="E76" s="28"/>
    </row>
    <row r="77" spans="1:5" ht="12.75">
      <c r="A77" s="10"/>
      <c r="D77" s="28"/>
      <c r="E77" s="28"/>
    </row>
    <row r="78" spans="1:5" ht="12.75">
      <c r="A78" s="10"/>
      <c r="D78" s="28"/>
      <c r="E78" s="28"/>
    </row>
    <row r="79" spans="1:5" ht="12.75">
      <c r="A79" s="10"/>
      <c r="D79" s="28"/>
      <c r="E79" s="28"/>
    </row>
    <row r="80" spans="1:5" ht="12.75">
      <c r="A80" s="10"/>
      <c r="D80" s="28"/>
      <c r="E80" s="28"/>
    </row>
    <row r="81" spans="1:5" ht="12.75">
      <c r="A81" s="10"/>
      <c r="D81" s="28"/>
      <c r="E81" s="28"/>
    </row>
    <row r="82" spans="1:5" ht="12.75">
      <c r="A82" s="10"/>
      <c r="D82" s="28"/>
      <c r="E82" s="28"/>
    </row>
    <row r="83" spans="1:5" ht="12.75">
      <c r="A83" s="10"/>
      <c r="D83" s="28"/>
      <c r="E83" s="28"/>
    </row>
    <row r="84" spans="1:5" ht="12.75">
      <c r="A84" s="10"/>
      <c r="D84" s="28"/>
      <c r="E84" s="28"/>
    </row>
    <row r="85" spans="1:5" ht="12.75">
      <c r="A85" s="10"/>
      <c r="D85" s="28"/>
      <c r="E85" s="28"/>
    </row>
    <row r="86" spans="1:5" ht="12.75">
      <c r="A86" s="10"/>
      <c r="D86" s="28"/>
      <c r="E86" s="28"/>
    </row>
    <row r="87" spans="1:5" ht="12.75">
      <c r="A87" s="10"/>
      <c r="D87" s="28"/>
      <c r="E87" s="28"/>
    </row>
    <row r="88" spans="1:5" ht="12.75">
      <c r="A88" s="10"/>
      <c r="D88" s="28"/>
      <c r="E88" s="28"/>
    </row>
    <row r="89" spans="1:5" ht="12.75">
      <c r="A89" s="10"/>
      <c r="D89" s="28"/>
      <c r="E89" s="28"/>
    </row>
    <row r="90" spans="1:5" ht="12.75">
      <c r="A90" s="10"/>
      <c r="D90" s="28"/>
      <c r="E90" s="28"/>
    </row>
    <row r="91" spans="1:5" ht="12.75">
      <c r="A91" s="10"/>
      <c r="D91" s="28"/>
      <c r="E91" s="28"/>
    </row>
    <row r="92" spans="1:5" ht="12.75">
      <c r="A92" s="10"/>
      <c r="D92" s="28"/>
      <c r="E92" s="28"/>
    </row>
    <row r="93" spans="1:5" ht="12.75">
      <c r="A93" s="10"/>
      <c r="D93" s="28"/>
      <c r="E93" s="28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printOptions horizontalCentered="1"/>
  <pageMargins left="0.5" right="0.5" top="1" bottom="1" header="1" footer="0.5"/>
  <pageSetup fitToHeight="1" fitToWidth="1" horizontalDpi="600" verticalDpi="600" orientation="portrait" scale="75" r:id="rId1"/>
  <headerFooter alignWithMargins="0">
    <oddFooter>&amp;L&amp;16Tenth Exhibit to Prefiled
Direct Testimony of James A. Heidell&amp;R&amp;16Exhibit No.___ (JAH-12)
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tabSelected="1" zoomScale="85" zoomScaleNormal="85" workbookViewId="0" topLeftCell="A38">
      <selection activeCell="D7" sqref="D7"/>
    </sheetView>
  </sheetViews>
  <sheetFormatPr defaultColWidth="9.140625" defaultRowHeight="12.75"/>
  <cols>
    <col min="1" max="1" width="4.57421875" style="0" customWidth="1"/>
    <col min="2" max="2" width="39.00390625" style="0" bestFit="1" customWidth="1"/>
    <col min="3" max="3" width="15.8515625" style="0" bestFit="1" customWidth="1"/>
    <col min="4" max="4" width="4.8515625" style="0" customWidth="1"/>
    <col min="5" max="5" width="41.00390625" style="0" bestFit="1" customWidth="1"/>
  </cols>
  <sheetData>
    <row r="1" spans="2:5" ht="12.75">
      <c r="B1" s="1" t="s">
        <v>0</v>
      </c>
      <c r="C1" s="1"/>
      <c r="D1" s="1"/>
      <c r="E1" s="1"/>
    </row>
    <row r="2" spans="2:5" ht="12.75">
      <c r="B2" s="1" t="s">
        <v>68</v>
      </c>
      <c r="C2" s="1"/>
      <c r="D2" s="1"/>
      <c r="E2" s="1"/>
    </row>
    <row r="3" spans="2:5" ht="12.75">
      <c r="B3" s="1" t="s">
        <v>199</v>
      </c>
      <c r="C3" s="1"/>
      <c r="D3" s="1"/>
      <c r="E3" s="1"/>
    </row>
    <row r="4" spans="2:5" ht="12.75">
      <c r="B4" s="1" t="s">
        <v>200</v>
      </c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/>
      <c r="E6"/>
    </row>
    <row r="7" spans="1:3" ht="13.5" thickBot="1">
      <c r="A7" s="10">
        <v>1</v>
      </c>
      <c r="B7" s="20" t="s">
        <v>76</v>
      </c>
      <c r="C7" s="33">
        <f>+'Sch 46 Revenue'!$B$10</f>
        <v>51109000</v>
      </c>
    </row>
    <row r="8" ht="13.5" thickTop="1">
      <c r="A8" s="10">
        <f aca="true" t="shared" si="0" ref="A8:A43">+A7+1</f>
        <v>2</v>
      </c>
    </row>
    <row r="9" spans="1:3" ht="13.5" thickBot="1">
      <c r="A9" s="10">
        <f t="shared" si="0"/>
        <v>3</v>
      </c>
      <c r="B9" s="20" t="s">
        <v>201</v>
      </c>
      <c r="C9" s="33">
        <f>+'Sch 46 Revenue'!$B$12</f>
        <v>168423</v>
      </c>
    </row>
    <row r="10" ht="13.5" thickTop="1">
      <c r="A10" s="10">
        <f t="shared" si="0"/>
        <v>4</v>
      </c>
    </row>
    <row r="11" spans="1:3" ht="12.75">
      <c r="A11" s="10">
        <f t="shared" si="0"/>
        <v>5</v>
      </c>
      <c r="B11" s="35" t="str">
        <f>+'Sch 7 Rate Design'!B16</f>
        <v>Current Base Rates Effective 10-1-03</v>
      </c>
      <c r="C11" s="37"/>
    </row>
    <row r="12" spans="1:3" ht="12.75">
      <c r="A12" s="10">
        <f t="shared" si="0"/>
        <v>6</v>
      </c>
      <c r="B12" s="129" t="s">
        <v>127</v>
      </c>
      <c r="C12" s="43"/>
    </row>
    <row r="13" spans="1:3" ht="12.75">
      <c r="A13" s="10">
        <f t="shared" si="0"/>
        <v>7</v>
      </c>
      <c r="B13" s="21" t="s">
        <v>170</v>
      </c>
      <c r="C13" s="39">
        <f>+'Sch 46 Revenue'!$C$10</f>
        <v>0.037259</v>
      </c>
    </row>
    <row r="14" spans="1:3" ht="12.75">
      <c r="A14" s="10"/>
      <c r="B14" s="21" t="s">
        <v>82</v>
      </c>
      <c r="C14" s="39">
        <f>+'Sch 46 Revenue'!$C$14</f>
        <v>0.001089</v>
      </c>
    </row>
    <row r="15" spans="1:3" ht="12.75">
      <c r="A15" s="10">
        <f>+A13+1</f>
        <v>8</v>
      </c>
      <c r="B15" s="17" t="s">
        <v>178</v>
      </c>
      <c r="C15" s="38">
        <f>+'Sch 46 Revenue'!$C$12</f>
        <v>1.58</v>
      </c>
    </row>
    <row r="16" spans="1:3" ht="12.75">
      <c r="A16" s="10">
        <f t="shared" si="0"/>
        <v>9</v>
      </c>
      <c r="B16" s="20"/>
      <c r="C16" s="38"/>
    </row>
    <row r="17" spans="1:2" ht="12.75">
      <c r="A17" s="10">
        <f t="shared" si="0"/>
        <v>10</v>
      </c>
      <c r="B17" t="s">
        <v>131</v>
      </c>
    </row>
    <row r="18" spans="1:3" ht="12.75">
      <c r="A18" s="10">
        <f t="shared" si="0"/>
        <v>11</v>
      </c>
      <c r="B18" s="21" t="s">
        <v>181</v>
      </c>
      <c r="C18" s="135">
        <f>+C7*C13</f>
        <v>1904270.231</v>
      </c>
    </row>
    <row r="19" spans="1:3" ht="12.75">
      <c r="A19" s="10"/>
      <c r="B19" s="21" t="s">
        <v>82</v>
      </c>
      <c r="C19" s="135">
        <f>+C7*C14</f>
        <v>55657.700999999994</v>
      </c>
    </row>
    <row r="20" spans="1:3" ht="12.75">
      <c r="A20" s="10">
        <f>+A18+1</f>
        <v>12</v>
      </c>
      <c r="B20" s="21" t="s">
        <v>171</v>
      </c>
      <c r="C20" s="135">
        <f>+C9*C15</f>
        <v>266108.34</v>
      </c>
    </row>
    <row r="21" spans="1:3" ht="13.5" thickBot="1">
      <c r="A21" s="10">
        <f t="shared" si="0"/>
        <v>13</v>
      </c>
      <c r="B21" s="21" t="s">
        <v>182</v>
      </c>
      <c r="C21" s="159">
        <f>SUM(C20,C18,C19)</f>
        <v>2226036.272</v>
      </c>
    </row>
    <row r="22" spans="1:3" ht="13.5" thickTop="1">
      <c r="A22" s="10">
        <f t="shared" si="0"/>
        <v>14</v>
      </c>
      <c r="C22" s="30"/>
    </row>
    <row r="23" spans="1:3" ht="12.75">
      <c r="A23" s="10">
        <f t="shared" si="0"/>
        <v>15</v>
      </c>
      <c r="B23" s="73" t="str">
        <f>+'Sch 7 Rate Design'!B35</f>
        <v>Proposed Rates Effective 2005</v>
      </c>
      <c r="C23" s="37"/>
    </row>
    <row r="24" spans="1:5" ht="12.75">
      <c r="A24" s="10">
        <f t="shared" si="0"/>
        <v>16</v>
      </c>
      <c r="B24" s="43"/>
      <c r="C24" s="43"/>
      <c r="D24" s="43"/>
      <c r="E24" s="43"/>
    </row>
    <row r="25" spans="1:5" ht="12.75">
      <c r="A25" s="10">
        <f>+A26+1</f>
        <v>18</v>
      </c>
      <c r="B25" s="20" t="s">
        <v>202</v>
      </c>
      <c r="C25" s="160">
        <v>1921254.8968977705</v>
      </c>
      <c r="D25" s="30"/>
      <c r="E25" s="50" t="s">
        <v>94</v>
      </c>
    </row>
    <row r="26" spans="1:3" ht="12.75">
      <c r="A26" s="10">
        <f>+A24+1</f>
        <v>17</v>
      </c>
      <c r="B26" s="20" t="s">
        <v>203</v>
      </c>
      <c r="C26" s="28">
        <f>+C21+C25+'Sch 49 Rate Design'!C21</f>
        <v>24129791.583743732</v>
      </c>
    </row>
    <row r="27" spans="1:4" ht="12.75">
      <c r="A27" s="10">
        <f>+A25+1</f>
        <v>19</v>
      </c>
      <c r="B27" s="20" t="s">
        <v>204</v>
      </c>
      <c r="C27" s="55">
        <f>C25/SUM(C21,'Sch 49 Rate Design'!C21)</f>
        <v>0.0865097473097236</v>
      </c>
      <c r="D27" s="27"/>
    </row>
    <row r="28" ht="12.75">
      <c r="A28" s="10">
        <f t="shared" si="0"/>
        <v>20</v>
      </c>
    </row>
    <row r="29" spans="1:5" ht="12.75">
      <c r="A29" s="10">
        <f t="shared" si="0"/>
        <v>21</v>
      </c>
      <c r="B29" s="110" t="s">
        <v>139</v>
      </c>
      <c r="C29" s="138">
        <f>+'Demand Charge Rate Spread 1'!$M$17</f>
        <v>248505.41448543654</v>
      </c>
      <c r="E29" s="50" t="s">
        <v>144</v>
      </c>
    </row>
    <row r="30" spans="1:3" ht="12.75">
      <c r="A30" s="10">
        <f t="shared" si="0"/>
        <v>22</v>
      </c>
      <c r="B30" s="56" t="s">
        <v>205</v>
      </c>
      <c r="C30" s="115">
        <f>ROUND(+C29/C9,2)</f>
        <v>1.48</v>
      </c>
    </row>
    <row r="31" spans="1:3" ht="12.75">
      <c r="A31" s="10">
        <f t="shared" si="0"/>
        <v>23</v>
      </c>
      <c r="B31" s="59"/>
      <c r="C31" s="52"/>
    </row>
    <row r="32" spans="1:3" ht="12.75">
      <c r="A32" s="10">
        <f t="shared" si="0"/>
        <v>24</v>
      </c>
      <c r="B32" s="17"/>
      <c r="C32" s="30"/>
    </row>
    <row r="33" spans="1:3" ht="12.75">
      <c r="A33" s="10">
        <f t="shared" si="0"/>
        <v>25</v>
      </c>
      <c r="B33" s="9" t="s">
        <v>142</v>
      </c>
      <c r="C33" s="30"/>
    </row>
    <row r="34" spans="1:3" ht="12.75">
      <c r="A34" s="10">
        <f t="shared" si="0"/>
        <v>26</v>
      </c>
      <c r="B34" s="139" t="s">
        <v>206</v>
      </c>
      <c r="C34" s="42">
        <f>+C30*C9</f>
        <v>249266.04</v>
      </c>
    </row>
    <row r="35" spans="1:3" ht="12.75">
      <c r="A35" s="10">
        <f t="shared" si="0"/>
        <v>27</v>
      </c>
      <c r="B35" s="17"/>
      <c r="C35" s="30"/>
    </row>
    <row r="36" spans="1:5" ht="12.75">
      <c r="A36" s="10">
        <f t="shared" si="0"/>
        <v>28</v>
      </c>
      <c r="B36" s="139"/>
      <c r="C36" s="140"/>
      <c r="E36" s="141"/>
    </row>
    <row r="37" spans="1:5" ht="12.75">
      <c r="A37" s="10">
        <f t="shared" si="0"/>
        <v>29</v>
      </c>
      <c r="B37" s="110" t="s">
        <v>207</v>
      </c>
      <c r="C37" s="45"/>
      <c r="D37" s="39"/>
      <c r="E37" s="141"/>
    </row>
    <row r="38" spans="1:5" ht="12.75">
      <c r="A38" s="10">
        <f t="shared" si="0"/>
        <v>30</v>
      </c>
      <c r="B38" s="51" t="s">
        <v>110</v>
      </c>
      <c r="C38" s="60">
        <f>+'Sch 49 Rate Design'!C41</f>
        <v>0.043329</v>
      </c>
      <c r="D38" s="30"/>
      <c r="E38" s="53" t="s">
        <v>208</v>
      </c>
    </row>
    <row r="39" ht="12.75">
      <c r="A39" s="10">
        <f t="shared" si="0"/>
        <v>31</v>
      </c>
    </row>
    <row r="40" spans="1:2" ht="12.75">
      <c r="A40" s="10">
        <f t="shared" si="0"/>
        <v>32</v>
      </c>
      <c r="B40" t="s">
        <v>86</v>
      </c>
    </row>
    <row r="41" spans="1:3" ht="12.75">
      <c r="A41" s="10">
        <f t="shared" si="0"/>
        <v>33</v>
      </c>
      <c r="B41" s="21" t="s">
        <v>110</v>
      </c>
      <c r="C41" s="11">
        <f>+C38*C7</f>
        <v>2214501.861</v>
      </c>
    </row>
    <row r="42" spans="1:2" ht="12.75">
      <c r="A42" s="10">
        <f t="shared" si="0"/>
        <v>34</v>
      </c>
      <c r="B42" s="17"/>
    </row>
    <row r="43" spans="1:3" ht="13.5" thickBot="1">
      <c r="A43" s="10">
        <f t="shared" si="0"/>
        <v>35</v>
      </c>
      <c r="B43" s="20" t="s">
        <v>209</v>
      </c>
      <c r="C43" s="136">
        <f>+C41+C34</f>
        <v>2463767.901</v>
      </c>
    </row>
    <row r="44" ht="13.5" thickTop="1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  <row r="109" ht="12.75">
      <c r="A109" s="10"/>
    </row>
    <row r="110" ht="12.75">
      <c r="A110" s="10"/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  <row r="120" ht="12.75">
      <c r="A120" s="10"/>
    </row>
    <row r="121" ht="12.75">
      <c r="A121" s="10"/>
    </row>
    <row r="122" ht="12.75">
      <c r="A122" s="10"/>
    </row>
  </sheetData>
  <printOptions horizontalCentered="1"/>
  <pageMargins left="0.5" right="0.5" top="1" bottom="1" header="1" footer="0.5"/>
  <pageSetup fitToHeight="1" fitToWidth="1" horizontalDpi="600" verticalDpi="600" orientation="portrait" scale="92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="85" zoomScaleNormal="85" workbookViewId="0" topLeftCell="A16">
      <selection activeCell="D7" sqref="D7"/>
    </sheetView>
  </sheetViews>
  <sheetFormatPr defaultColWidth="9.140625" defaultRowHeight="12.75"/>
  <cols>
    <col min="1" max="1" width="4.57421875" style="0" customWidth="1"/>
    <col min="2" max="2" width="39.00390625" style="0" bestFit="1" customWidth="1"/>
    <col min="3" max="3" width="15.8515625" style="0" bestFit="1" customWidth="1"/>
    <col min="4" max="4" width="10.28125" style="0" customWidth="1"/>
    <col min="5" max="5" width="41.00390625" style="0" bestFit="1" customWidth="1"/>
    <col min="6" max="6" width="10.00390625" style="0" bestFit="1" customWidth="1"/>
    <col min="7" max="7" width="10.28125" style="0" bestFit="1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68</v>
      </c>
      <c r="B2" s="1"/>
      <c r="C2" s="1"/>
      <c r="D2" s="1"/>
      <c r="E2" s="1"/>
    </row>
    <row r="3" spans="1:5" ht="12.75">
      <c r="A3" s="1" t="s">
        <v>199</v>
      </c>
      <c r="B3" s="1"/>
      <c r="C3" s="1"/>
      <c r="D3" s="1"/>
      <c r="E3" s="1"/>
    </row>
    <row r="4" spans="1:5" ht="12.75">
      <c r="A4" s="1" t="s">
        <v>210</v>
      </c>
      <c r="B4" s="1"/>
      <c r="C4" s="1"/>
      <c r="D4" s="1"/>
      <c r="E4" s="1"/>
    </row>
    <row r="6" spans="1:5" s="4" customFormat="1" ht="25.5">
      <c r="A6" s="2" t="s">
        <v>70</v>
      </c>
      <c r="B6" s="2"/>
      <c r="C6" s="2" t="s">
        <v>71</v>
      </c>
      <c r="D6"/>
      <c r="E6"/>
    </row>
    <row r="7" spans="1:3" ht="13.5" thickBot="1">
      <c r="A7" s="10">
        <v>1</v>
      </c>
      <c r="B7" s="20" t="s">
        <v>76</v>
      </c>
      <c r="C7" s="33">
        <f>+'Sch 49 Revenue'!$B$10</f>
        <v>424545212.4999</v>
      </c>
    </row>
    <row r="8" ht="13.5" thickTop="1">
      <c r="A8" s="10">
        <f aca="true" t="shared" si="0" ref="A8:A49">+A7+1</f>
        <v>2</v>
      </c>
    </row>
    <row r="9" spans="1:3" ht="13.5" thickBot="1">
      <c r="A9" s="10">
        <f t="shared" si="0"/>
        <v>3</v>
      </c>
      <c r="B9" s="20" t="s">
        <v>201</v>
      </c>
      <c r="C9" s="33">
        <f>+'Sch 49 Revenue'!$B$12</f>
        <v>1172294.8637992474</v>
      </c>
    </row>
    <row r="10" ht="13.5" thickTop="1">
      <c r="A10" s="10">
        <f t="shared" si="0"/>
        <v>4</v>
      </c>
    </row>
    <row r="11" spans="1:3" ht="12.75">
      <c r="A11" s="10">
        <f t="shared" si="0"/>
        <v>5</v>
      </c>
      <c r="B11" s="35" t="str">
        <f>+'Sch 7 Rate Design'!B16</f>
        <v>Current Base Rates Effective 10-1-03</v>
      </c>
      <c r="C11" s="37"/>
    </row>
    <row r="12" spans="1:4" ht="12.75">
      <c r="A12" s="10">
        <f t="shared" si="0"/>
        <v>6</v>
      </c>
      <c r="B12" s="129" t="s">
        <v>127</v>
      </c>
      <c r="C12" s="43"/>
      <c r="D12" s="43"/>
    </row>
    <row r="13" spans="1:3" ht="12.75">
      <c r="A13" s="10">
        <f t="shared" si="0"/>
        <v>7</v>
      </c>
      <c r="B13" s="21" t="s">
        <v>170</v>
      </c>
      <c r="C13" s="39">
        <f>+'Sch 49 Revenue'!$C$10</f>
        <v>0.037259</v>
      </c>
    </row>
    <row r="14" spans="1:3" ht="12.75">
      <c r="A14" s="10"/>
      <c r="B14" s="21" t="s">
        <v>82</v>
      </c>
      <c r="C14" s="39">
        <f>+'Sch 49 Revenue'!$C$14</f>
        <v>0.002105</v>
      </c>
    </row>
    <row r="15" spans="1:3" ht="12.75">
      <c r="A15" s="10">
        <f>+A13+1</f>
        <v>8</v>
      </c>
      <c r="B15" s="17" t="s">
        <v>178</v>
      </c>
      <c r="C15" s="38">
        <f>+'Sch 49 Revenue'!$C$12</f>
        <v>2.79</v>
      </c>
    </row>
    <row r="16" spans="1:3" ht="12.75">
      <c r="A16" s="10">
        <f t="shared" si="0"/>
        <v>9</v>
      </c>
      <c r="B16" s="20"/>
      <c r="C16" s="38"/>
    </row>
    <row r="17" spans="1:2" ht="12.75">
      <c r="A17" s="10">
        <f t="shared" si="0"/>
        <v>10</v>
      </c>
      <c r="B17" t="s">
        <v>131</v>
      </c>
    </row>
    <row r="18" spans="1:3" ht="12.75">
      <c r="A18" s="10">
        <f t="shared" si="0"/>
        <v>11</v>
      </c>
      <c r="B18" s="21" t="s">
        <v>181</v>
      </c>
      <c r="C18" s="135">
        <f>+C7*C13</f>
        <v>15818130.072533773</v>
      </c>
    </row>
    <row r="19" spans="1:3" ht="12.75">
      <c r="A19" s="10"/>
      <c r="B19" s="21" t="s">
        <v>82</v>
      </c>
      <c r="C19" s="135">
        <f>+C7*C14</f>
        <v>893667.6723122895</v>
      </c>
    </row>
    <row r="20" spans="1:3" ht="12.75">
      <c r="A20" s="10">
        <f>+A18+1</f>
        <v>12</v>
      </c>
      <c r="B20" s="21" t="s">
        <v>171</v>
      </c>
      <c r="C20" s="135">
        <f>+C9*C15</f>
        <v>3270702.6699999003</v>
      </c>
    </row>
    <row r="21" spans="1:3" ht="13.5" thickBot="1">
      <c r="A21" s="10">
        <f t="shared" si="0"/>
        <v>13</v>
      </c>
      <c r="B21" s="21" t="s">
        <v>182</v>
      </c>
      <c r="C21" s="159">
        <f>SUM(C20,C18,C19)</f>
        <v>19982500.414845962</v>
      </c>
    </row>
    <row r="22" spans="1:3" ht="13.5" thickTop="1">
      <c r="A22" s="10">
        <f t="shared" si="0"/>
        <v>14</v>
      </c>
      <c r="C22" s="30"/>
    </row>
    <row r="23" spans="1:3" ht="12.75">
      <c r="A23" s="10">
        <f t="shared" si="0"/>
        <v>15</v>
      </c>
      <c r="B23" s="73" t="str">
        <f>+'Sch 7 Rate Design'!B35</f>
        <v>Proposed Rates Effective 2005</v>
      </c>
      <c r="C23" s="37"/>
    </row>
    <row r="24" spans="1:3" ht="12.75">
      <c r="A24" s="10">
        <f t="shared" si="0"/>
        <v>16</v>
      </c>
      <c r="B24" s="43"/>
      <c r="C24" s="43"/>
    </row>
    <row r="25" spans="1:5" ht="12.75">
      <c r="A25" s="10">
        <f t="shared" si="0"/>
        <v>17</v>
      </c>
      <c r="B25" s="20" t="s">
        <v>203</v>
      </c>
      <c r="C25" s="28">
        <f>+'Sch 46 Rate Design'!C26</f>
        <v>24129791.583743732</v>
      </c>
      <c r="E25" s="50" t="s">
        <v>94</v>
      </c>
    </row>
    <row r="26" spans="1:4" ht="12.75">
      <c r="A26" s="10">
        <f t="shared" si="0"/>
        <v>18</v>
      </c>
      <c r="B26" s="20" t="s">
        <v>202</v>
      </c>
      <c r="C26" s="28">
        <f>+'Sch 46 Rate Design'!C25</f>
        <v>1921254.8968977705</v>
      </c>
      <c r="D26" s="30"/>
    </row>
    <row r="27" spans="1:4" ht="12.75">
      <c r="A27" s="10">
        <f t="shared" si="0"/>
        <v>19</v>
      </c>
      <c r="B27" s="20" t="s">
        <v>204</v>
      </c>
      <c r="C27" s="55">
        <f>+'Sch 46 Rate Design'!C27</f>
        <v>0.0865097473097236</v>
      </c>
      <c r="D27" s="55"/>
    </row>
    <row r="28" ht="12.75">
      <c r="A28" s="10">
        <f t="shared" si="0"/>
        <v>20</v>
      </c>
    </row>
    <row r="29" spans="1:5" ht="12.75">
      <c r="A29" s="10">
        <f t="shared" si="0"/>
        <v>21</v>
      </c>
      <c r="B29" s="110" t="s">
        <v>139</v>
      </c>
      <c r="C29" s="138">
        <f>+'Demand Charge Rate Spread 1'!$M$18</f>
        <v>3054347.423560453</v>
      </c>
      <c r="E29" s="50" t="s">
        <v>144</v>
      </c>
    </row>
    <row r="30" spans="1:3" ht="12.75">
      <c r="A30" s="10">
        <f t="shared" si="0"/>
        <v>22</v>
      </c>
      <c r="B30" s="59" t="s">
        <v>211</v>
      </c>
      <c r="C30" s="52">
        <f>MAX(ROUND(+C29/C9,2),C15)</f>
        <v>2.79</v>
      </c>
    </row>
    <row r="31" spans="1:3" ht="12.75">
      <c r="A31" s="10">
        <f t="shared" si="0"/>
        <v>23</v>
      </c>
      <c r="B31" s="17"/>
      <c r="C31" s="30"/>
    </row>
    <row r="32" spans="1:3" ht="12.75">
      <c r="A32" s="10">
        <f t="shared" si="0"/>
        <v>24</v>
      </c>
      <c r="B32" s="9" t="s">
        <v>142</v>
      </c>
      <c r="C32" s="30"/>
    </row>
    <row r="33" spans="1:3" ht="12.75">
      <c r="A33" s="10">
        <f t="shared" si="0"/>
        <v>25</v>
      </c>
      <c r="B33" s="139" t="s">
        <v>206</v>
      </c>
      <c r="C33" s="42">
        <f>+C30*C9</f>
        <v>3270702.6699999003</v>
      </c>
    </row>
    <row r="34" spans="1:3" ht="12.75">
      <c r="A34" s="10">
        <f t="shared" si="0"/>
        <v>26</v>
      </c>
      <c r="B34" s="17"/>
      <c r="C34" s="30"/>
    </row>
    <row r="35" spans="1:5" ht="12.75">
      <c r="A35" s="10">
        <f t="shared" si="0"/>
        <v>27</v>
      </c>
      <c r="B35" t="s">
        <v>212</v>
      </c>
      <c r="C35" s="28">
        <f>+'Sch 46 Rate Design'!C34</f>
        <v>249266.04</v>
      </c>
      <c r="E35" s="141"/>
    </row>
    <row r="36" spans="1:3" ht="12.75">
      <c r="A36" s="10">
        <f t="shared" si="0"/>
        <v>28</v>
      </c>
      <c r="B36" s="21" t="s">
        <v>97</v>
      </c>
      <c r="C36" s="30">
        <f>+C25-C33-C35</f>
        <v>20609822.873743832</v>
      </c>
    </row>
    <row r="37" spans="1:3" ht="12.75">
      <c r="A37" s="10">
        <f t="shared" si="0"/>
        <v>29</v>
      </c>
      <c r="B37" s="21" t="s">
        <v>213</v>
      </c>
      <c r="C37" s="32">
        <f>+C7+'Sch 46 Rate Design'!C7</f>
        <v>475654212.4999</v>
      </c>
    </row>
    <row r="38" spans="1:3" ht="12.75">
      <c r="A38" s="10">
        <f t="shared" si="0"/>
        <v>30</v>
      </c>
      <c r="B38" s="21"/>
      <c r="C38" s="30"/>
    </row>
    <row r="39" spans="1:3" ht="12.75">
      <c r="A39" s="10">
        <f t="shared" si="0"/>
        <v>31</v>
      </c>
      <c r="B39" s="21"/>
      <c r="C39" s="30"/>
    </row>
    <row r="40" spans="1:5" ht="12.75">
      <c r="A40" s="10">
        <f t="shared" si="0"/>
        <v>32</v>
      </c>
      <c r="B40" s="110" t="s">
        <v>207</v>
      </c>
      <c r="C40" s="45"/>
      <c r="D40" s="39"/>
      <c r="E40" s="141"/>
    </row>
    <row r="41" spans="1:5" ht="12.75">
      <c r="A41" s="10">
        <f t="shared" si="0"/>
        <v>33</v>
      </c>
      <c r="B41" s="51" t="s">
        <v>110</v>
      </c>
      <c r="C41" s="60">
        <f>ROUND(+C36/C37,6)</f>
        <v>0.043329</v>
      </c>
      <c r="D41" s="30"/>
      <c r="E41" s="53" t="s">
        <v>176</v>
      </c>
    </row>
    <row r="42" ht="12.75">
      <c r="A42" s="10">
        <f t="shared" si="0"/>
        <v>34</v>
      </c>
    </row>
    <row r="43" spans="1:2" ht="12.75">
      <c r="A43" s="10">
        <f t="shared" si="0"/>
        <v>35</v>
      </c>
      <c r="B43" t="s">
        <v>86</v>
      </c>
    </row>
    <row r="44" spans="1:3" ht="12.75">
      <c r="A44" s="10">
        <f t="shared" si="0"/>
        <v>36</v>
      </c>
      <c r="B44" s="21" t="s">
        <v>110</v>
      </c>
      <c r="C44" s="11">
        <f>+C41*C7</f>
        <v>18395119.512408167</v>
      </c>
    </row>
    <row r="45" spans="1:2" ht="12.75">
      <c r="A45" s="10">
        <f t="shared" si="0"/>
        <v>37</v>
      </c>
      <c r="B45" s="17"/>
    </row>
    <row r="46" spans="1:3" ht="12.75">
      <c r="A46" s="10">
        <f t="shared" si="0"/>
        <v>38</v>
      </c>
      <c r="B46" s="20" t="s">
        <v>214</v>
      </c>
      <c r="C46" s="30">
        <f>+C44+C33</f>
        <v>21665822.18240807</v>
      </c>
    </row>
    <row r="47" spans="1:3" ht="12.75">
      <c r="A47" s="10">
        <f t="shared" si="0"/>
        <v>39</v>
      </c>
      <c r="B47" s="20" t="s">
        <v>215</v>
      </c>
      <c r="C47" s="30">
        <f>+'Sch 46 Rate Design'!C43</f>
        <v>2463767.901</v>
      </c>
    </row>
    <row r="48" ht="12.75">
      <c r="A48" s="10">
        <f t="shared" si="0"/>
        <v>40</v>
      </c>
    </row>
    <row r="49" spans="1:3" ht="12.75">
      <c r="A49" s="10">
        <f t="shared" si="0"/>
        <v>41</v>
      </c>
      <c r="B49" t="s">
        <v>104</v>
      </c>
      <c r="C49" s="61">
        <f>+C46+C47-C25</f>
        <v>-201.50033566355705</v>
      </c>
    </row>
  </sheetData>
  <printOptions horizontalCentered="1"/>
  <pageMargins left="0.5" right="0.5" top="1" bottom="1" header="1" footer="0.5"/>
  <pageSetup fitToHeight="1" fitToWidth="1" horizontalDpi="600" verticalDpi="600" orientation="portrait" scale="88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8"/>
  <sheetViews>
    <sheetView tabSelected="1" zoomScale="75" zoomScaleNormal="75" workbookViewId="0" topLeftCell="A1">
      <selection activeCell="D7" sqref="D7"/>
    </sheetView>
  </sheetViews>
  <sheetFormatPr defaultColWidth="9.140625" defaultRowHeight="12.75"/>
  <cols>
    <col min="1" max="1" width="4.57421875" style="0" customWidth="1"/>
    <col min="2" max="2" width="40.7109375" style="0" bestFit="1" customWidth="1"/>
    <col min="3" max="3" width="13.140625" style="0" customWidth="1"/>
    <col min="4" max="4" width="15.8515625" style="0" bestFit="1" customWidth="1"/>
    <col min="5" max="5" width="15.8515625" style="0" customWidth="1"/>
    <col min="6" max="6" width="15.140625" style="0" bestFit="1" customWidth="1"/>
    <col min="7" max="7" width="30.421875" style="0" bestFit="1" customWidth="1"/>
  </cols>
  <sheetData>
    <row r="1" spans="2:6" ht="12.75">
      <c r="B1" s="1" t="s">
        <v>0</v>
      </c>
      <c r="C1" s="1"/>
      <c r="D1" s="1"/>
      <c r="E1" s="1"/>
      <c r="F1" s="1"/>
    </row>
    <row r="2" spans="2:6" ht="12.75">
      <c r="B2" s="1" t="s">
        <v>68</v>
      </c>
      <c r="C2" s="1"/>
      <c r="D2" s="1"/>
      <c r="E2" s="1"/>
      <c r="F2" s="1"/>
    </row>
    <row r="3" spans="2:6" ht="12.75">
      <c r="B3" s="1" t="s">
        <v>199</v>
      </c>
      <c r="C3" s="1"/>
      <c r="D3" s="1"/>
      <c r="E3" s="1"/>
      <c r="F3" s="1"/>
    </row>
    <row r="4" spans="2:6" ht="12.75">
      <c r="B4" s="1" t="s">
        <v>216</v>
      </c>
      <c r="C4" s="1"/>
      <c r="D4" s="1"/>
      <c r="E4" s="1"/>
      <c r="F4" s="1"/>
    </row>
    <row r="6" spans="1:6" s="4" customFormat="1" ht="25.5">
      <c r="A6" s="2" t="s">
        <v>70</v>
      </c>
      <c r="B6" s="2"/>
      <c r="C6" s="2" t="s">
        <v>217</v>
      </c>
      <c r="D6" s="3" t="s">
        <v>218</v>
      </c>
      <c r="E6" s="3" t="s">
        <v>219</v>
      </c>
      <c r="F6" s="3" t="s">
        <v>220</v>
      </c>
    </row>
    <row r="7" spans="1:6" ht="12.75">
      <c r="A7" s="10">
        <v>1</v>
      </c>
      <c r="B7" s="9" t="s">
        <v>165</v>
      </c>
      <c r="C7" s="9"/>
      <c r="D7" s="128">
        <f>+'Sch 449 Revenue'!B12</f>
        <v>24</v>
      </c>
      <c r="E7" s="128">
        <f>+'Sch 449 Revenue'!$B$18</f>
        <v>168</v>
      </c>
      <c r="F7" s="128">
        <f>+'Sch 459 Revenue'!$B$12</f>
        <v>60</v>
      </c>
    </row>
    <row r="8" spans="1:6" ht="12.75">
      <c r="A8" s="10">
        <f aca="true" t="shared" si="0" ref="A8:A41">+A7+1</f>
        <v>2</v>
      </c>
      <c r="B8" s="20" t="s">
        <v>221</v>
      </c>
      <c r="C8" s="20"/>
      <c r="D8" s="128">
        <f>+'Sch 449 Revenue'!$B$13</f>
        <v>216056</v>
      </c>
      <c r="E8" s="128">
        <f>+'Sch 449 Revenue'!$B$19</f>
        <v>2865370</v>
      </c>
      <c r="F8" s="128">
        <f>+'Sch 459 Revenue'!$B$13</f>
        <v>622292</v>
      </c>
    </row>
    <row r="9" ht="12.75">
      <c r="A9" s="10">
        <f t="shared" si="0"/>
        <v>3</v>
      </c>
    </row>
    <row r="10" spans="1:6" ht="12.75">
      <c r="A10" s="10">
        <f t="shared" si="0"/>
        <v>4</v>
      </c>
      <c r="B10" s="73" t="str">
        <f>+'Sch 7 Rate Design'!B16</f>
        <v>Current Base Rates Effective 10-1-03</v>
      </c>
      <c r="C10" s="36"/>
      <c r="D10" s="36"/>
      <c r="E10" s="36"/>
      <c r="F10" s="37"/>
    </row>
    <row r="11" spans="1:6" ht="12.75">
      <c r="A11" s="10">
        <f t="shared" si="0"/>
        <v>5</v>
      </c>
      <c r="B11" t="s">
        <v>222</v>
      </c>
      <c r="D11" s="48">
        <f>+'Sch 449 Revenue'!$C$12</f>
        <v>709</v>
      </c>
      <c r="E11" s="48">
        <f>+'Sch 449 Revenue'!$C$18</f>
        <v>709</v>
      </c>
      <c r="F11" s="48">
        <f>+E11</f>
        <v>709</v>
      </c>
    </row>
    <row r="12" spans="1:6" ht="12.75">
      <c r="A12" s="10">
        <f t="shared" si="0"/>
        <v>6</v>
      </c>
      <c r="B12" s="20" t="s">
        <v>129</v>
      </c>
      <c r="C12" s="20"/>
      <c r="D12" s="38">
        <f>+'Sch 449 Revenue'!$C$13</f>
        <v>4</v>
      </c>
      <c r="E12" s="38">
        <f>+'Sch 449 Revenue'!$C$19</f>
        <v>1.53</v>
      </c>
      <c r="F12" s="48">
        <f>+E12</f>
        <v>1.53</v>
      </c>
    </row>
    <row r="13" ht="12.75">
      <c r="A13" s="10">
        <f t="shared" si="0"/>
        <v>7</v>
      </c>
    </row>
    <row r="14" spans="1:6" ht="12.75">
      <c r="A14" s="10">
        <f t="shared" si="0"/>
        <v>8</v>
      </c>
      <c r="B14" s="20" t="s">
        <v>223</v>
      </c>
      <c r="C14" s="20"/>
      <c r="D14" s="28">
        <f aca="true" t="shared" si="1" ref="D14:F15">+D11*D7</f>
        <v>17016</v>
      </c>
      <c r="E14" s="28">
        <f t="shared" si="1"/>
        <v>119112</v>
      </c>
      <c r="F14" s="28">
        <f t="shared" si="1"/>
        <v>42540</v>
      </c>
    </row>
    <row r="15" spans="1:6" ht="12.75">
      <c r="A15" s="10">
        <f t="shared" si="0"/>
        <v>9</v>
      </c>
      <c r="B15" s="20" t="s">
        <v>224</v>
      </c>
      <c r="C15" s="20"/>
      <c r="D15" s="28">
        <f t="shared" si="1"/>
        <v>864224</v>
      </c>
      <c r="E15" s="28">
        <f t="shared" si="1"/>
        <v>4384016.1</v>
      </c>
      <c r="F15" s="28">
        <f t="shared" si="1"/>
        <v>952106.76</v>
      </c>
    </row>
    <row r="16" spans="1:6" ht="12.75">
      <c r="A16" s="10">
        <f t="shared" si="0"/>
        <v>10</v>
      </c>
      <c r="B16" s="21"/>
      <c r="C16" s="21"/>
      <c r="D16" s="30"/>
      <c r="E16" s="30"/>
      <c r="F16" s="30"/>
    </row>
    <row r="17" spans="1:7" ht="13.5" thickBot="1">
      <c r="A17" s="10">
        <f t="shared" si="0"/>
        <v>11</v>
      </c>
      <c r="B17" t="s">
        <v>87</v>
      </c>
      <c r="C17" s="136">
        <f>SUM(D17:F17)</f>
        <v>6379014.859999999</v>
      </c>
      <c r="D17" s="136">
        <f>SUM(D14:D16)</f>
        <v>881240</v>
      </c>
      <c r="E17" s="136">
        <f>SUM(E14:E16)</f>
        <v>4503128.1</v>
      </c>
      <c r="F17" s="136">
        <f>SUM(F14:F16)</f>
        <v>994646.76</v>
      </c>
      <c r="G17" s="30"/>
    </row>
    <row r="18" spans="1:5" ht="13.5" thickTop="1">
      <c r="A18" s="10">
        <f t="shared" si="0"/>
        <v>12</v>
      </c>
      <c r="D18" s="30"/>
      <c r="E18" s="30"/>
    </row>
    <row r="19" spans="1:6" ht="12.75">
      <c r="A19" s="10">
        <f t="shared" si="0"/>
        <v>13</v>
      </c>
      <c r="B19" s="73" t="str">
        <f>+'Sch 7 Rate Design'!B35</f>
        <v>Proposed Rates Effective 2005</v>
      </c>
      <c r="C19" s="36"/>
      <c r="D19" s="36"/>
      <c r="E19" s="36"/>
      <c r="F19" s="37"/>
    </row>
    <row r="20" spans="1:6" ht="12.75">
      <c r="A20" s="10">
        <f t="shared" si="0"/>
        <v>14</v>
      </c>
      <c r="B20" s="43"/>
      <c r="C20" s="43"/>
      <c r="D20" s="43"/>
      <c r="E20" s="43"/>
      <c r="F20" s="43"/>
    </row>
    <row r="21" spans="1:7" ht="12.75">
      <c r="A21" s="10">
        <f>+A22+1</f>
        <v>16</v>
      </c>
      <c r="B21" s="20" t="s">
        <v>93</v>
      </c>
      <c r="C21" s="160">
        <v>183948.98787452374</v>
      </c>
      <c r="D21" s="28"/>
      <c r="E21" s="28"/>
      <c r="F21" s="28"/>
      <c r="G21" s="50" t="s">
        <v>94</v>
      </c>
    </row>
    <row r="22" spans="1:6" ht="12.75">
      <c r="A22" s="10">
        <f>+A20+1</f>
        <v>15</v>
      </c>
      <c r="B22" s="20" t="s">
        <v>225</v>
      </c>
      <c r="C22" s="28">
        <f>+C17+C21</f>
        <v>6562963.847874523</v>
      </c>
      <c r="D22" s="28"/>
      <c r="E22" s="28"/>
      <c r="F22" s="28"/>
    </row>
    <row r="23" spans="1:6" ht="12.75">
      <c r="A23" s="10">
        <f>+A21+1</f>
        <v>17</v>
      </c>
      <c r="B23" s="20" t="s">
        <v>112</v>
      </c>
      <c r="C23" s="55">
        <f>+C21/C17</f>
        <v>0.028836582436574502</v>
      </c>
      <c r="D23" s="55"/>
      <c r="E23" s="55"/>
      <c r="F23" s="55"/>
    </row>
    <row r="24" ht="12.75">
      <c r="A24" s="10">
        <f t="shared" si="0"/>
        <v>18</v>
      </c>
    </row>
    <row r="25" spans="1:7" ht="12.75">
      <c r="A25" s="10">
        <f t="shared" si="0"/>
        <v>19</v>
      </c>
      <c r="B25" s="161" t="s">
        <v>222</v>
      </c>
      <c r="C25" s="162"/>
      <c r="D25" s="163">
        <v>709</v>
      </c>
      <c r="E25" s="163">
        <f>+D25</f>
        <v>709</v>
      </c>
      <c r="F25" s="164">
        <f>+E25</f>
        <v>709</v>
      </c>
      <c r="G25" s="49" t="s">
        <v>226</v>
      </c>
    </row>
    <row r="26" spans="1:6" ht="12.75">
      <c r="A26" s="10">
        <f t="shared" si="0"/>
        <v>20</v>
      </c>
      <c r="B26" s="9"/>
      <c r="C26" s="9"/>
      <c r="D26" s="30"/>
      <c r="E26" s="30"/>
      <c r="F26" s="30"/>
    </row>
    <row r="27" spans="1:6" ht="12.75">
      <c r="A27" s="10">
        <f t="shared" si="0"/>
        <v>21</v>
      </c>
      <c r="B27" s="139" t="s">
        <v>222</v>
      </c>
      <c r="C27" s="42">
        <f>SUM(D27:F27)</f>
        <v>178668</v>
      </c>
      <c r="D27" s="42">
        <f>+D25*D7</f>
        <v>17016</v>
      </c>
      <c r="E27" s="42">
        <f>+E25*E7</f>
        <v>119112</v>
      </c>
      <c r="F27" s="42">
        <f>+F25*F7</f>
        <v>42540</v>
      </c>
    </row>
    <row r="28" spans="1:5" ht="12.75">
      <c r="A28" s="10">
        <f t="shared" si="0"/>
        <v>22</v>
      </c>
      <c r="B28" s="139"/>
      <c r="C28" s="139"/>
      <c r="D28" s="165"/>
      <c r="E28" s="165"/>
    </row>
    <row r="29" spans="1:5" ht="12.75">
      <c r="A29" s="10">
        <f t="shared" si="0"/>
        <v>23</v>
      </c>
      <c r="B29" s="139" t="s">
        <v>227</v>
      </c>
      <c r="C29" s="135">
        <f>+C27</f>
        <v>178668</v>
      </c>
      <c r="D29" s="135"/>
      <c r="E29" s="135"/>
    </row>
    <row r="30" spans="1:5" ht="12.75">
      <c r="A30" s="10">
        <f t="shared" si="0"/>
        <v>24</v>
      </c>
      <c r="B30" s="139"/>
      <c r="C30" s="139"/>
      <c r="D30" s="135"/>
      <c r="E30" s="135"/>
    </row>
    <row r="31" spans="1:5" ht="12.75">
      <c r="A31" s="10">
        <f t="shared" si="0"/>
        <v>25</v>
      </c>
      <c r="B31" s="139" t="s">
        <v>228</v>
      </c>
      <c r="C31" s="166">
        <f>+C22-C29</f>
        <v>6384295.847874523</v>
      </c>
      <c r="D31" s="135"/>
      <c r="E31" s="135"/>
    </row>
    <row r="32" spans="1:5" ht="12.75">
      <c r="A32" s="10">
        <f t="shared" si="0"/>
        <v>26</v>
      </c>
      <c r="C32" s="139"/>
      <c r="D32" s="135"/>
      <c r="E32" s="135"/>
    </row>
    <row r="33" spans="1:7" ht="13.5" customHeight="1">
      <c r="A33" s="10">
        <f t="shared" si="0"/>
        <v>27</v>
      </c>
      <c r="B33" s="110" t="s">
        <v>139</v>
      </c>
      <c r="C33" s="167"/>
      <c r="D33" s="168"/>
      <c r="E33" s="168"/>
      <c r="F33" s="169"/>
      <c r="G33" s="156" t="s">
        <v>229</v>
      </c>
    </row>
    <row r="34" spans="1:7" ht="12.75">
      <c r="A34" s="10">
        <f t="shared" si="0"/>
        <v>28</v>
      </c>
      <c r="B34" s="59" t="s">
        <v>206</v>
      </c>
      <c r="C34" s="170"/>
      <c r="D34" s="117">
        <f>ROUND($E$34*($D$12/$E$12),2)-0.09</f>
        <v>4.04</v>
      </c>
      <c r="E34" s="117">
        <f>ROUND(C31/(E8+F8+D8*(D12/E12)),2)</f>
        <v>1.58</v>
      </c>
      <c r="F34" s="52">
        <f>+E34</f>
        <v>1.58</v>
      </c>
      <c r="G34" s="49" t="s">
        <v>230</v>
      </c>
    </row>
    <row r="35" spans="1:5" ht="12.75">
      <c r="A35" s="10">
        <f t="shared" si="0"/>
        <v>29</v>
      </c>
      <c r="B35" s="17"/>
      <c r="C35" s="17"/>
      <c r="D35" s="30"/>
      <c r="E35" s="30"/>
    </row>
    <row r="36" spans="1:5" ht="12.75">
      <c r="A36" s="10">
        <f t="shared" si="0"/>
        <v>30</v>
      </c>
      <c r="B36" s="9" t="s">
        <v>142</v>
      </c>
      <c r="C36" s="9"/>
      <c r="D36" s="30"/>
      <c r="E36" s="30"/>
    </row>
    <row r="37" spans="1:6" ht="12.75">
      <c r="A37" s="10">
        <f t="shared" si="0"/>
        <v>31</v>
      </c>
      <c r="B37" s="139" t="s">
        <v>206</v>
      </c>
      <c r="C37" s="42">
        <f>SUM(D37:F37)</f>
        <v>6383372.200000001</v>
      </c>
      <c r="D37" s="42">
        <f>+D34*D8</f>
        <v>872866.24</v>
      </c>
      <c r="E37" s="42">
        <f>+E34*E8</f>
        <v>4527284.600000001</v>
      </c>
      <c r="F37" s="42">
        <f>+F34*F8</f>
        <v>983221.3600000001</v>
      </c>
    </row>
    <row r="38" spans="1:6" ht="12.75">
      <c r="A38" s="10">
        <f t="shared" si="0"/>
        <v>32</v>
      </c>
      <c r="B38" s="17"/>
      <c r="C38" s="17"/>
      <c r="D38" s="30"/>
      <c r="E38" s="30"/>
      <c r="F38" s="30"/>
    </row>
    <row r="39" spans="1:6" ht="13.5" thickBot="1">
      <c r="A39" s="10">
        <f t="shared" si="0"/>
        <v>33</v>
      </c>
      <c r="B39" s="20" t="s">
        <v>231</v>
      </c>
      <c r="C39" s="136">
        <f>SUM(D39:F39)</f>
        <v>6562040.200000001</v>
      </c>
      <c r="D39" s="136">
        <f>+D37+D27</f>
        <v>889882.24</v>
      </c>
      <c r="E39" s="136">
        <f>+E37+E27</f>
        <v>4646396.600000001</v>
      </c>
      <c r="F39" s="136">
        <f>+F37+F27</f>
        <v>1025761.3600000001</v>
      </c>
    </row>
    <row r="40" ht="13.5" thickTop="1">
      <c r="A40" s="10">
        <f t="shared" si="0"/>
        <v>34</v>
      </c>
    </row>
    <row r="41" spans="1:3" ht="12.75">
      <c r="A41" s="10">
        <f t="shared" si="0"/>
        <v>35</v>
      </c>
      <c r="B41" t="s">
        <v>104</v>
      </c>
      <c r="C41" s="61">
        <f>+C39-C22</f>
        <v>-923.6478745220229</v>
      </c>
    </row>
    <row r="42" ht="12.75">
      <c r="A42" s="10"/>
    </row>
    <row r="43" ht="12.75">
      <c r="A43" s="10"/>
    </row>
    <row r="44" ht="12.75">
      <c r="A44" s="10"/>
    </row>
    <row r="45" ht="12.75">
      <c r="A45" s="10"/>
    </row>
    <row r="46" ht="12.75">
      <c r="A46" s="10"/>
    </row>
    <row r="47" ht="12.75">
      <c r="A47" s="10"/>
    </row>
    <row r="48" ht="12.75">
      <c r="A48" s="10"/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10"/>
    </row>
    <row r="55" ht="12.75">
      <c r="A55" s="10"/>
    </row>
    <row r="56" ht="12.75">
      <c r="A56" s="10"/>
    </row>
    <row r="57" ht="12.75">
      <c r="A57" s="10"/>
    </row>
    <row r="58" ht="12.75">
      <c r="A58" s="10"/>
    </row>
    <row r="59" ht="12.75">
      <c r="A59" s="10"/>
    </row>
    <row r="60" ht="12.75">
      <c r="A60" s="10"/>
    </row>
    <row r="61" ht="12.75">
      <c r="A61" s="10"/>
    </row>
    <row r="62" ht="12.75">
      <c r="A62" s="10"/>
    </row>
    <row r="63" ht="12.75">
      <c r="A63" s="10"/>
    </row>
    <row r="64" ht="12.75">
      <c r="A64" s="10"/>
    </row>
    <row r="65" ht="12.75">
      <c r="A65" s="10"/>
    </row>
    <row r="66" ht="12.75">
      <c r="A66" s="10"/>
    </row>
    <row r="67" ht="12.75">
      <c r="A67" s="10"/>
    </row>
    <row r="68" ht="12.75">
      <c r="A68" s="10"/>
    </row>
    <row r="69" ht="12.75">
      <c r="A69" s="10"/>
    </row>
    <row r="70" ht="12.75">
      <c r="A70" s="10"/>
    </row>
    <row r="71" ht="12.75">
      <c r="A71" s="10"/>
    </row>
    <row r="72" ht="12.75">
      <c r="A72" s="10"/>
    </row>
    <row r="73" ht="12.75">
      <c r="A73" s="10"/>
    </row>
    <row r="74" ht="12.75">
      <c r="A74" s="10"/>
    </row>
    <row r="75" ht="12.75">
      <c r="A75" s="10"/>
    </row>
    <row r="76" ht="12.75">
      <c r="A76" s="10"/>
    </row>
    <row r="77" ht="12.75">
      <c r="A77" s="10"/>
    </row>
    <row r="78" ht="12.75">
      <c r="A78" s="10"/>
    </row>
    <row r="79" ht="12.75">
      <c r="A79" s="10"/>
    </row>
    <row r="80" ht="12.75">
      <c r="A80" s="10"/>
    </row>
    <row r="81" ht="12.75">
      <c r="A81" s="10"/>
    </row>
    <row r="82" ht="12.75">
      <c r="A82" s="10"/>
    </row>
    <row r="83" ht="12.75">
      <c r="A83" s="10"/>
    </row>
    <row r="84" ht="12.75">
      <c r="A84" s="10"/>
    </row>
    <row r="85" ht="12.75">
      <c r="A85" s="10"/>
    </row>
    <row r="86" ht="12.75">
      <c r="A86" s="10"/>
    </row>
    <row r="87" ht="12.75">
      <c r="A87" s="10"/>
    </row>
    <row r="88" ht="12.75">
      <c r="A88" s="10"/>
    </row>
    <row r="89" ht="12.75">
      <c r="A89" s="10"/>
    </row>
    <row r="90" ht="12.75">
      <c r="A90" s="10"/>
    </row>
    <row r="91" ht="12.75">
      <c r="A91" s="10"/>
    </row>
    <row r="92" ht="12.75">
      <c r="A92" s="10"/>
    </row>
    <row r="93" ht="12.75">
      <c r="A93" s="10"/>
    </row>
    <row r="94" ht="12.75">
      <c r="A94" s="10"/>
    </row>
    <row r="95" ht="12.75">
      <c r="A95" s="10"/>
    </row>
    <row r="96" ht="12.75">
      <c r="A96" s="10"/>
    </row>
    <row r="97" ht="12.75">
      <c r="A97" s="10"/>
    </row>
    <row r="98" ht="12.75">
      <c r="A98" s="10"/>
    </row>
    <row r="99" ht="12.75">
      <c r="A99" s="10"/>
    </row>
    <row r="100" ht="12.75">
      <c r="A100" s="10"/>
    </row>
    <row r="101" ht="12.75">
      <c r="A101" s="10"/>
    </row>
    <row r="102" ht="12.75">
      <c r="A102" s="10"/>
    </row>
    <row r="103" ht="12.75">
      <c r="A103" s="10"/>
    </row>
    <row r="104" ht="12.75">
      <c r="A104" s="10"/>
    </row>
    <row r="105" ht="12.75">
      <c r="A105" s="10"/>
    </row>
    <row r="106" ht="12.75">
      <c r="A106" s="10"/>
    </row>
    <row r="107" ht="12.75">
      <c r="A107" s="10"/>
    </row>
    <row r="108" ht="12.75">
      <c r="A108" s="10"/>
    </row>
  </sheetData>
  <printOptions horizontalCentered="1"/>
  <pageMargins left="0.25" right="0.25" top="1.25" bottom="1" header="1.25" footer="0.5"/>
  <pageSetup fitToHeight="1" fitToWidth="1" horizontalDpi="600" verticalDpi="600" orientation="landscape" scale="85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36.7109375" style="0" customWidth="1"/>
    <col min="2" max="5" width="0" style="0" hidden="1" customWidth="1"/>
    <col min="6" max="6" width="0" style="171" hidden="1" customWidth="1"/>
    <col min="7" max="7" width="10.8515625" style="171" hidden="1" customWidth="1"/>
    <col min="8" max="8" width="10.57421875" style="171" hidden="1" customWidth="1"/>
    <col min="9" max="10" width="0" style="0" hidden="1" customWidth="1"/>
    <col min="18" max="18" width="11.421875" style="0" customWidth="1"/>
    <col min="19" max="19" width="12.140625" style="0" customWidth="1"/>
    <col min="20" max="20" width="12.28125" style="0" customWidth="1"/>
  </cols>
  <sheetData>
    <row r="1" ht="13.5" thickBot="1"/>
    <row r="2" spans="1:23" s="174" customFormat="1" ht="21.75">
      <c r="A2" s="172"/>
      <c r="B2" s="252" t="s">
        <v>232</v>
      </c>
      <c r="C2" s="252" t="s">
        <v>232</v>
      </c>
      <c r="D2" s="252" t="s">
        <v>232</v>
      </c>
      <c r="E2" s="252" t="s">
        <v>232</v>
      </c>
      <c r="F2" s="253" t="s">
        <v>232</v>
      </c>
      <c r="G2" s="253" t="s">
        <v>232</v>
      </c>
      <c r="H2" s="253" t="s">
        <v>232</v>
      </c>
      <c r="I2" s="252" t="s">
        <v>232</v>
      </c>
      <c r="J2" s="252" t="s">
        <v>232</v>
      </c>
      <c r="K2" s="252" t="s">
        <v>233</v>
      </c>
      <c r="L2" s="252" t="s">
        <v>234</v>
      </c>
      <c r="M2" s="252" t="s">
        <v>234</v>
      </c>
      <c r="N2" s="252" t="s">
        <v>234</v>
      </c>
      <c r="O2" s="252" t="s">
        <v>235</v>
      </c>
      <c r="P2" s="252" t="s">
        <v>235</v>
      </c>
      <c r="Q2" s="252" t="s">
        <v>235</v>
      </c>
      <c r="R2" s="252" t="s">
        <v>236</v>
      </c>
      <c r="S2" s="252" t="s">
        <v>237</v>
      </c>
      <c r="T2" s="252" t="s">
        <v>236</v>
      </c>
      <c r="U2" s="252" t="s">
        <v>58</v>
      </c>
      <c r="V2" s="252" t="s">
        <v>60</v>
      </c>
      <c r="W2" s="254" t="s">
        <v>60</v>
      </c>
    </row>
    <row r="3" spans="1:23" s="174" customFormat="1" ht="21.75">
      <c r="A3" s="173"/>
      <c r="B3" s="250" t="s">
        <v>238</v>
      </c>
      <c r="C3" s="250" t="s">
        <v>239</v>
      </c>
      <c r="D3" s="250" t="s">
        <v>240</v>
      </c>
      <c r="E3" s="250" t="s">
        <v>241</v>
      </c>
      <c r="F3" s="251" t="s">
        <v>242</v>
      </c>
      <c r="G3" s="251" t="s">
        <v>236</v>
      </c>
      <c r="H3" s="251" t="s">
        <v>199</v>
      </c>
      <c r="I3" s="250" t="s">
        <v>243</v>
      </c>
      <c r="J3" s="250" t="s">
        <v>60</v>
      </c>
      <c r="K3" s="250" t="s">
        <v>244</v>
      </c>
      <c r="L3" s="250" t="s">
        <v>245</v>
      </c>
      <c r="M3" s="250" t="s">
        <v>246</v>
      </c>
      <c r="N3" s="250" t="s">
        <v>247</v>
      </c>
      <c r="O3" s="250" t="s">
        <v>51</v>
      </c>
      <c r="P3" s="250" t="s">
        <v>248</v>
      </c>
      <c r="Q3" s="250" t="s">
        <v>249</v>
      </c>
      <c r="R3" s="250" t="s">
        <v>50</v>
      </c>
      <c r="S3" s="250" t="s">
        <v>250</v>
      </c>
      <c r="T3" s="250" t="s">
        <v>199</v>
      </c>
      <c r="U3" s="250" t="s">
        <v>251</v>
      </c>
      <c r="V3" s="250" t="s">
        <v>252</v>
      </c>
      <c r="W3" s="255" t="s">
        <v>253</v>
      </c>
    </row>
    <row r="4" spans="1:23" s="174" customFormat="1" ht="22.5" thickBot="1">
      <c r="A4" s="175" t="s">
        <v>254</v>
      </c>
      <c r="B4" s="256"/>
      <c r="C4" s="256"/>
      <c r="D4" s="256"/>
      <c r="E4" s="256"/>
      <c r="F4" s="257"/>
      <c r="G4" s="257"/>
      <c r="H4" s="257"/>
      <c r="I4" s="256"/>
      <c r="J4" s="256"/>
      <c r="K4" s="256">
        <v>7</v>
      </c>
      <c r="L4" s="256">
        <v>24</v>
      </c>
      <c r="M4" s="256" t="s">
        <v>47</v>
      </c>
      <c r="N4" s="256">
        <v>26</v>
      </c>
      <c r="O4" s="256">
        <v>31</v>
      </c>
      <c r="P4" s="256">
        <v>35</v>
      </c>
      <c r="Q4" s="256">
        <v>43</v>
      </c>
      <c r="R4" s="256">
        <v>449</v>
      </c>
      <c r="S4" s="256">
        <v>49</v>
      </c>
      <c r="T4" s="256">
        <v>449</v>
      </c>
      <c r="U4" s="256" t="s">
        <v>255</v>
      </c>
      <c r="V4" s="256" t="s">
        <v>61</v>
      </c>
      <c r="W4" s="258" t="s">
        <v>61</v>
      </c>
    </row>
    <row r="6" spans="1:23" ht="12.75">
      <c r="A6" t="s">
        <v>256</v>
      </c>
      <c r="B6" s="38">
        <v>8.295586671564969</v>
      </c>
      <c r="C6" s="38">
        <v>11.451829238238144</v>
      </c>
      <c r="D6" s="38">
        <v>56.5266044106104</v>
      </c>
      <c r="E6" s="38">
        <v>139.28409967147368</v>
      </c>
      <c r="F6" s="171">
        <v>314.14909189798925</v>
      </c>
      <c r="G6" s="171">
        <v>1719.105591171271</v>
      </c>
      <c r="H6" s="171">
        <v>1968.1500513934504</v>
      </c>
      <c r="I6" s="38">
        <v>1.860381053015473</v>
      </c>
      <c r="J6" s="38">
        <v>564.4818952567418</v>
      </c>
      <c r="K6" s="38">
        <v>8.295586671564969</v>
      </c>
      <c r="L6" s="38">
        <v>11.451829238238144</v>
      </c>
      <c r="M6" s="38">
        <v>56.5266044106104</v>
      </c>
      <c r="N6" s="38">
        <v>139.28409967147368</v>
      </c>
      <c r="O6" s="38">
        <v>313.23131532365437</v>
      </c>
      <c r="P6" s="38">
        <v>247.64065852298495</v>
      </c>
      <c r="Q6" s="38">
        <v>320.5918564166076</v>
      </c>
      <c r="R6" s="38">
        <v>2075.6219819792227</v>
      </c>
      <c r="S6" s="38">
        <v>1968.1500513934504</v>
      </c>
      <c r="T6" s="38">
        <v>1675.9734943671667</v>
      </c>
      <c r="U6" s="38">
        <v>1.860381053015473</v>
      </c>
      <c r="V6" s="38">
        <v>496.9888511490721</v>
      </c>
      <c r="W6" s="38">
        <v>531.311114061413</v>
      </c>
    </row>
    <row r="7" spans="1:23" ht="12.75">
      <c r="A7" t="s">
        <v>257</v>
      </c>
      <c r="B7" s="38">
        <v>5.538761449556485</v>
      </c>
      <c r="C7" s="38">
        <v>6.9065941732697835</v>
      </c>
      <c r="D7" s="38">
        <v>21.16415795050208</v>
      </c>
      <c r="E7" s="38">
        <v>46.61136669268481</v>
      </c>
      <c r="F7" s="171">
        <v>301.97427026724927</v>
      </c>
      <c r="G7" s="171">
        <v>1723.4228387800233</v>
      </c>
      <c r="H7" s="171">
        <v>1972.927030391939</v>
      </c>
      <c r="I7" s="38">
        <v>1.860381053015473</v>
      </c>
      <c r="J7" s="38">
        <v>529.7718379889955</v>
      </c>
      <c r="K7" s="38">
        <v>5.538761449556485</v>
      </c>
      <c r="L7" s="38">
        <v>6.9065941732697835</v>
      </c>
      <c r="M7" s="38">
        <v>21.16415795050208</v>
      </c>
      <c r="N7" s="38">
        <v>46.61136669268481</v>
      </c>
      <c r="O7" s="38">
        <v>295.87683573129914</v>
      </c>
      <c r="P7" s="38">
        <v>253.39150585680102</v>
      </c>
      <c r="Q7" s="38">
        <v>323.0105743069067</v>
      </c>
      <c r="R7" s="38">
        <v>2082.1013681084323</v>
      </c>
      <c r="S7" s="38">
        <v>1972.927030391939</v>
      </c>
      <c r="T7" s="38">
        <v>1680.0823825199705</v>
      </c>
      <c r="U7" s="38">
        <v>1.860381053015473</v>
      </c>
      <c r="V7" s="38">
        <v>482.39086152044916</v>
      </c>
      <c r="W7" s="38">
        <v>491.52132445807996</v>
      </c>
    </row>
    <row r="8" spans="11:23" ht="12.75"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2.75">
      <c r="A9" t="s">
        <v>258</v>
      </c>
      <c r="B9" s="38">
        <f>0.35*(B6-B7)+B7</f>
        <v>6.503650277259455</v>
      </c>
      <c r="C9" s="38">
        <f aca="true" t="shared" si="0" ref="C9:W9">0.35*(C6-C7)+C7</f>
        <v>8.49742644600871</v>
      </c>
      <c r="D9" s="38">
        <f t="shared" si="0"/>
        <v>33.541014211539995</v>
      </c>
      <c r="E9" s="38">
        <f t="shared" si="0"/>
        <v>79.04682323526092</v>
      </c>
      <c r="F9" s="32">
        <f t="shared" si="0"/>
        <v>306.23545783800824</v>
      </c>
      <c r="G9" s="32">
        <f t="shared" si="0"/>
        <v>1721.91180211696</v>
      </c>
      <c r="H9" s="32">
        <f t="shared" si="0"/>
        <v>1971.255087742468</v>
      </c>
      <c r="I9" s="38">
        <f t="shared" si="0"/>
        <v>1.860381053015473</v>
      </c>
      <c r="J9" s="38">
        <f t="shared" si="0"/>
        <v>541.9203580327066</v>
      </c>
      <c r="K9" s="38">
        <f t="shared" si="0"/>
        <v>6.503650277259455</v>
      </c>
      <c r="L9" s="38">
        <f t="shared" si="0"/>
        <v>8.49742644600871</v>
      </c>
      <c r="M9" s="38">
        <f t="shared" si="0"/>
        <v>33.541014211539995</v>
      </c>
      <c r="N9" s="38">
        <f t="shared" si="0"/>
        <v>79.04682323526092</v>
      </c>
      <c r="O9" s="38">
        <f t="shared" si="0"/>
        <v>301.9509035886235</v>
      </c>
      <c r="P9" s="38">
        <f t="shared" si="0"/>
        <v>251.3787092899654</v>
      </c>
      <c r="Q9" s="38">
        <f t="shared" si="0"/>
        <v>322.164023045302</v>
      </c>
      <c r="R9" s="38">
        <f t="shared" si="0"/>
        <v>2079.8335829632088</v>
      </c>
      <c r="S9" s="38">
        <f t="shared" si="0"/>
        <v>1971.255087742468</v>
      </c>
      <c r="T9" s="38">
        <f t="shared" si="0"/>
        <v>1678.6442716664892</v>
      </c>
      <c r="U9" s="38">
        <f t="shared" si="0"/>
        <v>1.860381053015473</v>
      </c>
      <c r="V9" s="38">
        <f t="shared" si="0"/>
        <v>487.5001578904672</v>
      </c>
      <c r="W9" s="38">
        <f t="shared" si="0"/>
        <v>505.44775081924655</v>
      </c>
    </row>
    <row r="10" spans="1:23" ht="12.75">
      <c r="A10" t="s">
        <v>259</v>
      </c>
      <c r="B10" s="176">
        <v>5.5</v>
      </c>
      <c r="C10" s="176">
        <v>5.5</v>
      </c>
      <c r="D10" s="176">
        <v>24.9</v>
      </c>
      <c r="E10" s="176">
        <v>29.1</v>
      </c>
      <c r="F10" s="177">
        <v>200</v>
      </c>
      <c r="G10" s="177">
        <v>709</v>
      </c>
      <c r="H10" s="177">
        <v>0</v>
      </c>
      <c r="I10" s="176">
        <v>0</v>
      </c>
      <c r="J10" s="176">
        <v>0</v>
      </c>
      <c r="K10" s="38">
        <v>5.5</v>
      </c>
      <c r="L10" s="38">
        <v>5.5</v>
      </c>
      <c r="M10" s="38">
        <v>24.9</v>
      </c>
      <c r="N10" s="38">
        <v>29.1</v>
      </c>
      <c r="O10" s="38">
        <v>200</v>
      </c>
      <c r="P10" s="38">
        <v>200</v>
      </c>
      <c r="Q10" s="38">
        <v>200</v>
      </c>
      <c r="R10" s="38">
        <v>709</v>
      </c>
      <c r="S10" s="38">
        <v>0</v>
      </c>
      <c r="T10" s="38">
        <v>709</v>
      </c>
      <c r="U10" s="38">
        <v>0</v>
      </c>
      <c r="V10" s="38">
        <v>0</v>
      </c>
      <c r="W10" s="38">
        <v>0</v>
      </c>
    </row>
    <row r="11" spans="1:23" ht="12.75">
      <c r="A11" t="s">
        <v>260</v>
      </c>
      <c r="B11" s="48">
        <v>13.6</v>
      </c>
      <c r="C11" s="48">
        <v>13.6</v>
      </c>
      <c r="K11" s="178">
        <v>13.6</v>
      </c>
      <c r="L11" s="178">
        <v>13.6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</row>
    <row r="12" spans="11:23" ht="12.75"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43" ht="12.75">
      <c r="D43" t="s">
        <v>405</v>
      </c>
    </row>
  </sheetData>
  <printOptions horizontalCentered="1"/>
  <pageMargins left="0.25" right="0.25" top="1.25" bottom="1" header="0.75" footer="0.5"/>
  <pageSetup fitToHeight="1" fitToWidth="1" horizontalDpi="600" verticalDpi="600" orientation="landscape" scale="83" r:id="rId1"/>
  <headerFooter alignWithMargins="0">
    <oddHeader>&amp;C&amp;12Puget Sound Energy
Derivation of Basic Charge</oddHeader>
    <oddFooter>&amp;L&amp;12Tenth Exhibit to Prefiled
Direct Testimony of James A. Heidell&amp;R&amp;12Exhibit No.___ (JAH-12)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D7" sqref="D7"/>
    </sheetView>
  </sheetViews>
  <sheetFormatPr defaultColWidth="9.140625" defaultRowHeight="12.75"/>
  <cols>
    <col min="1" max="1" width="23.8515625" style="0" bestFit="1" customWidth="1"/>
    <col min="2" max="2" width="14.00390625" style="0" bestFit="1" customWidth="1"/>
    <col min="3" max="3" width="11.85156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2.28125" style="0" bestFit="1" customWidth="1"/>
    <col min="10" max="10" width="7.85156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342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105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26" t="str">
        <f>+'Sch 7 Revenue'!E8</f>
        <v>Rates Effective 10-1-03</v>
      </c>
      <c r="F8" s="227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10" ht="12.75">
      <c r="A10" s="20" t="s">
        <v>321</v>
      </c>
      <c r="B10" s="203">
        <v>954004.2297902098</v>
      </c>
      <c r="C10" s="203"/>
      <c r="D10" s="203">
        <f>+B10</f>
        <v>954004.2297902098</v>
      </c>
      <c r="E10" s="48">
        <v>5.5</v>
      </c>
      <c r="F10" s="28">
        <f>+E10*D10</f>
        <v>5247023.263846153</v>
      </c>
      <c r="G10" s="233">
        <f>+'Sch 24 Rate Design'!$C$37</f>
        <v>6.5</v>
      </c>
      <c r="H10" s="28">
        <f>+G10*D10</f>
        <v>6201027.493636364</v>
      </c>
      <c r="I10" s="30">
        <f>+H10-F10</f>
        <v>954004.2297902107</v>
      </c>
      <c r="J10" s="204">
        <f>+I10/F10</f>
        <v>0.18181818181818202</v>
      </c>
    </row>
    <row r="11" spans="1:10" ht="12.75">
      <c r="A11" t="s">
        <v>322</v>
      </c>
      <c r="B11" s="203">
        <v>351858.924304996</v>
      </c>
      <c r="C11" s="203"/>
      <c r="D11" s="203">
        <f>+B11</f>
        <v>351858.924304996</v>
      </c>
      <c r="E11" s="48">
        <v>13.6</v>
      </c>
      <c r="F11" s="28">
        <f>+E11*D11</f>
        <v>4785281.370547946</v>
      </c>
      <c r="G11" s="233">
        <f>+'Sch 24 Rate Design'!$C$38</f>
        <v>16.1</v>
      </c>
      <c r="H11" s="28">
        <f>+G11*D11</f>
        <v>5664928.681310436</v>
      </c>
      <c r="I11" s="30">
        <f>+H11-F11</f>
        <v>879647.3107624901</v>
      </c>
      <c r="J11" s="204">
        <f>+I11/F11</f>
        <v>0.18382352941176475</v>
      </c>
    </row>
    <row r="12" spans="1:10" ht="12.75">
      <c r="A12" t="s">
        <v>323</v>
      </c>
      <c r="B12" s="205">
        <f>SUM(B10:B11)</f>
        <v>1305863.1540952057</v>
      </c>
      <c r="C12" s="205"/>
      <c r="D12" s="205">
        <f>SUM(D10:D11)</f>
        <v>1305863.1540952057</v>
      </c>
      <c r="F12" s="11">
        <f>SUM(F10:F11)</f>
        <v>10032304.634394098</v>
      </c>
      <c r="H12" s="11">
        <f>SUM(H10:H11)</f>
        <v>11865956.1749468</v>
      </c>
      <c r="I12" s="11">
        <f>SUM(I10:I11)</f>
        <v>1833651.5405527009</v>
      </c>
      <c r="J12" s="206">
        <f>+I12/F12</f>
        <v>0.1827747070465075</v>
      </c>
    </row>
    <row r="13" spans="6:8" ht="12.75">
      <c r="F13" s="28"/>
      <c r="H13" s="28"/>
    </row>
    <row r="14" spans="1:10" ht="12.75">
      <c r="A14" t="s">
        <v>343</v>
      </c>
      <c r="B14" s="32">
        <v>1257189864.3315</v>
      </c>
      <c r="C14" s="32">
        <v>8390946.054473223</v>
      </c>
      <c r="D14" s="32">
        <f>SUM(B14:C14)</f>
        <v>1265580810.3859732</v>
      </c>
      <c r="E14" s="39">
        <v>0.06754500000000001</v>
      </c>
      <c r="F14" s="28">
        <f>+E14*D14</f>
        <v>85483655.83752057</v>
      </c>
      <c r="G14" s="39">
        <f>+'Sch 24 Rate Design'!$C$52</f>
        <v>0.072004</v>
      </c>
      <c r="H14" s="28">
        <f>+G14*D14</f>
        <v>91126880.67103161</v>
      </c>
      <c r="I14" s="30">
        <f>+H14-F14</f>
        <v>5643224.83351104</v>
      </c>
      <c r="J14" s="204">
        <f>+I14/F14</f>
        <v>0.06601524909319695</v>
      </c>
    </row>
    <row r="15" spans="1:10" ht="12.75">
      <c r="A15" t="s">
        <v>344</v>
      </c>
      <c r="B15" s="32">
        <v>1125586300.3614001</v>
      </c>
      <c r="C15" s="32">
        <v>-7829004.55270258</v>
      </c>
      <c r="D15" s="32">
        <f>SUM(B15:C15)</f>
        <v>1117757295.8086975</v>
      </c>
      <c r="E15" s="39">
        <v>0.064967</v>
      </c>
      <c r="F15" s="28">
        <f>+E15*D15</f>
        <v>72617338.23680365</v>
      </c>
      <c r="G15" s="39">
        <f>+'Sch 24 Rate Design'!$C$53</f>
        <v>0.069256</v>
      </c>
      <c r="H15" s="28">
        <f>+G15*D15</f>
        <v>77411399.27852716</v>
      </c>
      <c r="I15" s="30">
        <f>+H15-F15</f>
        <v>4794061.041723505</v>
      </c>
      <c r="J15" s="204">
        <f>+I15/F15</f>
        <v>0.06601813228254345</v>
      </c>
    </row>
    <row r="16" spans="1:10" ht="12.75">
      <c r="A16" t="s">
        <v>167</v>
      </c>
      <c r="B16" s="205">
        <f>SUM(B14:B15)</f>
        <v>2382776164.6929</v>
      </c>
      <c r="C16" s="205">
        <f>SUM(C14:C15)</f>
        <v>561941.5017706435</v>
      </c>
      <c r="D16" s="205">
        <f>SUM(D14:D15)</f>
        <v>2383338106.1946707</v>
      </c>
      <c r="F16" s="11">
        <f>SUM(F14:F15)</f>
        <v>158100994.07432422</v>
      </c>
      <c r="H16" s="11">
        <f>SUM(H14:H15)</f>
        <v>168538279.94955876</v>
      </c>
      <c r="I16" s="11">
        <f>SUM(I14:I15)</f>
        <v>10437285.875234544</v>
      </c>
      <c r="J16" s="206">
        <f>+I16/F16</f>
        <v>0.06601657337036043</v>
      </c>
    </row>
    <row r="17" spans="2:10" ht="12.75">
      <c r="B17" s="128"/>
      <c r="C17" s="128"/>
      <c r="D17" s="128"/>
      <c r="F17" s="14"/>
      <c r="H17" s="14"/>
      <c r="I17" s="14"/>
      <c r="J17" s="207"/>
    </row>
    <row r="18" spans="1:10" ht="12.75">
      <c r="A18" t="s">
        <v>82</v>
      </c>
      <c r="D18" s="205">
        <f>+D16</f>
        <v>2383338106.1946707</v>
      </c>
      <c r="E18" s="39">
        <v>0.0023569999999999997</v>
      </c>
      <c r="F18" s="11">
        <f>+E18*D18</f>
        <v>5617527.916300838</v>
      </c>
      <c r="G18" s="39">
        <v>0</v>
      </c>
      <c r="H18" s="11">
        <f>+G18*D18</f>
        <v>0</v>
      </c>
      <c r="I18" s="42">
        <f>+H18-F18</f>
        <v>-5617527.916300838</v>
      </c>
      <c r="J18" s="206">
        <f>+I18/F18</f>
        <v>-1</v>
      </c>
    </row>
    <row r="19" ht="12.75">
      <c r="D19" s="34"/>
    </row>
    <row r="20" spans="1:10" ht="13.5" thickBot="1">
      <c r="A20" s="20" t="s">
        <v>345</v>
      </c>
      <c r="B20" s="20"/>
      <c r="C20" s="20"/>
      <c r="F20" s="136">
        <f>SUM(F16,F12,F18)</f>
        <v>173750826.62501916</v>
      </c>
      <c r="H20" s="136">
        <f>SUM(H16,H12,H18)</f>
        <v>180404236.12450558</v>
      </c>
      <c r="I20" s="136">
        <f>SUM(I16,I12,I18)</f>
        <v>6653409.499486408</v>
      </c>
      <c r="J20" s="208">
        <f>+I20/F20</f>
        <v>0.038292822133419155</v>
      </c>
    </row>
    <row r="21" ht="13.5" thickTop="1">
      <c r="D21" s="34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pane xSplit="1" ySplit="5" topLeftCell="D1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/>
  <cols>
    <col min="1" max="1" width="30.421875" style="0" bestFit="1" customWidth="1"/>
    <col min="2" max="2" width="14.00390625" style="0" hidden="1" customWidth="1"/>
    <col min="3" max="3" width="18.421875" style="0" hidden="1" customWidth="1"/>
    <col min="4" max="4" width="18.421875" style="0" customWidth="1"/>
    <col min="5" max="5" width="14.8515625" style="0" bestFit="1" customWidth="1"/>
    <col min="6" max="7" width="12.28125" style="0" bestFit="1" customWidth="1"/>
    <col min="8" max="8" width="9.28125" style="0" bestFit="1" customWidth="1"/>
    <col min="9" max="9" width="13.28125" style="0" bestFit="1" customWidth="1"/>
    <col min="10" max="10" width="14.8515625" style="0" bestFit="1" customWidth="1"/>
    <col min="12" max="12" width="13.8515625" style="0" bestFit="1" customWidth="1"/>
    <col min="13" max="13" width="13.281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261</v>
      </c>
      <c r="B2" s="1"/>
      <c r="C2" s="1"/>
      <c r="D2" s="1"/>
      <c r="E2" s="1"/>
      <c r="F2" s="1"/>
      <c r="G2" s="1"/>
    </row>
    <row r="3" spans="1:7" ht="12.75">
      <c r="A3" s="1" t="s">
        <v>1</v>
      </c>
      <c r="B3" s="1"/>
      <c r="C3" s="1"/>
      <c r="D3" s="1"/>
      <c r="E3" s="1"/>
      <c r="F3" s="1"/>
      <c r="G3" s="1"/>
    </row>
    <row r="5" spans="1:13" s="4" customFormat="1" ht="51">
      <c r="A5" s="2"/>
      <c r="B5" s="3" t="s">
        <v>262</v>
      </c>
      <c r="C5" s="3" t="s">
        <v>263</v>
      </c>
      <c r="D5" s="2" t="s">
        <v>264</v>
      </c>
      <c r="E5" s="3" t="s">
        <v>261</v>
      </c>
      <c r="F5" s="3" t="s">
        <v>265</v>
      </c>
      <c r="G5" s="2" t="s">
        <v>266</v>
      </c>
      <c r="H5" s="4" t="s">
        <v>267</v>
      </c>
      <c r="I5" s="4" t="s">
        <v>268</v>
      </c>
      <c r="J5" s="4" t="s">
        <v>269</v>
      </c>
      <c r="K5" s="4" t="s">
        <v>270</v>
      </c>
      <c r="L5" s="4" t="s">
        <v>271</v>
      </c>
      <c r="M5" s="4" t="s">
        <v>272</v>
      </c>
    </row>
    <row r="6" spans="1:13" ht="12.75">
      <c r="A6" t="s">
        <v>116</v>
      </c>
      <c r="B6" s="32">
        <f>+'Sch 25 Rate Design'!$C$14</f>
        <v>4082201.201703973</v>
      </c>
      <c r="C6" s="32">
        <f>+'Sch 25 Rate Design'!$C$15</f>
        <v>4287493.58933934</v>
      </c>
      <c r="D6" s="32">
        <f>SUM(B6:C6)</f>
        <v>8369694.791043313</v>
      </c>
      <c r="E6" s="28">
        <f>+'Sch 25 Revenue'!$F$19</f>
        <v>23754883.78000001</v>
      </c>
      <c r="F6" s="28">
        <f>+'Sch 25 Revenue'!$F$21</f>
        <v>1737014.3200000022</v>
      </c>
      <c r="G6" s="30">
        <f>+E6+F6</f>
        <v>25491898.10000001</v>
      </c>
      <c r="H6" s="179">
        <f>+G6/G8</f>
        <v>0.9983789929279198</v>
      </c>
      <c r="J6" s="28">
        <f>+I8*H6</f>
        <v>40585870.782418326</v>
      </c>
      <c r="L6" s="28">
        <f>(F6)*(1+$K$8)</f>
        <v>1787103.8766321924</v>
      </c>
      <c r="M6" s="30">
        <f>+J6-L6</f>
        <v>38798766.905786134</v>
      </c>
    </row>
    <row r="7" spans="1:13" ht="12.75">
      <c r="A7" s="20" t="s">
        <v>151</v>
      </c>
      <c r="B7" s="32">
        <f>+'Sch 29 Rate Design'!$C$17</f>
        <v>17056.937680184776</v>
      </c>
      <c r="C7" s="32">
        <f>+'Sch 29 Rate Design'!$C$18</f>
        <v>10243.781613931036</v>
      </c>
      <c r="D7" s="32">
        <f>SUM(B7:C7)</f>
        <v>27300.719294115814</v>
      </c>
      <c r="E7" s="28">
        <f>+'Sch 29 Revenue'!$F$22</f>
        <v>40444.5300000001</v>
      </c>
      <c r="F7" s="28">
        <f>+'Sch 29 Revenue'!$F$24</f>
        <v>945.11</v>
      </c>
      <c r="G7" s="30">
        <f>+E7+F7</f>
        <v>41389.6400000001</v>
      </c>
      <c r="H7" s="179">
        <f>+G7/G8</f>
        <v>0.0016210070720802557</v>
      </c>
      <c r="J7" s="28">
        <f>+I8*H7</f>
        <v>65896.8027481177</v>
      </c>
      <c r="L7" s="28">
        <f>F7*(1+$K$8)</f>
        <v>972.3637424266308</v>
      </c>
      <c r="M7" s="30">
        <f>+J7-L7</f>
        <v>64924.43900569106</v>
      </c>
    </row>
    <row r="8" spans="1:13" ht="12.75">
      <c r="A8" s="20" t="s">
        <v>273</v>
      </c>
      <c r="B8" s="180">
        <f aca="true" t="shared" si="0" ref="B8:G8">SUM(B6:B7)</f>
        <v>4099258.139384158</v>
      </c>
      <c r="C8" s="180">
        <f t="shared" si="0"/>
        <v>4297737.370953271</v>
      </c>
      <c r="D8" s="180">
        <f t="shared" si="0"/>
        <v>8396995.51033743</v>
      </c>
      <c r="E8" s="11">
        <f t="shared" si="0"/>
        <v>23795328.31000001</v>
      </c>
      <c r="F8" s="11">
        <f t="shared" si="0"/>
        <v>1737959.4300000023</v>
      </c>
      <c r="G8" s="11">
        <f t="shared" si="0"/>
        <v>25533287.74000001</v>
      </c>
      <c r="I8" s="11">
        <f>+'Demand Charge Rate Spread 2'!D26</f>
        <v>40651767.58516644</v>
      </c>
      <c r="J8" s="42">
        <f>SUM(J6:J7)</f>
        <v>40651767.58516645</v>
      </c>
      <c r="K8" s="181">
        <v>0.028836582436574457</v>
      </c>
      <c r="L8" s="42">
        <f>SUM(L6:L7)</f>
        <v>1788076.2403746191</v>
      </c>
      <c r="M8" s="42">
        <f>SUM(M6:M7)</f>
        <v>38863691.34479182</v>
      </c>
    </row>
    <row r="9" spans="4:11" ht="12.75">
      <c r="D9" s="34"/>
      <c r="K9" s="181"/>
    </row>
    <row r="10" spans="1:13" ht="14.25">
      <c r="A10" s="9" t="s">
        <v>282</v>
      </c>
      <c r="B10" s="32"/>
      <c r="C10" s="32"/>
      <c r="D10" s="180">
        <f>+'Sch 26 Rate Design'!$C$13</f>
        <v>4387268.884314232</v>
      </c>
      <c r="E10" s="11">
        <f>+'Sch 26 Revenue'!$F$16</f>
        <v>25132641.30015957</v>
      </c>
      <c r="F10" s="11">
        <f>+'Sch 26 Revenue'!$F$18</f>
        <v>1027477.0529314164</v>
      </c>
      <c r="G10" s="11">
        <f>+F10+E10</f>
        <v>26160118.353090987</v>
      </c>
      <c r="H10" s="179">
        <f>+G10/G10</f>
        <v>1</v>
      </c>
      <c r="I10" s="11">
        <f>+'Demand Charge Rate Spread 2'!E26</f>
        <v>26392225.630847704</v>
      </c>
      <c r="J10" s="42">
        <f>+I10</f>
        <v>26392225.630847704</v>
      </c>
      <c r="K10" s="181">
        <v>0.028836582436574457</v>
      </c>
      <c r="L10" s="11">
        <f>F10*(1+$K$10)</f>
        <v>1057105.9796699616</v>
      </c>
      <c r="M10" s="42">
        <f>+J10-L10</f>
        <v>25335119.65117774</v>
      </c>
    </row>
    <row r="11" ht="12.75">
      <c r="K11" s="181"/>
    </row>
    <row r="12" spans="1:14" ht="14.25">
      <c r="A12" s="20" t="s">
        <v>283</v>
      </c>
      <c r="B12" s="32"/>
      <c r="C12" s="32"/>
      <c r="D12" s="32">
        <f>+'Sch 31 Revenue'!$D$16</f>
        <v>3946814.654071696</v>
      </c>
      <c r="E12" s="28">
        <f>+'Sch 31 Revenue'!$F$16</f>
        <v>20977168.656930998</v>
      </c>
      <c r="F12" s="28">
        <f>+'Sch 31 Revenue'!$F$18</f>
        <v>744731.1551322301</v>
      </c>
      <c r="G12" s="30">
        <f>+E12+F12</f>
        <v>21721899.81206323</v>
      </c>
      <c r="H12" s="179">
        <f>+G12/G15</f>
        <v>0.8661207324430378</v>
      </c>
      <c r="J12" s="28">
        <f>+$I$15*H12</f>
        <v>22093495.430962995</v>
      </c>
      <c r="K12" s="181">
        <v>0.10867020185358131</v>
      </c>
      <c r="L12" s="28">
        <f>(+F12)*(1+K12)</f>
        <v>825661.2400871003</v>
      </c>
      <c r="M12" s="30">
        <f>+J12-L12</f>
        <v>21267834.190875895</v>
      </c>
      <c r="N12">
        <f>M12/D12</f>
        <v>5.388607283327866</v>
      </c>
    </row>
    <row r="13" spans="1:13" ht="12.75">
      <c r="A13" t="s">
        <v>188</v>
      </c>
      <c r="B13" s="32"/>
      <c r="C13" s="32"/>
      <c r="D13" s="32">
        <f>+'Sch 35 Revenue'!$B$16</f>
        <v>9073.797297297298</v>
      </c>
      <c r="E13" s="28">
        <f>+'Sch 35 Revenue'!$D$16</f>
        <v>21325.750000000007</v>
      </c>
      <c r="F13" s="28">
        <f>+'Sch 35 Revenue'!$D$18</f>
        <v>1945.6900000000003</v>
      </c>
      <c r="G13" s="30">
        <f>+E13+F13</f>
        <v>23271.440000000006</v>
      </c>
      <c r="H13" s="179">
        <f>+G13/G15</f>
        <v>0.0009279057924118898</v>
      </c>
      <c r="J13" s="28">
        <f>+$I$15*H13</f>
        <v>23669.5435371817</v>
      </c>
      <c r="K13" s="181">
        <v>0.054335100926790655</v>
      </c>
      <c r="L13" s="28">
        <f>+F13*(1+K13)</f>
        <v>2051.409262522248</v>
      </c>
      <c r="M13" s="30">
        <f>+J13-L13</f>
        <v>21618.134274659453</v>
      </c>
    </row>
    <row r="14" spans="1:13" ht="12.75">
      <c r="A14" t="s">
        <v>197</v>
      </c>
      <c r="B14" s="32"/>
      <c r="C14" s="32"/>
      <c r="D14" s="32">
        <f>+'Sch 43 Revenue'!$D$14</f>
        <v>864944.7382920106</v>
      </c>
      <c r="E14" s="28">
        <f>+'Sch 43 Revenue'!$F$14</f>
        <v>3139749.3999999985</v>
      </c>
      <c r="F14" s="28">
        <f>+'Sch 43 Revenue'!$F$16</f>
        <v>194608.10000000003</v>
      </c>
      <c r="G14" s="30">
        <f>+E14+F14</f>
        <v>3334357.4999999986</v>
      </c>
      <c r="H14" s="179">
        <f>+G14/G15</f>
        <v>0.13295136176455027</v>
      </c>
      <c r="J14" s="28">
        <f>+$I$15*H14</f>
        <v>3391398.2123486246</v>
      </c>
      <c r="K14" s="181">
        <v>0.08650974730972359</v>
      </c>
      <c r="L14" s="28">
        <f>+F14*(1+K14)</f>
        <v>211443.59755542545</v>
      </c>
      <c r="M14" s="30">
        <f>+J14-L14</f>
        <v>3179954.614793199</v>
      </c>
    </row>
    <row r="15" spans="1:13" ht="12.75">
      <c r="A15" s="20" t="s">
        <v>274</v>
      </c>
      <c r="B15" s="32"/>
      <c r="C15" s="32"/>
      <c r="D15" s="180">
        <f>SUM(D12:D14)</f>
        <v>4820833.189661005</v>
      </c>
      <c r="E15" s="11">
        <f>SUM(E12:E14)</f>
        <v>24138243.806930996</v>
      </c>
      <c r="F15" s="11">
        <f>SUM(F12:F14)</f>
        <v>941284.9451322302</v>
      </c>
      <c r="G15" s="11">
        <f>SUM(G12:G14)</f>
        <v>25079528.75206323</v>
      </c>
      <c r="H15" s="182"/>
      <c r="I15" s="11">
        <f>+'Demand Charge Rate Spread 2'!F26</f>
        <v>25508563.186848804</v>
      </c>
      <c r="J15" s="11">
        <f>SUM(J12:J14)</f>
        <v>25508563.1868488</v>
      </c>
      <c r="K15" s="181"/>
      <c r="L15" s="11">
        <f>SUM(L12:L14)</f>
        <v>1039156.246905048</v>
      </c>
      <c r="M15" s="11">
        <f>SUM(M12:M14)</f>
        <v>24469406.939943753</v>
      </c>
    </row>
    <row r="16" spans="2:11" ht="12.75">
      <c r="B16" s="32"/>
      <c r="C16" s="32"/>
      <c r="K16" s="183"/>
    </row>
    <row r="17" spans="1:13" ht="12.75">
      <c r="A17" t="s">
        <v>200</v>
      </c>
      <c r="B17" s="32"/>
      <c r="C17" s="32"/>
      <c r="D17" s="32">
        <f>+'Sch 46 Revenue'!$B$12</f>
        <v>168423</v>
      </c>
      <c r="E17" s="28">
        <f>+'Sch 46 Revenue'!$D$12</f>
        <v>266108.34</v>
      </c>
      <c r="F17" s="28">
        <v>0</v>
      </c>
      <c r="G17" s="30">
        <f>+E17+F17</f>
        <v>266108.34</v>
      </c>
      <c r="H17" s="179">
        <f>+G17/G19</f>
        <v>0.07523962667148776</v>
      </c>
      <c r="J17" s="28">
        <f>+$I$19*H17</f>
        <v>248505.41448543654</v>
      </c>
      <c r="K17" s="183"/>
      <c r="L17" s="28">
        <f>+F17*(1+$K$19)</f>
        <v>0</v>
      </c>
      <c r="M17" s="30">
        <f>+J17-L17</f>
        <v>248505.41448543654</v>
      </c>
    </row>
    <row r="18" spans="1:13" ht="12.75">
      <c r="A18" s="20" t="s">
        <v>210</v>
      </c>
      <c r="B18" s="32"/>
      <c r="C18" s="32"/>
      <c r="D18" s="32">
        <f>+'Sch 49 Revenue'!$B$12</f>
        <v>1172294.8637992474</v>
      </c>
      <c r="E18" s="28">
        <f>+'Sch 49 Revenue'!$D$12</f>
        <v>3270702.6699999003</v>
      </c>
      <c r="F18" s="28">
        <v>0</v>
      </c>
      <c r="G18" s="30">
        <f>+E18+F18</f>
        <v>3270702.6699999003</v>
      </c>
      <c r="H18" s="179">
        <f>+G18/G19</f>
        <v>0.9247603733285122</v>
      </c>
      <c r="J18" s="28">
        <f>+$I$19*H18</f>
        <v>3054347.423560453</v>
      </c>
      <c r="K18" s="183"/>
      <c r="L18" s="28">
        <f>+F18*(1+$K$19)</f>
        <v>0</v>
      </c>
      <c r="M18" s="30">
        <f>+J18-L18</f>
        <v>3054347.423560453</v>
      </c>
    </row>
    <row r="19" spans="1:13" ht="12.75">
      <c r="A19" s="20" t="s">
        <v>275</v>
      </c>
      <c r="B19" s="32"/>
      <c r="C19" s="32"/>
      <c r="D19" s="180">
        <f>SUM(D16:D18)</f>
        <v>1340717.8637992474</v>
      </c>
      <c r="E19" s="11">
        <f>SUM(E16:E18)</f>
        <v>3536811.0099999</v>
      </c>
      <c r="F19" s="11">
        <f>SUM(F16:F18)</f>
        <v>0</v>
      </c>
      <c r="G19" s="11">
        <f>SUM(G17:G18)</f>
        <v>3536811.0099999</v>
      </c>
      <c r="I19" s="11">
        <f>+'Demand Charge Rate Spread 2'!G26</f>
        <v>3302852.8380458895</v>
      </c>
      <c r="J19" s="11">
        <f>SUM(J17:J18)</f>
        <v>3302852.8380458895</v>
      </c>
      <c r="K19" s="183">
        <v>0.0865097473097236</v>
      </c>
      <c r="L19" s="11">
        <f>SUM(L17:L18)</f>
        <v>0</v>
      </c>
      <c r="M19" s="42">
        <f>+J19-L19</f>
        <v>3302852.8380458895</v>
      </c>
    </row>
    <row r="20" spans="2:11" ht="12.75">
      <c r="B20" s="32"/>
      <c r="C20" s="32"/>
      <c r="K20" s="183"/>
    </row>
    <row r="21" spans="1:13" ht="12.75">
      <c r="A21" s="20" t="s">
        <v>276</v>
      </c>
      <c r="B21" s="32"/>
      <c r="C21" s="32"/>
      <c r="D21" s="32">
        <f>+'Sch 449 Revenue'!$B$13</f>
        <v>216056</v>
      </c>
      <c r="E21" s="28">
        <f>+'Sch 449 Revenue'!$D$13</f>
        <v>864224</v>
      </c>
      <c r="F21" s="28">
        <v>0</v>
      </c>
      <c r="G21" s="30">
        <f>+E21+F21</f>
        <v>864224</v>
      </c>
      <c r="H21" s="179">
        <f>+G21/G24</f>
        <v>0.13938316992801272</v>
      </c>
      <c r="J21" s="28">
        <f>+$I$24*H21</f>
        <v>641847.3779785836</v>
      </c>
      <c r="K21" s="183"/>
      <c r="L21" s="28">
        <f>+F21*(1+$K$24)</f>
        <v>0</v>
      </c>
      <c r="M21" s="30">
        <f>+J21-L21</f>
        <v>641847.3779785836</v>
      </c>
    </row>
    <row r="22" spans="1:13" ht="12.75">
      <c r="A22" s="20" t="s">
        <v>277</v>
      </c>
      <c r="B22" s="32"/>
      <c r="C22" s="32"/>
      <c r="D22" s="32">
        <f>+'Sch 449 Revenue'!$B$19</f>
        <v>2865370</v>
      </c>
      <c r="E22" s="28">
        <f>+'Sch 449 Revenue'!$D$19</f>
        <v>4384016.1</v>
      </c>
      <c r="F22" s="28">
        <v>0</v>
      </c>
      <c r="G22" s="30">
        <f>+E22+F22</f>
        <v>4384016.1</v>
      </c>
      <c r="H22" s="179">
        <f>+G22/G24</f>
        <v>0.7070598143923839</v>
      </c>
      <c r="J22" s="28">
        <f>+$I$24*H22</f>
        <v>3255948.9655470056</v>
      </c>
      <c r="K22" s="183"/>
      <c r="L22" s="28">
        <f>+F22*(1+$K$24)</f>
        <v>0</v>
      </c>
      <c r="M22" s="30">
        <f>+J22-L22</f>
        <v>3255948.9655470056</v>
      </c>
    </row>
    <row r="23" spans="1:13" ht="12.75">
      <c r="A23" s="20" t="s">
        <v>278</v>
      </c>
      <c r="B23" s="32"/>
      <c r="C23" s="32"/>
      <c r="D23" s="32">
        <f>+'Sch 459 Revenue'!$B$13</f>
        <v>622292</v>
      </c>
      <c r="E23" s="28">
        <f>+'Sch 459 Revenue'!$D$13</f>
        <v>952106.76</v>
      </c>
      <c r="F23" s="28">
        <v>0</v>
      </c>
      <c r="G23" s="30">
        <f>+E23+F23</f>
        <v>952106.76</v>
      </c>
      <c r="H23" s="179">
        <f>+G23/G24</f>
        <v>0.15355701567960348</v>
      </c>
      <c r="J23" s="28">
        <f>+$I$24*H23</f>
        <v>707116.7052311491</v>
      </c>
      <c r="K23" s="183"/>
      <c r="L23" s="28">
        <f>+F23*(1+$K$24)</f>
        <v>0</v>
      </c>
      <c r="M23" s="30">
        <f>+J23-L23</f>
        <v>707116.7052311491</v>
      </c>
    </row>
    <row r="24" spans="1:13" ht="12.75">
      <c r="A24" t="s">
        <v>279</v>
      </c>
      <c r="B24" s="32"/>
      <c r="C24" s="32"/>
      <c r="D24" s="180">
        <f>SUM(D21:D23)</f>
        <v>3703718</v>
      </c>
      <c r="E24" s="11">
        <f>SUM(E21:E23)</f>
        <v>6200346.859999999</v>
      </c>
      <c r="F24" s="11">
        <f>SUM(F21:F23)</f>
        <v>0</v>
      </c>
      <c r="G24" s="11">
        <f>SUM(G21:G23)</f>
        <v>6200346.859999999</v>
      </c>
      <c r="I24" s="11">
        <f>+'Demand Charge Rate Spread 2'!H26</f>
        <v>4604913.048756738</v>
      </c>
      <c r="J24" s="11">
        <f>SUM(J21:J22)</f>
        <v>3897796.3435255894</v>
      </c>
      <c r="K24" s="183">
        <v>0.028836582436574502</v>
      </c>
      <c r="L24" s="11">
        <f>SUM(L21:L22)</f>
        <v>0</v>
      </c>
      <c r="M24" s="42">
        <f>+J24-L24</f>
        <v>3897796.3435255894</v>
      </c>
    </row>
    <row r="25" ht="12.75">
      <c r="K25" s="184"/>
    </row>
    <row r="26" spans="1:13" ht="13.5" thickBot="1">
      <c r="A26" t="s">
        <v>280</v>
      </c>
      <c r="D26" s="185">
        <f>SUM(D8,D10,D15,D19,D24)</f>
        <v>22649533.448111914</v>
      </c>
      <c r="E26" s="24">
        <f>SUM(E8,E10,E15,E19,E24)</f>
        <v>82803371.28709047</v>
      </c>
      <c r="F26" s="24">
        <f>SUM(F8,F10,F15,F19,F24)</f>
        <v>3706721.4280636488</v>
      </c>
      <c r="G26" s="24">
        <f>SUM(G8,G10,G15,G19,G24)</f>
        <v>86510092.71515413</v>
      </c>
      <c r="I26" s="24">
        <f>SUM(I8,I10,I15,I19,I24)</f>
        <v>100460322.28966558</v>
      </c>
      <c r="J26" s="24">
        <f>SUM(J8,J10,J15,J19,J24)</f>
        <v>99753205.58443443</v>
      </c>
      <c r="L26" s="24">
        <f>SUM(L8,L10,L15,L19,L24)</f>
        <v>3884338.4669496287</v>
      </c>
      <c r="M26" s="24">
        <f>SUM(M8,M10,M15,M19,M24)</f>
        <v>95868867.11748481</v>
      </c>
    </row>
    <row r="27" ht="13.5" thickTop="1"/>
    <row r="29" spans="1:9" ht="12.75">
      <c r="A29" s="276"/>
      <c r="B29" s="276"/>
      <c r="C29" s="276"/>
      <c r="D29" s="276"/>
      <c r="E29" s="276"/>
      <c r="F29" s="277"/>
      <c r="G29" s="277"/>
      <c r="H29" s="277"/>
      <c r="I29" s="277"/>
    </row>
    <row r="30" ht="12.75">
      <c r="A30" t="s">
        <v>281</v>
      </c>
    </row>
  </sheetData>
  <mergeCells count="1">
    <mergeCell ref="A29:I29"/>
  </mergeCells>
  <printOptions horizontalCentered="1"/>
  <pageMargins left="0.25" right="0.25" top="1.25" bottom="1" header="1.25" footer="0.5"/>
  <pageSetup fitToHeight="1" fitToWidth="1" horizontalDpi="600" verticalDpi="600" orientation="landscape" scale="84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4.421875" style="0" bestFit="1" customWidth="1"/>
    <col min="2" max="2" width="42.57421875" style="0" bestFit="1" customWidth="1"/>
    <col min="3" max="3" width="40.140625" style="0" bestFit="1" customWidth="1"/>
    <col min="4" max="4" width="16.8515625" style="0" bestFit="1" customWidth="1"/>
    <col min="5" max="7" width="14.8515625" style="0" bestFit="1" customWidth="1"/>
    <col min="8" max="8" width="14.140625" style="0" bestFit="1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284</v>
      </c>
      <c r="B2" s="1"/>
      <c r="C2" s="1"/>
      <c r="D2" s="1"/>
      <c r="E2" s="1"/>
      <c r="F2" s="1"/>
      <c r="G2" s="1"/>
    </row>
    <row r="3" spans="1:7" ht="12.75">
      <c r="A3" s="1" t="s">
        <v>285</v>
      </c>
      <c r="B3" s="1"/>
      <c r="C3" s="1"/>
      <c r="D3" s="1"/>
      <c r="E3" s="1"/>
      <c r="F3" s="1"/>
      <c r="G3" s="1"/>
    </row>
    <row r="4" spans="1:7" ht="12.75">
      <c r="A4" s="1" t="s">
        <v>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8" spans="1:8" s="4" customFormat="1" ht="51">
      <c r="A8" s="2" t="s">
        <v>70</v>
      </c>
      <c r="B8" s="2"/>
      <c r="C8" s="3" t="s">
        <v>286</v>
      </c>
      <c r="D8" s="3" t="s">
        <v>287</v>
      </c>
      <c r="E8" s="3" t="s">
        <v>288</v>
      </c>
      <c r="F8" s="3" t="s">
        <v>289</v>
      </c>
      <c r="G8" s="3" t="s">
        <v>290</v>
      </c>
      <c r="H8" s="3" t="s">
        <v>291</v>
      </c>
    </row>
    <row r="10" spans="1:8" s="186" customFormat="1" ht="12.75">
      <c r="A10" s="4">
        <v>1</v>
      </c>
      <c r="B10" s="187" t="s">
        <v>292</v>
      </c>
      <c r="C10" s="187" t="s">
        <v>293</v>
      </c>
      <c r="D10" s="188">
        <v>52535843.67767705</v>
      </c>
      <c r="E10" s="188">
        <v>25999367.334007837</v>
      </c>
      <c r="F10" s="188">
        <v>24836135.32201727</v>
      </c>
      <c r="G10" s="188">
        <v>2981114.893956508</v>
      </c>
      <c r="H10" s="188">
        <v>3879960.029345695</v>
      </c>
    </row>
    <row r="11" spans="1:8" s="186" customFormat="1" ht="12.75">
      <c r="A11" s="4"/>
      <c r="B11" s="189"/>
      <c r="C11" s="189"/>
      <c r="D11" s="188"/>
      <c r="E11" s="188"/>
      <c r="F11" s="188"/>
      <c r="G11" s="188"/>
      <c r="H11" s="188"/>
    </row>
    <row r="12" spans="1:8" s="186" customFormat="1" ht="12.75">
      <c r="A12" s="4">
        <v>2</v>
      </c>
      <c r="B12" s="187" t="s">
        <v>294</v>
      </c>
      <c r="C12" s="187" t="s">
        <v>295</v>
      </c>
      <c r="D12" s="188">
        <v>200557321.30515286</v>
      </c>
      <c r="E12" s="188">
        <v>121854961.91734496</v>
      </c>
      <c r="F12" s="188">
        <v>117673939.37699386</v>
      </c>
      <c r="G12" s="188">
        <v>26035326.33674491</v>
      </c>
      <c r="H12" s="188">
        <v>8995723.853212804</v>
      </c>
    </row>
    <row r="13" spans="1:3" s="186" customFormat="1" ht="12.75">
      <c r="A13" s="4"/>
      <c r="B13" s="189"/>
      <c r="C13" s="189"/>
    </row>
    <row r="14" spans="1:8" s="186" customFormat="1" ht="12.75">
      <c r="A14" s="4">
        <v>3</v>
      </c>
      <c r="B14" s="189" t="s">
        <v>296</v>
      </c>
      <c r="C14" s="189" t="s">
        <v>297</v>
      </c>
      <c r="D14" s="190">
        <f>+D10/D12</f>
        <v>0.2619492688463987</v>
      </c>
      <c r="E14" s="190">
        <f>+E10/E12</f>
        <v>0.21336322234988989</v>
      </c>
      <c r="F14" s="190">
        <f>+F10/F12</f>
        <v>0.2110589265007042</v>
      </c>
      <c r="G14" s="190">
        <f>+G10/G12</f>
        <v>0.11450268974539862</v>
      </c>
      <c r="H14" s="190">
        <f>+H10/H12</f>
        <v>0.43131159789436796</v>
      </c>
    </row>
    <row r="15" spans="1:3" s="186" customFormat="1" ht="12.75">
      <c r="A15" s="4"/>
      <c r="B15" s="189"/>
      <c r="C15" s="189"/>
    </row>
    <row r="16" spans="1:8" s="186" customFormat="1" ht="12.75">
      <c r="A16" s="4">
        <v>4</v>
      </c>
      <c r="B16" s="187" t="s">
        <v>261</v>
      </c>
      <c r="C16" s="187" t="s">
        <v>298</v>
      </c>
      <c r="D16" s="188">
        <f>+'Demand Charge Rate Spread 1'!G8</f>
        <v>25533287.74000001</v>
      </c>
      <c r="E16" s="188">
        <f>+'Demand Charge Rate Spread 1'!G10</f>
        <v>26160118.353090987</v>
      </c>
      <c r="F16" s="188">
        <f>+'Demand Charge Rate Spread 1'!G15</f>
        <v>25079528.75206323</v>
      </c>
      <c r="G16" s="188">
        <f>+'Demand Charge Rate Spread 1'!G19</f>
        <v>3536811.0099999</v>
      </c>
      <c r="H16" s="188">
        <f>+'Demand Charge Rate Spread 1'!G24</f>
        <v>6200346.859999999</v>
      </c>
    </row>
    <row r="17" spans="1:8" s="186" customFormat="1" ht="12.75">
      <c r="A17" s="4"/>
      <c r="B17" s="189"/>
      <c r="C17" s="189"/>
      <c r="D17" s="188"/>
      <c r="E17" s="188"/>
      <c r="F17" s="188"/>
      <c r="G17" s="188"/>
      <c r="H17" s="188"/>
    </row>
    <row r="18" spans="1:8" s="186" customFormat="1" ht="12.75">
      <c r="A18" s="4">
        <v>5</v>
      </c>
      <c r="B18" s="187" t="s">
        <v>87</v>
      </c>
      <c r="C18" s="187" t="s">
        <v>299</v>
      </c>
      <c r="D18" s="188">
        <v>204205358.03691077</v>
      </c>
      <c r="E18" s="188">
        <v>119831706.34756067</v>
      </c>
      <c r="F18" s="188">
        <v>109030154.07986228</v>
      </c>
      <c r="G18" s="188">
        <v>22208536.686845962</v>
      </c>
      <c r="H18" s="188">
        <v>6379014.859999999</v>
      </c>
    </row>
    <row r="19" spans="1:3" s="186" customFormat="1" ht="12.75">
      <c r="A19" s="4"/>
      <c r="B19" s="189"/>
      <c r="C19" s="189"/>
    </row>
    <row r="20" spans="1:8" s="186" customFormat="1" ht="12.75">
      <c r="A20" s="4">
        <v>6</v>
      </c>
      <c r="B20" s="189" t="s">
        <v>300</v>
      </c>
      <c r="C20" s="187" t="s">
        <v>301</v>
      </c>
      <c r="D20" s="190">
        <f>+D16/D18</f>
        <v>0.12503730551176226</v>
      </c>
      <c r="E20" s="190">
        <f>+E16/E18</f>
        <v>0.21830715050669483</v>
      </c>
      <c r="F20" s="190">
        <f>+F16/F18</f>
        <v>0.23002378528872852</v>
      </c>
      <c r="G20" s="190">
        <f>+G16/G18</f>
        <v>0.1592545722336916</v>
      </c>
      <c r="H20" s="190">
        <f>+H16/H18</f>
        <v>0.9719912864413676</v>
      </c>
    </row>
    <row r="21" spans="1:3" s="186" customFormat="1" ht="12.75">
      <c r="A21" s="4"/>
      <c r="B21" s="189"/>
      <c r="C21" s="189"/>
    </row>
    <row r="22" spans="1:8" s="186" customFormat="1" ht="12.75">
      <c r="A22" s="191">
        <v>7</v>
      </c>
      <c r="B22" s="187" t="s">
        <v>302</v>
      </c>
      <c r="C22" s="187" t="s">
        <v>303</v>
      </c>
      <c r="D22" s="190">
        <f>+D20+(D14-D20)/2</f>
        <v>0.1934932871790805</v>
      </c>
      <c r="E22" s="190">
        <f>+E20+(E14-E20)/2</f>
        <v>0.21583518642829236</v>
      </c>
      <c r="F22" s="190">
        <f>+F20+(F14-F20)/2</f>
        <v>0.22054135589471635</v>
      </c>
      <c r="G22" s="190">
        <f>+G20+(G14-G20)/2</f>
        <v>0.1368786309895451</v>
      </c>
      <c r="H22" s="190">
        <f>+H20+(H14-H20)/2</f>
        <v>0.7016514421678678</v>
      </c>
    </row>
    <row r="23" spans="1:3" s="186" customFormat="1" ht="12.75">
      <c r="A23" s="4"/>
      <c r="B23" s="189"/>
      <c r="C23" s="189"/>
    </row>
    <row r="24" spans="1:8" s="186" customFormat="1" ht="12.75">
      <c r="A24" s="4">
        <v>8</v>
      </c>
      <c r="B24" s="187" t="s">
        <v>103</v>
      </c>
      <c r="C24" s="187" t="s">
        <v>304</v>
      </c>
      <c r="D24" s="188">
        <v>210093942.67793235</v>
      </c>
      <c r="E24" s="188">
        <v>122279532.20971262</v>
      </c>
      <c r="F24" s="188">
        <v>115663400.55978557</v>
      </c>
      <c r="G24" s="188">
        <v>24129791.583743732</v>
      </c>
      <c r="H24" s="188">
        <v>6562963.847874523</v>
      </c>
    </row>
    <row r="25" spans="1:3" s="186" customFormat="1" ht="12.75">
      <c r="A25" s="4"/>
      <c r="B25" s="189"/>
      <c r="C25" s="189"/>
    </row>
    <row r="26" spans="1:8" s="186" customFormat="1" ht="12.75">
      <c r="A26" s="4">
        <v>9</v>
      </c>
      <c r="B26" s="187" t="s">
        <v>305</v>
      </c>
      <c r="C26" s="192" t="s">
        <v>306</v>
      </c>
      <c r="D26" s="188">
        <f>+D24*D22</f>
        <v>40651767.58516644</v>
      </c>
      <c r="E26" s="188">
        <f>+E24*E22</f>
        <v>26392225.630847704</v>
      </c>
      <c r="F26" s="188">
        <f>+F24*F22</f>
        <v>25508563.186848804</v>
      </c>
      <c r="G26" s="188">
        <f>+G24*G22</f>
        <v>3302852.8380458895</v>
      </c>
      <c r="H26" s="188">
        <f>+H24*H22</f>
        <v>4604913.048756738</v>
      </c>
    </row>
    <row r="27" ht="12.75">
      <c r="A27" s="10"/>
    </row>
    <row r="28" ht="12.75">
      <c r="A28" s="10"/>
    </row>
    <row r="29" ht="12.75">
      <c r="A29" s="10"/>
    </row>
  </sheetData>
  <printOptions horizontalCentered="1"/>
  <pageMargins left="0.25" right="0.25" top="1.25" bottom="1" header="1.25" footer="0.5"/>
  <pageSetup fitToHeight="1" fitToWidth="1" horizontalDpi="600" verticalDpi="600" orientation="landscape" scale="83" r:id="rId1"/>
  <headerFooter alignWithMargins="0">
    <oddFooter>&amp;L&amp;12Tenth Exhibit to Prefiled
Direct Testimony of James A. Heidell&amp;R&amp;12Exhibit No.___ (JAH-12)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42187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346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116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34" t="str">
        <f>+'Sch 7 Revenue'!E8</f>
        <v>Rates Effective 10-1-03</v>
      </c>
      <c r="F8" s="229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10" ht="12.75">
      <c r="A10" t="s">
        <v>323</v>
      </c>
      <c r="B10" s="235">
        <v>87939.87429718864</v>
      </c>
      <c r="C10" s="235"/>
      <c r="D10" s="235">
        <f>+B10</f>
        <v>87939.87429718864</v>
      </c>
      <c r="E10" s="48">
        <v>24.9</v>
      </c>
      <c r="F10" s="11">
        <f>+E10*D10</f>
        <v>2189702.869999997</v>
      </c>
      <c r="G10" s="233">
        <f>+'Sch 25 Rate Design'!$C$55</f>
        <v>33.5</v>
      </c>
      <c r="H10" s="11">
        <f>+G10*D10</f>
        <v>2945985.7889558193</v>
      </c>
      <c r="I10" s="42">
        <f>+H10-F10</f>
        <v>756282.9189558225</v>
      </c>
      <c r="J10" s="206">
        <f>+I10/F10</f>
        <v>0.3453815261044178</v>
      </c>
    </row>
    <row r="11" spans="6:8" ht="12.75">
      <c r="F11" s="28"/>
      <c r="H11" s="28"/>
    </row>
    <row r="12" spans="1:10" ht="12.75">
      <c r="A12" t="s">
        <v>347</v>
      </c>
      <c r="B12" s="32">
        <v>725287982.5006</v>
      </c>
      <c r="C12" s="32"/>
      <c r="D12" s="32">
        <f>SUM(B12:C12)</f>
        <v>725287982.5006</v>
      </c>
      <c r="E12" s="39">
        <v>0.069616</v>
      </c>
      <c r="F12" s="28">
        <f>+E12*D12</f>
        <v>50491648.189761765</v>
      </c>
      <c r="G12" s="39">
        <f>+'Sch 25 Rate Design'!$D$79</f>
        <v>0.073746</v>
      </c>
      <c r="H12" s="28">
        <f>+G12*D12</f>
        <v>53487087.55748925</v>
      </c>
      <c r="I12" s="30">
        <f>+H12-F12</f>
        <v>2995439.3677274883</v>
      </c>
      <c r="J12" s="204">
        <f>+I12/F12</f>
        <v>0.05932544242702848</v>
      </c>
    </row>
    <row r="13" spans="1:10" ht="12.75">
      <c r="A13" t="s">
        <v>348</v>
      </c>
      <c r="B13" s="32">
        <v>718403627.8185</v>
      </c>
      <c r="C13" s="32"/>
      <c r="D13" s="32">
        <f>SUM(B13:C13)</f>
        <v>718403627.8185</v>
      </c>
      <c r="E13" s="39">
        <v>0.062652</v>
      </c>
      <c r="F13" s="28">
        <f>+E13*D13</f>
        <v>45009424.090084665</v>
      </c>
      <c r="G13" s="39">
        <f>+'Sch 25 Rate Design'!$E$79</f>
        <v>0.066609</v>
      </c>
      <c r="H13" s="28">
        <f>+G13*D13</f>
        <v>47852147.24536247</v>
      </c>
      <c r="I13" s="30">
        <f>+H13-F13</f>
        <v>2842723.1552778035</v>
      </c>
      <c r="J13" s="204">
        <f>+I13/F13</f>
        <v>0.06315839877418117</v>
      </c>
    </row>
    <row r="14" spans="1:10" ht="12.75">
      <c r="A14" s="20" t="s">
        <v>148</v>
      </c>
      <c r="B14" s="32">
        <v>1408084335.5730999</v>
      </c>
      <c r="C14" s="32">
        <v>-2777652.650990819</v>
      </c>
      <c r="D14" s="32">
        <f>SUM(B14:C14)</f>
        <v>1405306682.9221091</v>
      </c>
      <c r="E14" s="39">
        <v>0.05226</v>
      </c>
      <c r="F14" s="28">
        <f>+E14*D14</f>
        <v>73441327.24950942</v>
      </c>
      <c r="G14" s="39">
        <f>+'Sch 25 Rate Design'!$D$80</f>
        <v>0.055958</v>
      </c>
      <c r="H14" s="28">
        <f>+G14*D14</f>
        <v>78638151.36295538</v>
      </c>
      <c r="I14" s="30">
        <f>+H14-F14</f>
        <v>5196824.113445953</v>
      </c>
      <c r="J14" s="204">
        <f>+I14/F14</f>
        <v>0.0707615767317259</v>
      </c>
    </row>
    <row r="15" spans="1:10" ht="12.75">
      <c r="A15" s="20" t="s">
        <v>349</v>
      </c>
      <c r="B15" s="235">
        <f>SUM(B12:B14)</f>
        <v>2851775945.8921995</v>
      </c>
      <c r="C15" s="235">
        <f>SUM(C12:C14)</f>
        <v>-2777652.650990819</v>
      </c>
      <c r="D15" s="235">
        <f>SUM(D12:D14)</f>
        <v>2848998293.241209</v>
      </c>
      <c r="E15" s="48"/>
      <c r="F15" s="11">
        <f>SUM(F12:F14)</f>
        <v>168942399.52935585</v>
      </c>
      <c r="G15" s="233"/>
      <c r="H15" s="11">
        <f>SUM(H12:H14)</f>
        <v>179977386.1658071</v>
      </c>
      <c r="I15" s="42">
        <f>SUM(I12:I14)</f>
        <v>11034986.636451244</v>
      </c>
      <c r="J15" s="206">
        <f>+I15/F15</f>
        <v>0.06531804133949085</v>
      </c>
    </row>
    <row r="16" spans="2:6" ht="12.75">
      <c r="B16" s="34"/>
      <c r="C16" s="34"/>
      <c r="D16" s="34"/>
      <c r="F16" s="30"/>
    </row>
    <row r="17" spans="1:10" ht="12.75">
      <c r="A17" s="20" t="s">
        <v>350</v>
      </c>
      <c r="B17" s="32">
        <v>2125410.9204204204</v>
      </c>
      <c r="C17" s="32"/>
      <c r="D17" s="32">
        <f>+B17</f>
        <v>2125410.9204204204</v>
      </c>
      <c r="E17" s="48">
        <v>6.66</v>
      </c>
      <c r="F17" s="28">
        <f>+E17*D17</f>
        <v>14155236.73</v>
      </c>
      <c r="G17" s="48">
        <f>+'Sch 25 Rate Design'!$D$62</f>
        <v>6.85</v>
      </c>
      <c r="H17" s="28">
        <f>+G17*D17</f>
        <v>14559064.80487988</v>
      </c>
      <c r="I17" s="30">
        <f>+H17-F17</f>
        <v>403828.07487987913</v>
      </c>
      <c r="J17" s="204">
        <f>+I17/F17</f>
        <v>0.028528528528528475</v>
      </c>
    </row>
    <row r="18" spans="1:10" ht="12.75">
      <c r="A18" s="20" t="s">
        <v>351</v>
      </c>
      <c r="B18" s="32">
        <v>2162082.66891892</v>
      </c>
      <c r="C18" s="32"/>
      <c r="D18" s="32">
        <f>+B18</f>
        <v>2162082.66891892</v>
      </c>
      <c r="E18" s="48">
        <v>4.44</v>
      </c>
      <c r="F18" s="28">
        <f>+E18*D18</f>
        <v>9599647.050000006</v>
      </c>
      <c r="G18" s="48">
        <f>+'Sch 25 Rate Design'!$E$62</f>
        <v>4.57</v>
      </c>
      <c r="H18" s="28">
        <f>+G18*D18</f>
        <v>9880717.796959465</v>
      </c>
      <c r="I18" s="30">
        <f>+H18-F18</f>
        <v>281070.74695945904</v>
      </c>
      <c r="J18" s="204">
        <f>+I18/F18</f>
        <v>0.029279279279279216</v>
      </c>
    </row>
    <row r="19" spans="1:10" ht="12.75">
      <c r="A19" s="20" t="s">
        <v>352</v>
      </c>
      <c r="B19" s="235">
        <f>SUM(B17:B18)</f>
        <v>4287493.58933934</v>
      </c>
      <c r="C19" s="235"/>
      <c r="D19" s="235">
        <f>SUM(D17:D18)</f>
        <v>4287493.58933934</v>
      </c>
      <c r="E19" s="48"/>
      <c r="F19" s="11">
        <f>SUM(F17:F18)</f>
        <v>23754883.78000001</v>
      </c>
      <c r="G19" s="233"/>
      <c r="H19" s="11">
        <f>SUM(H17:H18)</f>
        <v>24439782.601839345</v>
      </c>
      <c r="I19" s="42">
        <f>SUM(I17:I18)</f>
        <v>684898.8218393382</v>
      </c>
      <c r="J19" s="206">
        <f>+I19/F19</f>
        <v>0.028831916341176808</v>
      </c>
    </row>
    <row r="20" spans="2:10" ht="12.75">
      <c r="B20" s="128"/>
      <c r="C20" s="128"/>
      <c r="D20" s="128"/>
      <c r="F20" s="14"/>
      <c r="H20" s="14"/>
      <c r="I20" s="14"/>
      <c r="J20" s="207"/>
    </row>
    <row r="21" spans="1:10" ht="12.75">
      <c r="A21" s="20" t="s">
        <v>353</v>
      </c>
      <c r="B21" s="235">
        <v>745499708.1545074</v>
      </c>
      <c r="C21" s="235"/>
      <c r="D21" s="235">
        <f>+B21</f>
        <v>745499708.1545074</v>
      </c>
      <c r="E21" s="132">
        <v>0.00233</v>
      </c>
      <c r="F21" s="11">
        <f>+E21*D21</f>
        <v>1737014.3200000022</v>
      </c>
      <c r="G21" s="132">
        <f>+'Sch 25 Rate Design'!$C$68</f>
        <v>0.0024</v>
      </c>
      <c r="H21" s="11">
        <f>+G21*D21</f>
        <v>1789199.2995708175</v>
      </c>
      <c r="I21" s="42">
        <f>+H21-F21</f>
        <v>52184.97957081534</v>
      </c>
      <c r="J21" s="206">
        <f>+I21/F21</f>
        <v>0.03004291845493552</v>
      </c>
    </row>
    <row r="22" ht="12.75">
      <c r="D22" s="34"/>
    </row>
    <row r="23" spans="1:10" ht="12.75">
      <c r="A23" s="9" t="s">
        <v>82</v>
      </c>
      <c r="D23" s="235">
        <f>+D15</f>
        <v>2848998293.241209</v>
      </c>
      <c r="E23" s="39">
        <v>0.00234</v>
      </c>
      <c r="F23" s="11">
        <f>+E23*D23</f>
        <v>6666656.006184429</v>
      </c>
      <c r="G23" s="132">
        <v>0</v>
      </c>
      <c r="H23" s="11">
        <f>+G23*D23</f>
        <v>0</v>
      </c>
      <c r="I23" s="42">
        <f>+H23-F23</f>
        <v>-6666656.006184429</v>
      </c>
      <c r="J23" s="206">
        <f>+I23/F23</f>
        <v>-1</v>
      </c>
    </row>
    <row r="24" ht="12.75">
      <c r="D24" s="34"/>
    </row>
    <row r="25" spans="1:10" ht="13.5" thickBot="1">
      <c r="A25" t="s">
        <v>326</v>
      </c>
      <c r="D25" s="34"/>
      <c r="F25" s="136">
        <f>SUM(F21,F19,F15,F10,F23)</f>
        <v>203290656.50554028</v>
      </c>
      <c r="H25" s="136">
        <f>SUM(H21,H19,H15,H10,H23)</f>
        <v>209152353.85617307</v>
      </c>
      <c r="I25" s="136">
        <f>SUM(I21,I19,I15,I10,I23)</f>
        <v>5861697.3506327905</v>
      </c>
      <c r="J25" s="208">
        <f>+I25/F25</f>
        <v>0.028834071626272904</v>
      </c>
    </row>
    <row r="26" ht="13.5" thickTop="1"/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3.421875" style="0" bestFit="1" customWidth="1"/>
    <col min="7" max="7" width="10.7109375" style="0" bestFit="1" customWidth="1"/>
    <col min="8" max="8" width="13.421875" style="0" bestFit="1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354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164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34" t="str">
        <f>+'Sch 7 Revenue'!E8</f>
        <v>Rates Effective 10-1-03</v>
      </c>
      <c r="F8" s="229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10" ht="12.75">
      <c r="A10" t="s">
        <v>323</v>
      </c>
      <c r="B10" s="235">
        <v>8698.775601374571</v>
      </c>
      <c r="C10" s="235"/>
      <c r="D10" s="235">
        <f>+B10</f>
        <v>8698.775601374571</v>
      </c>
      <c r="E10" s="48">
        <v>29.1</v>
      </c>
      <c r="F10" s="11">
        <f>+E10*D10</f>
        <v>253134.37000000002</v>
      </c>
      <c r="G10" s="233">
        <f>+'Sch 26 Rate Design'!$C$40</f>
        <v>79</v>
      </c>
      <c r="H10" s="11">
        <f>+G10*D10</f>
        <v>687203.2725085911</v>
      </c>
      <c r="I10" s="42">
        <f>+H10-F10</f>
        <v>434068.90250859107</v>
      </c>
      <c r="J10" s="206">
        <f>+I10/F10</f>
        <v>1.7147766323024054</v>
      </c>
    </row>
    <row r="11" spans="6:8" ht="12.75">
      <c r="F11" s="28"/>
      <c r="H11" s="28"/>
    </row>
    <row r="12" spans="1:10" ht="12.75">
      <c r="A12" s="20" t="s">
        <v>349</v>
      </c>
      <c r="B12" s="205">
        <v>1890378961.9696</v>
      </c>
      <c r="C12" s="205">
        <v>-3556768.427363172</v>
      </c>
      <c r="D12" s="205">
        <f>+C12+B12</f>
        <v>1886822193.5422368</v>
      </c>
      <c r="E12" s="39">
        <v>0.04732</v>
      </c>
      <c r="F12" s="11">
        <f>+E12*D12</f>
        <v>89284426.19841865</v>
      </c>
      <c r="G12" s="39">
        <f>+'Sch 26 Rate Design'!$C$60</f>
        <v>0.050448</v>
      </c>
      <c r="H12" s="11">
        <f>+G12*D12</f>
        <v>95186406.01981877</v>
      </c>
      <c r="I12" s="42">
        <f>+H12-F12</f>
        <v>5901979.821400121</v>
      </c>
      <c r="J12" s="206">
        <f>+I12/F12</f>
        <v>0.06610312764158922</v>
      </c>
    </row>
    <row r="13" spans="2:4" ht="12.75">
      <c r="B13" s="34"/>
      <c r="C13" s="34"/>
      <c r="D13" s="34"/>
    </row>
    <row r="14" spans="1:10" ht="12.75">
      <c r="A14" s="20" t="s">
        <v>355</v>
      </c>
      <c r="B14" s="32">
        <v>2134139.841514701</v>
      </c>
      <c r="C14" s="32"/>
      <c r="D14" s="32">
        <f>+B14</f>
        <v>2134139.841514701</v>
      </c>
      <c r="E14" s="48">
        <v>6.92</v>
      </c>
      <c r="F14" s="28">
        <f>+E14*D14</f>
        <v>14768247.70328173</v>
      </c>
      <c r="G14" s="48">
        <f>+'Sch 26 Rate Design'!$D$46</f>
        <v>6.98</v>
      </c>
      <c r="H14" s="28">
        <f>+G14*D14</f>
        <v>14896296.093772614</v>
      </c>
      <c r="I14" s="30">
        <f>+H14-F14</f>
        <v>128048.39049088396</v>
      </c>
      <c r="J14" s="204">
        <f>+I14/F14</f>
        <v>0.008670520231214002</v>
      </c>
    </row>
    <row r="15" spans="1:10" ht="12.75">
      <c r="A15" s="20" t="s">
        <v>356</v>
      </c>
      <c r="B15" s="32">
        <v>2253129.0427995306</v>
      </c>
      <c r="C15" s="32"/>
      <c r="D15" s="32">
        <f>SUM(B15:C15)</f>
        <v>2253129.0427995306</v>
      </c>
      <c r="E15" s="48">
        <v>4.6</v>
      </c>
      <c r="F15" s="28">
        <f>+E15*D15</f>
        <v>10364393.59687784</v>
      </c>
      <c r="G15" s="48">
        <f>+'Sch 26 Rate Design'!$E$46</f>
        <v>4.64</v>
      </c>
      <c r="H15" s="28">
        <f>+G15*D15</f>
        <v>10454518.758589821</v>
      </c>
      <c r="I15" s="30">
        <f>+H15-F15</f>
        <v>90125.16171198152</v>
      </c>
      <c r="J15" s="204">
        <f>+I15/F15</f>
        <v>0.008695652173913073</v>
      </c>
    </row>
    <row r="16" spans="1:10" ht="12.75">
      <c r="A16" s="20" t="s">
        <v>352</v>
      </c>
      <c r="B16" s="205">
        <f>SUM(B14:B15)</f>
        <v>4387268.884314232</v>
      </c>
      <c r="C16" s="205"/>
      <c r="D16" s="205">
        <f>SUM(D14:D15)</f>
        <v>4387268.884314232</v>
      </c>
      <c r="F16" s="11">
        <f>SUM(F14:F15)</f>
        <v>25132641.30015957</v>
      </c>
      <c r="H16" s="11">
        <f>SUM(H14:H15)</f>
        <v>25350814.852362435</v>
      </c>
      <c r="I16" s="11">
        <f>SUM(I14:I15)</f>
        <v>218173.55220286548</v>
      </c>
      <c r="J16" s="206">
        <f>+I16/F16</f>
        <v>0.008680884336716344</v>
      </c>
    </row>
    <row r="17" spans="2:10" ht="12.75">
      <c r="B17" s="128"/>
      <c r="C17" s="128"/>
      <c r="D17" s="128"/>
      <c r="F17" s="14"/>
      <c r="H17" s="14"/>
      <c r="I17" s="14"/>
      <c r="J17" s="207"/>
    </row>
    <row r="18" spans="1:10" ht="12.75">
      <c r="A18" s="20" t="s">
        <v>353</v>
      </c>
      <c r="B18" s="235">
        <v>934070048.1194694</v>
      </c>
      <c r="C18" s="235"/>
      <c r="D18" s="205">
        <f>+C18+B18</f>
        <v>934070048.1194694</v>
      </c>
      <c r="E18" s="132">
        <v>0.0011</v>
      </c>
      <c r="F18" s="11">
        <f>+E18*D18</f>
        <v>1027477.0529314164</v>
      </c>
      <c r="G18" s="132">
        <f>+'Sch 26 Rate Design'!$C$52</f>
        <v>0.00113</v>
      </c>
      <c r="H18" s="11">
        <f>+G18*D18</f>
        <v>1055499.1543750004</v>
      </c>
      <c r="I18" s="42">
        <f>+H18-F18</f>
        <v>28022.10144358396</v>
      </c>
      <c r="J18" s="206">
        <f>+I18/F18</f>
        <v>0.027272727272727153</v>
      </c>
    </row>
    <row r="19" spans="1:10" ht="12.75">
      <c r="A19" s="20"/>
      <c r="B19" s="236"/>
      <c r="C19" s="236"/>
      <c r="D19" s="128"/>
      <c r="E19" s="132"/>
      <c r="F19" s="14"/>
      <c r="G19" s="132"/>
      <c r="H19" s="14"/>
      <c r="I19" s="135"/>
      <c r="J19" s="207"/>
    </row>
    <row r="20" spans="1:10" ht="12.75">
      <c r="A20" s="9" t="s">
        <v>82</v>
      </c>
      <c r="B20" s="34"/>
      <c r="C20" s="34"/>
      <c r="D20" s="205">
        <f>+D12</f>
        <v>1886822193.5422368</v>
      </c>
      <c r="E20" s="39">
        <v>0.002191</v>
      </c>
      <c r="F20" s="11">
        <f>+E20*D20</f>
        <v>4134027.4260510406</v>
      </c>
      <c r="G20" s="39">
        <v>0</v>
      </c>
      <c r="H20" s="11">
        <f>+G20*D20</f>
        <v>0</v>
      </c>
      <c r="I20" s="42">
        <f>+H20-F20</f>
        <v>-4134027.4260510406</v>
      </c>
      <c r="J20" s="206">
        <f>+I20/F20</f>
        <v>-1</v>
      </c>
    </row>
    <row r="21" ht="12.75">
      <c r="D21" s="34"/>
    </row>
    <row r="22" spans="1:10" ht="13.5" thickBot="1">
      <c r="A22" t="s">
        <v>326</v>
      </c>
      <c r="F22" s="136">
        <f>SUM(F18,F16,F12,F10,F20)</f>
        <v>119831706.34756067</v>
      </c>
      <c r="H22" s="136">
        <f>SUM(H18,H16,H12,H10,H20)</f>
        <v>122279923.2990648</v>
      </c>
      <c r="I22" s="136">
        <f>SUM(I18,I16,I12,I10,I20)</f>
        <v>2448216.951504121</v>
      </c>
      <c r="J22" s="208">
        <f>+I22/F22</f>
        <v>0.0204304605694531</v>
      </c>
    </row>
    <row r="23" ht="13.5" thickTop="1"/>
    <row r="24" ht="12.75">
      <c r="F24" s="30"/>
    </row>
    <row r="25" spans="4:9" ht="12.75">
      <c r="D25" s="34"/>
      <c r="H25" s="30"/>
      <c r="I25" s="39"/>
    </row>
    <row r="26" spans="4:9" ht="12.75">
      <c r="D26" s="34"/>
      <c r="H26" s="30"/>
      <c r="I26" s="39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">
      <selection activeCell="D7" sqref="D7"/>
    </sheetView>
  </sheetViews>
  <sheetFormatPr defaultColWidth="9.140625" defaultRowHeight="12.75"/>
  <cols>
    <col min="1" max="1" width="26.7109375" style="0" bestFit="1" customWidth="1"/>
    <col min="2" max="4" width="11.28125" style="0" bestFit="1" customWidth="1"/>
    <col min="5" max="5" width="11.7109375" style="0" bestFit="1" customWidth="1"/>
    <col min="6" max="6" width="9.7109375" style="0" bestFit="1" customWidth="1"/>
    <col min="7" max="7" width="10.7109375" style="0" bestFit="1" customWidth="1"/>
    <col min="8" max="8" width="9.7109375" style="0" bestFit="1" customWidth="1"/>
    <col min="9" max="9" width="9.28125" style="0" bestFit="1" customWidth="1"/>
    <col min="10" max="10" width="7.85156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357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151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34" t="str">
        <f>+'Sch 7 Revenue'!E8</f>
        <v>Rates Effective 10-1-03</v>
      </c>
      <c r="F8" s="229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10" ht="12.75">
      <c r="A10" s="20" t="s">
        <v>321</v>
      </c>
      <c r="B10" s="203">
        <v>2191.9527272727273</v>
      </c>
      <c r="C10" s="203"/>
      <c r="D10" s="203">
        <f>SUM(B10:C10)</f>
        <v>2191.9527272727273</v>
      </c>
      <c r="E10" s="48">
        <v>5.5</v>
      </c>
      <c r="F10" s="28">
        <f>+E10*D10</f>
        <v>12055.74</v>
      </c>
      <c r="G10" s="233">
        <f>+'Sch 29 Rate Design'!$C$54</f>
        <v>6.5</v>
      </c>
      <c r="H10" s="28">
        <f>+G10*D10</f>
        <v>14247.692727272728</v>
      </c>
      <c r="I10" s="30">
        <f>+H10-F10</f>
        <v>2191.952727272728</v>
      </c>
      <c r="J10" s="204">
        <f>+I10/F10</f>
        <v>0.1818181818181819</v>
      </c>
    </row>
    <row r="11" spans="1:10" ht="12.75">
      <c r="A11" t="s">
        <v>322</v>
      </c>
      <c r="B11" s="203">
        <v>5087.546961325864</v>
      </c>
      <c r="C11" s="203"/>
      <c r="D11" s="203">
        <f>SUM(B11:C11)</f>
        <v>5087.546961325864</v>
      </c>
      <c r="E11" s="48">
        <v>18.1</v>
      </c>
      <c r="F11" s="28">
        <f>+E11*D11</f>
        <v>92084.59999999814</v>
      </c>
      <c r="G11" s="233">
        <f>+'Sch 29 Rate Design'!$C$55</f>
        <v>21.4</v>
      </c>
      <c r="H11" s="28">
        <f>+G11*D11</f>
        <v>108873.50497237348</v>
      </c>
      <c r="I11" s="30">
        <f>+H11-F11</f>
        <v>16788.90497237534</v>
      </c>
      <c r="J11" s="204">
        <f>+I11/F11</f>
        <v>0.18232044198895017</v>
      </c>
    </row>
    <row r="12" spans="1:10" ht="12.75">
      <c r="A12" t="s">
        <v>323</v>
      </c>
      <c r="B12" s="235">
        <f>SUM(B10:B11)</f>
        <v>7279.499688598591</v>
      </c>
      <c r="C12" s="235"/>
      <c r="D12" s="235">
        <f>SUM(D10:D11)</f>
        <v>7279.499688598591</v>
      </c>
      <c r="E12" s="48"/>
      <c r="F12" s="11">
        <f>SUM(F10:F11)</f>
        <v>104140.33999999815</v>
      </c>
      <c r="G12" s="48"/>
      <c r="H12" s="11">
        <f>SUM(H10:H11)</f>
        <v>123121.19769964622</v>
      </c>
      <c r="I12" s="11">
        <f>SUM(I10:I11)</f>
        <v>18980.85769964807</v>
      </c>
      <c r="J12" s="206">
        <f>+I12/F12</f>
        <v>0.18226229816081269</v>
      </c>
    </row>
    <row r="13" spans="6:8" ht="12.75">
      <c r="F13" s="28"/>
      <c r="H13" s="28"/>
    </row>
    <row r="14" spans="1:10" ht="12.75">
      <c r="A14" t="s">
        <v>347</v>
      </c>
      <c r="B14" s="32">
        <v>1692450.5580999998</v>
      </c>
      <c r="C14" s="32"/>
      <c r="D14" s="203">
        <f>SUM(B14:C14)</f>
        <v>1692450.5580999998</v>
      </c>
      <c r="E14" s="39">
        <v>0.069616</v>
      </c>
      <c r="F14" s="28">
        <f>+E14*D14</f>
        <v>117821.63805268958</v>
      </c>
      <c r="G14" s="39">
        <f>+'Sch 29 Rate Design'!$D$84</f>
        <v>0.073746</v>
      </c>
      <c r="H14" s="28">
        <f>+G14*D14</f>
        <v>124811.45885764259</v>
      </c>
      <c r="I14" s="30">
        <f>+H14-F14</f>
        <v>6989.820804953008</v>
      </c>
      <c r="J14" s="204">
        <f>+I14/F14</f>
        <v>0.05932544242702834</v>
      </c>
    </row>
    <row r="15" spans="1:10" ht="12.75">
      <c r="A15" s="20" t="s">
        <v>358</v>
      </c>
      <c r="B15" s="32">
        <v>66057.1333</v>
      </c>
      <c r="C15" s="32">
        <v>151247.37039957766</v>
      </c>
      <c r="D15" s="203">
        <f>SUM(B15:C15)</f>
        <v>217304.50369957765</v>
      </c>
      <c r="E15" s="39">
        <v>0.054356999999999996</v>
      </c>
      <c r="F15" s="28">
        <f>+E15*D15</f>
        <v>11812.020907597942</v>
      </c>
      <c r="G15" s="39">
        <f>+'Sch 29 Rate Design'!$D$85</f>
        <v>0.055958</v>
      </c>
      <c r="H15" s="28">
        <f>+G15*D15</f>
        <v>12159.925418020966</v>
      </c>
      <c r="I15" s="30">
        <f>+H15-F15</f>
        <v>347.9045104230245</v>
      </c>
      <c r="J15" s="204">
        <f>+I15/F15</f>
        <v>0.029453428261309547</v>
      </c>
    </row>
    <row r="16" spans="1:10" ht="12.75">
      <c r="A16" t="s">
        <v>348</v>
      </c>
      <c r="B16" s="32">
        <v>12111556.740400001</v>
      </c>
      <c r="C16" s="32"/>
      <c r="D16" s="203">
        <f>SUM(B16:C16)</f>
        <v>12111556.740400001</v>
      </c>
      <c r="E16" s="39">
        <v>0.047359</v>
      </c>
      <c r="F16" s="28">
        <f>+E16*D16</f>
        <v>573591.2156686037</v>
      </c>
      <c r="G16" s="39">
        <f>+'Sch 29 Rate Design'!$E$84</f>
        <v>0.049057</v>
      </c>
      <c r="H16" s="28">
        <f>+G16*D16</f>
        <v>594156.6390138029</v>
      </c>
      <c r="I16" s="30">
        <f>+H16-F16</f>
        <v>20565.423345199204</v>
      </c>
      <c r="J16" s="204">
        <f>+I16/F16</f>
        <v>0.03585379758863152</v>
      </c>
    </row>
    <row r="17" spans="1:10" ht="12.75">
      <c r="A17" s="20" t="s">
        <v>359</v>
      </c>
      <c r="B17" s="32">
        <v>853168.4782</v>
      </c>
      <c r="C17" s="32">
        <v>190586.8207330787</v>
      </c>
      <c r="D17" s="203">
        <f>SUM(B17:C17)</f>
        <v>1043755.2989330788</v>
      </c>
      <c r="E17" s="39">
        <v>0.041171</v>
      </c>
      <c r="F17" s="28">
        <f>+E17*D17</f>
        <v>42972.44941237378</v>
      </c>
      <c r="G17" s="39">
        <f>+'Sch 29 Rate Design'!$E$85</f>
        <v>0.042358</v>
      </c>
      <c r="H17" s="28">
        <f>+G17*D17</f>
        <v>44211.38695220735</v>
      </c>
      <c r="I17" s="30">
        <f>+H17-F17</f>
        <v>1238.9375398335687</v>
      </c>
      <c r="J17" s="204">
        <f>+I17/F17</f>
        <v>0.02883097325787579</v>
      </c>
    </row>
    <row r="18" spans="1:10" ht="12.75">
      <c r="A18" s="20" t="s">
        <v>349</v>
      </c>
      <c r="B18" s="205">
        <f>SUM(B14:B17)</f>
        <v>14723232.91</v>
      </c>
      <c r="C18" s="205">
        <f>SUM(C14:C17)</f>
        <v>341834.19113265636</v>
      </c>
      <c r="D18" s="205">
        <f>SUM(D14:D17)</f>
        <v>15065067.10113266</v>
      </c>
      <c r="F18" s="11">
        <f>SUM(F14:F17)</f>
        <v>746197.3240412651</v>
      </c>
      <c r="H18" s="11">
        <f>SUM(H14:H17)</f>
        <v>775339.4102416737</v>
      </c>
      <c r="I18" s="11">
        <f>SUM(I14:I17)</f>
        <v>29142.086200408805</v>
      </c>
      <c r="J18" s="206">
        <f>+I18/F18</f>
        <v>0.03905412852806912</v>
      </c>
    </row>
    <row r="19" spans="2:8" ht="12.75">
      <c r="B19" s="34"/>
      <c r="C19" s="34"/>
      <c r="D19" s="34"/>
      <c r="H19" s="237"/>
    </row>
    <row r="20" spans="1:10" ht="12.75">
      <c r="A20" s="20" t="s">
        <v>350</v>
      </c>
      <c r="B20" s="32">
        <v>2025.126126126126</v>
      </c>
      <c r="C20" s="32"/>
      <c r="D20" s="203">
        <f>SUM(B20:C20)</f>
        <v>2025.126126126126</v>
      </c>
      <c r="E20" s="48">
        <v>6.66</v>
      </c>
      <c r="F20" s="28">
        <f>+E20*D20</f>
        <v>13487.34</v>
      </c>
      <c r="G20" s="48">
        <f>+'Sch 29 Rate Design'!$D$67</f>
        <v>6.85</v>
      </c>
      <c r="H20" s="28">
        <f>+G20*D20</f>
        <v>13872.113963963962</v>
      </c>
      <c r="I20" s="30">
        <f>+H20-F20</f>
        <v>384.77396396396216</v>
      </c>
      <c r="J20" s="204">
        <f>+I20/F20</f>
        <v>0.028528528528528396</v>
      </c>
    </row>
    <row r="21" spans="1:10" ht="12.75">
      <c r="A21" s="20" t="s">
        <v>351</v>
      </c>
      <c r="B21" s="32">
        <v>8218.65548780491</v>
      </c>
      <c r="C21" s="32"/>
      <c r="D21" s="203">
        <f>SUM(B21:C21)</f>
        <v>8218.65548780491</v>
      </c>
      <c r="E21" s="48">
        <v>3.28</v>
      </c>
      <c r="F21" s="28">
        <f>+E21*D21</f>
        <v>26957.190000000104</v>
      </c>
      <c r="G21" s="48">
        <f>+'Sch 29 Rate Design'!$E$67</f>
        <v>3.38</v>
      </c>
      <c r="H21" s="28">
        <f>+G21*D21</f>
        <v>27779.055548780594</v>
      </c>
      <c r="I21" s="30">
        <f>+H21-F21</f>
        <v>821.8655487804899</v>
      </c>
      <c r="J21" s="204">
        <f>+I21/F21</f>
        <v>0.03048780487804874</v>
      </c>
    </row>
    <row r="22" spans="1:10" ht="12.75">
      <c r="A22" s="20" t="s">
        <v>352</v>
      </c>
      <c r="B22" s="205">
        <f>SUM(B20:B21)</f>
        <v>10243.781613931036</v>
      </c>
      <c r="C22" s="205"/>
      <c r="D22" s="205">
        <f>SUM(D20:D21)</f>
        <v>10243.781613931036</v>
      </c>
      <c r="F22" s="11">
        <f>SUM(F20:F21)</f>
        <v>40444.5300000001</v>
      </c>
      <c r="H22" s="11">
        <f>SUM(H20:H21)</f>
        <v>41651.16951274456</v>
      </c>
      <c r="I22" s="11">
        <f>SUM(I20:I21)</f>
        <v>1206.639512744452</v>
      </c>
      <c r="J22" s="206">
        <f>+I22/F22</f>
        <v>0.029834430335683195</v>
      </c>
    </row>
    <row r="23" spans="2:10" ht="12.75">
      <c r="B23" s="128"/>
      <c r="C23" s="128"/>
      <c r="D23" s="128"/>
      <c r="F23" s="14"/>
      <c r="H23" s="14"/>
      <c r="I23" s="14"/>
      <c r="J23" s="207"/>
    </row>
    <row r="24" spans="1:10" ht="12.75">
      <c r="A24" s="20" t="s">
        <v>353</v>
      </c>
      <c r="B24" s="235">
        <v>393795.8333333334</v>
      </c>
      <c r="C24" s="235"/>
      <c r="D24" s="235">
        <f>SUM(B24:C24)</f>
        <v>393795.8333333334</v>
      </c>
      <c r="E24" s="132">
        <v>0.0024</v>
      </c>
      <c r="F24" s="11">
        <f>+E24*D24</f>
        <v>945.11</v>
      </c>
      <c r="G24" s="132">
        <f>+'Sch 29 Rate Design'!$C$73</f>
        <v>0.00247</v>
      </c>
      <c r="H24" s="11">
        <f>+G24*D24</f>
        <v>972.6757083333334</v>
      </c>
      <c r="I24" s="42">
        <f>+H24-F24</f>
        <v>27.56570833333342</v>
      </c>
      <c r="J24" s="206">
        <f>+I24/F24</f>
        <v>0.029166666666666757</v>
      </c>
    </row>
    <row r="25" spans="1:10" ht="12.75">
      <c r="A25" s="20"/>
      <c r="B25" s="236"/>
      <c r="C25" s="236"/>
      <c r="D25" s="236"/>
      <c r="E25" s="132"/>
      <c r="F25" s="14"/>
      <c r="G25" s="132"/>
      <c r="H25" s="14"/>
      <c r="I25" s="135"/>
      <c r="J25" s="207"/>
    </row>
    <row r="26" spans="1:10" ht="12.75">
      <c r="A26" s="9" t="s">
        <v>82</v>
      </c>
      <c r="D26" s="235">
        <f>+D18</f>
        <v>15065067.10113266</v>
      </c>
      <c r="E26" s="77">
        <v>0.0015249999999999999</v>
      </c>
      <c r="F26" s="11">
        <f>+E26*D26</f>
        <v>22974.227329227302</v>
      </c>
      <c r="G26" s="77">
        <v>0</v>
      </c>
      <c r="H26" s="11">
        <f>+G26*D26</f>
        <v>0</v>
      </c>
      <c r="I26" s="42">
        <f>+H26-F26</f>
        <v>-22974.227329227302</v>
      </c>
      <c r="J26" s="206">
        <f>+I26/F26</f>
        <v>-1</v>
      </c>
    </row>
    <row r="27" ht="12.75">
      <c r="D27" s="34"/>
    </row>
    <row r="28" spans="1:10" ht="13.5" thickBot="1">
      <c r="A28" t="s">
        <v>326</v>
      </c>
      <c r="F28" s="136">
        <f>SUM(F24,F22,F18,F12,F26)</f>
        <v>914701.5313704906</v>
      </c>
      <c r="H28" s="136">
        <f>SUM(H24,H22,H18,H12,H26)</f>
        <v>941084.4531623978</v>
      </c>
      <c r="I28" s="136">
        <f>SUM(I24,I22,I18,I12,I26)</f>
        <v>26382.921791907356</v>
      </c>
      <c r="J28" s="208">
        <f>+I28/F28</f>
        <v>0.028843202823087024</v>
      </c>
    </row>
    <row r="29" ht="13.5" thickTop="1"/>
    <row r="32" spans="4:9" ht="12.75">
      <c r="D32" s="34"/>
      <c r="H32" s="30"/>
      <c r="I32" s="238"/>
    </row>
    <row r="33" spans="4:9" ht="12.75">
      <c r="D33" s="34"/>
      <c r="H33" s="30"/>
      <c r="I33" s="238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140625" style="0" bestFit="1" customWidth="1"/>
    <col min="2" max="2" width="14.00390625" style="0" bestFit="1" customWidth="1"/>
    <col min="3" max="3" width="11.28125" style="0" bestFit="1" customWidth="1"/>
    <col min="4" max="4" width="14.003906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3.00390625" style="0" customWidth="1"/>
    <col min="9" max="9" width="11.8515625" style="0" bestFit="1" customWidth="1"/>
    <col min="10" max="10" width="7.85156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360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177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34" t="str">
        <f>+'Sch 7 Revenue'!E8</f>
        <v>Rates Effective 10-1-03</v>
      </c>
      <c r="F8" s="229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10" ht="12.75">
      <c r="A10" t="s">
        <v>323</v>
      </c>
      <c r="B10" s="235">
        <v>6077.528599999999</v>
      </c>
      <c r="C10" s="235"/>
      <c r="D10" s="235">
        <f>SUM(B10)</f>
        <v>6077.528599999999</v>
      </c>
      <c r="E10" s="48">
        <v>200</v>
      </c>
      <c r="F10" s="11">
        <f>+E10*D10</f>
        <v>1215505.7199999997</v>
      </c>
      <c r="G10" s="48">
        <f>+'Sch 31 Rate Design'!$C$44</f>
        <v>200</v>
      </c>
      <c r="H10" s="11">
        <f>+G10*D10</f>
        <v>1215505.7199999997</v>
      </c>
      <c r="I10" s="42">
        <f>+H10-F10</f>
        <v>0</v>
      </c>
      <c r="J10" s="206">
        <f>+I10/F10</f>
        <v>0</v>
      </c>
    </row>
    <row r="11" spans="6:8" ht="12.75">
      <c r="F11" s="28"/>
      <c r="H11" s="28"/>
    </row>
    <row r="12" spans="1:10" ht="12.75">
      <c r="A12" s="20" t="s">
        <v>349</v>
      </c>
      <c r="B12" s="205">
        <v>1661414453.1427002</v>
      </c>
      <c r="C12" s="205">
        <v>-3882862.066197941</v>
      </c>
      <c r="D12" s="205">
        <f>SUM(B12:C12)</f>
        <v>1657531591.0765023</v>
      </c>
      <c r="E12" s="39">
        <v>0.042539999999999994</v>
      </c>
      <c r="F12" s="11">
        <f>+D12*E12</f>
        <v>70511393.88439439</v>
      </c>
      <c r="G12" s="39">
        <f>+'Sch 31 Rate Design'!$C$64</f>
        <v>0.047726</v>
      </c>
      <c r="H12" s="11">
        <f>+G12*D12</f>
        <v>79107352.71571715</v>
      </c>
      <c r="I12" s="42">
        <f>+H12-F12</f>
        <v>8595958.83132276</v>
      </c>
      <c r="J12" s="206">
        <f>+I12/F12</f>
        <v>0.12190879172543517</v>
      </c>
    </row>
    <row r="13" spans="2:4" ht="12.75">
      <c r="B13" s="34"/>
      <c r="C13" s="34"/>
      <c r="D13" s="34"/>
    </row>
    <row r="14" spans="1:10" ht="12.75">
      <c r="A14" s="20" t="s">
        <v>355</v>
      </c>
      <c r="B14" s="32">
        <v>1927229.011235914</v>
      </c>
      <c r="C14" s="32"/>
      <c r="D14" s="32">
        <f>SUM(B14:C14)</f>
        <v>1927229.011235914</v>
      </c>
      <c r="E14" s="48">
        <v>6.41</v>
      </c>
      <c r="F14" s="28">
        <f>+E14*D14</f>
        <v>12353537.96202221</v>
      </c>
      <c r="G14" s="48">
        <f>+'Sch 31 Rate Design'!$D$50</f>
        <v>6.5</v>
      </c>
      <c r="H14" s="28">
        <f>+G14*D14</f>
        <v>12526988.57303344</v>
      </c>
      <c r="I14" s="30">
        <f>+H14-F14</f>
        <v>173450.61101123132</v>
      </c>
      <c r="J14" s="204">
        <f>+I14/F14</f>
        <v>0.014040561622464821</v>
      </c>
    </row>
    <row r="15" spans="1:10" ht="12.75">
      <c r="A15" s="20" t="s">
        <v>356</v>
      </c>
      <c r="B15" s="32">
        <v>2019585.6428357824</v>
      </c>
      <c r="C15" s="32"/>
      <c r="D15" s="32">
        <f>SUM(B15:C15)</f>
        <v>2019585.6428357824</v>
      </c>
      <c r="E15" s="48">
        <v>4.27</v>
      </c>
      <c r="F15" s="28">
        <f>+E15*D15</f>
        <v>8623630.69490879</v>
      </c>
      <c r="G15" s="48">
        <f>+'Sch 31 Rate Design'!$E$50</f>
        <v>4.33</v>
      </c>
      <c r="H15" s="28">
        <f>+G15*D15</f>
        <v>8744805.833478937</v>
      </c>
      <c r="I15" s="30">
        <f>+H15-F15</f>
        <v>121175.13857014664</v>
      </c>
      <c r="J15" s="204">
        <f>+I15/F15</f>
        <v>0.014051522248243525</v>
      </c>
    </row>
    <row r="16" spans="1:10" ht="12.75">
      <c r="A16" s="20" t="s">
        <v>352</v>
      </c>
      <c r="B16" s="205">
        <f>SUM(B14:B15)</f>
        <v>3946814.654071696</v>
      </c>
      <c r="C16" s="205"/>
      <c r="D16" s="205">
        <f>SUM(D14:D15)</f>
        <v>3946814.654071696</v>
      </c>
      <c r="F16" s="11">
        <f>SUM(F14:F15)</f>
        <v>20977168.656930998</v>
      </c>
      <c r="H16" s="11">
        <f>SUM(H14:H15)</f>
        <v>21271794.40651238</v>
      </c>
      <c r="I16" s="11">
        <f>SUM(I14:I15)</f>
        <v>294625.74958137795</v>
      </c>
      <c r="J16" s="206">
        <f>+I16/F16</f>
        <v>0.014045067492177103</v>
      </c>
    </row>
    <row r="17" spans="2:10" ht="12.75">
      <c r="B17" s="128"/>
      <c r="C17" s="128"/>
      <c r="D17" s="128"/>
      <c r="F17" s="14"/>
      <c r="H17" s="14"/>
      <c r="I17" s="14"/>
      <c r="J17" s="207"/>
    </row>
    <row r="18" spans="1:10" ht="12.75">
      <c r="A18" s="20" t="s">
        <v>353</v>
      </c>
      <c r="B18" s="235">
        <v>919421179.1755927</v>
      </c>
      <c r="C18" s="235"/>
      <c r="D18" s="235">
        <f>SUM(B18)</f>
        <v>919421179.1755927</v>
      </c>
      <c r="E18" s="132">
        <v>0.0008100000000000001</v>
      </c>
      <c r="F18" s="11">
        <f>+E18*D18</f>
        <v>744731.1551322301</v>
      </c>
      <c r="G18" s="132">
        <f>+'Sch 31 Rate Design'!$C$56</f>
        <v>0.0009</v>
      </c>
      <c r="H18" s="11">
        <f>+G18*D18</f>
        <v>827479.0612580334</v>
      </c>
      <c r="I18" s="42">
        <f>+H18-F18</f>
        <v>82747.90612580325</v>
      </c>
      <c r="J18" s="206">
        <f>+I18/F18</f>
        <v>0.11111111111111097</v>
      </c>
    </row>
    <row r="19" spans="1:10" ht="12.75">
      <c r="A19" s="20"/>
      <c r="B19" s="236"/>
      <c r="C19" s="236"/>
      <c r="D19" s="236"/>
      <c r="E19" s="132"/>
      <c r="F19" s="14"/>
      <c r="G19" s="132"/>
      <c r="H19" s="14"/>
      <c r="I19" s="135"/>
      <c r="J19" s="207"/>
    </row>
    <row r="20" spans="1:10" ht="12.75">
      <c r="A20" s="9" t="s">
        <v>82</v>
      </c>
      <c r="D20" s="235">
        <f>+D12</f>
        <v>1657531591.0765023</v>
      </c>
      <c r="E20" s="39">
        <v>0.002045</v>
      </c>
      <c r="F20" s="11">
        <f>+E20*D20</f>
        <v>3389652.103751447</v>
      </c>
      <c r="G20" s="132">
        <v>0</v>
      </c>
      <c r="H20" s="11">
        <f>+G20*D20</f>
        <v>0</v>
      </c>
      <c r="I20" s="42">
        <f>+H20-F20</f>
        <v>-3389652.103751447</v>
      </c>
      <c r="J20" s="206">
        <f>+I20/F20</f>
        <v>-1</v>
      </c>
    </row>
    <row r="21" ht="12.75">
      <c r="D21" s="34"/>
    </row>
    <row r="22" spans="1:10" ht="13.5" thickBot="1">
      <c r="A22" t="s">
        <v>326</v>
      </c>
      <c r="F22" s="136">
        <f>SUM(F18,F16,F12,F10,F20)</f>
        <v>96838451.52020907</v>
      </c>
      <c r="H22" s="136">
        <f>SUM(H18,H16,H12,H10,H20)</f>
        <v>102422131.90348756</v>
      </c>
      <c r="I22" s="136">
        <f>SUM(I18,I16,I12,I10,I20)</f>
        <v>5583680.383278493</v>
      </c>
      <c r="J22" s="208">
        <f>+I22/F22</f>
        <v>0.0576597446120175</v>
      </c>
    </row>
    <row r="23" ht="13.5" thickTop="1"/>
    <row r="25" spans="4:9" ht="12.75">
      <c r="D25" s="34"/>
      <c r="H25" s="30"/>
      <c r="I25" s="39"/>
    </row>
    <row r="26" spans="4:9" ht="12.75">
      <c r="D26" s="34"/>
      <c r="H26" s="30"/>
      <c r="I26" s="39"/>
    </row>
    <row r="28" ht="12.75">
      <c r="D28" s="34"/>
    </row>
    <row r="29" ht="12.75">
      <c r="D29" s="34"/>
    </row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8515625" style="0" bestFit="1" customWidth="1"/>
    <col min="2" max="2" width="13.8515625" style="0" bestFit="1" customWidth="1"/>
    <col min="3" max="3" width="11.7109375" style="0" bestFit="1" customWidth="1"/>
    <col min="4" max="4" width="13.28125" style="0" bestFit="1" customWidth="1"/>
    <col min="5" max="5" width="11.28125" style="0" bestFit="1" customWidth="1"/>
    <col min="6" max="6" width="13.28125" style="0" bestFit="1" customWidth="1"/>
    <col min="7" max="7" width="9.7109375" style="0" bestFit="1" customWidth="1"/>
    <col min="8" max="8" width="7.8515625" style="0" bestFit="1" customWidth="1"/>
  </cols>
  <sheetData>
    <row r="1" spans="1:8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</row>
    <row r="2" spans="1:8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</row>
    <row r="3" spans="1:8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</row>
    <row r="4" spans="1:8" ht="12.75">
      <c r="A4" s="1" t="s">
        <v>361</v>
      </c>
      <c r="B4" s="1"/>
      <c r="C4" s="1"/>
      <c r="D4" s="1"/>
      <c r="E4" s="1"/>
      <c r="F4" s="1"/>
      <c r="G4" s="1"/>
      <c r="H4" s="1"/>
    </row>
    <row r="5" spans="1:8" ht="12.75">
      <c r="A5" s="1" t="s">
        <v>188</v>
      </c>
      <c r="B5" s="1"/>
      <c r="C5" s="1"/>
      <c r="D5" s="1"/>
      <c r="E5" s="1"/>
      <c r="F5" s="1"/>
      <c r="G5" s="1"/>
      <c r="H5" s="1"/>
    </row>
    <row r="7" spans="3:8" ht="12.75">
      <c r="C7" s="193" t="str">
        <f>+'Sch 7 Revenue'!E7</f>
        <v>Proforma</v>
      </c>
      <c r="D7" s="224"/>
      <c r="E7" s="225" t="str">
        <f>+'Sch 7 Revenue'!G7</f>
        <v>Proposed</v>
      </c>
      <c r="F7" s="224"/>
      <c r="G7" s="22"/>
      <c r="H7" s="22"/>
    </row>
    <row r="8" spans="2:8" ht="12.75">
      <c r="B8" s="10" t="s">
        <v>362</v>
      </c>
      <c r="C8" s="234" t="str">
        <f>+'Sch 7 Revenue'!E8</f>
        <v>Rates Effective 10-1-03</v>
      </c>
      <c r="D8" s="229"/>
      <c r="E8" s="228" t="str">
        <f>+'Sch 7 Revenue'!G8</f>
        <v>Rates Effective 2005</v>
      </c>
      <c r="F8" s="229"/>
      <c r="G8" s="230" t="str">
        <f>+'Sch 7 Revenue'!I8</f>
        <v>Differences</v>
      </c>
      <c r="H8" s="231"/>
    </row>
    <row r="9" spans="1:8" ht="12.75">
      <c r="A9" s="200"/>
      <c r="B9" s="196" t="s">
        <v>363</v>
      </c>
      <c r="C9" s="230" t="str">
        <f>+'Sch 7 Revenue'!E9</f>
        <v>Charge</v>
      </c>
      <c r="D9" s="224" t="str">
        <f>+'Sch 7 Revenue'!F9</f>
        <v>Revenue</v>
      </c>
      <c r="E9" s="232" t="str">
        <f>+'Sch 7 Revenue'!G9</f>
        <v>Charge</v>
      </c>
      <c r="F9" s="224" t="str">
        <f>+'Sch 7 Revenue'!H9</f>
        <v>Revenue</v>
      </c>
      <c r="G9" s="225" t="str">
        <f>+'Sch 7 Revenue'!I9</f>
        <v>$</v>
      </c>
      <c r="H9" s="224" t="str">
        <f>+'Sch 7 Revenue'!J9</f>
        <v>%</v>
      </c>
    </row>
    <row r="10" spans="1:8" ht="12.75">
      <c r="A10" t="s">
        <v>323</v>
      </c>
      <c r="B10" s="235">
        <v>12</v>
      </c>
      <c r="C10" s="48">
        <v>200</v>
      </c>
      <c r="D10" s="11">
        <f>+C10*B10</f>
        <v>2400</v>
      </c>
      <c r="E10" s="178">
        <f>+'Sch 35 Rate Design'!$C$38</f>
        <v>200</v>
      </c>
      <c r="F10" s="11">
        <f>+E10*B10</f>
        <v>2400</v>
      </c>
      <c r="G10" s="42">
        <f>+F10-D10</f>
        <v>0</v>
      </c>
      <c r="H10" s="206">
        <f>+G10/D10</f>
        <v>0</v>
      </c>
    </row>
    <row r="11" spans="4:6" ht="12.75">
      <c r="D11" s="28"/>
      <c r="F11" s="28"/>
    </row>
    <row r="12" spans="1:8" ht="12.75">
      <c r="A12" s="20" t="s">
        <v>349</v>
      </c>
      <c r="B12" s="205">
        <v>4966200</v>
      </c>
      <c r="C12" s="238">
        <v>0.033147</v>
      </c>
      <c r="D12" s="11">
        <f>+C12*B12</f>
        <v>164614.6314</v>
      </c>
      <c r="E12" s="238">
        <f>+'Sch 35 Rate Design'!$C$61</f>
        <v>0.03709</v>
      </c>
      <c r="F12" s="11">
        <f>+E12*B12</f>
        <v>184196.35799999998</v>
      </c>
      <c r="G12" s="42">
        <f>+F12-D12</f>
        <v>19581.726599999965</v>
      </c>
      <c r="H12" s="206">
        <f>+G12/D12</f>
        <v>0.11895495821642962</v>
      </c>
    </row>
    <row r="13" ht="12.75">
      <c r="B13" s="34"/>
    </row>
    <row r="14" spans="1:8" ht="12.75">
      <c r="A14" s="20" t="s">
        <v>355</v>
      </c>
      <c r="B14" s="32">
        <v>1064.7927927927929</v>
      </c>
      <c r="C14" s="48">
        <v>3.33</v>
      </c>
      <c r="D14" s="28">
        <f>+C14*B14</f>
        <v>3545.76</v>
      </c>
      <c r="E14" s="178">
        <f>+'Sch 35 Rate Design'!$C$46</f>
        <v>3.57</v>
      </c>
      <c r="F14" s="28">
        <f>+E14*B14</f>
        <v>3801.3102702702704</v>
      </c>
      <c r="G14" s="30">
        <f>+F14-D14</f>
        <v>255.55027027027018</v>
      </c>
      <c r="H14" s="204">
        <f>+G14/D14</f>
        <v>0.07207207207207204</v>
      </c>
    </row>
    <row r="15" spans="1:8" ht="12.75">
      <c r="A15" s="20" t="s">
        <v>356</v>
      </c>
      <c r="B15" s="32">
        <v>8009.004504504505</v>
      </c>
      <c r="C15" s="48">
        <v>2.22</v>
      </c>
      <c r="D15" s="28">
        <f>+C15*B15</f>
        <v>17779.990000000005</v>
      </c>
      <c r="E15" s="178">
        <f>+'Sch 35 Rate Design'!$C$47</f>
        <v>2.38</v>
      </c>
      <c r="F15" s="28">
        <f>+E15*B15</f>
        <v>19061.43072072072</v>
      </c>
      <c r="G15" s="30">
        <f>+F15-D15</f>
        <v>1281.440720720715</v>
      </c>
      <c r="H15" s="204">
        <f>+G15/D15</f>
        <v>0.07207207207207172</v>
      </c>
    </row>
    <row r="16" spans="1:8" ht="12.75">
      <c r="A16" s="20" t="s">
        <v>352</v>
      </c>
      <c r="B16" s="205">
        <f>SUM(B14:B15)</f>
        <v>9073.797297297298</v>
      </c>
      <c r="D16" s="11">
        <f>SUM(D14:D15)</f>
        <v>21325.750000000007</v>
      </c>
      <c r="F16" s="11">
        <f>SUM(F14:F15)</f>
        <v>22862.74099099099</v>
      </c>
      <c r="G16" s="11">
        <f>SUM(G14:G15)</f>
        <v>1536.9909909909852</v>
      </c>
      <c r="H16" s="206">
        <f>+G16/D16</f>
        <v>0.07207207207207178</v>
      </c>
    </row>
    <row r="17" spans="2:8" ht="12.75">
      <c r="B17" s="128"/>
      <c r="D17" s="14"/>
      <c r="F17" s="14"/>
      <c r="G17" s="14"/>
      <c r="H17" s="207"/>
    </row>
    <row r="18" spans="1:8" ht="12.75">
      <c r="A18" s="20" t="s">
        <v>353</v>
      </c>
      <c r="B18" s="235">
        <v>2344204.8192771086</v>
      </c>
      <c r="C18" s="132">
        <v>0.00083</v>
      </c>
      <c r="D18" s="11">
        <f>+C18*B18</f>
        <v>1945.6900000000003</v>
      </c>
      <c r="E18" s="132">
        <f>+'Sch 35 Rate Design'!$C$53</f>
        <v>0.00088</v>
      </c>
      <c r="F18" s="11">
        <f>+E18*B18</f>
        <v>2062.9002409638556</v>
      </c>
      <c r="G18" s="42">
        <f>+F18-D18</f>
        <v>117.21024096385531</v>
      </c>
      <c r="H18" s="206">
        <f>+G18/D18</f>
        <v>0.060240963855421624</v>
      </c>
    </row>
    <row r="19" spans="1:8" ht="12.75">
      <c r="A19" s="20"/>
      <c r="B19" s="236"/>
      <c r="C19" s="132"/>
      <c r="D19" s="14"/>
      <c r="E19" s="132"/>
      <c r="F19" s="14"/>
      <c r="G19" s="135"/>
      <c r="H19" s="207"/>
    </row>
    <row r="20" spans="1:8" ht="12.75">
      <c r="A20" s="9" t="s">
        <v>82</v>
      </c>
      <c r="B20" s="235">
        <f>+B12</f>
        <v>4966200</v>
      </c>
      <c r="C20" s="132">
        <v>0.001954</v>
      </c>
      <c r="D20" s="11">
        <f>+C20*B20</f>
        <v>9703.9548</v>
      </c>
      <c r="E20" s="132">
        <v>0</v>
      </c>
      <c r="F20" s="11">
        <f>+E20*B20</f>
        <v>0</v>
      </c>
      <c r="G20" s="42">
        <f>+F20-D20</f>
        <v>-9703.9548</v>
      </c>
      <c r="H20" s="206">
        <f>+G20/D20</f>
        <v>-1</v>
      </c>
    </row>
    <row r="21" ht="12.75">
      <c r="B21" s="34"/>
    </row>
    <row r="22" spans="1:8" ht="13.5" thickBot="1">
      <c r="A22" t="s">
        <v>326</v>
      </c>
      <c r="D22" s="136">
        <f>SUM(D18,D16,D12,D10,D20)</f>
        <v>199990.02620000002</v>
      </c>
      <c r="F22" s="136">
        <f>SUM(F18,F16,F12,F10,F20)</f>
        <v>211521.99923195483</v>
      </c>
      <c r="G22" s="136">
        <f>SUM(G18,G16,G12,G10,G20)</f>
        <v>11531.973031954807</v>
      </c>
      <c r="H22" s="208">
        <f>+G22/D22</f>
        <v>0.057662740742992144</v>
      </c>
    </row>
    <row r="23" ht="13.5" thickTop="1"/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 topLeftCell="A1">
      <selection activeCell="D7" sqref="D7"/>
    </sheetView>
  </sheetViews>
  <sheetFormatPr defaultColWidth="9.140625" defaultRowHeight="12.75"/>
  <cols>
    <col min="1" max="1" width="24.140625" style="0" bestFit="1" customWidth="1"/>
    <col min="2" max="2" width="12.28125" style="0" bestFit="1" customWidth="1"/>
    <col min="3" max="3" width="11.28125" style="0" bestFit="1" customWidth="1"/>
    <col min="4" max="4" width="12.2812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  <col min="8" max="8" width="12.28125" style="0" bestFit="1" customWidth="1"/>
    <col min="9" max="9" width="11.7109375" style="0" customWidth="1"/>
    <col min="10" max="10" width="7.8515625" style="0" bestFit="1" customWidth="1"/>
  </cols>
  <sheetData>
    <row r="1" spans="1:10" ht="12.75">
      <c r="A1" s="1" t="str">
        <f>+'Sch 7 Revenue'!A1</f>
        <v>Puget Sound Energy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tr">
        <f>+'Sch 7 Revenue'!A2</f>
        <v>Proforma and Proposed Revenue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tr">
        <f>+'Sch 7 Revenue'!A3</f>
        <v>Twelve Months ended September 30, 2003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 t="s">
        <v>364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197</v>
      </c>
      <c r="B5" s="1"/>
      <c r="C5" s="1"/>
      <c r="D5" s="1"/>
      <c r="E5" s="1"/>
      <c r="F5" s="1"/>
      <c r="G5" s="1"/>
      <c r="H5" s="1"/>
      <c r="I5" s="1"/>
      <c r="J5" s="1"/>
    </row>
    <row r="7" spans="2:10" ht="12.75">
      <c r="B7" s="35" t="s">
        <v>309</v>
      </c>
      <c r="C7" s="36"/>
      <c r="D7" s="37"/>
      <c r="E7" s="193" t="str">
        <f>+'Sch 7 Revenue'!E7</f>
        <v>Proforma</v>
      </c>
      <c r="F7" s="224"/>
      <c r="G7" s="225" t="str">
        <f>+'Sch 7 Revenue'!G7</f>
        <v>Proposed</v>
      </c>
      <c r="H7" s="224"/>
      <c r="I7" s="22"/>
      <c r="J7" s="22"/>
    </row>
    <row r="8" spans="3:10" ht="12.75">
      <c r="C8" s="23" t="s">
        <v>312</v>
      </c>
      <c r="D8" s="196"/>
      <c r="E8" s="234" t="str">
        <f>+'Sch 7 Revenue'!E8</f>
        <v>Rates Effective 10-1-03</v>
      </c>
      <c r="F8" s="229"/>
      <c r="G8" s="228" t="str">
        <f>+'Sch 7 Revenue'!G8</f>
        <v>Rates Effective 2005</v>
      </c>
      <c r="H8" s="229"/>
      <c r="I8" s="230" t="str">
        <f>+'Sch 7 Revenue'!I8</f>
        <v>Differences</v>
      </c>
      <c r="J8" s="231"/>
    </row>
    <row r="9" spans="1:10" ht="12.75">
      <c r="A9" s="200"/>
      <c r="B9" s="200"/>
      <c r="C9" s="200" t="s">
        <v>316</v>
      </c>
      <c r="D9" s="200" t="s">
        <v>71</v>
      </c>
      <c r="E9" s="230" t="str">
        <f>+'Sch 7 Revenue'!E9</f>
        <v>Charge</v>
      </c>
      <c r="F9" s="231" t="str">
        <f>+'Sch 7 Revenue'!F9</f>
        <v>Revenue</v>
      </c>
      <c r="G9" s="232" t="str">
        <f>+'Sch 7 Revenue'!G9</f>
        <v>Charge</v>
      </c>
      <c r="H9" s="231" t="str">
        <f>+'Sch 7 Revenue'!H9</f>
        <v>Revenue</v>
      </c>
      <c r="I9" s="232" t="str">
        <f>+'Sch 7 Revenue'!I9</f>
        <v>$</v>
      </c>
      <c r="J9" s="231" t="str">
        <f>+'Sch 7 Revenue'!J9</f>
        <v>%</v>
      </c>
    </row>
    <row r="10" spans="1:10" ht="12.75">
      <c r="A10" t="s">
        <v>323</v>
      </c>
      <c r="B10" s="235">
        <v>2388.0666</v>
      </c>
      <c r="C10" s="235"/>
      <c r="D10" s="235">
        <f>SUM(B10:C10)</f>
        <v>2388.0666</v>
      </c>
      <c r="E10" s="48">
        <v>200</v>
      </c>
      <c r="F10" s="11">
        <f>+E10*D10</f>
        <v>477613.32</v>
      </c>
      <c r="G10" s="48">
        <f>+'Sch 43 Rate Design'!$C$40</f>
        <v>200</v>
      </c>
      <c r="H10" s="11">
        <f>+G10*D10</f>
        <v>477613.32</v>
      </c>
      <c r="I10" s="42">
        <f>+H10-F10</f>
        <v>0</v>
      </c>
      <c r="J10" s="206">
        <f>+I10/F10</f>
        <v>0</v>
      </c>
    </row>
    <row r="11" spans="6:8" ht="12.75">
      <c r="F11" s="28"/>
      <c r="H11" s="28"/>
    </row>
    <row r="12" spans="1:10" ht="12.75">
      <c r="A12" s="20" t="s">
        <v>349</v>
      </c>
      <c r="B12" s="205">
        <v>175656470.41949996</v>
      </c>
      <c r="C12" s="205">
        <v>14036294.438764367</v>
      </c>
      <c r="D12" s="235">
        <f>SUM(B12:C12)</f>
        <v>189692764.85826433</v>
      </c>
      <c r="E12" s="39">
        <v>0.040898000000000004</v>
      </c>
      <c r="F12" s="11">
        <f>+E12*D12</f>
        <v>7758054.697173296</v>
      </c>
      <c r="G12" s="39">
        <f>+'Sch 43 Rate Design'!$C$60</f>
        <v>0.048275</v>
      </c>
      <c r="H12" s="11">
        <f>+G12*D12</f>
        <v>9157418.22353271</v>
      </c>
      <c r="I12" s="42">
        <f>+H12-F12</f>
        <v>1399363.5263594147</v>
      </c>
      <c r="J12" s="206">
        <f>+I12/F12</f>
        <v>0.18037556848745642</v>
      </c>
    </row>
    <row r="13" spans="2:4" ht="12.75">
      <c r="B13" s="34"/>
      <c r="C13" s="34"/>
      <c r="D13" s="34"/>
    </row>
    <row r="14" spans="1:10" ht="12.75">
      <c r="A14" s="20" t="s">
        <v>352</v>
      </c>
      <c r="B14" s="205">
        <v>864944.7382920106</v>
      </c>
      <c r="C14" s="205"/>
      <c r="D14" s="235">
        <f>SUM(B14:C14)</f>
        <v>864944.7382920106</v>
      </c>
      <c r="E14" s="48">
        <v>3.63</v>
      </c>
      <c r="F14" s="11">
        <f>+E14*D14</f>
        <v>3139749.3999999985</v>
      </c>
      <c r="G14" s="48">
        <f>+'Sch 43 Rate Design'!$C$46</f>
        <v>3.68</v>
      </c>
      <c r="H14" s="11">
        <f>+G14*D14</f>
        <v>3182996.636914599</v>
      </c>
      <c r="I14" s="42">
        <f>+H14-F14</f>
        <v>43247.23691460071</v>
      </c>
      <c r="J14" s="206">
        <f>+I14/F14</f>
        <v>0.01377410468319565</v>
      </c>
    </row>
    <row r="15" spans="2:10" ht="12.75">
      <c r="B15" s="128"/>
      <c r="C15" s="128"/>
      <c r="D15" s="128"/>
      <c r="F15" s="14"/>
      <c r="H15" s="14"/>
      <c r="I15" s="14"/>
      <c r="J15" s="207"/>
    </row>
    <row r="16" spans="1:10" ht="12.75">
      <c r="A16" s="20" t="s">
        <v>353</v>
      </c>
      <c r="B16" s="235">
        <v>82811957.44680853</v>
      </c>
      <c r="C16" s="235"/>
      <c r="D16" s="235">
        <f>SUM(B16:C16)</f>
        <v>82811957.44680853</v>
      </c>
      <c r="E16" s="132">
        <v>0.0023499999999999997</v>
      </c>
      <c r="F16" s="11">
        <f>+E16*D16</f>
        <v>194608.10000000003</v>
      </c>
      <c r="G16" s="132">
        <f>+'Sch 43 Rate Design'!$C$52</f>
        <v>0.00255</v>
      </c>
      <c r="H16" s="11">
        <f>+G16*D16</f>
        <v>211170.49148936177</v>
      </c>
      <c r="I16" s="42">
        <f>+H16-F16</f>
        <v>16562.391489361733</v>
      </c>
      <c r="J16" s="206">
        <f>+I16/F16</f>
        <v>0.08510638297872354</v>
      </c>
    </row>
    <row r="17" ht="12.75">
      <c r="D17" s="34"/>
    </row>
    <row r="18" spans="1:10" ht="12.75">
      <c r="A18" s="9" t="s">
        <v>82</v>
      </c>
      <c r="D18" s="235">
        <f>+D12</f>
        <v>189692764.85826433</v>
      </c>
      <c r="E18" s="39">
        <v>0.002223</v>
      </c>
      <c r="F18" s="11">
        <f>+E18*D18</f>
        <v>421687.01627992163</v>
      </c>
      <c r="G18" s="39">
        <v>0</v>
      </c>
      <c r="H18" s="11">
        <f>+G18*D18</f>
        <v>0</v>
      </c>
      <c r="I18" s="42">
        <f>+H18-F18</f>
        <v>-421687.01627992163</v>
      </c>
      <c r="J18" s="206">
        <f>+I18/F18</f>
        <v>-1</v>
      </c>
    </row>
    <row r="19" ht="12.75">
      <c r="D19" s="34"/>
    </row>
    <row r="20" spans="1:10" ht="13.5" thickBot="1">
      <c r="A20" t="s">
        <v>326</v>
      </c>
      <c r="F20" s="136">
        <f>SUM(F16,F14,F12,F10,F18)</f>
        <v>11991712.533453215</v>
      </c>
      <c r="H20" s="136">
        <f>SUM(H16,H14,H12,H10,H18)</f>
        <v>13029198.671936672</v>
      </c>
      <c r="I20" s="136">
        <f>SUM(I16,I14,I12,I10,I18)</f>
        <v>1037486.1384834554</v>
      </c>
      <c r="J20" s="208">
        <f>+I20/F20</f>
        <v>0.08651692871966252</v>
      </c>
    </row>
    <row r="21" ht="13.5" thickTop="1"/>
  </sheetData>
  <printOptions horizontalCentered="1"/>
  <pageMargins left="0.25" right="0.25" top="1.25" bottom="1" header="1.25" footer="0.5"/>
  <pageSetup fitToHeight="1" fitToWidth="1" horizontalDpi="600" verticalDpi="600" orientation="landscape" r:id="rId1"/>
  <headerFooter alignWithMargins="0">
    <oddFooter>&amp;LTenth Exhibit to Prefiled
Direct Testimony of James A. Heidell&amp;RExhibit No.___ (JAH-12)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J. Heidell Ex. (JAH-12)</dc:title>
  <dc:subject>8</dc:subject>
  <dc:creator>Platt, Brian</dc:creator>
  <cp:keywords>07771-0089-000000</cp:keywords>
  <dc:description/>
  <cp:lastModifiedBy>No Name</cp:lastModifiedBy>
  <cp:lastPrinted>2004-06-01T20:50:14Z</cp:lastPrinted>
  <dcterms:created xsi:type="dcterms:W3CDTF">2004-05-20T17:06:19Z</dcterms:created>
  <dcterms:modified xsi:type="dcterms:W3CDTF">2004-06-01T16:03:29Z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Master Draft J. Heidell Ex. (JAH-12)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8</vt:lpwstr>
  </property>
  <property fmtid="{D5CDD505-2E9C-101B-9397-08002B2CF9AE}" pid="19" name="typist">
    <vt:lpwstr>Platt, Brian</vt:lpwstr>
  </property>
  <property fmtid="{D5CDD505-2E9C-101B-9397-08002B2CF9AE}" pid="20" name="filename">
    <vt:lpwstr>BA041490.047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040640</vt:lpwstr>
  </property>
  <property fmtid="{D5CDD505-2E9C-101B-9397-08002B2CF9AE}" pid="24" name="IsConfidential">
    <vt:lpwstr>0</vt:lpwstr>
  </property>
  <property fmtid="{D5CDD505-2E9C-101B-9397-08002B2CF9AE}" pid="25" name="Date1">
    <vt:lpwstr>2004-06-02T00:00:00Z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UG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150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