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5"/>
  </bookViews>
  <sheets>
    <sheet name="2004" sheetId="1" r:id="rId1"/>
    <sheet name="2005" sheetId="2" r:id="rId2"/>
    <sheet name="2006" sheetId="3" r:id="rId3"/>
    <sheet name="2007" sheetId="4" r:id="rId4"/>
    <sheet name="2008" sheetId="5" r:id="rId5"/>
    <sheet name="Summary" sheetId="6" r:id="rId6"/>
  </sheets>
  <definedNames>
    <definedName name="TableName">"Dummy"</definedName>
  </definedNames>
  <calcPr fullCalcOnLoad="1"/>
</workbook>
</file>

<file path=xl/sharedStrings.xml><?xml version="1.0" encoding="utf-8"?>
<sst xmlns="http://schemas.openxmlformats.org/spreadsheetml/2006/main" count="130" uniqueCount="80">
  <si>
    <t>Usage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</si>
  <si>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</si>
  <si>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</si>
  <si>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</si>
  <si>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</si>
  <si>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</si>
  <si>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</si>
  <si>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</si>
  <si>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</si>
  <si>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</si>
  <si>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</si>
  <si>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</si>
  <si>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</si>
  <si>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12 Month Total</t>
  </si>
  <si>
    <t>RevClsDesc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</si>
  <si>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</si>
  <si>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</si>
  <si>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</si>
  <si>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</si>
  <si>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</si>
  <si>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</si>
  <si>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</si>
  <si>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</si>
  <si>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</si>
  <si>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</si>
  <si>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</si>
  <si>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</si>
  <si>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</si>
  <si>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</si>
  <si>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</si>
  <si>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</si>
  <si>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</si>
  <si>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</si>
  <si>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</si>
  <si>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</si>
  <si>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</si>
  <si>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</si>
  <si>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</si>
  <si>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</si>
  <si>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</si>
  <si>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</si>
  <si>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</si>
  <si>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</si>
  <si>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</si>
  <si>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</si>
  <si>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</si>
  <si>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</si>
  <si>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</si>
  <si>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</si>
  <si>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</si>
  <si>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</si>
  <si>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</si>
  <si>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</si>
  <si>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</si>
  <si>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</si>
  <si>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</si>
  <si>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</si>
  <si>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</si>
  <si>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</si>
  <si>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</si>
  <si>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Sch 191 Surcharge</t>
  </si>
  <si>
    <t>Sch 191 Revenue</t>
  </si>
  <si>
    <t>111/112</t>
  </si>
  <si>
    <t>121/122</t>
  </si>
  <si>
    <t>131/132</t>
  </si>
  <si>
    <t>Revision</t>
  </si>
  <si>
    <t>Third</t>
  </si>
  <si>
    <t>Fourth</t>
  </si>
  <si>
    <t>Fifth</t>
  </si>
  <si>
    <t>Sixth</t>
  </si>
  <si>
    <t>Seventh</t>
  </si>
  <si>
    <t>Effective Date</t>
  </si>
  <si>
    <t>LIHEAP/LIRAP</t>
  </si>
  <si>
    <t>Limited Income DSM</t>
  </si>
  <si>
    <t>Schedule 101</t>
  </si>
  <si>
    <t>Table K11-B WA Schedule 191 DSM Tariff Revenue</t>
  </si>
  <si>
    <t>WA Schedule 191 DSM Tariff Surcharge History</t>
  </si>
  <si>
    <t>200810</t>
  </si>
  <si>
    <t>200811</t>
  </si>
  <si>
    <t>200812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</si>
</sst>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,###,###,##0"/>
    <numFmt numFmtId="165" formatCode="#,###,###,##0"/>
    <numFmt numFmtId="166" formatCode="_(* #,##0.0_);_(* \(#,##0.0\);_(* &quot;-&quot;??_);_(@_)"/>
    <numFmt numFmtId="167" formatCode="_(* #,##0_);_(* \(#,##0\);_(* &quot;-&quot;??_);_(@_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0000_);_(&quot;$&quot;* \(#,##0.00000\);_(&quot;$&quot;* &quot;-&quot;??_);_(@_)"/>
    <numFmt numFmtId="171" formatCode="_(* #,##0.00000_);_(* \(#,##0.00000\);_(* &quot;-&quot;???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_(&quot;$&quot;* #,##0.000000_);_(&quot;$&quot;* \(#,##0.000000\);_(&quot;$&quot;* &quot;-&quot;??_);_(@_)"/>
    <numFmt numFmtId="175" formatCode="#,###,###,##0.0"/>
    <numFmt numFmtId="176" formatCode="#,###,###,##0.00"/>
    <numFmt numFmtId="177" formatCode="#,###,###,##0.000"/>
    <numFmt numFmtId="178" formatCode="#,###,###,##0.0000"/>
    <numFmt numFmtId="179" formatCode="#,###,###,##0.00000"/>
    <numFmt numFmtId="180" formatCode="[$-409]dddd\,\ mmmm\ dd\,\ yyyy"/>
    <numFmt numFmtId="181" formatCode="[$-409]mmmm\ d\,\ yyyy;@"/>
    <numFmt numFmtId="182" formatCode="mm/dd/yy;@"/>
    <numFmt numFmtId="183" formatCode="0.0%"/>
    <numFmt numFmtId="184" formatCode="&quot;$&quot;#,##0.0_);\(&quot;$&quot;#,##0.0\)"/>
  </numFmts>
  <fonts count="11">
    <font>
      <sz val="10"/>
      <name val="Arial"/>
      <family val="2"/>
    </font>
    <font>
      <sz val="10"/>
      <name val="Tahoma"/>
      <family val="2"/>
    </font>
    <font>
      <sz val="10"/>
      <color indexed="8"/>
      <name val="Times New Roman"/>
      <family val="1"/>
    </font>
    <font>
      <sz val="1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16"/>
      <name val="Arial"/>
      <family val="2"/>
    </font>
    <font>
      <b/>
      <sz val="10"/>
      <color indexed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ck">
        <color indexed="21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right" vertical="top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right" vertical="top"/>
    </xf>
    <xf numFmtId="0" fontId="2" fillId="0" borderId="6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right" vertical="top"/>
    </xf>
    <xf numFmtId="165" fontId="2" fillId="0" borderId="6" xfId="0" applyNumberFormat="1" applyFont="1" applyFill="1" applyBorder="1" applyAlignment="1">
      <alignment horizontal="right" vertical="top"/>
    </xf>
    <xf numFmtId="170" fontId="2" fillId="0" borderId="6" xfId="17" applyNumberFormat="1" applyFont="1" applyFill="1" applyBorder="1" applyAlignment="1">
      <alignment horizontal="right" vertical="top"/>
    </xf>
    <xf numFmtId="173" fontId="2" fillId="0" borderId="6" xfId="17" applyNumberFormat="1" applyFont="1" applyFill="1" applyBorder="1" applyAlignment="1">
      <alignment horizontal="right" vertical="top"/>
    </xf>
    <xf numFmtId="179" fontId="2" fillId="0" borderId="6" xfId="0" applyNumberFormat="1" applyFont="1" applyFill="1" applyBorder="1" applyAlignment="1">
      <alignment horizontal="right" vertical="top"/>
    </xf>
    <xf numFmtId="0" fontId="4" fillId="2" borderId="7" xfId="0" applyFont="1" applyFill="1" applyBorder="1" applyAlignment="1">
      <alignment/>
    </xf>
    <xf numFmtId="0" fontId="6" fillId="3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70" fontId="4" fillId="3" borderId="0" xfId="17" applyNumberFormat="1" applyFont="1" applyFill="1" applyBorder="1" applyAlignment="1">
      <alignment/>
    </xf>
    <xf numFmtId="170" fontId="4" fillId="3" borderId="8" xfId="17" applyNumberFormat="1" applyFont="1" applyFill="1" applyBorder="1" applyAlignment="1">
      <alignment/>
    </xf>
    <xf numFmtId="170" fontId="4" fillId="3" borderId="9" xfId="17" applyNumberFormat="1" applyFont="1" applyFill="1" applyBorder="1" applyAlignment="1">
      <alignment/>
    </xf>
    <xf numFmtId="170" fontId="4" fillId="3" borderId="10" xfId="17" applyNumberFormat="1" applyFont="1" applyFill="1" applyBorder="1" applyAlignment="1">
      <alignment/>
    </xf>
    <xf numFmtId="170" fontId="4" fillId="2" borderId="0" xfId="17" applyNumberFormat="1" applyFont="1" applyFill="1" applyBorder="1" applyAlignment="1">
      <alignment/>
    </xf>
    <xf numFmtId="170" fontId="4" fillId="2" borderId="8" xfId="17" applyNumberFormat="1" applyFont="1" applyFill="1" applyBorder="1" applyAlignment="1">
      <alignment/>
    </xf>
    <xf numFmtId="182" fontId="6" fillId="2" borderId="0" xfId="0" applyNumberFormat="1" applyFont="1" applyFill="1" applyBorder="1" applyAlignment="1">
      <alignment horizontal="center"/>
    </xf>
    <xf numFmtId="14" fontId="6" fillId="2" borderId="0" xfId="0" applyNumberFormat="1" applyFont="1" applyFill="1" applyBorder="1" applyAlignment="1">
      <alignment horizontal="center"/>
    </xf>
    <xf numFmtId="14" fontId="6" fillId="2" borderId="8" xfId="0" applyNumberFormat="1" applyFont="1" applyFill="1" applyBorder="1" applyAlignment="1">
      <alignment horizontal="center"/>
    </xf>
    <xf numFmtId="181" fontId="6" fillId="3" borderId="11" xfId="0" applyNumberFormat="1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right"/>
    </xf>
    <xf numFmtId="0" fontId="6" fillId="3" borderId="14" xfId="0" applyFont="1" applyFill="1" applyBorder="1" applyAlignment="1">
      <alignment horizontal="right"/>
    </xf>
    <xf numFmtId="10" fontId="4" fillId="0" borderId="6" xfId="21" applyNumberFormat="1" applyFont="1" applyFill="1" applyBorder="1" applyAlignment="1">
      <alignment horizontal="right" vertical="top"/>
    </xf>
    <xf numFmtId="0" fontId="10" fillId="2" borderId="7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10" fillId="3" borderId="7" xfId="0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0" fontId="10" fillId="2" borderId="13" xfId="0" applyFont="1" applyFill="1" applyBorder="1" applyAlignment="1">
      <alignment/>
    </xf>
    <xf numFmtId="0" fontId="4" fillId="2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173" fontId="2" fillId="0" borderId="0" xfId="17" applyNumberFormat="1" applyFont="1" applyFill="1" applyBorder="1" applyAlignment="1">
      <alignment horizontal="right" vertical="top"/>
    </xf>
    <xf numFmtId="44" fontId="2" fillId="0" borderId="6" xfId="17" applyNumberFormat="1" applyFont="1" applyFill="1" applyBorder="1" applyAlignment="1">
      <alignment horizontal="right" vertical="top"/>
    </xf>
    <xf numFmtId="44" fontId="2" fillId="0" borderId="6" xfId="0" applyNumberFormat="1" applyFont="1" applyFill="1" applyBorder="1" applyAlignment="1">
      <alignment horizontal="right" vertical="top"/>
    </xf>
    <xf numFmtId="44" fontId="10" fillId="2" borderId="7" xfId="0" applyNumberFormat="1" applyFont="1" applyFill="1" applyBorder="1" applyAlignment="1">
      <alignment/>
    </xf>
    <xf numFmtId="44" fontId="0" fillId="0" borderId="0" xfId="0" applyNumberFormat="1" applyFill="1" applyAlignment="1">
      <alignment/>
    </xf>
    <xf numFmtId="44" fontId="0" fillId="0" borderId="0" xfId="0" applyNumberFormat="1" applyAlignment="1">
      <alignment/>
    </xf>
    <xf numFmtId="44" fontId="10" fillId="3" borderId="7" xfId="0" applyNumberFormat="1" applyFont="1" applyFill="1" applyBorder="1" applyAlignment="1">
      <alignment/>
    </xf>
    <xf numFmtId="44" fontId="10" fillId="2" borderId="13" xfId="0" applyNumberFormat="1" applyFont="1" applyFill="1" applyBorder="1" applyAlignment="1">
      <alignment/>
    </xf>
    <xf numFmtId="44" fontId="0" fillId="0" borderId="0" xfId="17" applyNumberFormat="1" applyFill="1" applyAlignment="1">
      <alignment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3" borderId="7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3" borderId="13" xfId="0" applyFont="1" applyFill="1" applyBorder="1" applyAlignment="1">
      <alignment/>
    </xf>
    <xf numFmtId="165" fontId="2" fillId="0" borderId="6" xfId="0" applyNumberFormat="1" applyFont="1" applyFill="1" applyBorder="1" applyAlignment="1">
      <alignment horizontal="center" vertical="top"/>
    </xf>
    <xf numFmtId="7" fontId="4" fillId="3" borderId="0" xfId="17" applyNumberFormat="1" applyFont="1" applyFill="1" applyBorder="1" applyAlignment="1">
      <alignment/>
    </xf>
    <xf numFmtId="7" fontId="4" fillId="3" borderId="8" xfId="17" applyNumberFormat="1" applyFont="1" applyFill="1" applyBorder="1" applyAlignment="1">
      <alignment/>
    </xf>
    <xf numFmtId="7" fontId="4" fillId="2" borderId="0" xfId="17" applyNumberFormat="1" applyFont="1" applyFill="1" applyBorder="1" applyAlignment="1">
      <alignment/>
    </xf>
    <xf numFmtId="7" fontId="4" fillId="2" borderId="8" xfId="17" applyNumberFormat="1" applyFont="1" applyFill="1" applyBorder="1" applyAlignment="1">
      <alignment/>
    </xf>
    <xf numFmtId="7" fontId="4" fillId="3" borderId="9" xfId="17" applyNumberFormat="1" applyFont="1" applyFill="1" applyBorder="1" applyAlignment="1">
      <alignment/>
    </xf>
    <xf numFmtId="7" fontId="4" fillId="3" borderId="10" xfId="17" applyNumberFormat="1" applyFont="1" applyFill="1" applyBorder="1" applyAlignment="1">
      <alignment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20"/>
  <sheetViews>
    <sheetView zoomScaleSheetLayoutView="152" workbookViewId="0" topLeftCell="E3">
      <selection activeCell="P9" sqref="P9"/>
    </sheetView>
  </sheetViews>
  <sheetFormatPr defaultColWidth="9.140625" defaultRowHeight="12.75"/>
  <cols>
    <col min="1" max="1" width="20.8515625" style="1" customWidth="1"/>
    <col min="2" max="7" width="10.421875" style="1" customWidth="1"/>
    <col min="8" max="8" width="20.140625" style="1" bestFit="1" customWidth="1"/>
    <col min="9" max="13" width="10.421875" style="1" customWidth="1"/>
    <col min="14" max="14" width="17.140625" style="1" customWidth="1"/>
  </cols>
  <sheetData>
    <row r="1" ht="12.75" hidden="1"/>
    <row r="2" ht="12.75" hidden="1"/>
    <row r="3" spans="8:9" ht="12.75">
      <c r="H3" s="34" t="s">
        <v>72</v>
      </c>
      <c r="I3" s="35">
        <v>696</v>
      </c>
    </row>
    <row r="4" spans="8:9" ht="12.75">
      <c r="H4" s="36" t="s">
        <v>73</v>
      </c>
      <c r="I4" s="37">
        <v>696</v>
      </c>
    </row>
    <row r="5" spans="1:14" ht="13.5" thickBot="1">
      <c r="A5" s="2"/>
      <c r="B5" s="3" t="s">
        <v>0</v>
      </c>
      <c r="C5" s="4"/>
      <c r="D5" s="4"/>
      <c r="E5" s="4"/>
      <c r="F5" s="4"/>
      <c r="G5" s="4"/>
      <c r="H5" s="38" t="s">
        <v>74</v>
      </c>
      <c r="I5" s="39">
        <v>828</v>
      </c>
      <c r="J5" s="4"/>
      <c r="K5" s="4"/>
      <c r="L5" s="4"/>
      <c r="M5" s="4"/>
      <c r="N5" s="5"/>
    </row>
    <row r="6" spans="1:14" ht="13.5" thickTop="1">
      <c r="A6" s="6"/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7" t="s">
        <v>9</v>
      </c>
      <c r="K6" s="7" t="s">
        <v>10</v>
      </c>
      <c r="L6" s="7" t="s">
        <v>11</v>
      </c>
      <c r="M6" s="7" t="s">
        <v>12</v>
      </c>
      <c r="N6" s="8" t="s">
        <v>13</v>
      </c>
    </row>
    <row r="7" spans="1:14" ht="12.75">
      <c r="A7" s="9" t="s">
        <v>14</v>
      </c>
      <c r="B7" s="33">
        <v>0.18227261295990946</v>
      </c>
      <c r="C7" s="33">
        <v>0.1726284518028704</v>
      </c>
      <c r="D7" s="33">
        <v>0.1245967618497605</v>
      </c>
      <c r="E7" s="33">
        <v>0.09223694625951914</v>
      </c>
      <c r="F7" s="33">
        <v>0.056614261207152704</v>
      </c>
      <c r="G7" s="33">
        <v>0.03381253805555852</v>
      </c>
      <c r="H7" s="33">
        <v>0.02251809374759947</v>
      </c>
      <c r="I7" s="33">
        <v>0.018202180903033223</v>
      </c>
      <c r="J7" s="33">
        <v>0.020834321041824044</v>
      </c>
      <c r="K7" s="33">
        <v>0.038161185523146825</v>
      </c>
      <c r="L7" s="33">
        <v>0.08115897342722435</v>
      </c>
      <c r="M7" s="33">
        <v>0.15696367322240146</v>
      </c>
      <c r="N7" s="10"/>
    </row>
    <row r="8" spans="1:14" ht="12.75">
      <c r="A8" s="34" t="s">
        <v>72</v>
      </c>
      <c r="B8" s="11">
        <f>$N$8*B7</f>
        <v>126.86173862009699</v>
      </c>
      <c r="C8" s="11">
        <f aca="true" t="shared" si="0" ref="C8:M8">$N$8*C7</f>
        <v>120.1494024547978</v>
      </c>
      <c r="D8" s="11">
        <f t="shared" si="0"/>
        <v>86.71934624743331</v>
      </c>
      <c r="E8" s="11">
        <f t="shared" si="0"/>
        <v>64.19691459662532</v>
      </c>
      <c r="F8" s="11">
        <f t="shared" si="0"/>
        <v>39.40352580017828</v>
      </c>
      <c r="G8" s="11">
        <f t="shared" si="0"/>
        <v>23.53352648666873</v>
      </c>
      <c r="H8" s="11">
        <f t="shared" si="0"/>
        <v>15.672593248329232</v>
      </c>
      <c r="I8" s="11">
        <f t="shared" si="0"/>
        <v>12.668717908511123</v>
      </c>
      <c r="J8" s="11">
        <f t="shared" si="0"/>
        <v>14.500687445109534</v>
      </c>
      <c r="K8" s="11">
        <f t="shared" si="0"/>
        <v>26.56018512411019</v>
      </c>
      <c r="L8" s="11">
        <f t="shared" si="0"/>
        <v>56.48664550534814</v>
      </c>
      <c r="M8" s="11">
        <f t="shared" si="0"/>
        <v>109.24671656279142</v>
      </c>
      <c r="N8" s="35">
        <f>I3</f>
        <v>696</v>
      </c>
    </row>
    <row r="9" spans="1:14" ht="12.75">
      <c r="A9" s="8" t="s">
        <v>60</v>
      </c>
      <c r="B9" s="12">
        <f>0.02039*0.96/1.75</f>
        <v>0.011185371428571428</v>
      </c>
      <c r="C9" s="12">
        <f aca="true" t="shared" si="1" ref="C9:M9">0.02039*0.96/1.75</f>
        <v>0.011185371428571428</v>
      </c>
      <c r="D9" s="12">
        <f t="shared" si="1"/>
        <v>0.011185371428571428</v>
      </c>
      <c r="E9" s="12">
        <f t="shared" si="1"/>
        <v>0.011185371428571428</v>
      </c>
      <c r="F9" s="12">
        <f t="shared" si="1"/>
        <v>0.011185371428571428</v>
      </c>
      <c r="G9" s="12">
        <f t="shared" si="1"/>
        <v>0.011185371428571428</v>
      </c>
      <c r="H9" s="12">
        <f t="shared" si="1"/>
        <v>0.011185371428571428</v>
      </c>
      <c r="I9" s="12">
        <f t="shared" si="1"/>
        <v>0.011185371428571428</v>
      </c>
      <c r="J9" s="12">
        <f t="shared" si="1"/>
        <v>0.011185371428571428</v>
      </c>
      <c r="K9" s="12">
        <f t="shared" si="1"/>
        <v>0.011185371428571428</v>
      </c>
      <c r="L9" s="12">
        <f t="shared" si="1"/>
        <v>0.011185371428571428</v>
      </c>
      <c r="M9" s="12">
        <f t="shared" si="1"/>
        <v>0.011185371428571428</v>
      </c>
      <c r="N9" s="11"/>
    </row>
    <row r="10" spans="1:14" ht="12.75">
      <c r="A10" s="8" t="s">
        <v>61</v>
      </c>
      <c r="B10" s="42">
        <f>B8*B9</f>
        <v>1.4189956665401293</v>
      </c>
      <c r="C10" s="42">
        <f aca="true" t="shared" si="2" ref="C10:M10">C8*C9</f>
        <v>1.3439156933778251</v>
      </c>
      <c r="D10" s="42">
        <f t="shared" si="2"/>
        <v>0.9699880978204334</v>
      </c>
      <c r="E10" s="42">
        <f t="shared" si="2"/>
        <v>0.7180663343315329</v>
      </c>
      <c r="F10" s="42">
        <f t="shared" si="2"/>
        <v>0.44074307167029125</v>
      </c>
      <c r="G10" s="42">
        <f t="shared" si="2"/>
        <v>0.26323123477751337</v>
      </c>
      <c r="H10" s="42">
        <f t="shared" si="2"/>
        <v>0.17530377673148326</v>
      </c>
      <c r="I10" s="42">
        <f t="shared" si="2"/>
        <v>0.1417043153304915</v>
      </c>
      <c r="J10" s="42">
        <f t="shared" si="2"/>
        <v>0.1621955750431726</v>
      </c>
      <c r="K10" s="42">
        <f t="shared" si="2"/>
        <v>0.29708553582478997</v>
      </c>
      <c r="L10" s="42">
        <f t="shared" si="2"/>
        <v>0.6318241107313638</v>
      </c>
      <c r="M10" s="42">
        <f t="shared" si="2"/>
        <v>1.2219651021066882</v>
      </c>
      <c r="N10" s="13">
        <f>SUM(B10:M10)</f>
        <v>7.7850185142857145</v>
      </c>
    </row>
    <row r="11" spans="1:14" ht="12.75">
      <c r="A11" s="36" t="s">
        <v>73</v>
      </c>
      <c r="B11" s="11">
        <f>$N$11*B7</f>
        <v>126.86173862009699</v>
      </c>
      <c r="C11" s="11">
        <f aca="true" t="shared" si="3" ref="C11:M11">$N$11*C7</f>
        <v>120.1494024547978</v>
      </c>
      <c r="D11" s="11">
        <f t="shared" si="3"/>
        <v>86.71934624743331</v>
      </c>
      <c r="E11" s="11">
        <f t="shared" si="3"/>
        <v>64.19691459662532</v>
      </c>
      <c r="F11" s="11">
        <f t="shared" si="3"/>
        <v>39.40352580017828</v>
      </c>
      <c r="G11" s="11">
        <f t="shared" si="3"/>
        <v>23.53352648666873</v>
      </c>
      <c r="H11" s="11">
        <f t="shared" si="3"/>
        <v>15.672593248329232</v>
      </c>
      <c r="I11" s="11">
        <f t="shared" si="3"/>
        <v>12.668717908511123</v>
      </c>
      <c r="J11" s="11">
        <f t="shared" si="3"/>
        <v>14.500687445109534</v>
      </c>
      <c r="K11" s="11">
        <f t="shared" si="3"/>
        <v>26.56018512411019</v>
      </c>
      <c r="L11" s="11">
        <f t="shared" si="3"/>
        <v>56.48664550534814</v>
      </c>
      <c r="M11" s="11">
        <f t="shared" si="3"/>
        <v>109.24671656279142</v>
      </c>
      <c r="N11" s="37">
        <f>I4</f>
        <v>696</v>
      </c>
    </row>
    <row r="12" spans="1:14" ht="12.75">
      <c r="A12" s="8" t="s">
        <v>60</v>
      </c>
      <c r="B12" s="12">
        <f>B9</f>
        <v>0.011185371428571428</v>
      </c>
      <c r="C12" s="12">
        <f aca="true" t="shared" si="4" ref="C12:M12">C9</f>
        <v>0.011185371428571428</v>
      </c>
      <c r="D12" s="12">
        <f t="shared" si="4"/>
        <v>0.011185371428571428</v>
      </c>
      <c r="E12" s="12">
        <f t="shared" si="4"/>
        <v>0.011185371428571428</v>
      </c>
      <c r="F12" s="12">
        <f t="shared" si="4"/>
        <v>0.011185371428571428</v>
      </c>
      <c r="G12" s="12">
        <f t="shared" si="4"/>
        <v>0.011185371428571428</v>
      </c>
      <c r="H12" s="12">
        <f t="shared" si="4"/>
        <v>0.011185371428571428</v>
      </c>
      <c r="I12" s="12">
        <f t="shared" si="4"/>
        <v>0.011185371428571428</v>
      </c>
      <c r="J12" s="12">
        <f t="shared" si="4"/>
        <v>0.011185371428571428</v>
      </c>
      <c r="K12" s="12">
        <f t="shared" si="4"/>
        <v>0.011185371428571428</v>
      </c>
      <c r="L12" s="12">
        <f t="shared" si="4"/>
        <v>0.011185371428571428</v>
      </c>
      <c r="M12" s="12">
        <f t="shared" si="4"/>
        <v>0.011185371428571428</v>
      </c>
      <c r="N12" s="11"/>
    </row>
    <row r="13" spans="1:14" ht="12.75">
      <c r="A13" s="8" t="s">
        <v>61</v>
      </c>
      <c r="B13" s="42">
        <f>B11*B12</f>
        <v>1.4189956665401293</v>
      </c>
      <c r="C13" s="42">
        <f aca="true" t="shared" si="5" ref="C13:M13">C11*C12</f>
        <v>1.3439156933778251</v>
      </c>
      <c r="D13" s="42">
        <f t="shared" si="5"/>
        <v>0.9699880978204334</v>
      </c>
      <c r="E13" s="42">
        <f t="shared" si="5"/>
        <v>0.7180663343315329</v>
      </c>
      <c r="F13" s="42">
        <f t="shared" si="5"/>
        <v>0.44074307167029125</v>
      </c>
      <c r="G13" s="42">
        <f t="shared" si="5"/>
        <v>0.26323123477751337</v>
      </c>
      <c r="H13" s="42">
        <f t="shared" si="5"/>
        <v>0.17530377673148326</v>
      </c>
      <c r="I13" s="42">
        <f t="shared" si="5"/>
        <v>0.1417043153304915</v>
      </c>
      <c r="J13" s="42">
        <f t="shared" si="5"/>
        <v>0.1621955750431726</v>
      </c>
      <c r="K13" s="42">
        <f t="shared" si="5"/>
        <v>0.29708553582478997</v>
      </c>
      <c r="L13" s="42">
        <f t="shared" si="5"/>
        <v>0.6318241107313638</v>
      </c>
      <c r="M13" s="42">
        <f t="shared" si="5"/>
        <v>1.2219651021066882</v>
      </c>
      <c r="N13" s="13">
        <f>SUM(B13:M13)</f>
        <v>7.7850185142857145</v>
      </c>
    </row>
    <row r="14" spans="1:14" ht="13.5" thickBot="1">
      <c r="A14" s="38" t="s">
        <v>74</v>
      </c>
      <c r="B14" s="11">
        <f>$N$14*B7</f>
        <v>150.92172353080502</v>
      </c>
      <c r="C14" s="11">
        <f aca="true" t="shared" si="6" ref="C14:M14">$N$14*C7</f>
        <v>142.9363580927767</v>
      </c>
      <c r="D14" s="11">
        <f t="shared" si="6"/>
        <v>103.16611881160169</v>
      </c>
      <c r="E14" s="11">
        <f t="shared" si="6"/>
        <v>76.37219150288185</v>
      </c>
      <c r="F14" s="11">
        <f t="shared" si="6"/>
        <v>46.876608279522436</v>
      </c>
      <c r="G14" s="11">
        <f t="shared" si="6"/>
        <v>27.996781510002453</v>
      </c>
      <c r="H14" s="11">
        <f t="shared" si="6"/>
        <v>18.644981623012363</v>
      </c>
      <c r="I14" s="11">
        <f t="shared" si="6"/>
        <v>15.071405787711509</v>
      </c>
      <c r="J14" s="11">
        <f t="shared" si="6"/>
        <v>17.250817822630307</v>
      </c>
      <c r="K14" s="11">
        <f t="shared" si="6"/>
        <v>31.59746161316557</v>
      </c>
      <c r="L14" s="11">
        <f t="shared" si="6"/>
        <v>67.19962999774177</v>
      </c>
      <c r="M14" s="11">
        <f t="shared" si="6"/>
        <v>129.96592142814842</v>
      </c>
      <c r="N14" s="39">
        <f>I5</f>
        <v>828</v>
      </c>
    </row>
    <row r="15" spans="1:14" ht="13.5" thickTop="1">
      <c r="A15" s="8" t="s">
        <v>60</v>
      </c>
      <c r="B15" s="12">
        <f>B9</f>
        <v>0.011185371428571428</v>
      </c>
      <c r="C15" s="12">
        <f aca="true" t="shared" si="7" ref="C15:M15">C9</f>
        <v>0.011185371428571428</v>
      </c>
      <c r="D15" s="12">
        <f t="shared" si="7"/>
        <v>0.011185371428571428</v>
      </c>
      <c r="E15" s="12">
        <f t="shared" si="7"/>
        <v>0.011185371428571428</v>
      </c>
      <c r="F15" s="12">
        <f t="shared" si="7"/>
        <v>0.011185371428571428</v>
      </c>
      <c r="G15" s="12">
        <f t="shared" si="7"/>
        <v>0.011185371428571428</v>
      </c>
      <c r="H15" s="12">
        <f t="shared" si="7"/>
        <v>0.011185371428571428</v>
      </c>
      <c r="I15" s="12">
        <f t="shared" si="7"/>
        <v>0.011185371428571428</v>
      </c>
      <c r="J15" s="12">
        <f t="shared" si="7"/>
        <v>0.011185371428571428</v>
      </c>
      <c r="K15" s="12">
        <f t="shared" si="7"/>
        <v>0.011185371428571428</v>
      </c>
      <c r="L15" s="12">
        <f t="shared" si="7"/>
        <v>0.011185371428571428</v>
      </c>
      <c r="M15" s="12">
        <f t="shared" si="7"/>
        <v>0.011185371428571428</v>
      </c>
      <c r="N15" s="11"/>
    </row>
    <row r="16" spans="1:14" ht="12.75">
      <c r="A16" s="8" t="s">
        <v>61</v>
      </c>
      <c r="B16" s="42">
        <f>B15*B14</f>
        <v>1.6881155343322227</v>
      </c>
      <c r="C16" s="42">
        <f aca="true" t="shared" si="8" ref="C16:M16">C15*C14</f>
        <v>1.5987962559149986</v>
      </c>
      <c r="D16" s="42">
        <f t="shared" si="8"/>
        <v>1.153951357751895</v>
      </c>
      <c r="E16" s="42">
        <f t="shared" si="8"/>
        <v>0.8542513287737202</v>
      </c>
      <c r="F16" s="42">
        <f t="shared" si="8"/>
        <v>0.5243322749181051</v>
      </c>
      <c r="G16" s="42">
        <f t="shared" si="8"/>
        <v>0.3131543999939383</v>
      </c>
      <c r="H16" s="42">
        <f t="shared" si="8"/>
        <v>0.2085510447322818</v>
      </c>
      <c r="I16" s="42">
        <f t="shared" si="8"/>
        <v>0.16857927168627437</v>
      </c>
      <c r="J16" s="42">
        <f t="shared" si="8"/>
        <v>0.1929568047927398</v>
      </c>
      <c r="K16" s="42">
        <f t="shared" si="8"/>
        <v>0.35342934434328466</v>
      </c>
      <c r="L16" s="42">
        <f t="shared" si="8"/>
        <v>0.7516528213873122</v>
      </c>
      <c r="M16" s="42">
        <f t="shared" si="8"/>
        <v>1.4537171042303705</v>
      </c>
      <c r="N16" s="13">
        <f>SUM(B16:M16)</f>
        <v>9.261487542857143</v>
      </c>
    </row>
    <row r="18" spans="1:14" s="46" customFormat="1" ht="12.75">
      <c r="A18" s="44" t="s">
        <v>72</v>
      </c>
      <c r="B18" s="45">
        <f>B10</f>
        <v>1.4189956665401293</v>
      </c>
      <c r="C18" s="45">
        <f aca="true" t="shared" si="9" ref="C18:M18">C10</f>
        <v>1.3439156933778251</v>
      </c>
      <c r="D18" s="45">
        <f t="shared" si="9"/>
        <v>0.9699880978204334</v>
      </c>
      <c r="E18" s="45">
        <f t="shared" si="9"/>
        <v>0.7180663343315329</v>
      </c>
      <c r="F18" s="45">
        <f t="shared" si="9"/>
        <v>0.44074307167029125</v>
      </c>
      <c r="G18" s="45">
        <f t="shared" si="9"/>
        <v>0.26323123477751337</v>
      </c>
      <c r="H18" s="45">
        <f t="shared" si="9"/>
        <v>0.17530377673148326</v>
      </c>
      <c r="I18" s="45">
        <f t="shared" si="9"/>
        <v>0.1417043153304915</v>
      </c>
      <c r="J18" s="45">
        <f t="shared" si="9"/>
        <v>0.1621955750431726</v>
      </c>
      <c r="K18" s="45">
        <f t="shared" si="9"/>
        <v>0.29708553582478997</v>
      </c>
      <c r="L18" s="45">
        <f t="shared" si="9"/>
        <v>0.6318241107313638</v>
      </c>
      <c r="M18" s="45">
        <f t="shared" si="9"/>
        <v>1.2219651021066882</v>
      </c>
      <c r="N18" s="45">
        <f>SUM(A18:M18)</f>
        <v>7.7850185142857145</v>
      </c>
    </row>
    <row r="19" spans="1:14" s="46" customFormat="1" ht="12.75">
      <c r="A19" s="47" t="s">
        <v>73</v>
      </c>
      <c r="B19" s="45">
        <f>B13</f>
        <v>1.4189956665401293</v>
      </c>
      <c r="C19" s="45">
        <f aca="true" t="shared" si="10" ref="C19:M19">C13</f>
        <v>1.3439156933778251</v>
      </c>
      <c r="D19" s="45">
        <f t="shared" si="10"/>
        <v>0.9699880978204334</v>
      </c>
      <c r="E19" s="45">
        <f t="shared" si="10"/>
        <v>0.7180663343315329</v>
      </c>
      <c r="F19" s="45">
        <f t="shared" si="10"/>
        <v>0.44074307167029125</v>
      </c>
      <c r="G19" s="45">
        <f t="shared" si="10"/>
        <v>0.26323123477751337</v>
      </c>
      <c r="H19" s="45">
        <f t="shared" si="10"/>
        <v>0.17530377673148326</v>
      </c>
      <c r="I19" s="45">
        <f t="shared" si="10"/>
        <v>0.1417043153304915</v>
      </c>
      <c r="J19" s="45">
        <f t="shared" si="10"/>
        <v>0.1621955750431726</v>
      </c>
      <c r="K19" s="45">
        <f t="shared" si="10"/>
        <v>0.29708553582478997</v>
      </c>
      <c r="L19" s="45">
        <f t="shared" si="10"/>
        <v>0.6318241107313638</v>
      </c>
      <c r="M19" s="45">
        <f t="shared" si="10"/>
        <v>1.2219651021066882</v>
      </c>
      <c r="N19" s="45">
        <f>SUM(A19:M19)</f>
        <v>7.7850185142857145</v>
      </c>
    </row>
    <row r="20" spans="1:14" s="46" customFormat="1" ht="13.5" thickBot="1">
      <c r="A20" s="48" t="s">
        <v>74</v>
      </c>
      <c r="B20" s="45">
        <f>B16</f>
        <v>1.6881155343322227</v>
      </c>
      <c r="C20" s="45">
        <f aca="true" t="shared" si="11" ref="C20:M20">C16</f>
        <v>1.5987962559149986</v>
      </c>
      <c r="D20" s="45">
        <f t="shared" si="11"/>
        <v>1.153951357751895</v>
      </c>
      <c r="E20" s="45">
        <f t="shared" si="11"/>
        <v>0.8542513287737202</v>
      </c>
      <c r="F20" s="45">
        <f t="shared" si="11"/>
        <v>0.5243322749181051</v>
      </c>
      <c r="G20" s="45">
        <f t="shared" si="11"/>
        <v>0.3131543999939383</v>
      </c>
      <c r="H20" s="45">
        <f t="shared" si="11"/>
        <v>0.2085510447322818</v>
      </c>
      <c r="I20" s="45">
        <f t="shared" si="11"/>
        <v>0.16857927168627437</v>
      </c>
      <c r="J20" s="45">
        <f t="shared" si="11"/>
        <v>0.1929568047927398</v>
      </c>
      <c r="K20" s="45">
        <f t="shared" si="11"/>
        <v>0.35342934434328466</v>
      </c>
      <c r="L20" s="45">
        <f t="shared" si="11"/>
        <v>0.7516528213873122</v>
      </c>
      <c r="M20" s="45">
        <f t="shared" si="11"/>
        <v>1.4537171042303705</v>
      </c>
      <c r="N20" s="45">
        <f>SUM(A20:M20)</f>
        <v>9.261487542857143</v>
      </c>
    </row>
    <row r="21" ht="13.5" thickTop="1"/>
  </sheetData>
  <printOptions/>
  <pageMargins left="0.75" right="0.75" top="1" bottom="1" header="0.5" footer="0.5"/>
  <pageSetup fitToHeight="1" fitToWidth="1" horizontalDpi="600" verticalDpi="600" orientation="portrait" scale="53" r:id="rId1"/>
  <headerFooter alignWithMargins="0">
    <oddHeader>&amp;C&amp;"Arial,Bold"&amp;12Exhibit K-3 Schedule 191 LI DSM Tariff Calculations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20"/>
  <sheetViews>
    <sheetView zoomScaleSheetLayoutView="55" workbookViewId="0" topLeftCell="A3">
      <selection activeCell="P9" sqref="P9"/>
    </sheetView>
  </sheetViews>
  <sheetFormatPr defaultColWidth="9.140625" defaultRowHeight="12.75"/>
  <cols>
    <col min="1" max="1" width="11.28125" style="1" customWidth="1"/>
    <col min="2" max="13" width="10.421875" style="1" customWidth="1"/>
    <col min="14" max="14" width="12.7109375" style="1" bestFit="1" customWidth="1"/>
  </cols>
  <sheetData>
    <row r="1" ht="12.75" hidden="1"/>
    <row r="2" ht="12.75" hidden="1"/>
    <row r="5" spans="1:14" ht="12.75">
      <c r="A5" s="2"/>
      <c r="B5" s="3" t="s"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</row>
    <row r="6" spans="1:14" ht="12.75">
      <c r="A6" s="6"/>
      <c r="B6" s="7" t="s">
        <v>15</v>
      </c>
      <c r="C6" s="7" t="s">
        <v>16</v>
      </c>
      <c r="D6" s="7" t="s">
        <v>17</v>
      </c>
      <c r="E6" s="7" t="s">
        <v>18</v>
      </c>
      <c r="F6" s="7" t="s">
        <v>19</v>
      </c>
      <c r="G6" s="7" t="s">
        <v>20</v>
      </c>
      <c r="H6" s="7" t="s">
        <v>21</v>
      </c>
      <c r="I6" s="7" t="s">
        <v>22</v>
      </c>
      <c r="J6" s="7" t="s">
        <v>23</v>
      </c>
      <c r="K6" s="7" t="s">
        <v>24</v>
      </c>
      <c r="L6" s="7" t="s">
        <v>25</v>
      </c>
      <c r="M6" s="7" t="s">
        <v>26</v>
      </c>
      <c r="N6" s="8" t="s">
        <v>13</v>
      </c>
    </row>
    <row r="7" spans="1:14" ht="12.75">
      <c r="A7" s="9" t="s">
        <v>14</v>
      </c>
      <c r="B7" s="33">
        <v>0.18227261295990946</v>
      </c>
      <c r="C7" s="33">
        <v>0.1726284518028704</v>
      </c>
      <c r="D7" s="33">
        <v>0.1245967618497605</v>
      </c>
      <c r="E7" s="33">
        <v>0.09223694625951914</v>
      </c>
      <c r="F7" s="33">
        <v>0.056614261207152704</v>
      </c>
      <c r="G7" s="33">
        <v>0.03381253805555852</v>
      </c>
      <c r="H7" s="33">
        <v>0.02251809374759947</v>
      </c>
      <c r="I7" s="33">
        <v>0.018202180903033223</v>
      </c>
      <c r="J7" s="33">
        <v>0.020834321041824044</v>
      </c>
      <c r="K7" s="33">
        <v>0.038161185523146825</v>
      </c>
      <c r="L7" s="33">
        <v>0.08115897342722435</v>
      </c>
      <c r="M7" s="33">
        <v>0.15696367322240146</v>
      </c>
      <c r="N7" s="10"/>
    </row>
    <row r="8" spans="1:14" ht="12.75">
      <c r="A8" s="34" t="s">
        <v>72</v>
      </c>
      <c r="B8" s="11">
        <f>$N$8*B7</f>
        <v>126.86173862009699</v>
      </c>
      <c r="C8" s="11">
        <f aca="true" t="shared" si="0" ref="C8:M8">$N$8*C7</f>
        <v>120.1494024547978</v>
      </c>
      <c r="D8" s="11">
        <f t="shared" si="0"/>
        <v>86.71934624743331</v>
      </c>
      <c r="E8" s="11">
        <f t="shared" si="0"/>
        <v>64.19691459662532</v>
      </c>
      <c r="F8" s="11">
        <f t="shared" si="0"/>
        <v>39.40352580017828</v>
      </c>
      <c r="G8" s="11">
        <f t="shared" si="0"/>
        <v>23.53352648666873</v>
      </c>
      <c r="H8" s="11">
        <f t="shared" si="0"/>
        <v>15.672593248329232</v>
      </c>
      <c r="I8" s="11">
        <f t="shared" si="0"/>
        <v>12.668717908511123</v>
      </c>
      <c r="J8" s="11">
        <f t="shared" si="0"/>
        <v>14.500687445109534</v>
      </c>
      <c r="K8" s="11">
        <f t="shared" si="0"/>
        <v>26.56018512411019</v>
      </c>
      <c r="L8" s="11">
        <f t="shared" si="0"/>
        <v>56.48664550534814</v>
      </c>
      <c r="M8" s="11">
        <f t="shared" si="0"/>
        <v>109.24671656279142</v>
      </c>
      <c r="N8" s="35">
        <f>'2004'!I3</f>
        <v>696</v>
      </c>
    </row>
    <row r="9" spans="1:14" ht="12.75">
      <c r="A9" s="8"/>
      <c r="B9" s="12">
        <f>0.02039*0.96/1.75</f>
        <v>0.011185371428571428</v>
      </c>
      <c r="C9" s="12">
        <f>(B9*13/28+D9*15/28)</f>
        <v>0.009427983673469387</v>
      </c>
      <c r="D9" s="12">
        <f>0.01441*0.96/1.75</f>
        <v>0.007904914285714285</v>
      </c>
      <c r="E9" s="12">
        <f>D9</f>
        <v>0.007904914285714285</v>
      </c>
      <c r="F9" s="12">
        <f aca="true" t="shared" si="1" ref="F9:M9">E9</f>
        <v>0.007904914285714285</v>
      </c>
      <c r="G9" s="12">
        <f t="shared" si="1"/>
        <v>0.007904914285714285</v>
      </c>
      <c r="H9" s="12">
        <f t="shared" si="1"/>
        <v>0.007904914285714285</v>
      </c>
      <c r="I9" s="12">
        <f t="shared" si="1"/>
        <v>0.007904914285714285</v>
      </c>
      <c r="J9" s="12">
        <f t="shared" si="1"/>
        <v>0.007904914285714285</v>
      </c>
      <c r="K9" s="12">
        <f t="shared" si="1"/>
        <v>0.007904914285714285</v>
      </c>
      <c r="L9" s="12">
        <f t="shared" si="1"/>
        <v>0.007904914285714285</v>
      </c>
      <c r="M9" s="12">
        <f t="shared" si="1"/>
        <v>0.007904914285714285</v>
      </c>
      <c r="N9" s="11"/>
    </row>
    <row r="10" spans="1:14" ht="12.75">
      <c r="A10" s="8"/>
      <c r="B10" s="42">
        <f aca="true" t="shared" si="2" ref="B10:M10">B8*B9</f>
        <v>1.4189956665401293</v>
      </c>
      <c r="C10" s="42">
        <f t="shared" si="2"/>
        <v>1.1327666047209364</v>
      </c>
      <c r="D10" s="42">
        <f t="shared" si="2"/>
        <v>0.685508998999139</v>
      </c>
      <c r="E10" s="42">
        <f t="shared" si="2"/>
        <v>0.5074711072936434</v>
      </c>
      <c r="F10" s="42">
        <f t="shared" si="2"/>
        <v>0.31148149400534064</v>
      </c>
      <c r="G10" s="42">
        <f t="shared" si="2"/>
        <v>0.18603050971770313</v>
      </c>
      <c r="H10" s="42">
        <f t="shared" si="2"/>
        <v>0.12389050626290699</v>
      </c>
      <c r="I10" s="42">
        <f t="shared" si="2"/>
        <v>0.10014512917667397</v>
      </c>
      <c r="J10" s="42">
        <f t="shared" si="2"/>
        <v>0.11462669133752412</v>
      </c>
      <c r="K10" s="42">
        <f t="shared" si="2"/>
        <v>0.20995598681879468</v>
      </c>
      <c r="L10" s="42">
        <f t="shared" si="2"/>
        <v>0.4465220910073051</v>
      </c>
      <c r="M10" s="42">
        <f t="shared" si="2"/>
        <v>0.8635859304245892</v>
      </c>
      <c r="N10" s="13">
        <f>SUM(B10:M10)</f>
        <v>6.1009807163046865</v>
      </c>
    </row>
    <row r="11" spans="1:14" ht="12.75">
      <c r="A11" s="36" t="s">
        <v>73</v>
      </c>
      <c r="B11" s="11">
        <f>$N$11*B7</f>
        <v>126.86173862009699</v>
      </c>
      <c r="C11" s="11">
        <f aca="true" t="shared" si="3" ref="C11:M11">$N$11*C7</f>
        <v>120.1494024547978</v>
      </c>
      <c r="D11" s="11">
        <f t="shared" si="3"/>
        <v>86.71934624743331</v>
      </c>
      <c r="E11" s="11">
        <f t="shared" si="3"/>
        <v>64.19691459662532</v>
      </c>
      <c r="F11" s="11">
        <f t="shared" si="3"/>
        <v>39.40352580017828</v>
      </c>
      <c r="G11" s="11">
        <f t="shared" si="3"/>
        <v>23.53352648666873</v>
      </c>
      <c r="H11" s="11">
        <f t="shared" si="3"/>
        <v>15.672593248329232</v>
      </c>
      <c r="I11" s="11">
        <f t="shared" si="3"/>
        <v>12.668717908511123</v>
      </c>
      <c r="J11" s="11">
        <f t="shared" si="3"/>
        <v>14.500687445109534</v>
      </c>
      <c r="K11" s="11">
        <f t="shared" si="3"/>
        <v>26.56018512411019</v>
      </c>
      <c r="L11" s="11">
        <f t="shared" si="3"/>
        <v>56.48664550534814</v>
      </c>
      <c r="M11" s="11">
        <f t="shared" si="3"/>
        <v>109.24671656279142</v>
      </c>
      <c r="N11" s="37">
        <f>'2004'!I4</f>
        <v>696</v>
      </c>
    </row>
    <row r="12" spans="1:14" ht="12.75">
      <c r="A12" s="8"/>
      <c r="B12" s="12">
        <f>B9</f>
        <v>0.011185371428571428</v>
      </c>
      <c r="C12" s="12">
        <f aca="true" t="shared" si="4" ref="C12:M12">C9</f>
        <v>0.009427983673469387</v>
      </c>
      <c r="D12" s="12">
        <f t="shared" si="4"/>
        <v>0.007904914285714285</v>
      </c>
      <c r="E12" s="12">
        <f t="shared" si="4"/>
        <v>0.007904914285714285</v>
      </c>
      <c r="F12" s="12">
        <f t="shared" si="4"/>
        <v>0.007904914285714285</v>
      </c>
      <c r="G12" s="12">
        <f t="shared" si="4"/>
        <v>0.007904914285714285</v>
      </c>
      <c r="H12" s="12">
        <f t="shared" si="4"/>
        <v>0.007904914285714285</v>
      </c>
      <c r="I12" s="12">
        <f t="shared" si="4"/>
        <v>0.007904914285714285</v>
      </c>
      <c r="J12" s="12">
        <f t="shared" si="4"/>
        <v>0.007904914285714285</v>
      </c>
      <c r="K12" s="12">
        <f t="shared" si="4"/>
        <v>0.007904914285714285</v>
      </c>
      <c r="L12" s="12">
        <f t="shared" si="4"/>
        <v>0.007904914285714285</v>
      </c>
      <c r="M12" s="12">
        <f t="shared" si="4"/>
        <v>0.007904914285714285</v>
      </c>
      <c r="N12" s="11"/>
    </row>
    <row r="13" spans="1:14" ht="12.75">
      <c r="A13" s="8"/>
      <c r="B13" s="42">
        <f aca="true" t="shared" si="5" ref="B13:M13">B11*B12</f>
        <v>1.4189956665401293</v>
      </c>
      <c r="C13" s="42">
        <f t="shared" si="5"/>
        <v>1.1327666047209364</v>
      </c>
      <c r="D13" s="42">
        <f t="shared" si="5"/>
        <v>0.685508998999139</v>
      </c>
      <c r="E13" s="42">
        <f t="shared" si="5"/>
        <v>0.5074711072936434</v>
      </c>
      <c r="F13" s="42">
        <f t="shared" si="5"/>
        <v>0.31148149400534064</v>
      </c>
      <c r="G13" s="42">
        <f t="shared" si="5"/>
        <v>0.18603050971770313</v>
      </c>
      <c r="H13" s="42">
        <f t="shared" si="5"/>
        <v>0.12389050626290699</v>
      </c>
      <c r="I13" s="42">
        <f t="shared" si="5"/>
        <v>0.10014512917667397</v>
      </c>
      <c r="J13" s="42">
        <f t="shared" si="5"/>
        <v>0.11462669133752412</v>
      </c>
      <c r="K13" s="42">
        <f t="shared" si="5"/>
        <v>0.20995598681879468</v>
      </c>
      <c r="L13" s="42">
        <f t="shared" si="5"/>
        <v>0.4465220910073051</v>
      </c>
      <c r="M13" s="42">
        <f t="shared" si="5"/>
        <v>0.8635859304245892</v>
      </c>
      <c r="N13" s="13">
        <f>SUM(B13:M13)</f>
        <v>6.1009807163046865</v>
      </c>
    </row>
    <row r="14" spans="1:14" ht="13.5" thickBot="1">
      <c r="A14" s="38" t="s">
        <v>74</v>
      </c>
      <c r="B14" s="11">
        <f>$N$14*B7</f>
        <v>150.92172353080502</v>
      </c>
      <c r="C14" s="11">
        <f aca="true" t="shared" si="6" ref="C14:M14">$N$14*C7</f>
        <v>142.9363580927767</v>
      </c>
      <c r="D14" s="11">
        <f t="shared" si="6"/>
        <v>103.16611881160169</v>
      </c>
      <c r="E14" s="11">
        <f t="shared" si="6"/>
        <v>76.37219150288185</v>
      </c>
      <c r="F14" s="11">
        <f t="shared" si="6"/>
        <v>46.876608279522436</v>
      </c>
      <c r="G14" s="11">
        <f t="shared" si="6"/>
        <v>27.996781510002453</v>
      </c>
      <c r="H14" s="11">
        <f t="shared" si="6"/>
        <v>18.644981623012363</v>
      </c>
      <c r="I14" s="11">
        <f t="shared" si="6"/>
        <v>15.071405787711509</v>
      </c>
      <c r="J14" s="11">
        <f t="shared" si="6"/>
        <v>17.250817822630307</v>
      </c>
      <c r="K14" s="11">
        <f t="shared" si="6"/>
        <v>31.59746161316557</v>
      </c>
      <c r="L14" s="11">
        <f t="shared" si="6"/>
        <v>67.19962999774177</v>
      </c>
      <c r="M14" s="11">
        <f t="shared" si="6"/>
        <v>129.96592142814842</v>
      </c>
      <c r="N14" s="39">
        <f>'2004'!I5</f>
        <v>828</v>
      </c>
    </row>
    <row r="15" spans="1:14" ht="13.5" thickTop="1">
      <c r="A15" s="8"/>
      <c r="B15" s="12">
        <f>B9</f>
        <v>0.011185371428571428</v>
      </c>
      <c r="C15" s="12">
        <f aca="true" t="shared" si="7" ref="C15:M15">C9</f>
        <v>0.009427983673469387</v>
      </c>
      <c r="D15" s="12">
        <f t="shared" si="7"/>
        <v>0.007904914285714285</v>
      </c>
      <c r="E15" s="12">
        <f t="shared" si="7"/>
        <v>0.007904914285714285</v>
      </c>
      <c r="F15" s="12">
        <f t="shared" si="7"/>
        <v>0.007904914285714285</v>
      </c>
      <c r="G15" s="12">
        <f t="shared" si="7"/>
        <v>0.007904914285714285</v>
      </c>
      <c r="H15" s="12">
        <f t="shared" si="7"/>
        <v>0.007904914285714285</v>
      </c>
      <c r="I15" s="12">
        <f t="shared" si="7"/>
        <v>0.007904914285714285</v>
      </c>
      <c r="J15" s="12">
        <f t="shared" si="7"/>
        <v>0.007904914285714285</v>
      </c>
      <c r="K15" s="12">
        <f t="shared" si="7"/>
        <v>0.007904914285714285</v>
      </c>
      <c r="L15" s="12">
        <f t="shared" si="7"/>
        <v>0.007904914285714285</v>
      </c>
      <c r="M15" s="12">
        <f t="shared" si="7"/>
        <v>0.007904914285714285</v>
      </c>
      <c r="N15" s="11"/>
    </row>
    <row r="16" spans="1:14" ht="12.75">
      <c r="A16" s="8"/>
      <c r="B16" s="42">
        <f aca="true" t="shared" si="8" ref="B16:M16">B14*B15</f>
        <v>1.6881155343322227</v>
      </c>
      <c r="C16" s="42">
        <f t="shared" si="8"/>
        <v>1.3476016504438726</v>
      </c>
      <c r="D16" s="42">
        <f t="shared" si="8"/>
        <v>0.8155193263955274</v>
      </c>
      <c r="E16" s="42">
        <f t="shared" si="8"/>
        <v>0.6037156276424378</v>
      </c>
      <c r="F16" s="42">
        <f t="shared" si="8"/>
        <v>0.3705555704546294</v>
      </c>
      <c r="G16" s="42">
        <f t="shared" si="8"/>
        <v>0.22131215811243993</v>
      </c>
      <c r="H16" s="42">
        <f t="shared" si="8"/>
        <v>0.14738698158863073</v>
      </c>
      <c r="I16" s="42">
        <f t="shared" si="8"/>
        <v>0.11913817091707765</v>
      </c>
      <c r="J16" s="42">
        <f t="shared" si="8"/>
        <v>0.1363662362463649</v>
      </c>
      <c r="K16" s="42">
        <f t="shared" si="8"/>
        <v>0.24977522569822125</v>
      </c>
      <c r="L16" s="42">
        <f t="shared" si="8"/>
        <v>0.5312073151638631</v>
      </c>
      <c r="M16" s="42">
        <f t="shared" si="8"/>
        <v>1.0273694689533908</v>
      </c>
      <c r="N16" s="13">
        <f>SUM(B16:M16)</f>
        <v>7.258063265948678</v>
      </c>
    </row>
    <row r="17" spans="1:14" ht="12.75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</row>
    <row r="18" spans="1:14" s="46" customFormat="1" ht="12.75">
      <c r="A18" s="44" t="s">
        <v>72</v>
      </c>
      <c r="B18" s="45">
        <f>B10</f>
        <v>1.4189956665401293</v>
      </c>
      <c r="C18" s="45">
        <f aca="true" t="shared" si="9" ref="C18:M18">C10</f>
        <v>1.1327666047209364</v>
      </c>
      <c r="D18" s="45">
        <f t="shared" si="9"/>
        <v>0.685508998999139</v>
      </c>
      <c r="E18" s="45">
        <f t="shared" si="9"/>
        <v>0.5074711072936434</v>
      </c>
      <c r="F18" s="45">
        <f t="shared" si="9"/>
        <v>0.31148149400534064</v>
      </c>
      <c r="G18" s="45">
        <f t="shared" si="9"/>
        <v>0.18603050971770313</v>
      </c>
      <c r="H18" s="45">
        <f t="shared" si="9"/>
        <v>0.12389050626290699</v>
      </c>
      <c r="I18" s="45">
        <f t="shared" si="9"/>
        <v>0.10014512917667397</v>
      </c>
      <c r="J18" s="45">
        <f t="shared" si="9"/>
        <v>0.11462669133752412</v>
      </c>
      <c r="K18" s="45">
        <f t="shared" si="9"/>
        <v>0.20995598681879468</v>
      </c>
      <c r="L18" s="45">
        <f t="shared" si="9"/>
        <v>0.4465220910073051</v>
      </c>
      <c r="M18" s="45">
        <f t="shared" si="9"/>
        <v>0.8635859304245892</v>
      </c>
      <c r="N18" s="45">
        <f>SUM(B18:M18)</f>
        <v>6.1009807163046865</v>
      </c>
    </row>
    <row r="19" spans="1:14" s="46" customFormat="1" ht="12.75">
      <c r="A19" s="47" t="s">
        <v>73</v>
      </c>
      <c r="B19" s="45">
        <f>B13</f>
        <v>1.4189956665401293</v>
      </c>
      <c r="C19" s="45">
        <f aca="true" t="shared" si="10" ref="C19:M19">C13</f>
        <v>1.1327666047209364</v>
      </c>
      <c r="D19" s="45">
        <f t="shared" si="10"/>
        <v>0.685508998999139</v>
      </c>
      <c r="E19" s="45">
        <f t="shared" si="10"/>
        <v>0.5074711072936434</v>
      </c>
      <c r="F19" s="45">
        <f t="shared" si="10"/>
        <v>0.31148149400534064</v>
      </c>
      <c r="G19" s="45">
        <f t="shared" si="10"/>
        <v>0.18603050971770313</v>
      </c>
      <c r="H19" s="45">
        <f t="shared" si="10"/>
        <v>0.12389050626290699</v>
      </c>
      <c r="I19" s="45">
        <f t="shared" si="10"/>
        <v>0.10014512917667397</v>
      </c>
      <c r="J19" s="45">
        <f t="shared" si="10"/>
        <v>0.11462669133752412</v>
      </c>
      <c r="K19" s="45">
        <f t="shared" si="10"/>
        <v>0.20995598681879468</v>
      </c>
      <c r="L19" s="45">
        <f t="shared" si="10"/>
        <v>0.4465220910073051</v>
      </c>
      <c r="M19" s="45">
        <f t="shared" si="10"/>
        <v>0.8635859304245892</v>
      </c>
      <c r="N19" s="45">
        <f>SUM(B19:M19)</f>
        <v>6.1009807163046865</v>
      </c>
    </row>
    <row r="20" spans="1:14" s="46" customFormat="1" ht="13.5" thickBot="1">
      <c r="A20" s="48" t="s">
        <v>74</v>
      </c>
      <c r="B20" s="45">
        <f>B16</f>
        <v>1.6881155343322227</v>
      </c>
      <c r="C20" s="45">
        <f aca="true" t="shared" si="11" ref="C20:M20">C16</f>
        <v>1.3476016504438726</v>
      </c>
      <c r="D20" s="45">
        <f t="shared" si="11"/>
        <v>0.8155193263955274</v>
      </c>
      <c r="E20" s="45">
        <f t="shared" si="11"/>
        <v>0.6037156276424378</v>
      </c>
      <c r="F20" s="45">
        <f t="shared" si="11"/>
        <v>0.3705555704546294</v>
      </c>
      <c r="G20" s="45">
        <f t="shared" si="11"/>
        <v>0.22131215811243993</v>
      </c>
      <c r="H20" s="45">
        <f t="shared" si="11"/>
        <v>0.14738698158863073</v>
      </c>
      <c r="I20" s="45">
        <f t="shared" si="11"/>
        <v>0.11913817091707765</v>
      </c>
      <c r="J20" s="45">
        <f t="shared" si="11"/>
        <v>0.1363662362463649</v>
      </c>
      <c r="K20" s="45">
        <f t="shared" si="11"/>
        <v>0.24977522569822125</v>
      </c>
      <c r="L20" s="45">
        <f t="shared" si="11"/>
        <v>0.5312073151638631</v>
      </c>
      <c r="M20" s="45">
        <f t="shared" si="11"/>
        <v>1.0273694689533908</v>
      </c>
      <c r="N20" s="45">
        <f>SUM(B20:M20)</f>
        <v>7.258063265948678</v>
      </c>
    </row>
    <row r="21" ht="13.5" thickTop="1"/>
  </sheetData>
  <printOptions/>
  <pageMargins left="0.75" right="0.75" top="1" bottom="1" header="0.5" footer="0.5"/>
  <pageSetup fitToHeight="1" fitToWidth="1" horizontalDpi="600" verticalDpi="600" orientation="portrait" scale="61" r:id="rId1"/>
  <headerFooter alignWithMargins="0">
    <oddHeader>&amp;C&amp;"Arial,Bold"&amp;12Exhibit K-3 Schedule 191 LI DSM Tariff Calculations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20"/>
  <sheetViews>
    <sheetView zoomScaleSheetLayoutView="162" workbookViewId="0" topLeftCell="D3">
      <selection activeCell="P9" sqref="P9"/>
    </sheetView>
  </sheetViews>
  <sheetFormatPr defaultColWidth="9.140625" defaultRowHeight="12.75"/>
  <cols>
    <col min="1" max="1" width="14.421875" style="1" customWidth="1"/>
    <col min="2" max="13" width="10.421875" style="1" customWidth="1"/>
    <col min="14" max="14" width="12.8515625" style="1" bestFit="1" customWidth="1"/>
  </cols>
  <sheetData>
    <row r="1" ht="12.75" hidden="1"/>
    <row r="2" ht="12.75" hidden="1"/>
    <row r="5" spans="1:14" ht="12.75">
      <c r="A5" s="2"/>
      <c r="B5" s="3" t="s"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</row>
    <row r="6" spans="1:14" ht="12.75">
      <c r="A6" s="6"/>
      <c r="B6" s="7" t="s">
        <v>27</v>
      </c>
      <c r="C6" s="7" t="s">
        <v>28</v>
      </c>
      <c r="D6" s="7" t="s">
        <v>29</v>
      </c>
      <c r="E6" s="7" t="s">
        <v>30</v>
      </c>
      <c r="F6" s="7" t="s">
        <v>31</v>
      </c>
      <c r="G6" s="7" t="s">
        <v>32</v>
      </c>
      <c r="H6" s="7" t="s">
        <v>33</v>
      </c>
      <c r="I6" s="7" t="s">
        <v>34</v>
      </c>
      <c r="J6" s="7" t="s">
        <v>35</v>
      </c>
      <c r="K6" s="7" t="s">
        <v>36</v>
      </c>
      <c r="L6" s="7" t="s">
        <v>37</v>
      </c>
      <c r="M6" s="7" t="s">
        <v>38</v>
      </c>
      <c r="N6" s="8" t="s">
        <v>13</v>
      </c>
    </row>
    <row r="7" spans="1:14" ht="12.75">
      <c r="A7" s="9" t="s">
        <v>14</v>
      </c>
      <c r="B7" s="33">
        <v>0.18227261295990946</v>
      </c>
      <c r="C7" s="33">
        <v>0.1726284518028704</v>
      </c>
      <c r="D7" s="33">
        <v>0.1245967618497605</v>
      </c>
      <c r="E7" s="33">
        <v>0.09223694625951914</v>
      </c>
      <c r="F7" s="33">
        <v>0.056614261207152704</v>
      </c>
      <c r="G7" s="33">
        <v>0.03381253805555852</v>
      </c>
      <c r="H7" s="33">
        <v>0.02251809374759947</v>
      </c>
      <c r="I7" s="33">
        <v>0.018202180903033223</v>
      </c>
      <c r="J7" s="33">
        <v>0.020834321041824044</v>
      </c>
      <c r="K7" s="33">
        <v>0.038161185523146825</v>
      </c>
      <c r="L7" s="33">
        <v>0.08115897342722435</v>
      </c>
      <c r="M7" s="33">
        <v>0.15696367322240146</v>
      </c>
      <c r="N7" s="10"/>
    </row>
    <row r="8" spans="1:14" ht="12.75">
      <c r="A8" s="34" t="s">
        <v>72</v>
      </c>
      <c r="B8" s="11">
        <f>$N$8*B7</f>
        <v>126.86173862009699</v>
      </c>
      <c r="C8" s="11">
        <f aca="true" t="shared" si="0" ref="C8:M8">$N$8*C7</f>
        <v>120.1494024547978</v>
      </c>
      <c r="D8" s="11">
        <f t="shared" si="0"/>
        <v>86.71934624743331</v>
      </c>
      <c r="E8" s="11">
        <f t="shared" si="0"/>
        <v>64.19691459662532</v>
      </c>
      <c r="F8" s="11">
        <f t="shared" si="0"/>
        <v>39.40352580017828</v>
      </c>
      <c r="G8" s="11">
        <f t="shared" si="0"/>
        <v>23.53352648666873</v>
      </c>
      <c r="H8" s="11">
        <f t="shared" si="0"/>
        <v>15.672593248329232</v>
      </c>
      <c r="I8" s="11">
        <f t="shared" si="0"/>
        <v>12.668717908511123</v>
      </c>
      <c r="J8" s="11">
        <f t="shared" si="0"/>
        <v>14.500687445109534</v>
      </c>
      <c r="K8" s="11">
        <f t="shared" si="0"/>
        <v>26.56018512411019</v>
      </c>
      <c r="L8" s="11">
        <f t="shared" si="0"/>
        <v>56.48664550534814</v>
      </c>
      <c r="M8" s="11">
        <f t="shared" si="0"/>
        <v>109.24671656279142</v>
      </c>
      <c r="N8" s="35">
        <f>'2004'!I3</f>
        <v>696</v>
      </c>
    </row>
    <row r="9" spans="1:14" ht="12.75">
      <c r="A9" s="8"/>
      <c r="B9" s="12">
        <f>0.01062*0.5/1.29</f>
        <v>0.004116279069767441</v>
      </c>
      <c r="C9" s="12">
        <f>B9</f>
        <v>0.004116279069767441</v>
      </c>
      <c r="D9" s="12">
        <f aca="true" t="shared" si="1" ref="D9:M9">C9</f>
        <v>0.004116279069767441</v>
      </c>
      <c r="E9" s="12">
        <f t="shared" si="1"/>
        <v>0.004116279069767441</v>
      </c>
      <c r="F9" s="12">
        <f t="shared" si="1"/>
        <v>0.004116279069767441</v>
      </c>
      <c r="G9" s="12">
        <f t="shared" si="1"/>
        <v>0.004116279069767441</v>
      </c>
      <c r="H9" s="12">
        <f t="shared" si="1"/>
        <v>0.004116279069767441</v>
      </c>
      <c r="I9" s="12">
        <f t="shared" si="1"/>
        <v>0.004116279069767441</v>
      </c>
      <c r="J9" s="12">
        <f t="shared" si="1"/>
        <v>0.004116279069767441</v>
      </c>
      <c r="K9" s="12">
        <f t="shared" si="1"/>
        <v>0.004116279069767441</v>
      </c>
      <c r="L9" s="12">
        <v>0.01795</v>
      </c>
      <c r="M9" s="12">
        <f t="shared" si="1"/>
        <v>0.01795</v>
      </c>
      <c r="N9" s="11"/>
    </row>
    <row r="10" spans="1:14" ht="12.75">
      <c r="A10" s="8"/>
      <c r="B10" s="42">
        <f>B8*B9</f>
        <v>0.5221983194362131</v>
      </c>
      <c r="C10" s="42">
        <f>C8*C9</f>
        <v>0.494568470569749</v>
      </c>
      <c r="D10" s="42">
        <f aca="true" t="shared" si="2" ref="D10:M10">D8*D9</f>
        <v>0.35696102990222545</v>
      </c>
      <c r="E10" s="42">
        <f t="shared" si="2"/>
        <v>0.26425241589773674</v>
      </c>
      <c r="F10" s="42">
        <f t="shared" si="2"/>
        <v>0.1621959085263152</v>
      </c>
      <c r="G10" s="42">
        <f t="shared" si="2"/>
        <v>0.0968705625148922</v>
      </c>
      <c r="H10" s="42">
        <f t="shared" si="2"/>
        <v>0.06451276755707613</v>
      </c>
      <c r="I10" s="42">
        <f t="shared" si="2"/>
        <v>0.052147978367592294</v>
      </c>
      <c r="J10" s="42">
        <f t="shared" si="2"/>
        <v>0.05968887622754389</v>
      </c>
      <c r="K10" s="42">
        <f t="shared" si="2"/>
        <v>0.10932913411552334</v>
      </c>
      <c r="L10" s="42">
        <f t="shared" si="2"/>
        <v>1.0139352868209992</v>
      </c>
      <c r="M10" s="42">
        <f t="shared" si="2"/>
        <v>1.960978562302106</v>
      </c>
      <c r="N10" s="13">
        <f>SUM(B10:M10)</f>
        <v>5.157639312237973</v>
      </c>
    </row>
    <row r="11" spans="1:14" ht="12.75">
      <c r="A11" s="36" t="s">
        <v>73</v>
      </c>
      <c r="B11" s="11">
        <f>$N$11*B7</f>
        <v>126.86173862009699</v>
      </c>
      <c r="C11" s="11">
        <f aca="true" t="shared" si="3" ref="C11:M11">$N$11*C7</f>
        <v>120.1494024547978</v>
      </c>
      <c r="D11" s="11">
        <f t="shared" si="3"/>
        <v>86.71934624743331</v>
      </c>
      <c r="E11" s="11">
        <f t="shared" si="3"/>
        <v>64.19691459662532</v>
      </c>
      <c r="F11" s="11">
        <f t="shared" si="3"/>
        <v>39.40352580017828</v>
      </c>
      <c r="G11" s="11">
        <f t="shared" si="3"/>
        <v>23.53352648666873</v>
      </c>
      <c r="H11" s="11">
        <f t="shared" si="3"/>
        <v>15.672593248329232</v>
      </c>
      <c r="I11" s="11">
        <f t="shared" si="3"/>
        <v>12.668717908511123</v>
      </c>
      <c r="J11" s="11">
        <f t="shared" si="3"/>
        <v>14.500687445109534</v>
      </c>
      <c r="K11" s="11">
        <f t="shared" si="3"/>
        <v>26.56018512411019</v>
      </c>
      <c r="L11" s="11">
        <f t="shared" si="3"/>
        <v>56.48664550534814</v>
      </c>
      <c r="M11" s="11">
        <f t="shared" si="3"/>
        <v>109.24671656279142</v>
      </c>
      <c r="N11" s="37">
        <f>'2004'!I4</f>
        <v>696</v>
      </c>
    </row>
    <row r="12" spans="1:14" ht="12.75">
      <c r="A12" s="8"/>
      <c r="B12" s="12">
        <f>B9</f>
        <v>0.004116279069767441</v>
      </c>
      <c r="C12" s="12">
        <f aca="true" t="shared" si="4" ref="C12:M12">C9</f>
        <v>0.004116279069767441</v>
      </c>
      <c r="D12" s="12">
        <f t="shared" si="4"/>
        <v>0.004116279069767441</v>
      </c>
      <c r="E12" s="12">
        <f t="shared" si="4"/>
        <v>0.004116279069767441</v>
      </c>
      <c r="F12" s="12">
        <f t="shared" si="4"/>
        <v>0.004116279069767441</v>
      </c>
      <c r="G12" s="12">
        <f t="shared" si="4"/>
        <v>0.004116279069767441</v>
      </c>
      <c r="H12" s="12">
        <f t="shared" si="4"/>
        <v>0.004116279069767441</v>
      </c>
      <c r="I12" s="12">
        <f t="shared" si="4"/>
        <v>0.004116279069767441</v>
      </c>
      <c r="J12" s="12">
        <f t="shared" si="4"/>
        <v>0.004116279069767441</v>
      </c>
      <c r="K12" s="12">
        <f t="shared" si="4"/>
        <v>0.004116279069767441</v>
      </c>
      <c r="L12" s="12">
        <f t="shared" si="4"/>
        <v>0.01795</v>
      </c>
      <c r="M12" s="12">
        <f t="shared" si="4"/>
        <v>0.01795</v>
      </c>
      <c r="N12" s="11"/>
    </row>
    <row r="13" spans="1:14" ht="12.75">
      <c r="A13" s="8"/>
      <c r="B13" s="42">
        <f>B11*B12</f>
        <v>0.5221983194362131</v>
      </c>
      <c r="C13" s="42">
        <f>C11*C12</f>
        <v>0.494568470569749</v>
      </c>
      <c r="D13" s="42">
        <f aca="true" t="shared" si="5" ref="D13:M13">D11*D12</f>
        <v>0.35696102990222545</v>
      </c>
      <c r="E13" s="42">
        <f t="shared" si="5"/>
        <v>0.26425241589773674</v>
      </c>
      <c r="F13" s="42">
        <f t="shared" si="5"/>
        <v>0.1621959085263152</v>
      </c>
      <c r="G13" s="42">
        <f t="shared" si="5"/>
        <v>0.0968705625148922</v>
      </c>
      <c r="H13" s="42">
        <f t="shared" si="5"/>
        <v>0.06451276755707613</v>
      </c>
      <c r="I13" s="42">
        <f t="shared" si="5"/>
        <v>0.052147978367592294</v>
      </c>
      <c r="J13" s="42">
        <f t="shared" si="5"/>
        <v>0.05968887622754389</v>
      </c>
      <c r="K13" s="42">
        <f t="shared" si="5"/>
        <v>0.10932913411552334</v>
      </c>
      <c r="L13" s="42">
        <f t="shared" si="5"/>
        <v>1.0139352868209992</v>
      </c>
      <c r="M13" s="42">
        <f t="shared" si="5"/>
        <v>1.960978562302106</v>
      </c>
      <c r="N13" s="13">
        <f>SUM(B13:M13)</f>
        <v>5.157639312237973</v>
      </c>
    </row>
    <row r="14" spans="1:14" ht="13.5" thickBot="1">
      <c r="A14" s="38" t="s">
        <v>74</v>
      </c>
      <c r="B14" s="11">
        <f>$N$14*B7</f>
        <v>150.92172353080502</v>
      </c>
      <c r="C14" s="11">
        <f aca="true" t="shared" si="6" ref="C14:M14">$N$14*C7</f>
        <v>142.9363580927767</v>
      </c>
      <c r="D14" s="11">
        <f t="shared" si="6"/>
        <v>103.16611881160169</v>
      </c>
      <c r="E14" s="11">
        <f t="shared" si="6"/>
        <v>76.37219150288185</v>
      </c>
      <c r="F14" s="11">
        <f t="shared" si="6"/>
        <v>46.876608279522436</v>
      </c>
      <c r="G14" s="11">
        <f t="shared" si="6"/>
        <v>27.996781510002453</v>
      </c>
      <c r="H14" s="11">
        <f t="shared" si="6"/>
        <v>18.644981623012363</v>
      </c>
      <c r="I14" s="11">
        <f t="shared" si="6"/>
        <v>15.071405787711509</v>
      </c>
      <c r="J14" s="11">
        <f t="shared" si="6"/>
        <v>17.250817822630307</v>
      </c>
      <c r="K14" s="11">
        <f t="shared" si="6"/>
        <v>31.59746161316557</v>
      </c>
      <c r="L14" s="11">
        <f t="shared" si="6"/>
        <v>67.19962999774177</v>
      </c>
      <c r="M14" s="11">
        <f t="shared" si="6"/>
        <v>129.96592142814842</v>
      </c>
      <c r="N14" s="39">
        <f>'2004'!I5</f>
        <v>828</v>
      </c>
    </row>
    <row r="15" spans="1:14" ht="13.5" thickTop="1">
      <c r="A15" s="8"/>
      <c r="B15" s="12">
        <f>B9</f>
        <v>0.004116279069767441</v>
      </c>
      <c r="C15" s="12">
        <f aca="true" t="shared" si="7" ref="C15:M15">C9</f>
        <v>0.004116279069767441</v>
      </c>
      <c r="D15" s="12">
        <f t="shared" si="7"/>
        <v>0.004116279069767441</v>
      </c>
      <c r="E15" s="12">
        <f t="shared" si="7"/>
        <v>0.004116279069767441</v>
      </c>
      <c r="F15" s="12">
        <f t="shared" si="7"/>
        <v>0.004116279069767441</v>
      </c>
      <c r="G15" s="12">
        <f t="shared" si="7"/>
        <v>0.004116279069767441</v>
      </c>
      <c r="H15" s="12">
        <f t="shared" si="7"/>
        <v>0.004116279069767441</v>
      </c>
      <c r="I15" s="12">
        <f t="shared" si="7"/>
        <v>0.004116279069767441</v>
      </c>
      <c r="J15" s="12">
        <f t="shared" si="7"/>
        <v>0.004116279069767441</v>
      </c>
      <c r="K15" s="12">
        <f t="shared" si="7"/>
        <v>0.004116279069767441</v>
      </c>
      <c r="L15" s="12">
        <f t="shared" si="7"/>
        <v>0.01795</v>
      </c>
      <c r="M15" s="12">
        <f t="shared" si="7"/>
        <v>0.01795</v>
      </c>
      <c r="N15" s="11"/>
    </row>
    <row r="16" spans="1:14" ht="12.75">
      <c r="A16" s="8"/>
      <c r="B16" s="42">
        <f>B14*B15</f>
        <v>0.6212359317430811</v>
      </c>
      <c r="C16" s="42">
        <f>C14*C15</f>
        <v>0.5883659391260807</v>
      </c>
      <c r="D16" s="42">
        <f aca="true" t="shared" si="8" ref="D16:M16">D14*D15</f>
        <v>0.42466053557333716</v>
      </c>
      <c r="E16" s="42">
        <f t="shared" si="8"/>
        <v>0.31436925339558336</v>
      </c>
      <c r="F16" s="42">
        <f t="shared" si="8"/>
        <v>0.19295720152268536</v>
      </c>
      <c r="G16" s="42">
        <f t="shared" si="8"/>
        <v>0.1152425657504752</v>
      </c>
      <c r="H16" s="42">
        <f t="shared" si="8"/>
        <v>0.07674794761100437</v>
      </c>
      <c r="I16" s="42">
        <f t="shared" si="8"/>
        <v>0.062038112195928766</v>
      </c>
      <c r="J16" s="42">
        <f t="shared" si="8"/>
        <v>0.07100918033966427</v>
      </c>
      <c r="K16" s="42">
        <f t="shared" si="8"/>
        <v>0.13006396989605362</v>
      </c>
      <c r="L16" s="42">
        <f t="shared" si="8"/>
        <v>1.2062333584594647</v>
      </c>
      <c r="M16" s="42">
        <f t="shared" si="8"/>
        <v>2.3328882896352643</v>
      </c>
      <c r="N16" s="13">
        <f>SUM(B16:M16)</f>
        <v>6.1358122852486225</v>
      </c>
    </row>
    <row r="18" spans="1:14" s="46" customFormat="1" ht="12.75">
      <c r="A18" s="44" t="s">
        <v>72</v>
      </c>
      <c r="B18" s="45">
        <f>B10</f>
        <v>0.5221983194362131</v>
      </c>
      <c r="C18" s="45">
        <f aca="true" t="shared" si="9" ref="C18:M18">C10</f>
        <v>0.494568470569749</v>
      </c>
      <c r="D18" s="45">
        <f t="shared" si="9"/>
        <v>0.35696102990222545</v>
      </c>
      <c r="E18" s="45">
        <f t="shared" si="9"/>
        <v>0.26425241589773674</v>
      </c>
      <c r="F18" s="45">
        <f t="shared" si="9"/>
        <v>0.1621959085263152</v>
      </c>
      <c r="G18" s="45">
        <f t="shared" si="9"/>
        <v>0.0968705625148922</v>
      </c>
      <c r="H18" s="45">
        <f t="shared" si="9"/>
        <v>0.06451276755707613</v>
      </c>
      <c r="I18" s="45">
        <f t="shared" si="9"/>
        <v>0.052147978367592294</v>
      </c>
      <c r="J18" s="45">
        <f t="shared" si="9"/>
        <v>0.05968887622754389</v>
      </c>
      <c r="K18" s="45">
        <f t="shared" si="9"/>
        <v>0.10932913411552334</v>
      </c>
      <c r="L18" s="45">
        <f t="shared" si="9"/>
        <v>1.0139352868209992</v>
      </c>
      <c r="M18" s="45">
        <f t="shared" si="9"/>
        <v>1.960978562302106</v>
      </c>
      <c r="N18" s="45">
        <f>SUM(B18:M18)</f>
        <v>5.157639312237973</v>
      </c>
    </row>
    <row r="19" spans="1:14" s="46" customFormat="1" ht="12.75">
      <c r="A19" s="47" t="s">
        <v>73</v>
      </c>
      <c r="B19" s="45">
        <f>B13</f>
        <v>0.5221983194362131</v>
      </c>
      <c r="C19" s="45">
        <f aca="true" t="shared" si="10" ref="C19:M19">C13</f>
        <v>0.494568470569749</v>
      </c>
      <c r="D19" s="45">
        <f t="shared" si="10"/>
        <v>0.35696102990222545</v>
      </c>
      <c r="E19" s="45">
        <f t="shared" si="10"/>
        <v>0.26425241589773674</v>
      </c>
      <c r="F19" s="45">
        <f t="shared" si="10"/>
        <v>0.1621959085263152</v>
      </c>
      <c r="G19" s="45">
        <f t="shared" si="10"/>
        <v>0.0968705625148922</v>
      </c>
      <c r="H19" s="45">
        <f t="shared" si="10"/>
        <v>0.06451276755707613</v>
      </c>
      <c r="I19" s="45">
        <f t="shared" si="10"/>
        <v>0.052147978367592294</v>
      </c>
      <c r="J19" s="45">
        <f t="shared" si="10"/>
        <v>0.05968887622754389</v>
      </c>
      <c r="K19" s="45">
        <f t="shared" si="10"/>
        <v>0.10932913411552334</v>
      </c>
      <c r="L19" s="45">
        <f t="shared" si="10"/>
        <v>1.0139352868209992</v>
      </c>
      <c r="M19" s="45">
        <f t="shared" si="10"/>
        <v>1.960978562302106</v>
      </c>
      <c r="N19" s="45">
        <f>SUM(B19:M19)</f>
        <v>5.157639312237973</v>
      </c>
    </row>
    <row r="20" spans="1:14" s="46" customFormat="1" ht="13.5" thickBot="1">
      <c r="A20" s="48" t="s">
        <v>74</v>
      </c>
      <c r="B20" s="45">
        <f>B16</f>
        <v>0.6212359317430811</v>
      </c>
      <c r="C20" s="45">
        <f aca="true" t="shared" si="11" ref="C20:M20">C16</f>
        <v>0.5883659391260807</v>
      </c>
      <c r="D20" s="45">
        <f t="shared" si="11"/>
        <v>0.42466053557333716</v>
      </c>
      <c r="E20" s="45">
        <f t="shared" si="11"/>
        <v>0.31436925339558336</v>
      </c>
      <c r="F20" s="45">
        <f t="shared" si="11"/>
        <v>0.19295720152268536</v>
      </c>
      <c r="G20" s="45">
        <f t="shared" si="11"/>
        <v>0.1152425657504752</v>
      </c>
      <c r="H20" s="45">
        <f t="shared" si="11"/>
        <v>0.07674794761100437</v>
      </c>
      <c r="I20" s="45">
        <f t="shared" si="11"/>
        <v>0.062038112195928766</v>
      </c>
      <c r="J20" s="45">
        <f t="shared" si="11"/>
        <v>0.07100918033966427</v>
      </c>
      <c r="K20" s="45">
        <f t="shared" si="11"/>
        <v>0.13006396989605362</v>
      </c>
      <c r="L20" s="45">
        <f t="shared" si="11"/>
        <v>1.2062333584594647</v>
      </c>
      <c r="M20" s="45">
        <f t="shared" si="11"/>
        <v>2.3328882896352643</v>
      </c>
      <c r="N20" s="45">
        <f>SUM(B20:M20)</f>
        <v>6.1358122852486225</v>
      </c>
    </row>
    <row r="21" ht="13.5" thickTop="1"/>
  </sheetData>
  <printOptions/>
  <pageMargins left="0.75" right="0.75" top="1" bottom="1" header="0.5" footer="0.5"/>
  <pageSetup fitToHeight="1" fitToWidth="1" horizontalDpi="600" verticalDpi="600" orientation="portrait" scale="59" r:id="rId1"/>
  <headerFooter alignWithMargins="0">
    <oddHeader>&amp;C&amp;"Arial,Bold"&amp;12Exhibit K-3 Schedule 191 LI DSM Tariff Calculations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20"/>
  <sheetViews>
    <sheetView zoomScaleSheetLayoutView="99" workbookViewId="0" topLeftCell="B3">
      <selection activeCell="P9" sqref="P9"/>
    </sheetView>
  </sheetViews>
  <sheetFormatPr defaultColWidth="9.140625" defaultRowHeight="12.75"/>
  <cols>
    <col min="1" max="1" width="12.00390625" style="1" customWidth="1"/>
    <col min="2" max="13" width="10.421875" style="1" customWidth="1"/>
    <col min="14" max="14" width="13.421875" style="1" bestFit="1" customWidth="1"/>
    <col min="15" max="15" width="9.140625" style="1" customWidth="1"/>
  </cols>
  <sheetData>
    <row r="1" ht="12.75" hidden="1"/>
    <row r="2" ht="12.75" hidden="1"/>
    <row r="5" spans="1:14" ht="12.75">
      <c r="A5" s="2"/>
      <c r="B5" s="3" t="s"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</row>
    <row r="6" spans="1:14" ht="12.75">
      <c r="A6" s="6"/>
      <c r="B6" s="7" t="s">
        <v>39</v>
      </c>
      <c r="C6" s="7" t="s">
        <v>40</v>
      </c>
      <c r="D6" s="7" t="s">
        <v>41</v>
      </c>
      <c r="E6" s="7" t="s">
        <v>42</v>
      </c>
      <c r="F6" s="7" t="s">
        <v>43</v>
      </c>
      <c r="G6" s="7" t="s">
        <v>44</v>
      </c>
      <c r="H6" s="7" t="s">
        <v>45</v>
      </c>
      <c r="I6" s="7" t="s">
        <v>46</v>
      </c>
      <c r="J6" s="7" t="s">
        <v>47</v>
      </c>
      <c r="K6" s="7" t="s">
        <v>48</v>
      </c>
      <c r="L6" s="7" t="s">
        <v>49</v>
      </c>
      <c r="M6" s="7" t="s">
        <v>50</v>
      </c>
      <c r="N6" s="8" t="s">
        <v>13</v>
      </c>
    </row>
    <row r="7" spans="1:15" ht="12.75">
      <c r="A7" s="9" t="s">
        <v>14</v>
      </c>
      <c r="B7" s="33">
        <v>0.18227261295990946</v>
      </c>
      <c r="C7" s="33">
        <v>0.1726284518028704</v>
      </c>
      <c r="D7" s="33">
        <v>0.1245967618497605</v>
      </c>
      <c r="E7" s="33">
        <v>0.09223694625951914</v>
      </c>
      <c r="F7" s="33">
        <v>0.056614261207152704</v>
      </c>
      <c r="G7" s="33">
        <v>0.03381253805555852</v>
      </c>
      <c r="H7" s="33">
        <v>0.02251809374759947</v>
      </c>
      <c r="I7" s="33">
        <v>0.018202180903033223</v>
      </c>
      <c r="J7" s="33">
        <v>0.020834321041824044</v>
      </c>
      <c r="K7" s="33">
        <v>0.038161185523146825</v>
      </c>
      <c r="L7" s="33">
        <v>0.08115897342722435</v>
      </c>
      <c r="M7" s="33">
        <v>0.15696367322240146</v>
      </c>
      <c r="N7" s="10"/>
      <c r="O7"/>
    </row>
    <row r="8" spans="1:14" ht="12.75">
      <c r="A8" s="34" t="s">
        <v>72</v>
      </c>
      <c r="B8" s="11">
        <f>$N$8*B7</f>
        <v>126.86173862009699</v>
      </c>
      <c r="C8" s="11">
        <f aca="true" t="shared" si="0" ref="C8:M8">$N$8*C7</f>
        <v>120.1494024547978</v>
      </c>
      <c r="D8" s="11">
        <f t="shared" si="0"/>
        <v>86.71934624743331</v>
      </c>
      <c r="E8" s="11">
        <f t="shared" si="0"/>
        <v>64.19691459662532</v>
      </c>
      <c r="F8" s="11">
        <f t="shared" si="0"/>
        <v>39.40352580017828</v>
      </c>
      <c r="G8" s="11">
        <f t="shared" si="0"/>
        <v>23.53352648666873</v>
      </c>
      <c r="H8" s="11">
        <f t="shared" si="0"/>
        <v>15.672593248329232</v>
      </c>
      <c r="I8" s="11">
        <f t="shared" si="0"/>
        <v>12.668717908511123</v>
      </c>
      <c r="J8" s="11">
        <f t="shared" si="0"/>
        <v>14.500687445109534</v>
      </c>
      <c r="K8" s="11">
        <f t="shared" si="0"/>
        <v>26.56018512411019</v>
      </c>
      <c r="L8" s="11">
        <f t="shared" si="0"/>
        <v>56.48664550534814</v>
      </c>
      <c r="M8" s="11">
        <f t="shared" si="0"/>
        <v>109.24671656279142</v>
      </c>
      <c r="N8" s="35">
        <f>'2004'!I3</f>
        <v>696</v>
      </c>
    </row>
    <row r="9" spans="1:14" ht="12.75">
      <c r="A9" s="8"/>
      <c r="B9" s="14">
        <v>0.01795</v>
      </c>
      <c r="C9" s="14">
        <v>0.01795</v>
      </c>
      <c r="D9" s="14">
        <v>0.01795</v>
      </c>
      <c r="E9" s="14">
        <v>0.01795</v>
      </c>
      <c r="F9" s="14">
        <v>0.01795</v>
      </c>
      <c r="G9" s="14">
        <v>0.01795</v>
      </c>
      <c r="H9" s="14">
        <v>0.01795</v>
      </c>
      <c r="I9" s="14">
        <v>0.01795</v>
      </c>
      <c r="J9" s="14">
        <v>0.01795</v>
      </c>
      <c r="K9" s="14">
        <v>0.01795</v>
      </c>
      <c r="L9" s="14">
        <v>0.01795</v>
      </c>
      <c r="M9" s="14">
        <v>0.01795</v>
      </c>
      <c r="N9" s="11"/>
    </row>
    <row r="10" spans="1:14" ht="12.75">
      <c r="A10" s="8"/>
      <c r="B10" s="42">
        <f>B8*B9</f>
        <v>2.277168208230741</v>
      </c>
      <c r="C10" s="42">
        <f aca="true" t="shared" si="1" ref="C10:M10">C8*C9</f>
        <v>2.1566817740636206</v>
      </c>
      <c r="D10" s="42">
        <f t="shared" si="1"/>
        <v>1.556612265141428</v>
      </c>
      <c r="E10" s="42">
        <f t="shared" si="1"/>
        <v>1.1523346170094246</v>
      </c>
      <c r="F10" s="42">
        <f t="shared" si="1"/>
        <v>0.7072932881132001</v>
      </c>
      <c r="G10" s="42">
        <f t="shared" si="1"/>
        <v>0.42242680043570374</v>
      </c>
      <c r="H10" s="42">
        <f t="shared" si="1"/>
        <v>0.28132304880750975</v>
      </c>
      <c r="I10" s="42">
        <f t="shared" si="1"/>
        <v>0.22740348645777467</v>
      </c>
      <c r="J10" s="42">
        <f t="shared" si="1"/>
        <v>0.2602873396397162</v>
      </c>
      <c r="K10" s="42">
        <f t="shared" si="1"/>
        <v>0.47675532297777795</v>
      </c>
      <c r="L10" s="42">
        <f t="shared" si="1"/>
        <v>1.0139352868209992</v>
      </c>
      <c r="M10" s="42">
        <f t="shared" si="1"/>
        <v>1.960978562302106</v>
      </c>
      <c r="N10" s="11"/>
    </row>
    <row r="11" spans="1:14" ht="12.75">
      <c r="A11" s="36" t="s">
        <v>73</v>
      </c>
      <c r="B11" s="11">
        <f>$N$11*B7</f>
        <v>126.86173862009699</v>
      </c>
      <c r="C11" s="11">
        <f aca="true" t="shared" si="2" ref="C11:M11">$N$11*C7</f>
        <v>120.1494024547978</v>
      </c>
      <c r="D11" s="11">
        <f t="shared" si="2"/>
        <v>86.71934624743331</v>
      </c>
      <c r="E11" s="11">
        <f t="shared" si="2"/>
        <v>64.19691459662532</v>
      </c>
      <c r="F11" s="11">
        <f t="shared" si="2"/>
        <v>39.40352580017828</v>
      </c>
      <c r="G11" s="11">
        <f t="shared" si="2"/>
        <v>23.53352648666873</v>
      </c>
      <c r="H11" s="11">
        <f t="shared" si="2"/>
        <v>15.672593248329232</v>
      </c>
      <c r="I11" s="11">
        <f t="shared" si="2"/>
        <v>12.668717908511123</v>
      </c>
      <c r="J11" s="11">
        <f t="shared" si="2"/>
        <v>14.500687445109534</v>
      </c>
      <c r="K11" s="11">
        <f t="shared" si="2"/>
        <v>26.56018512411019</v>
      </c>
      <c r="L11" s="11">
        <f t="shared" si="2"/>
        <v>56.48664550534814</v>
      </c>
      <c r="M11" s="11">
        <f t="shared" si="2"/>
        <v>109.24671656279142</v>
      </c>
      <c r="N11" s="37">
        <f>'2004'!I4</f>
        <v>696</v>
      </c>
    </row>
    <row r="12" spans="1:14" ht="12.75">
      <c r="A12" s="8"/>
      <c r="B12" s="14">
        <f>B9</f>
        <v>0.01795</v>
      </c>
      <c r="C12" s="14">
        <f aca="true" t="shared" si="3" ref="C12:M12">C9</f>
        <v>0.01795</v>
      </c>
      <c r="D12" s="14">
        <f t="shared" si="3"/>
        <v>0.01795</v>
      </c>
      <c r="E12" s="14">
        <f t="shared" si="3"/>
        <v>0.01795</v>
      </c>
      <c r="F12" s="14">
        <f t="shared" si="3"/>
        <v>0.01795</v>
      </c>
      <c r="G12" s="14">
        <f t="shared" si="3"/>
        <v>0.01795</v>
      </c>
      <c r="H12" s="14">
        <f t="shared" si="3"/>
        <v>0.01795</v>
      </c>
      <c r="I12" s="14">
        <f t="shared" si="3"/>
        <v>0.01795</v>
      </c>
      <c r="J12" s="14">
        <f t="shared" si="3"/>
        <v>0.01795</v>
      </c>
      <c r="K12" s="14">
        <f t="shared" si="3"/>
        <v>0.01795</v>
      </c>
      <c r="L12" s="14">
        <f t="shared" si="3"/>
        <v>0.01795</v>
      </c>
      <c r="M12" s="14">
        <f t="shared" si="3"/>
        <v>0.01795</v>
      </c>
      <c r="N12" s="11"/>
    </row>
    <row r="13" spans="1:14" ht="12.75">
      <c r="A13" s="8"/>
      <c r="B13" s="42">
        <f>B11*B12</f>
        <v>2.277168208230741</v>
      </c>
      <c r="C13" s="42">
        <f aca="true" t="shared" si="4" ref="C13:M13">C11*C12</f>
        <v>2.1566817740636206</v>
      </c>
      <c r="D13" s="42">
        <f t="shared" si="4"/>
        <v>1.556612265141428</v>
      </c>
      <c r="E13" s="42">
        <f t="shared" si="4"/>
        <v>1.1523346170094246</v>
      </c>
      <c r="F13" s="42">
        <f t="shared" si="4"/>
        <v>0.7072932881132001</v>
      </c>
      <c r="G13" s="42">
        <f t="shared" si="4"/>
        <v>0.42242680043570374</v>
      </c>
      <c r="H13" s="42">
        <f t="shared" si="4"/>
        <v>0.28132304880750975</v>
      </c>
      <c r="I13" s="42">
        <f t="shared" si="4"/>
        <v>0.22740348645777467</v>
      </c>
      <c r="J13" s="42">
        <f t="shared" si="4"/>
        <v>0.2602873396397162</v>
      </c>
      <c r="K13" s="42">
        <f t="shared" si="4"/>
        <v>0.47675532297777795</v>
      </c>
      <c r="L13" s="42">
        <f t="shared" si="4"/>
        <v>1.0139352868209992</v>
      </c>
      <c r="M13" s="42">
        <f t="shared" si="4"/>
        <v>1.960978562302106</v>
      </c>
      <c r="N13" s="11"/>
    </row>
    <row r="14" spans="1:14" ht="13.5" thickBot="1">
      <c r="A14" s="38" t="s">
        <v>74</v>
      </c>
      <c r="B14" s="11">
        <f>$N$14*B7</f>
        <v>150.92172353080502</v>
      </c>
      <c r="C14" s="11">
        <f aca="true" t="shared" si="5" ref="C14:M14">$N$14*C7</f>
        <v>142.9363580927767</v>
      </c>
      <c r="D14" s="11">
        <f t="shared" si="5"/>
        <v>103.16611881160169</v>
      </c>
      <c r="E14" s="11">
        <f t="shared" si="5"/>
        <v>76.37219150288185</v>
      </c>
      <c r="F14" s="11">
        <f t="shared" si="5"/>
        <v>46.876608279522436</v>
      </c>
      <c r="G14" s="11">
        <f t="shared" si="5"/>
        <v>27.996781510002453</v>
      </c>
      <c r="H14" s="11">
        <f t="shared" si="5"/>
        <v>18.644981623012363</v>
      </c>
      <c r="I14" s="11">
        <f t="shared" si="5"/>
        <v>15.071405787711509</v>
      </c>
      <c r="J14" s="11">
        <f t="shared" si="5"/>
        <v>17.250817822630307</v>
      </c>
      <c r="K14" s="11">
        <f t="shared" si="5"/>
        <v>31.59746161316557</v>
      </c>
      <c r="L14" s="11">
        <f t="shared" si="5"/>
        <v>67.19962999774177</v>
      </c>
      <c r="M14" s="11">
        <f t="shared" si="5"/>
        <v>129.96592142814842</v>
      </c>
      <c r="N14" s="39">
        <f>'2004'!I5</f>
        <v>828</v>
      </c>
    </row>
    <row r="15" spans="1:14" ht="13.5" thickTop="1">
      <c r="A15" s="8"/>
      <c r="B15" s="14">
        <f>B9</f>
        <v>0.01795</v>
      </c>
      <c r="C15" s="14">
        <f aca="true" t="shared" si="6" ref="C15:M15">C9</f>
        <v>0.01795</v>
      </c>
      <c r="D15" s="14">
        <f t="shared" si="6"/>
        <v>0.01795</v>
      </c>
      <c r="E15" s="14">
        <f t="shared" si="6"/>
        <v>0.01795</v>
      </c>
      <c r="F15" s="14">
        <f t="shared" si="6"/>
        <v>0.01795</v>
      </c>
      <c r="G15" s="14">
        <f t="shared" si="6"/>
        <v>0.01795</v>
      </c>
      <c r="H15" s="14">
        <f t="shared" si="6"/>
        <v>0.01795</v>
      </c>
      <c r="I15" s="14">
        <f t="shared" si="6"/>
        <v>0.01795</v>
      </c>
      <c r="J15" s="14">
        <f t="shared" si="6"/>
        <v>0.01795</v>
      </c>
      <c r="K15" s="14">
        <f t="shared" si="6"/>
        <v>0.01795</v>
      </c>
      <c r="L15" s="14">
        <f t="shared" si="6"/>
        <v>0.01795</v>
      </c>
      <c r="M15" s="14">
        <f t="shared" si="6"/>
        <v>0.01795</v>
      </c>
      <c r="N15" s="55"/>
    </row>
    <row r="16" spans="1:14" ht="12.75">
      <c r="A16" s="8"/>
      <c r="B16" s="42">
        <f>B14*B15</f>
        <v>2.7090449373779504</v>
      </c>
      <c r="C16" s="42">
        <f aca="true" t="shared" si="7" ref="C16:M16">C14*C15</f>
        <v>2.5657076277653417</v>
      </c>
      <c r="D16" s="42">
        <f t="shared" si="7"/>
        <v>1.8518318326682504</v>
      </c>
      <c r="E16" s="42">
        <f t="shared" si="7"/>
        <v>1.3708808374767292</v>
      </c>
      <c r="F16" s="42">
        <f t="shared" si="7"/>
        <v>0.8414351186174278</v>
      </c>
      <c r="G16" s="42">
        <f t="shared" si="7"/>
        <v>0.5025422281045441</v>
      </c>
      <c r="H16" s="42">
        <f t="shared" si="7"/>
        <v>0.33467742013307195</v>
      </c>
      <c r="I16" s="42">
        <f t="shared" si="7"/>
        <v>0.2705317338894216</v>
      </c>
      <c r="J16" s="42">
        <f t="shared" si="7"/>
        <v>0.309652179916214</v>
      </c>
      <c r="K16" s="42">
        <f t="shared" si="7"/>
        <v>0.567174435956322</v>
      </c>
      <c r="L16" s="42">
        <f t="shared" si="7"/>
        <v>1.2062333584594647</v>
      </c>
      <c r="M16" s="42">
        <f t="shared" si="7"/>
        <v>2.3328882896352643</v>
      </c>
      <c r="N16" s="11"/>
    </row>
    <row r="18" spans="1:15" s="46" customFormat="1" ht="12.75">
      <c r="A18" s="44" t="s">
        <v>72</v>
      </c>
      <c r="B18" s="45">
        <f>B10</f>
        <v>2.277168208230741</v>
      </c>
      <c r="C18" s="45">
        <f aca="true" t="shared" si="8" ref="C18:M18">C10</f>
        <v>2.1566817740636206</v>
      </c>
      <c r="D18" s="45">
        <f t="shared" si="8"/>
        <v>1.556612265141428</v>
      </c>
      <c r="E18" s="45">
        <f t="shared" si="8"/>
        <v>1.1523346170094246</v>
      </c>
      <c r="F18" s="45">
        <f t="shared" si="8"/>
        <v>0.7072932881132001</v>
      </c>
      <c r="G18" s="45">
        <f t="shared" si="8"/>
        <v>0.42242680043570374</v>
      </c>
      <c r="H18" s="45">
        <f t="shared" si="8"/>
        <v>0.28132304880750975</v>
      </c>
      <c r="I18" s="45">
        <f t="shared" si="8"/>
        <v>0.22740348645777467</v>
      </c>
      <c r="J18" s="45">
        <f t="shared" si="8"/>
        <v>0.2602873396397162</v>
      </c>
      <c r="K18" s="45">
        <f t="shared" si="8"/>
        <v>0.47675532297777795</v>
      </c>
      <c r="L18" s="45">
        <f t="shared" si="8"/>
        <v>1.0139352868209992</v>
      </c>
      <c r="M18" s="45">
        <f t="shared" si="8"/>
        <v>1.960978562302106</v>
      </c>
      <c r="N18" s="45">
        <f>SUM(B18:M18)</f>
        <v>12.493200000000002</v>
      </c>
      <c r="O18" s="45"/>
    </row>
    <row r="19" spans="1:15" s="46" customFormat="1" ht="12.75">
      <c r="A19" s="47" t="s">
        <v>73</v>
      </c>
      <c r="B19" s="45">
        <f>B13</f>
        <v>2.277168208230741</v>
      </c>
      <c r="C19" s="45">
        <f aca="true" t="shared" si="9" ref="C19:M19">C13</f>
        <v>2.1566817740636206</v>
      </c>
      <c r="D19" s="45">
        <f t="shared" si="9"/>
        <v>1.556612265141428</v>
      </c>
      <c r="E19" s="45">
        <f t="shared" si="9"/>
        <v>1.1523346170094246</v>
      </c>
      <c r="F19" s="45">
        <f t="shared" si="9"/>
        <v>0.7072932881132001</v>
      </c>
      <c r="G19" s="45">
        <f t="shared" si="9"/>
        <v>0.42242680043570374</v>
      </c>
      <c r="H19" s="45">
        <f t="shared" si="9"/>
        <v>0.28132304880750975</v>
      </c>
      <c r="I19" s="45">
        <f t="shared" si="9"/>
        <v>0.22740348645777467</v>
      </c>
      <c r="J19" s="45">
        <f t="shared" si="9"/>
        <v>0.2602873396397162</v>
      </c>
      <c r="K19" s="45">
        <f t="shared" si="9"/>
        <v>0.47675532297777795</v>
      </c>
      <c r="L19" s="45">
        <f t="shared" si="9"/>
        <v>1.0139352868209992</v>
      </c>
      <c r="M19" s="45">
        <f t="shared" si="9"/>
        <v>1.960978562302106</v>
      </c>
      <c r="N19" s="45">
        <f>SUM(B19:M19)</f>
        <v>12.493200000000002</v>
      </c>
      <c r="O19" s="45"/>
    </row>
    <row r="20" spans="1:15" s="46" customFormat="1" ht="13.5" thickBot="1">
      <c r="A20" s="48" t="s">
        <v>74</v>
      </c>
      <c r="B20" s="45">
        <f>B16</f>
        <v>2.7090449373779504</v>
      </c>
      <c r="C20" s="45">
        <f aca="true" t="shared" si="10" ref="C20:M20">C16</f>
        <v>2.5657076277653417</v>
      </c>
      <c r="D20" s="45">
        <f t="shared" si="10"/>
        <v>1.8518318326682504</v>
      </c>
      <c r="E20" s="45">
        <f t="shared" si="10"/>
        <v>1.3708808374767292</v>
      </c>
      <c r="F20" s="45">
        <f t="shared" si="10"/>
        <v>0.8414351186174278</v>
      </c>
      <c r="G20" s="45">
        <f t="shared" si="10"/>
        <v>0.5025422281045441</v>
      </c>
      <c r="H20" s="45">
        <f t="shared" si="10"/>
        <v>0.33467742013307195</v>
      </c>
      <c r="I20" s="45">
        <f t="shared" si="10"/>
        <v>0.2705317338894216</v>
      </c>
      <c r="J20" s="45">
        <f t="shared" si="10"/>
        <v>0.309652179916214</v>
      </c>
      <c r="K20" s="45">
        <f t="shared" si="10"/>
        <v>0.567174435956322</v>
      </c>
      <c r="L20" s="45">
        <f t="shared" si="10"/>
        <v>1.2062333584594647</v>
      </c>
      <c r="M20" s="45">
        <f t="shared" si="10"/>
        <v>2.3328882896352643</v>
      </c>
      <c r="N20" s="45">
        <f>SUM(B20:M20)</f>
        <v>14.862599999999999</v>
      </c>
      <c r="O20" s="45"/>
    </row>
    <row r="21" ht="13.5" thickTop="1"/>
  </sheetData>
  <printOptions/>
  <pageMargins left="0.75" right="0.75" top="1" bottom="1" header="0.5" footer="0.5"/>
  <pageSetup fitToHeight="1" fitToWidth="1" horizontalDpi="600" verticalDpi="600" orientation="portrait" scale="59" r:id="rId1"/>
  <headerFooter alignWithMargins="0">
    <oddHeader>&amp;C&amp;"Arial,Bold"&amp;12Exhibit K-3 Schedule 191 LI DSM Tariff Calculations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20"/>
  <sheetViews>
    <sheetView zoomScaleSheetLayoutView="122" workbookViewId="0" topLeftCell="A3">
      <selection activeCell="P9" sqref="P9"/>
    </sheetView>
  </sheetViews>
  <sheetFormatPr defaultColWidth="9.140625" defaultRowHeight="12.75"/>
  <cols>
    <col min="1" max="1" width="17.140625" style="1" customWidth="1"/>
    <col min="2" max="13" width="10.421875" style="1" customWidth="1"/>
    <col min="14" max="14" width="12.7109375" style="1" bestFit="1" customWidth="1"/>
  </cols>
  <sheetData>
    <row r="1" ht="12.75" hidden="1"/>
    <row r="2" ht="12.75" hidden="1"/>
    <row r="5" spans="1:14" ht="12.75">
      <c r="A5" s="2"/>
      <c r="B5" s="3" t="s"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</row>
    <row r="6" spans="1:14" ht="12.75">
      <c r="A6" s="6"/>
      <c r="B6" s="7" t="s">
        <v>51</v>
      </c>
      <c r="C6" s="7" t="s">
        <v>52</v>
      </c>
      <c r="D6" s="7" t="s">
        <v>53</v>
      </c>
      <c r="E6" s="7" t="s">
        <v>54</v>
      </c>
      <c r="F6" s="7" t="s">
        <v>55</v>
      </c>
      <c r="G6" s="7" t="s">
        <v>56</v>
      </c>
      <c r="H6" s="7" t="s">
        <v>57</v>
      </c>
      <c r="I6" s="7" t="s">
        <v>58</v>
      </c>
      <c r="J6" s="7" t="s">
        <v>59</v>
      </c>
      <c r="K6" s="7" t="s">
        <v>77</v>
      </c>
      <c r="L6" s="7" t="s">
        <v>78</v>
      </c>
      <c r="M6" s="7" t="s">
        <v>79</v>
      </c>
      <c r="N6" s="8" t="s">
        <v>13</v>
      </c>
    </row>
    <row r="7" spans="1:14" ht="12.75">
      <c r="A7" s="9" t="s">
        <v>14</v>
      </c>
      <c r="B7" s="33">
        <v>0.18227261295990946</v>
      </c>
      <c r="C7" s="33">
        <v>0.1726284518028704</v>
      </c>
      <c r="D7" s="33">
        <v>0.1245967618497605</v>
      </c>
      <c r="E7" s="33">
        <v>0.09223694625951914</v>
      </c>
      <c r="F7" s="33">
        <v>0.056614261207152704</v>
      </c>
      <c r="G7" s="33">
        <v>0.03381253805555852</v>
      </c>
      <c r="H7" s="33">
        <v>0.02251809374759947</v>
      </c>
      <c r="I7" s="33">
        <v>0.018202180903033223</v>
      </c>
      <c r="J7" s="33">
        <v>0.020834321041824044</v>
      </c>
      <c r="K7" s="33">
        <v>0.038161185523146825</v>
      </c>
      <c r="L7" s="33">
        <v>0.08115897342722435</v>
      </c>
      <c r="M7" s="33">
        <v>0.15696367322240146</v>
      </c>
      <c r="N7" s="33"/>
    </row>
    <row r="8" spans="1:14" ht="12.75">
      <c r="A8" s="34" t="s">
        <v>72</v>
      </c>
      <c r="B8" s="11">
        <f>$N$8*B7</f>
        <v>126.86173862009699</v>
      </c>
      <c r="C8" s="11">
        <f aca="true" t="shared" si="0" ref="C8:J8">$N$8*C7</f>
        <v>120.1494024547978</v>
      </c>
      <c r="D8" s="11">
        <f t="shared" si="0"/>
        <v>86.71934624743331</v>
      </c>
      <c r="E8" s="11">
        <f t="shared" si="0"/>
        <v>64.19691459662532</v>
      </c>
      <c r="F8" s="11">
        <f t="shared" si="0"/>
        <v>39.40352580017828</v>
      </c>
      <c r="G8" s="11">
        <f t="shared" si="0"/>
        <v>23.53352648666873</v>
      </c>
      <c r="H8" s="11">
        <f t="shared" si="0"/>
        <v>15.672593248329232</v>
      </c>
      <c r="I8" s="11">
        <f t="shared" si="0"/>
        <v>12.668717908511123</v>
      </c>
      <c r="J8" s="11">
        <f t="shared" si="0"/>
        <v>14.500687445109534</v>
      </c>
      <c r="K8" s="11">
        <f>$N$8*K7</f>
        <v>26.56018512411019</v>
      </c>
      <c r="L8" s="11">
        <f>$N$8*L7</f>
        <v>56.48664550534814</v>
      </c>
      <c r="M8" s="11">
        <f>$N$8*M7</f>
        <v>109.24671656279142</v>
      </c>
      <c r="N8" s="35">
        <f>'2004'!I3</f>
        <v>696</v>
      </c>
    </row>
    <row r="9" spans="1:14" ht="12.75">
      <c r="A9" s="8"/>
      <c r="B9" s="14">
        <v>0.01795</v>
      </c>
      <c r="C9" s="14">
        <v>0.01795</v>
      </c>
      <c r="D9" s="14">
        <v>0.01795</v>
      </c>
      <c r="E9" s="14">
        <v>0.01795</v>
      </c>
      <c r="F9" s="14">
        <v>0.01795</v>
      </c>
      <c r="G9" s="14">
        <v>0.01795</v>
      </c>
      <c r="H9" s="14">
        <v>0.01795</v>
      </c>
      <c r="I9" s="14">
        <v>0.01795</v>
      </c>
      <c r="J9" s="14">
        <v>0.01795</v>
      </c>
      <c r="K9" s="14">
        <v>0.01795</v>
      </c>
      <c r="L9" s="14">
        <v>0.01795</v>
      </c>
      <c r="M9" s="14">
        <v>0.01795</v>
      </c>
      <c r="N9" s="11"/>
    </row>
    <row r="10" spans="1:14" ht="12.75">
      <c r="A10" s="8"/>
      <c r="B10" s="43">
        <f>B8*B9</f>
        <v>2.277168208230741</v>
      </c>
      <c r="C10" s="43">
        <f aca="true" t="shared" si="1" ref="C10:J10">C8*C9</f>
        <v>2.1566817740636206</v>
      </c>
      <c r="D10" s="43">
        <f t="shared" si="1"/>
        <v>1.556612265141428</v>
      </c>
      <c r="E10" s="43">
        <f t="shared" si="1"/>
        <v>1.1523346170094246</v>
      </c>
      <c r="F10" s="43">
        <f t="shared" si="1"/>
        <v>0.7072932881132001</v>
      </c>
      <c r="G10" s="43">
        <f t="shared" si="1"/>
        <v>0.42242680043570374</v>
      </c>
      <c r="H10" s="43">
        <f t="shared" si="1"/>
        <v>0.28132304880750975</v>
      </c>
      <c r="I10" s="43">
        <f t="shared" si="1"/>
        <v>0.22740348645777467</v>
      </c>
      <c r="J10" s="43">
        <f t="shared" si="1"/>
        <v>0.2602873396397162</v>
      </c>
      <c r="K10" s="43">
        <f>K8*K9</f>
        <v>0.47675532297777795</v>
      </c>
      <c r="L10" s="43">
        <f>L8*L9</f>
        <v>1.0139352868209992</v>
      </c>
      <c r="M10" s="43">
        <f>M8*M9</f>
        <v>1.960978562302106</v>
      </c>
      <c r="N10" s="11"/>
    </row>
    <row r="11" spans="1:14" ht="12.75">
      <c r="A11" s="36" t="s">
        <v>73</v>
      </c>
      <c r="B11" s="11">
        <f>$N$11*B7</f>
        <v>126.86173862009699</v>
      </c>
      <c r="C11" s="11">
        <f aca="true" t="shared" si="2" ref="C11:M11">$N$11*C7</f>
        <v>120.1494024547978</v>
      </c>
      <c r="D11" s="11">
        <f t="shared" si="2"/>
        <v>86.71934624743331</v>
      </c>
      <c r="E11" s="11">
        <f t="shared" si="2"/>
        <v>64.19691459662532</v>
      </c>
      <c r="F11" s="11">
        <f t="shared" si="2"/>
        <v>39.40352580017828</v>
      </c>
      <c r="G11" s="11">
        <f t="shared" si="2"/>
        <v>23.53352648666873</v>
      </c>
      <c r="H11" s="11">
        <f t="shared" si="2"/>
        <v>15.672593248329232</v>
      </c>
      <c r="I11" s="11">
        <f t="shared" si="2"/>
        <v>12.668717908511123</v>
      </c>
      <c r="J11" s="11">
        <f t="shared" si="2"/>
        <v>14.500687445109534</v>
      </c>
      <c r="K11" s="11">
        <f t="shared" si="2"/>
        <v>26.56018512411019</v>
      </c>
      <c r="L11" s="11">
        <f t="shared" si="2"/>
        <v>56.48664550534814</v>
      </c>
      <c r="M11" s="11">
        <f t="shared" si="2"/>
        <v>109.24671656279142</v>
      </c>
      <c r="N11" s="37">
        <f>'2004'!I4</f>
        <v>696</v>
      </c>
    </row>
    <row r="12" spans="1:14" ht="12.75">
      <c r="A12" s="8"/>
      <c r="B12" s="14">
        <f>B9</f>
        <v>0.01795</v>
      </c>
      <c r="C12" s="14">
        <f aca="true" t="shared" si="3" ref="C12:M12">C9</f>
        <v>0.01795</v>
      </c>
      <c r="D12" s="14">
        <f t="shared" si="3"/>
        <v>0.01795</v>
      </c>
      <c r="E12" s="14">
        <f t="shared" si="3"/>
        <v>0.01795</v>
      </c>
      <c r="F12" s="14">
        <f t="shared" si="3"/>
        <v>0.01795</v>
      </c>
      <c r="G12" s="14">
        <f t="shared" si="3"/>
        <v>0.01795</v>
      </c>
      <c r="H12" s="14">
        <f t="shared" si="3"/>
        <v>0.01795</v>
      </c>
      <c r="I12" s="14">
        <f t="shared" si="3"/>
        <v>0.01795</v>
      </c>
      <c r="J12" s="14">
        <f t="shared" si="3"/>
        <v>0.01795</v>
      </c>
      <c r="K12" s="14">
        <f t="shared" si="3"/>
        <v>0.01795</v>
      </c>
      <c r="L12" s="14">
        <f t="shared" si="3"/>
        <v>0.01795</v>
      </c>
      <c r="M12" s="14">
        <f t="shared" si="3"/>
        <v>0.01795</v>
      </c>
      <c r="N12" s="11"/>
    </row>
    <row r="13" spans="1:14" ht="12.75">
      <c r="A13" s="8"/>
      <c r="B13" s="43">
        <f aca="true" t="shared" si="4" ref="B13:J13">B11*B12</f>
        <v>2.277168208230741</v>
      </c>
      <c r="C13" s="43">
        <f t="shared" si="4"/>
        <v>2.1566817740636206</v>
      </c>
      <c r="D13" s="43">
        <f t="shared" si="4"/>
        <v>1.556612265141428</v>
      </c>
      <c r="E13" s="43">
        <f t="shared" si="4"/>
        <v>1.1523346170094246</v>
      </c>
      <c r="F13" s="43">
        <f t="shared" si="4"/>
        <v>0.7072932881132001</v>
      </c>
      <c r="G13" s="43">
        <f t="shared" si="4"/>
        <v>0.42242680043570374</v>
      </c>
      <c r="H13" s="43">
        <f t="shared" si="4"/>
        <v>0.28132304880750975</v>
      </c>
      <c r="I13" s="43">
        <f t="shared" si="4"/>
        <v>0.22740348645777467</v>
      </c>
      <c r="J13" s="43">
        <f t="shared" si="4"/>
        <v>0.2602873396397162</v>
      </c>
      <c r="K13" s="43">
        <f>K11*K12</f>
        <v>0.47675532297777795</v>
      </c>
      <c r="L13" s="43">
        <f>L11*L12</f>
        <v>1.0139352868209992</v>
      </c>
      <c r="M13" s="43">
        <f>M11*M12</f>
        <v>1.960978562302106</v>
      </c>
      <c r="N13" s="11"/>
    </row>
    <row r="14" spans="1:14" ht="13.5" thickBot="1">
      <c r="A14" s="38" t="s">
        <v>74</v>
      </c>
      <c r="B14" s="11">
        <f>$N$14*B7</f>
        <v>150.92172353080502</v>
      </c>
      <c r="C14" s="11">
        <f aca="true" t="shared" si="5" ref="C14:M14">$N$14*C7</f>
        <v>142.9363580927767</v>
      </c>
      <c r="D14" s="11">
        <f t="shared" si="5"/>
        <v>103.16611881160169</v>
      </c>
      <c r="E14" s="11">
        <f t="shared" si="5"/>
        <v>76.37219150288185</v>
      </c>
      <c r="F14" s="11">
        <f t="shared" si="5"/>
        <v>46.876608279522436</v>
      </c>
      <c r="G14" s="11">
        <f t="shared" si="5"/>
        <v>27.996781510002453</v>
      </c>
      <c r="H14" s="11">
        <f t="shared" si="5"/>
        <v>18.644981623012363</v>
      </c>
      <c r="I14" s="11">
        <f t="shared" si="5"/>
        <v>15.071405787711509</v>
      </c>
      <c r="J14" s="11">
        <f t="shared" si="5"/>
        <v>17.250817822630307</v>
      </c>
      <c r="K14" s="11">
        <f t="shared" si="5"/>
        <v>31.59746161316557</v>
      </c>
      <c r="L14" s="11">
        <f t="shared" si="5"/>
        <v>67.19962999774177</v>
      </c>
      <c r="M14" s="11">
        <f t="shared" si="5"/>
        <v>129.96592142814842</v>
      </c>
      <c r="N14" s="39">
        <f>'2004'!I5</f>
        <v>828</v>
      </c>
    </row>
    <row r="15" spans="1:14" ht="13.5" thickTop="1">
      <c r="A15" s="8"/>
      <c r="B15" s="14">
        <f>B9</f>
        <v>0.01795</v>
      </c>
      <c r="C15" s="14">
        <f aca="true" t="shared" si="6" ref="C15:M15">C9</f>
        <v>0.01795</v>
      </c>
      <c r="D15" s="14">
        <f t="shared" si="6"/>
        <v>0.01795</v>
      </c>
      <c r="E15" s="14">
        <f t="shared" si="6"/>
        <v>0.01795</v>
      </c>
      <c r="F15" s="14">
        <f t="shared" si="6"/>
        <v>0.01795</v>
      </c>
      <c r="G15" s="14">
        <f t="shared" si="6"/>
        <v>0.01795</v>
      </c>
      <c r="H15" s="14">
        <f t="shared" si="6"/>
        <v>0.01795</v>
      </c>
      <c r="I15" s="14">
        <f t="shared" si="6"/>
        <v>0.01795</v>
      </c>
      <c r="J15" s="14">
        <f t="shared" si="6"/>
        <v>0.01795</v>
      </c>
      <c r="K15" s="14">
        <f t="shared" si="6"/>
        <v>0.01795</v>
      </c>
      <c r="L15" s="14">
        <f t="shared" si="6"/>
        <v>0.01795</v>
      </c>
      <c r="M15" s="14">
        <f t="shared" si="6"/>
        <v>0.01795</v>
      </c>
      <c r="N15" s="11"/>
    </row>
    <row r="16" spans="1:14" ht="12.75">
      <c r="A16" s="8"/>
      <c r="B16" s="43">
        <f aca="true" t="shared" si="7" ref="B16:J16">B14*B15</f>
        <v>2.7090449373779504</v>
      </c>
      <c r="C16" s="43">
        <f t="shared" si="7"/>
        <v>2.5657076277653417</v>
      </c>
      <c r="D16" s="43">
        <f t="shared" si="7"/>
        <v>1.8518318326682504</v>
      </c>
      <c r="E16" s="43">
        <f t="shared" si="7"/>
        <v>1.3708808374767292</v>
      </c>
      <c r="F16" s="43">
        <f t="shared" si="7"/>
        <v>0.8414351186174278</v>
      </c>
      <c r="G16" s="43">
        <f t="shared" si="7"/>
        <v>0.5025422281045441</v>
      </c>
      <c r="H16" s="43">
        <f t="shared" si="7"/>
        <v>0.33467742013307195</v>
      </c>
      <c r="I16" s="43">
        <f t="shared" si="7"/>
        <v>0.2705317338894216</v>
      </c>
      <c r="J16" s="43">
        <f t="shared" si="7"/>
        <v>0.309652179916214</v>
      </c>
      <c r="K16" s="43">
        <f>K14*K15</f>
        <v>0.567174435956322</v>
      </c>
      <c r="L16" s="43">
        <f>L14*L15</f>
        <v>1.2062333584594647</v>
      </c>
      <c r="M16" s="43">
        <f>M14*M15</f>
        <v>2.3328882896352643</v>
      </c>
      <c r="N16" s="11"/>
    </row>
    <row r="18" spans="1:14" s="46" customFormat="1" ht="12.75">
      <c r="A18" s="44" t="s">
        <v>72</v>
      </c>
      <c r="B18" s="49">
        <f>B10</f>
        <v>2.277168208230741</v>
      </c>
      <c r="C18" s="49">
        <f aca="true" t="shared" si="8" ref="C18:M18">C10</f>
        <v>2.1566817740636206</v>
      </c>
      <c r="D18" s="49">
        <f t="shared" si="8"/>
        <v>1.556612265141428</v>
      </c>
      <c r="E18" s="49">
        <f t="shared" si="8"/>
        <v>1.1523346170094246</v>
      </c>
      <c r="F18" s="49">
        <f t="shared" si="8"/>
        <v>0.7072932881132001</v>
      </c>
      <c r="G18" s="49">
        <f t="shared" si="8"/>
        <v>0.42242680043570374</v>
      </c>
      <c r="H18" s="49">
        <f t="shared" si="8"/>
        <v>0.28132304880750975</v>
      </c>
      <c r="I18" s="49">
        <f t="shared" si="8"/>
        <v>0.22740348645777467</v>
      </c>
      <c r="J18" s="49">
        <f t="shared" si="8"/>
        <v>0.2602873396397162</v>
      </c>
      <c r="K18" s="49">
        <f t="shared" si="8"/>
        <v>0.47675532297777795</v>
      </c>
      <c r="L18" s="49">
        <f t="shared" si="8"/>
        <v>1.0139352868209992</v>
      </c>
      <c r="M18" s="49">
        <f t="shared" si="8"/>
        <v>1.960978562302106</v>
      </c>
      <c r="N18" s="45">
        <f>SUM(B18:M18)</f>
        <v>12.493200000000002</v>
      </c>
    </row>
    <row r="19" spans="1:14" s="46" customFormat="1" ht="12.75">
      <c r="A19" s="47" t="s">
        <v>73</v>
      </c>
      <c r="B19" s="49">
        <f>B13</f>
        <v>2.277168208230741</v>
      </c>
      <c r="C19" s="49">
        <f aca="true" t="shared" si="9" ref="C19:M19">C13</f>
        <v>2.1566817740636206</v>
      </c>
      <c r="D19" s="49">
        <f t="shared" si="9"/>
        <v>1.556612265141428</v>
      </c>
      <c r="E19" s="49">
        <f t="shared" si="9"/>
        <v>1.1523346170094246</v>
      </c>
      <c r="F19" s="49">
        <f t="shared" si="9"/>
        <v>0.7072932881132001</v>
      </c>
      <c r="G19" s="49">
        <f t="shared" si="9"/>
        <v>0.42242680043570374</v>
      </c>
      <c r="H19" s="49">
        <f t="shared" si="9"/>
        <v>0.28132304880750975</v>
      </c>
      <c r="I19" s="49">
        <f t="shared" si="9"/>
        <v>0.22740348645777467</v>
      </c>
      <c r="J19" s="49">
        <f t="shared" si="9"/>
        <v>0.2602873396397162</v>
      </c>
      <c r="K19" s="49">
        <f t="shared" si="9"/>
        <v>0.47675532297777795</v>
      </c>
      <c r="L19" s="49">
        <f t="shared" si="9"/>
        <v>1.0139352868209992</v>
      </c>
      <c r="M19" s="49">
        <f t="shared" si="9"/>
        <v>1.960978562302106</v>
      </c>
      <c r="N19" s="45">
        <f>SUM(B19:M19)</f>
        <v>12.493200000000002</v>
      </c>
    </row>
    <row r="20" spans="1:14" s="46" customFormat="1" ht="13.5" thickBot="1">
      <c r="A20" s="48" t="s">
        <v>74</v>
      </c>
      <c r="B20" s="49">
        <f>B16</f>
        <v>2.7090449373779504</v>
      </c>
      <c r="C20" s="49">
        <f aca="true" t="shared" si="10" ref="C20:M20">C16</f>
        <v>2.5657076277653417</v>
      </c>
      <c r="D20" s="49">
        <f t="shared" si="10"/>
        <v>1.8518318326682504</v>
      </c>
      <c r="E20" s="49">
        <f t="shared" si="10"/>
        <v>1.3708808374767292</v>
      </c>
      <c r="F20" s="49">
        <f t="shared" si="10"/>
        <v>0.8414351186174278</v>
      </c>
      <c r="G20" s="49">
        <f t="shared" si="10"/>
        <v>0.5025422281045441</v>
      </c>
      <c r="H20" s="49">
        <f t="shared" si="10"/>
        <v>0.33467742013307195</v>
      </c>
      <c r="I20" s="49">
        <f t="shared" si="10"/>
        <v>0.2705317338894216</v>
      </c>
      <c r="J20" s="49">
        <f t="shared" si="10"/>
        <v>0.309652179916214</v>
      </c>
      <c r="K20" s="49">
        <f t="shared" si="10"/>
        <v>0.567174435956322</v>
      </c>
      <c r="L20" s="49">
        <f t="shared" si="10"/>
        <v>1.2062333584594647</v>
      </c>
      <c r="M20" s="49">
        <f t="shared" si="10"/>
        <v>2.3328882896352643</v>
      </c>
      <c r="N20" s="45">
        <f>SUM(B20:M20)</f>
        <v>14.862599999999999</v>
      </c>
    </row>
    <row r="21" ht="13.5" thickTop="1"/>
  </sheetData>
  <printOptions/>
  <pageMargins left="0.75" right="0.75" top="1" bottom="1" header="0.5" footer="0.5"/>
  <pageSetup fitToHeight="1" fitToWidth="1" horizontalDpi="600" verticalDpi="600" orientation="portrait" scale="53" r:id="rId1"/>
  <headerFooter alignWithMargins="0">
    <oddHeader>&amp;C&amp;"Arial,Bold"&amp;12Exhibit K-3 Schedule 191 LI DSM Tariff Calculations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G18"/>
  <sheetViews>
    <sheetView tabSelected="1" workbookViewId="0" topLeftCell="A1">
      <selection activeCell="J7" sqref="J7"/>
    </sheetView>
  </sheetViews>
  <sheetFormatPr defaultColWidth="9.140625" defaultRowHeight="12.75"/>
  <cols>
    <col min="1" max="1" width="20.140625" style="0" bestFit="1" customWidth="1"/>
    <col min="2" max="7" width="9.7109375" style="0" bestFit="1" customWidth="1"/>
  </cols>
  <sheetData>
    <row r="2" ht="13.5" thickBot="1"/>
    <row r="3" spans="1:6" ht="13.5" thickTop="1">
      <c r="A3" s="62" t="s">
        <v>75</v>
      </c>
      <c r="B3" s="63"/>
      <c r="C3" s="63"/>
      <c r="D3" s="63"/>
      <c r="E3" s="63"/>
      <c r="F3" s="64"/>
    </row>
    <row r="4" spans="1:6" ht="12.75">
      <c r="A4" s="15"/>
      <c r="B4" s="50">
        <v>2004</v>
      </c>
      <c r="C4" s="50">
        <v>2005</v>
      </c>
      <c r="D4" s="50">
        <v>2006</v>
      </c>
      <c r="E4" s="50">
        <v>2007</v>
      </c>
      <c r="F4" s="51">
        <v>2008</v>
      </c>
    </row>
    <row r="5" spans="1:6" ht="12.75">
      <c r="A5" s="52" t="s">
        <v>72</v>
      </c>
      <c r="B5" s="56">
        <f>'2004'!N18</f>
        <v>7.7850185142857145</v>
      </c>
      <c r="C5" s="56">
        <f>'2005'!N18</f>
        <v>6.1009807163046865</v>
      </c>
      <c r="D5" s="56">
        <f>'2006'!N18</f>
        <v>5.157639312237973</v>
      </c>
      <c r="E5" s="56">
        <f>'2007'!N18</f>
        <v>12.493200000000002</v>
      </c>
      <c r="F5" s="57">
        <f>'2008'!N18</f>
        <v>12.493200000000002</v>
      </c>
    </row>
    <row r="6" spans="1:6" ht="12.75">
      <c r="A6" s="53" t="s">
        <v>73</v>
      </c>
      <c r="B6" s="58">
        <f>'2004'!N19</f>
        <v>7.7850185142857145</v>
      </c>
      <c r="C6" s="58">
        <f>'2005'!N19</f>
        <v>6.1009807163046865</v>
      </c>
      <c r="D6" s="58">
        <f>'2006'!N19</f>
        <v>5.157639312237973</v>
      </c>
      <c r="E6" s="58">
        <f>'2007'!N19</f>
        <v>12.493200000000002</v>
      </c>
      <c r="F6" s="59">
        <f>'2008'!N19</f>
        <v>12.493200000000002</v>
      </c>
    </row>
    <row r="7" spans="1:6" ht="13.5" thickBot="1">
      <c r="A7" s="54" t="s">
        <v>74</v>
      </c>
      <c r="B7" s="60">
        <f>'2004'!N20</f>
        <v>9.261487542857143</v>
      </c>
      <c r="C7" s="60">
        <f>'2005'!N20</f>
        <v>7.258063265948678</v>
      </c>
      <c r="D7" s="60">
        <f>'2006'!N20</f>
        <v>6.1358122852486225</v>
      </c>
      <c r="E7" s="60">
        <f>'2007'!N20</f>
        <v>14.862599999999999</v>
      </c>
      <c r="F7" s="61">
        <f>'2008'!N20</f>
        <v>14.862599999999999</v>
      </c>
    </row>
    <row r="8" ht="13.5" thickTop="1"/>
    <row r="11" ht="13.5" thickBot="1"/>
    <row r="12" spans="1:7" ht="13.5" thickTop="1">
      <c r="A12" s="65" t="s">
        <v>76</v>
      </c>
      <c r="B12" s="66"/>
      <c r="C12" s="66"/>
      <c r="D12" s="66"/>
      <c r="E12" s="66"/>
      <c r="F12" s="66"/>
      <c r="G12" s="67"/>
    </row>
    <row r="13" spans="1:7" ht="12.75">
      <c r="A13" s="31" t="s">
        <v>71</v>
      </c>
      <c r="B13" s="24">
        <v>37875</v>
      </c>
      <c r="C13" s="25">
        <v>38109</v>
      </c>
      <c r="D13" s="25">
        <v>38397</v>
      </c>
      <c r="E13" s="25">
        <v>38718</v>
      </c>
      <c r="F13" s="25">
        <v>39022</v>
      </c>
      <c r="G13" s="26">
        <v>39448</v>
      </c>
    </row>
    <row r="14" spans="1:7" ht="12.75">
      <c r="A14" s="32" t="s">
        <v>65</v>
      </c>
      <c r="B14" s="27" t="s">
        <v>66</v>
      </c>
      <c r="C14" s="28" t="s">
        <v>67</v>
      </c>
      <c r="D14" s="28" t="s">
        <v>68</v>
      </c>
      <c r="E14" s="28" t="s">
        <v>68</v>
      </c>
      <c r="F14" s="28" t="s">
        <v>69</v>
      </c>
      <c r="G14" s="29" t="s">
        <v>70</v>
      </c>
    </row>
    <row r="15" spans="1:7" ht="12.75">
      <c r="A15" s="17">
        <v>101</v>
      </c>
      <c r="B15" s="22">
        <f>0.96/1.75*0.02039</f>
        <v>0.011185371428571428</v>
      </c>
      <c r="C15" s="22">
        <f>0.96/1.75*0.02039</f>
        <v>0.011185371428571428</v>
      </c>
      <c r="D15" s="22">
        <f>(0.96/1.75)*0.01441</f>
        <v>0.007904914285714286</v>
      </c>
      <c r="E15" s="22">
        <f>0.5/1.29*0.01062</f>
        <v>0.004116279069767441</v>
      </c>
      <c r="F15" s="22">
        <v>0.01795</v>
      </c>
      <c r="G15" s="23">
        <v>0.01795</v>
      </c>
    </row>
    <row r="16" spans="1:7" ht="12.75">
      <c r="A16" s="16" t="s">
        <v>62</v>
      </c>
      <c r="B16" s="18">
        <f>0.96/1.75*0.01759</f>
        <v>0.00964937142857143</v>
      </c>
      <c r="C16" s="18">
        <f>0.96/1.75*0.01759</f>
        <v>0.00964937142857143</v>
      </c>
      <c r="D16" s="18">
        <f>0.96/1.75*0.01243</f>
        <v>0.006818742857142858</v>
      </c>
      <c r="E16" s="18">
        <f>0.5/1.29*0.00916</f>
        <v>0.0035503875968992244</v>
      </c>
      <c r="F16" s="18">
        <v>0.0158</v>
      </c>
      <c r="G16" s="19">
        <v>0.0158</v>
      </c>
    </row>
    <row r="17" spans="1:7" ht="12.75">
      <c r="A17" s="17" t="s">
        <v>63</v>
      </c>
      <c r="B17" s="22">
        <f>0.96/1.75*0.01628</f>
        <v>0.008930742857142857</v>
      </c>
      <c r="C17" s="22">
        <f>0.96/1.75*0.01628</f>
        <v>0.008930742857142857</v>
      </c>
      <c r="D17" s="22">
        <f>0.96/1.75*0.0115</f>
        <v>0.006308571428571429</v>
      </c>
      <c r="E17" s="22">
        <f>0.5/1.29*0.00848</f>
        <v>0.0032868217054263563</v>
      </c>
      <c r="F17" s="22">
        <v>0.01479</v>
      </c>
      <c r="G17" s="23">
        <v>0.01479</v>
      </c>
    </row>
    <row r="18" spans="1:7" ht="13.5" thickBot="1">
      <c r="A18" s="30" t="s">
        <v>64</v>
      </c>
      <c r="B18" s="20">
        <f>0.96/1.75*0.01572</f>
        <v>0.008623542857142858</v>
      </c>
      <c r="C18" s="20">
        <f>0.96/1.75*0.01572</f>
        <v>0.008623542857142858</v>
      </c>
      <c r="D18" s="20">
        <f>0.96/1.75*0.01111</f>
        <v>0.0060946285714285715</v>
      </c>
      <c r="E18" s="20">
        <f>0.5/1.29*0.00819</f>
        <v>0.003174418604651162</v>
      </c>
      <c r="F18" s="20">
        <v>0.01429</v>
      </c>
      <c r="G18" s="21">
        <v>0.01429</v>
      </c>
    </row>
    <row r="19" ht="13.5" thickTop="1"/>
  </sheetData>
  <mergeCells count="2">
    <mergeCell ref="A3:F3"/>
    <mergeCell ref="A12:G1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Titus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vock</dc:creator>
  <cp:keywords/>
  <dc:description/>
  <cp:lastModifiedBy>steve vock</cp:lastModifiedBy>
  <cp:lastPrinted>2009-01-19T21:22:50Z</cp:lastPrinted>
  <dcterms:created xsi:type="dcterms:W3CDTF">2008-11-17T15:48:59Z</dcterms:created>
  <dcterms:modified xsi:type="dcterms:W3CDTF">2009-01-22T14:47:06Z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Compliance</vt:lpwstr>
  </property>
  <property fmtid="{D5CDD505-2E9C-101B-9397-08002B2CF9AE}" pid="4" name="IsHighlyConfidenti">
    <vt:lpwstr>0</vt:lpwstr>
  </property>
  <property fmtid="{D5CDD505-2E9C-101B-9397-08002B2CF9AE}" pid="5" name="DocketNumb">
    <vt:lpwstr>060518</vt:lpwstr>
  </property>
  <property fmtid="{D5CDD505-2E9C-101B-9397-08002B2CF9AE}" pid="6" name="IsConfidenti">
    <vt:lpwstr>0</vt:lpwstr>
  </property>
  <property fmtid="{D5CDD505-2E9C-101B-9397-08002B2CF9AE}" pid="7" name="Dat">
    <vt:lpwstr>2009-03-31T00:00:00Z</vt:lpwstr>
  </property>
  <property fmtid="{D5CDD505-2E9C-101B-9397-08002B2CF9AE}" pid="8" name="CaseTy">
    <vt:lpwstr>Petition</vt:lpwstr>
  </property>
  <property fmtid="{D5CDD505-2E9C-101B-9397-08002B2CF9AE}" pid="9" name="OpenedDa">
    <vt:lpwstr>2006-04-05T00:00:00Z</vt:lpwstr>
  </property>
  <property fmtid="{D5CDD505-2E9C-101B-9397-08002B2CF9AE}" pid="10" name="Pref">
    <vt:lpwstr>UG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